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10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540" tabRatio="614" firstSheet="55" activeTab="57"/>
  </bookViews>
  <sheets>
    <sheet name="3-23|1~8区" sheetId="1" r:id="rId1"/>
    <sheet name="4-28|9~19区" sheetId="3" r:id="rId2"/>
    <sheet name="5-9|20~23区" sheetId="4" r:id="rId3"/>
    <sheet name="5-16|24~27区" sheetId="5" r:id="rId4"/>
    <sheet name="5-23|28~31区" sheetId="7" r:id="rId5"/>
    <sheet name="5~30|32~39区" sheetId="8" r:id="rId6"/>
    <sheet name="6~4|40~43区" sheetId="9" r:id="rId7"/>
    <sheet name="6~20|44~50区" sheetId="10" r:id="rId8"/>
    <sheet name="6~25|51~56区" sheetId="11" r:id="rId9"/>
    <sheet name="7~4|57~60区" sheetId="12" r:id="rId10"/>
    <sheet name="7~10|61~66" sheetId="13" r:id="rId11"/>
    <sheet name="7~10|67~70" sheetId="15" r:id="rId12"/>
    <sheet name="7~18|71~74" sheetId="17" r:id="rId13"/>
    <sheet name="7~25|5001~5003" sheetId="18" r:id="rId14"/>
    <sheet name="8~1|75~79" sheetId="19" r:id="rId15"/>
    <sheet name="8~8|80~90" sheetId="20" r:id="rId16"/>
    <sheet name="8~14|91~96" sheetId="21" r:id="rId17"/>
    <sheet name="8~14|5004~5007" sheetId="22" r:id="rId18"/>
    <sheet name="8~22|97~100" sheetId="23" r:id="rId19"/>
    <sheet name="8~22|5008~5011" sheetId="24" r:id="rId20"/>
    <sheet name="8~29|101~106" sheetId="25" r:id="rId21"/>
    <sheet name="8~29|5012~5015" sheetId="26" r:id="rId22"/>
    <sheet name="9~5|107~114" sheetId="27" r:id="rId23"/>
    <sheet name="9~5|5016~5021" sheetId="28" r:id="rId24"/>
    <sheet name="9~10|115~122" sheetId="29" r:id="rId25"/>
    <sheet name="9~10|5022~5030" sheetId="30" r:id="rId26"/>
    <sheet name="9~20|123~127" sheetId="31" r:id="rId27"/>
    <sheet name="9~20|5031~5039" sheetId="32" r:id="rId28"/>
    <sheet name="9~26|128~133" sheetId="33" r:id="rId29"/>
    <sheet name="9~26|5040~5049" sheetId="34" r:id="rId30"/>
    <sheet name="10~10|134~141" sheetId="35" r:id="rId31"/>
    <sheet name="10~10|142~149" sheetId="36" r:id="rId32"/>
    <sheet name="10~10|5050~5060" sheetId="37" r:id="rId33"/>
    <sheet name="10~10|5061~5069" sheetId="38" r:id="rId34"/>
    <sheet name="10~10|7001~7004" sheetId="16" r:id="rId35"/>
    <sheet name="10~17|149~161" sheetId="40" r:id="rId36"/>
    <sheet name="10~17|5070~5082" sheetId="41" r:id="rId37"/>
    <sheet name="10~17|7005~7010" sheetId="42" r:id="rId38"/>
    <sheet name="10~24|162~171" sheetId="43" r:id="rId39"/>
    <sheet name="10~24|5083~5100" sheetId="44" r:id="rId40"/>
    <sheet name="10~24|7011~7013" sheetId="45" r:id="rId41"/>
    <sheet name="10~31|172~181" sheetId="46" r:id="rId42"/>
    <sheet name="10~31|5101~5127" sheetId="47" r:id="rId43"/>
    <sheet name="10~31|7014~7019" sheetId="48" r:id="rId44"/>
    <sheet name="11~7|182~191" sheetId="49" r:id="rId45"/>
    <sheet name="11~7|5128~5175" sheetId="50" r:id="rId46"/>
    <sheet name="11~7|7020~7032" sheetId="51" r:id="rId47"/>
    <sheet name="11~14|192~205" sheetId="52" r:id="rId48"/>
    <sheet name="11~14|5176~5221" sheetId="53" r:id="rId49"/>
    <sheet name="11~14|7033~7040" sheetId="54" r:id="rId50"/>
    <sheet name="11~21|206~219" sheetId="55" r:id="rId51"/>
    <sheet name="11~21|5222~5257" sheetId="57" r:id="rId52"/>
    <sheet name="11~21|7041~7049" sheetId="59" r:id="rId53"/>
    <sheet name="11~26|5258~5276" sheetId="60" r:id="rId54"/>
    <sheet name="11~28|220~229" sheetId="62" r:id="rId55"/>
    <sheet name="11~28|5277~5288" sheetId="61" r:id="rId56"/>
    <sheet name="11~28|7050~7063" sheetId="63" r:id="rId57"/>
    <sheet name="12~3 | 5289~5310" sheetId="64" r:id="rId58"/>
    <sheet name="12~5|230~236" sheetId="67" r:id="rId59"/>
    <sheet name="12~5 | 5311~5319" sheetId="65" r:id="rId60"/>
    <sheet name="12~5|7064~7088" sheetId="66" r:id="rId61"/>
    <sheet name="配置" sheetId="2" r:id="rId62"/>
    <sheet name="空表" sheetId="39" r:id="rId63"/>
  </sheets>
  <calcPr calcId="144525"/>
</workbook>
</file>

<file path=xl/sharedStrings.xml><?xml version="1.0" encoding="utf-8"?>
<sst xmlns="http://schemas.openxmlformats.org/spreadsheetml/2006/main" count="13461" uniqueCount="324">
  <si>
    <t>区服</t>
  </si>
  <si>
    <t>开服天数</t>
  </si>
  <si>
    <t>目标区服</t>
  </si>
  <si>
    <t>目标国家（映射）</t>
  </si>
  <si>
    <t>补偿Coin</t>
  </si>
  <si>
    <r>
      <rPr>
        <sz val="11"/>
        <color theme="0"/>
        <rFont val="宋体"/>
        <charset val="134"/>
      </rPr>
      <t>共计补偿</t>
    </r>
    <r>
      <rPr>
        <sz val="11"/>
        <color theme="0"/>
        <rFont val="Arial"/>
        <charset val="134"/>
      </rPr>
      <t>Coin</t>
    </r>
  </si>
  <si>
    <t>补偿辎重</t>
  </si>
  <si>
    <t>原国家</t>
  </si>
  <si>
    <t>国家辅助</t>
  </si>
  <si>
    <t>都城数</t>
  </si>
  <si>
    <t>城池总数</t>
  </si>
  <si>
    <t>活跃高战玩家数</t>
  </si>
  <si>
    <t>活跃中坚玩家数</t>
  </si>
  <si>
    <t>排名积分</t>
  </si>
  <si>
    <t>活跃尖端战力</t>
  </si>
  <si>
    <t>活跃总战力</t>
  </si>
  <si>
    <t>目标国家</t>
  </si>
  <si>
    <t>目标辅助</t>
  </si>
  <si>
    <t>活跃实际充值</t>
  </si>
  <si>
    <t>活跃虚拟充值</t>
  </si>
  <si>
    <t>活跃Coin</t>
  </si>
  <si>
    <t>综合国力</t>
  </si>
  <si>
    <t>辅助导出</t>
  </si>
  <si>
    <t>导出</t>
  </si>
  <si>
    <t>h1_1</t>
  </si>
  <si>
    <t>魏</t>
  </si>
  <si>
    <t>蜀</t>
  </si>
  <si>
    <t>吴</t>
  </si>
  <si>
    <t>合区区服</t>
  </si>
  <si>
    <t>国家</t>
  </si>
  <si>
    <t>原国家数</t>
  </si>
  <si>
    <t>原活跃高战玩家数</t>
  </si>
  <si>
    <t>原活跃中坚玩家数</t>
  </si>
  <si>
    <t>原单服最尖端战力</t>
  </si>
  <si>
    <r>
      <rPr>
        <b/>
        <sz val="11"/>
        <color theme="0"/>
        <rFont val="宋体"/>
        <charset val="134"/>
      </rPr>
      <t>活跃</t>
    </r>
    <r>
      <rPr>
        <b/>
        <sz val="11"/>
        <color theme="0"/>
        <rFont val="Arial"/>
        <charset val="134"/>
      </rPr>
      <t>Coin</t>
    </r>
  </si>
  <si>
    <t>共计补偿Coin</t>
  </si>
  <si>
    <t>补偿后Coin</t>
  </si>
  <si>
    <t>原综合国力</t>
  </si>
  <si>
    <t>补偿起始日</t>
  </si>
  <si>
    <t>h1_2</t>
  </si>
  <si>
    <t>h1_3</t>
  </si>
  <si>
    <t>h1_4</t>
  </si>
  <si>
    <t>h1_5</t>
  </si>
  <si>
    <t>h1_6</t>
  </si>
  <si>
    <t>h1_7</t>
  </si>
  <si>
    <t>h1_8</t>
  </si>
  <si>
    <t>h1_9</t>
  </si>
  <si>
    <t>h1_10</t>
  </si>
  <si>
    <t>h1_11</t>
  </si>
  <si>
    <t>h1_12</t>
  </si>
  <si>
    <t>h1_13</t>
  </si>
  <si>
    <t>h1_14</t>
  </si>
  <si>
    <t>h1_15</t>
  </si>
  <si>
    <t>h1_16</t>
  </si>
  <si>
    <t>h1_17</t>
  </si>
  <si>
    <t>h1_18</t>
  </si>
  <si>
    <t>h1_19</t>
  </si>
  <si>
    <t>h1_20</t>
  </si>
  <si>
    <t>h1_21</t>
  </si>
  <si>
    <t>h1_22</t>
  </si>
  <si>
    <t>h1_23</t>
  </si>
  <si>
    <t>h1_24</t>
  </si>
  <si>
    <t>h1_25</t>
  </si>
  <si>
    <t>h1_26</t>
  </si>
  <si>
    <t>h1_27</t>
  </si>
  <si>
    <t>h1_28</t>
  </si>
  <si>
    <t xml:space="preserve"> </t>
  </si>
  <si>
    <t>h1_29</t>
  </si>
  <si>
    <t>h1_30</t>
  </si>
  <si>
    <t>h1_5001</t>
  </si>
  <si>
    <t>h1_31</t>
  </si>
  <si>
    <t>h1_32</t>
  </si>
  <si>
    <t>h1_33</t>
  </si>
  <si>
    <t>h1_34</t>
  </si>
  <si>
    <t>h1_35</t>
  </si>
  <si>
    <t>h1_36</t>
  </si>
  <si>
    <t>h1_37</t>
  </si>
  <si>
    <t>h1_38</t>
  </si>
  <si>
    <t>h1_502</t>
  </si>
  <si>
    <t>h1_503</t>
  </si>
  <si>
    <t>h1_39</t>
  </si>
  <si>
    <t>h1_40</t>
  </si>
  <si>
    <t>单将最高战力</t>
  </si>
  <si>
    <t>h1_504</t>
  </si>
  <si>
    <t>h1_505</t>
  </si>
  <si>
    <t>h1_41</t>
  </si>
  <si>
    <t>h1_42</t>
  </si>
  <si>
    <t>h1_43</t>
  </si>
  <si>
    <t>原最高战力</t>
  </si>
  <si>
    <t>h1_506</t>
  </si>
  <si>
    <t>h1_507</t>
  </si>
  <si>
    <t>h1_44</t>
  </si>
  <si>
    <t>h1_45</t>
  </si>
  <si>
    <t>h1_46</t>
  </si>
  <si>
    <t>h1_47</t>
  </si>
  <si>
    <t>h1_508</t>
  </si>
  <si>
    <t>h1_509</t>
  </si>
  <si>
    <t>h1_510</t>
  </si>
  <si>
    <t>h1_48</t>
  </si>
  <si>
    <t>h1_49</t>
  </si>
  <si>
    <t>h1_50</t>
  </si>
  <si>
    <t>h1_51</t>
  </si>
  <si>
    <t>h1_511</t>
  </si>
  <si>
    <t>h1_512</t>
  </si>
  <si>
    <t>h1_513</t>
  </si>
  <si>
    <t>h1_52</t>
  </si>
  <si>
    <t>h1_53</t>
  </si>
  <si>
    <t>h1_514</t>
  </si>
  <si>
    <t>h1_515</t>
  </si>
  <si>
    <t>h1_516</t>
  </si>
  <si>
    <t>h1_517</t>
  </si>
  <si>
    <t>h1_54</t>
  </si>
  <si>
    <t>h1_55</t>
  </si>
  <si>
    <t>h1_56</t>
  </si>
  <si>
    <t>h1_518</t>
  </si>
  <si>
    <t>h1_519</t>
  </si>
  <si>
    <t>h1_520</t>
  </si>
  <si>
    <t>h1_521</t>
  </si>
  <si>
    <t>h1_522</t>
  </si>
  <si>
    <t>h1_57</t>
  </si>
  <si>
    <t>h1_58</t>
  </si>
  <si>
    <t>h1_59</t>
  </si>
  <si>
    <t>h1_60</t>
  </si>
  <si>
    <t>h1_61</t>
  </si>
  <si>
    <t>h1_62</t>
  </si>
  <si>
    <t>h1_63</t>
  </si>
  <si>
    <t>h1_64</t>
  </si>
  <si>
    <t>h1_523</t>
  </si>
  <si>
    <t>h1_524</t>
  </si>
  <si>
    <t>h1_525</t>
  </si>
  <si>
    <t>h1_526</t>
  </si>
  <si>
    <t>h1_527</t>
  </si>
  <si>
    <t>h1_528</t>
  </si>
  <si>
    <t>h1_529</t>
  </si>
  <si>
    <t>h1_530</t>
  </si>
  <si>
    <t>h1_531</t>
  </si>
  <si>
    <t>h1_701</t>
  </si>
  <si>
    <t>h1_702</t>
  </si>
  <si>
    <t>h1_65</t>
  </si>
  <si>
    <t>h1_66</t>
  </si>
  <si>
    <t>h1_67</t>
  </si>
  <si>
    <t>h1_68</t>
  </si>
  <si>
    <t>h1_69</t>
  </si>
  <si>
    <t>h1_532</t>
  </si>
  <si>
    <t>h1_533</t>
  </si>
  <si>
    <t>h1_534</t>
  </si>
  <si>
    <t>h1_535</t>
  </si>
  <si>
    <t>h1_536</t>
  </si>
  <si>
    <t>h1_537</t>
  </si>
  <si>
    <t>h1_703</t>
  </si>
  <si>
    <t>h1_704</t>
  </si>
  <si>
    <t>h1_705</t>
  </si>
  <si>
    <t>h1_70</t>
  </si>
  <si>
    <t>h1_71</t>
  </si>
  <si>
    <t>h1_72</t>
  </si>
  <si>
    <t>h1_73</t>
  </si>
  <si>
    <t>h1_74</t>
  </si>
  <si>
    <t>h1_538</t>
  </si>
  <si>
    <t>h1_539</t>
  </si>
  <si>
    <t>h1_540</t>
  </si>
  <si>
    <t>h1_541</t>
  </si>
  <si>
    <t>h1_542</t>
  </si>
  <si>
    <t>h1_543</t>
  </si>
  <si>
    <t>h1_544</t>
  </si>
  <si>
    <t>h1_545</t>
  </si>
  <si>
    <t>h1_706</t>
  </si>
  <si>
    <t>h1_707</t>
  </si>
  <si>
    <t>h1_75</t>
  </si>
  <si>
    <t>h1_76</t>
  </si>
  <si>
    <t>h1_77</t>
  </si>
  <si>
    <t>h1_546</t>
  </si>
  <si>
    <t>h1_547</t>
  </si>
  <si>
    <t>h1_548</t>
  </si>
  <si>
    <t>h1_549</t>
  </si>
  <si>
    <t>h1_550</t>
  </si>
  <si>
    <t>h1_551</t>
  </si>
  <si>
    <t>h1_552</t>
  </si>
  <si>
    <t>h1_553</t>
  </si>
  <si>
    <t>h1_554</t>
  </si>
  <si>
    <t>h1_555</t>
  </si>
  <si>
    <t>h1_556</t>
  </si>
  <si>
    <t>h1_557</t>
  </si>
  <si>
    <t>h1_558</t>
  </si>
  <si>
    <t>h1_708</t>
  </si>
  <si>
    <t>h1_709</t>
  </si>
  <si>
    <t>h1_78</t>
  </si>
  <si>
    <t>h1_79</t>
  </si>
  <si>
    <t>h1_80</t>
  </si>
  <si>
    <t>h1_81</t>
  </si>
  <si>
    <t>h1_82</t>
  </si>
  <si>
    <t>h1_559</t>
  </si>
  <si>
    <t>h1_560</t>
  </si>
  <si>
    <t>h1_561</t>
  </si>
  <si>
    <t>h1_562</t>
  </si>
  <si>
    <t>h1_563</t>
  </si>
  <si>
    <t>h1_564</t>
  </si>
  <si>
    <t>h1_565</t>
  </si>
  <si>
    <t>h1_566</t>
  </si>
  <si>
    <t>h1_567</t>
  </si>
  <si>
    <t>h1_568</t>
  </si>
  <si>
    <t>h1_569</t>
  </si>
  <si>
    <t>h1_570</t>
  </si>
  <si>
    <t>h1_571</t>
  </si>
  <si>
    <t>h1_572</t>
  </si>
  <si>
    <t>h1_573</t>
  </si>
  <si>
    <t>h1_574</t>
  </si>
  <si>
    <t>h1_575</t>
  </si>
  <si>
    <t>h1_576</t>
  </si>
  <si>
    <t>h1_577</t>
  </si>
  <si>
    <t>h1_578</t>
  </si>
  <si>
    <t>h1_579</t>
  </si>
  <si>
    <t>h1_710</t>
  </si>
  <si>
    <t>h1_711</t>
  </si>
  <si>
    <t>h1_712</t>
  </si>
  <si>
    <t>h1_713</t>
  </si>
  <si>
    <t>h1_714</t>
  </si>
  <si>
    <t>h1_715</t>
  </si>
  <si>
    <t>h1_83</t>
  </si>
  <si>
    <t>h1_84</t>
  </si>
  <si>
    <t>h1_85</t>
  </si>
  <si>
    <t>h1_86</t>
  </si>
  <si>
    <t>h1_87</t>
  </si>
  <si>
    <t>h1_88</t>
  </si>
  <si>
    <t>h1_89</t>
  </si>
  <si>
    <t>h1_580</t>
  </si>
  <si>
    <t>h1_581</t>
  </si>
  <si>
    <t>h1_582</t>
  </si>
  <si>
    <t>h1_583</t>
  </si>
  <si>
    <t>h1_584</t>
  </si>
  <si>
    <t>h1_585</t>
  </si>
  <si>
    <t>h1_586</t>
  </si>
  <si>
    <t>h1_587</t>
  </si>
  <si>
    <t>h1_588</t>
  </si>
  <si>
    <t>h1_589</t>
  </si>
  <si>
    <t>h1_590</t>
  </si>
  <si>
    <t>h1_591</t>
  </si>
  <si>
    <t>h1_592</t>
  </si>
  <si>
    <t>h1_593</t>
  </si>
  <si>
    <t>h1_594</t>
  </si>
  <si>
    <t>h1_716</t>
  </si>
  <si>
    <t>h1_717</t>
  </si>
  <si>
    <t>h1_718</t>
  </si>
  <si>
    <t>h1_90</t>
  </si>
  <si>
    <t>h1_91</t>
  </si>
  <si>
    <t>h1_92</t>
  </si>
  <si>
    <t>h1_93</t>
  </si>
  <si>
    <t>h1_94</t>
  </si>
  <si>
    <t>h1_95</t>
  </si>
  <si>
    <t>h1_96</t>
  </si>
  <si>
    <t>h1_595</t>
  </si>
  <si>
    <t>h1_596</t>
  </si>
  <si>
    <t>h1_597</t>
  </si>
  <si>
    <t>h1_598</t>
  </si>
  <si>
    <t>h1_599</t>
  </si>
  <si>
    <t>h1_600</t>
  </si>
  <si>
    <t>h1_601</t>
  </si>
  <si>
    <t>h1_602</t>
  </si>
  <si>
    <t>h1_603</t>
  </si>
  <si>
    <t>h1_604</t>
  </si>
  <si>
    <t>h1_605</t>
  </si>
  <si>
    <t>h1_606</t>
  </si>
  <si>
    <t>h1_719</t>
  </si>
  <si>
    <t>h1_720</t>
  </si>
  <si>
    <t>h1_721</t>
  </si>
  <si>
    <t>h1_607</t>
  </si>
  <si>
    <t>h1_608</t>
  </si>
  <si>
    <t>h1_609</t>
  </si>
  <si>
    <t>h1_610</t>
  </si>
  <si>
    <t>h1_611</t>
  </si>
  <si>
    <t>h1_612</t>
  </si>
  <si>
    <t>h1_613</t>
  </si>
  <si>
    <t>h1_97</t>
  </si>
  <si>
    <t>h1_98</t>
  </si>
  <si>
    <t>h1_99</t>
  </si>
  <si>
    <t>h1_100</t>
  </si>
  <si>
    <t>h1_101</t>
  </si>
  <si>
    <t>h1_614</t>
  </si>
  <si>
    <t>h1_615</t>
  </si>
  <si>
    <t>h1_616</t>
  </si>
  <si>
    <t>h1_617</t>
  </si>
  <si>
    <t>h1_618</t>
  </si>
  <si>
    <t>h1_619</t>
  </si>
  <si>
    <t>h1_722</t>
  </si>
  <si>
    <t>h1_723</t>
  </si>
  <si>
    <t>h1_724</t>
  </si>
  <si>
    <t>h1_725</t>
  </si>
  <si>
    <t>h1_726</t>
  </si>
  <si>
    <t>h1_727</t>
  </si>
  <si>
    <t>h1_620</t>
  </si>
  <si>
    <t>h1_621</t>
  </si>
  <si>
    <t>h1_622</t>
  </si>
  <si>
    <t>h1_623</t>
  </si>
  <si>
    <t>h1_624</t>
  </si>
  <si>
    <t>h1_625</t>
  </si>
  <si>
    <t>h1_626</t>
  </si>
  <si>
    <t>h1_102</t>
  </si>
  <si>
    <t>h1_103</t>
  </si>
  <si>
    <t>h1_104</t>
  </si>
  <si>
    <t>h1_627</t>
  </si>
  <si>
    <t>h1_628</t>
  </si>
  <si>
    <t>h1_629</t>
  </si>
  <si>
    <t>h1_630</t>
  </si>
  <si>
    <t>h1_728</t>
  </si>
  <si>
    <t>h1_729</t>
  </si>
  <si>
    <t>h1_730</t>
  </si>
  <si>
    <t>h1_731</t>
  </si>
  <si>
    <t>h1_732</t>
  </si>
  <si>
    <t>h1_733</t>
  </si>
  <si>
    <t>h1_734</t>
  </si>
  <si>
    <t>h1_735</t>
  </si>
  <si>
    <t>h1_736</t>
  </si>
  <si>
    <t>.</t>
  </si>
  <si>
    <t>落后单日补偿</t>
  </si>
  <si>
    <t>官邸等级</t>
  </si>
  <si>
    <t>补偿比例</t>
  </si>
  <si>
    <t>item036</t>
  </si>
  <si>
    <t>&gt;18</t>
  </si>
  <si>
    <t>&gt;12</t>
  </si>
  <si>
    <t>&gt;6</t>
  </si>
  <si>
    <t>合服后，同时满足以下条件的账号将被清空：</t>
  </si>
  <si>
    <t>&gt;1</t>
  </si>
  <si>
    <t>7天未登录</t>
  </si>
  <si>
    <t>玩家等级&lt;10</t>
  </si>
  <si>
    <t>未进行过充值或虚拟充值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</si>
</sst>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43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theme="0"/>
      <name val="宋体"/>
      <charset val="134"/>
    </font>
    <font>
      <sz val="11"/>
      <color theme="0"/>
      <name val="Arial"/>
      <charset val="134"/>
    </font>
    <font>
      <b/>
      <sz val="11"/>
      <color theme="1"/>
      <name val="宋体"/>
      <charset val="134"/>
    </font>
    <font>
      <sz val="11"/>
      <color theme="1"/>
      <name val="宋体"/>
      <charset val="134"/>
    </font>
    <font>
      <sz val="11"/>
      <color theme="1" tint="0.499984740745262"/>
      <name val="宋体"/>
      <charset val="134"/>
    </font>
    <font>
      <sz val="11"/>
      <color rgb="FF000000"/>
      <name val="宋体"/>
      <charset val="134"/>
    </font>
    <font>
      <b/>
      <sz val="11"/>
      <color rgb="FF000000"/>
      <name val="宋体"/>
      <charset val="134"/>
    </font>
    <font>
      <b/>
      <sz val="11"/>
      <color theme="0"/>
      <name val="宋体"/>
      <charset val="134"/>
      <scheme val="minor"/>
    </font>
    <font>
      <b/>
      <sz val="11"/>
      <color theme="0"/>
      <name val="Arial"/>
      <charset val="134"/>
    </font>
    <font>
      <b/>
      <sz val="11"/>
      <color theme="0"/>
      <name val="宋体"/>
      <charset val="134"/>
    </font>
    <font>
      <sz val="11"/>
      <color rgb="FF000000"/>
      <name val="Arial"/>
      <charset val="134"/>
    </font>
    <font>
      <b/>
      <sz val="11"/>
      <color rgb="FF000000"/>
      <name val="Arial"/>
      <charset val="134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0.5"/>
      <color rgb="FF000000"/>
      <name val="Arial"/>
      <charset val="134"/>
    </font>
    <font>
      <sz val="10.5"/>
      <color rgb="FFFF0000"/>
      <name val="Arial"/>
      <charset val="134"/>
    </font>
    <font>
      <sz val="10.5"/>
      <color theme="1"/>
      <name val="Arial"/>
      <charset val="134"/>
    </font>
    <font>
      <sz val="11"/>
      <color rgb="FFFF0000"/>
      <name val="宋体"/>
      <charset val="134"/>
    </font>
    <font>
      <sz val="11"/>
      <color theme="1"/>
      <name val="Arial"/>
      <charset val="134"/>
    </font>
    <font>
      <sz val="11"/>
      <color rgb="FFFF0000"/>
      <name val="Arial"/>
      <charset val="134"/>
    </font>
    <font>
      <sz val="11"/>
      <name val="Arial"/>
      <charset val="134"/>
    </font>
    <font>
      <b/>
      <sz val="11"/>
      <name val="Arial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799920651875362"/>
        <bgColor indexed="64"/>
      </patternFill>
    </fill>
    <fill>
      <patternFill patternType="solid">
        <fgColor theme="4" tint="0.799920651875362"/>
        <bgColor indexed="64"/>
      </patternFill>
    </fill>
    <fill>
      <patternFill patternType="solid">
        <fgColor rgb="FFFF0000"/>
        <bgColor theme="4"/>
      </patternFill>
    </fill>
    <fill>
      <patternFill patternType="solid">
        <fgColor theme="3" tint="0.79992065187536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3" tint="0.799951170384838"/>
        <bgColor indexed="64"/>
      </patternFill>
    </fill>
    <fill>
      <patternFill patternType="solid">
        <fgColor theme="6" tint="0.399945066682943"/>
        <bgColor indexed="64"/>
      </patternFill>
    </fill>
    <fill>
      <patternFill patternType="solid">
        <fgColor theme="7" tint="0.399914548173467"/>
        <bgColor indexed="64"/>
      </patternFill>
    </fill>
    <fill>
      <patternFill patternType="solid">
        <fgColor theme="6" tint="0.399914548173467"/>
        <bgColor indexed="64"/>
      </patternFill>
    </fill>
    <fill>
      <patternFill patternType="solid">
        <fgColor theme="9" tint="0.399914548173467"/>
        <bgColor indexed="64"/>
      </patternFill>
    </fill>
    <fill>
      <patternFill patternType="solid">
        <fgColor theme="8" tint="0.399914548173467"/>
        <bgColor indexed="64"/>
      </patternFill>
    </fill>
    <fill>
      <patternFill patternType="solid">
        <fgColor theme="8" tint="0.79992065187536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2065187536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</fills>
  <borders count="26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36" fillId="46" borderId="2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9" fillId="45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38" borderId="20" applyNumberFormat="0" applyFont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1" fillId="0" borderId="19" applyNumberFormat="0" applyFill="0" applyAlignment="0" applyProtection="0">
      <alignment vertical="center"/>
    </xf>
    <xf numFmtId="0" fontId="39" fillId="0" borderId="19" applyNumberFormat="0" applyFill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6" fillId="0" borderId="22" applyNumberFormat="0" applyFill="0" applyAlignment="0" applyProtection="0">
      <alignment vertical="center"/>
    </xf>
    <xf numFmtId="0" fontId="29" fillId="43" borderId="0" applyNumberFormat="0" applyBorder="0" applyAlignment="0" applyProtection="0">
      <alignment vertical="center"/>
    </xf>
    <xf numFmtId="0" fontId="30" fillId="37" borderId="18" applyNumberFormat="0" applyAlignment="0" applyProtection="0">
      <alignment vertical="center"/>
    </xf>
    <xf numFmtId="0" fontId="42" fillId="37" borderId="23" applyNumberFormat="0" applyAlignment="0" applyProtection="0">
      <alignment vertical="center"/>
    </xf>
    <xf numFmtId="0" fontId="38" fillId="48" borderId="24" applyNumberFormat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41" fillId="0" borderId="25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37" fillId="47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4" fillId="51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</cellStyleXfs>
  <cellXfs count="768">
    <xf numFmtId="0" fontId="0" fillId="0" borderId="0" xfId="0"/>
    <xf numFmtId="0" fontId="1" fillId="0" borderId="0" xfId="0" applyFont="1"/>
    <xf numFmtId="0" fontId="0" fillId="0" borderId="0" xfId="0" applyFill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4" fillId="0" borderId="4" xfId="0" applyFont="1" applyFill="1" applyBorder="1" applyAlignment="1">
      <alignment horizontal="right" vertical="center"/>
    </xf>
    <xf numFmtId="0" fontId="5" fillId="0" borderId="5" xfId="0" applyFont="1" applyFill="1" applyBorder="1" applyAlignment="1">
      <alignment horizontal="right" vertical="center"/>
    </xf>
    <xf numFmtId="0" fontId="6" fillId="0" borderId="3" xfId="0" applyFont="1" applyFill="1" applyBorder="1" applyAlignment="1">
      <alignment horizontal="right" vertical="center" wrapText="1"/>
    </xf>
    <xf numFmtId="0" fontId="7" fillId="0" borderId="3" xfId="0" applyFont="1" applyFill="1" applyBorder="1" applyAlignment="1">
      <alignment horizontal="right" vertical="center" wrapText="1"/>
    </xf>
    <xf numFmtId="0" fontId="6" fillId="0" borderId="6" xfId="0" applyFont="1" applyFill="1" applyBorder="1" applyAlignment="1">
      <alignment horizontal="right" vertical="center" wrapText="1"/>
    </xf>
    <xf numFmtId="0" fontId="4" fillId="0" borderId="7" xfId="0" applyFont="1" applyFill="1" applyBorder="1" applyAlignment="1">
      <alignment horizontal="right" vertical="center"/>
    </xf>
    <xf numFmtId="0" fontId="7" fillId="0" borderId="6" xfId="0" applyFont="1" applyFill="1" applyBorder="1" applyAlignment="1">
      <alignment horizontal="right" vertical="center" wrapText="1"/>
    </xf>
    <xf numFmtId="0" fontId="7" fillId="0" borderId="6" xfId="0" applyNumberFormat="1" applyFont="1" applyFill="1" applyBorder="1" applyAlignment="1">
      <alignment horizontal="right" vertical="center" wrapText="1"/>
    </xf>
    <xf numFmtId="0" fontId="4" fillId="4" borderId="4" xfId="0" applyFont="1" applyFill="1" applyBorder="1" applyAlignment="1">
      <alignment horizontal="right" vertical="center"/>
    </xf>
    <xf numFmtId="0" fontId="5" fillId="4" borderId="5" xfId="0" applyFont="1" applyFill="1" applyBorder="1" applyAlignment="1">
      <alignment horizontal="right" vertical="center"/>
    </xf>
    <xf numFmtId="0" fontId="6" fillId="4" borderId="6" xfId="0" applyFont="1" applyFill="1" applyBorder="1" applyAlignment="1">
      <alignment horizontal="right" vertical="center" wrapText="1"/>
    </xf>
    <xf numFmtId="0" fontId="7" fillId="4" borderId="6" xfId="0" applyFont="1" applyFill="1" applyBorder="1" applyAlignment="1">
      <alignment horizontal="right" vertical="center" wrapText="1"/>
    </xf>
    <xf numFmtId="0" fontId="5" fillId="4" borderId="6" xfId="0" applyFont="1" applyFill="1" applyBorder="1" applyAlignment="1">
      <alignment horizontal="right" vertical="center"/>
    </xf>
    <xf numFmtId="0" fontId="3" fillId="0" borderId="3" xfId="0" applyFont="1" applyBorder="1" applyAlignment="1">
      <alignment horizontal="center" vertical="center" wrapText="1"/>
    </xf>
    <xf numFmtId="0" fontId="8" fillId="0" borderId="6" xfId="0" applyFont="1" applyFill="1" applyBorder="1" applyAlignment="1">
      <alignment horizontal="right" vertical="center" wrapText="1"/>
    </xf>
    <xf numFmtId="0" fontId="6" fillId="0" borderId="6" xfId="0" applyNumberFormat="1" applyFont="1" applyFill="1" applyBorder="1" applyAlignment="1">
      <alignment horizontal="right" vertical="center" wrapText="1"/>
    </xf>
    <xf numFmtId="0" fontId="7" fillId="0" borderId="5" xfId="0" applyFont="1" applyFill="1" applyBorder="1" applyAlignment="1">
      <alignment horizontal="right" vertical="center" wrapText="1"/>
    </xf>
    <xf numFmtId="0" fontId="8" fillId="4" borderId="6" xfId="0" applyFont="1" applyFill="1" applyBorder="1" applyAlignment="1">
      <alignment horizontal="right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left" vertical="center" wrapText="1"/>
    </xf>
    <xf numFmtId="0" fontId="7" fillId="0" borderId="6" xfId="0" applyNumberFormat="1" applyFont="1" applyFill="1" applyBorder="1" applyAlignment="1">
      <alignment horizontal="left" vertical="center" wrapText="1"/>
    </xf>
    <xf numFmtId="0" fontId="8" fillId="5" borderId="6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right" vertical="center" wrapText="1"/>
    </xf>
    <xf numFmtId="0" fontId="7" fillId="4" borderId="3" xfId="0" applyFont="1" applyFill="1" applyBorder="1" applyAlignment="1">
      <alignment horizontal="left" vertical="center" wrapText="1"/>
    </xf>
    <xf numFmtId="0" fontId="7" fillId="4" borderId="6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10" fillId="6" borderId="3" xfId="0" applyFont="1" applyFill="1" applyBorder="1" applyAlignment="1">
      <alignment horizontal="center" vertical="center" wrapText="1"/>
    </xf>
    <xf numFmtId="0" fontId="11" fillId="6" borderId="3" xfId="0" applyFont="1" applyFill="1" applyBorder="1" applyAlignment="1">
      <alignment horizontal="center" vertical="center" wrapText="1"/>
    </xf>
    <xf numFmtId="0" fontId="12" fillId="7" borderId="6" xfId="0" applyFont="1" applyFill="1" applyBorder="1" applyAlignment="1">
      <alignment horizontal="right" vertical="center" wrapText="1"/>
    </xf>
    <xf numFmtId="0" fontId="13" fillId="7" borderId="6" xfId="0" applyFont="1" applyFill="1" applyBorder="1" applyAlignment="1">
      <alignment horizontal="right" vertical="center" wrapText="1"/>
    </xf>
    <xf numFmtId="0" fontId="12" fillId="8" borderId="6" xfId="0" applyFont="1" applyFill="1" applyBorder="1" applyAlignment="1">
      <alignment horizontal="right" vertical="center" wrapText="1"/>
    </xf>
    <xf numFmtId="0" fontId="13" fillId="8" borderId="6" xfId="0" applyFont="1" applyFill="1" applyBorder="1" applyAlignment="1">
      <alignment horizontal="right" vertical="center" wrapText="1"/>
    </xf>
    <xf numFmtId="0" fontId="12" fillId="8" borderId="8" xfId="0" applyFont="1" applyFill="1" applyBorder="1" applyAlignment="1">
      <alignment horizontal="right" vertical="center" wrapText="1"/>
    </xf>
    <xf numFmtId="0" fontId="13" fillId="8" borderId="8" xfId="0" applyFont="1" applyFill="1" applyBorder="1" applyAlignment="1">
      <alignment horizontal="right" vertical="center" wrapText="1"/>
    </xf>
    <xf numFmtId="0" fontId="12" fillId="4" borderId="4" xfId="0" applyFont="1" applyFill="1" applyBorder="1" applyAlignment="1">
      <alignment horizontal="right" vertical="center" wrapText="1"/>
    </xf>
    <xf numFmtId="0" fontId="12" fillId="4" borderId="6" xfId="0" applyFont="1" applyFill="1" applyBorder="1" applyAlignment="1">
      <alignment horizontal="right" vertical="center" wrapText="1"/>
    </xf>
    <xf numFmtId="0" fontId="13" fillId="4" borderId="6" xfId="0" applyFont="1" applyFill="1" applyBorder="1" applyAlignment="1">
      <alignment horizontal="right" vertical="center" wrapText="1"/>
    </xf>
    <xf numFmtId="0" fontId="12" fillId="4" borderId="8" xfId="0" applyFont="1" applyFill="1" applyBorder="1" applyAlignment="1">
      <alignment horizontal="right" vertical="center" wrapText="1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horizontal="right" vertical="center" wrapText="1"/>
    </xf>
    <xf numFmtId="0" fontId="14" fillId="0" borderId="6" xfId="0" applyFont="1" applyBorder="1" applyAlignment="1">
      <alignment horizontal="right" vertical="center"/>
    </xf>
    <xf numFmtId="0" fontId="0" fillId="0" borderId="6" xfId="0" applyBorder="1"/>
    <xf numFmtId="0" fontId="0" fillId="0" borderId="6" xfId="0" applyBorder="1" applyAlignment="1">
      <alignment horizontal="center"/>
    </xf>
    <xf numFmtId="9" fontId="0" fillId="0" borderId="6" xfId="0" applyNumberFormat="1" applyBorder="1"/>
    <xf numFmtId="0" fontId="14" fillId="0" borderId="0" xfId="0" applyFont="1" applyAlignment="1">
      <alignment horizontal="left" vertical="center"/>
    </xf>
    <xf numFmtId="0" fontId="4" fillId="9" borderId="4" xfId="0" applyFont="1" applyFill="1" applyBorder="1" applyAlignment="1">
      <alignment horizontal="right" vertical="center"/>
    </xf>
    <xf numFmtId="0" fontId="5" fillId="9" borderId="5" xfId="0" applyFont="1" applyFill="1" applyBorder="1" applyAlignment="1">
      <alignment horizontal="right" vertical="center"/>
    </xf>
    <xf numFmtId="0" fontId="6" fillId="9" borderId="3" xfId="0" applyFont="1" applyFill="1" applyBorder="1" applyAlignment="1">
      <alignment horizontal="right" vertical="center" wrapText="1"/>
    </xf>
    <xf numFmtId="0" fontId="7" fillId="9" borderId="3" xfId="0" applyFont="1" applyFill="1" applyBorder="1" applyAlignment="1">
      <alignment horizontal="right" vertical="center" wrapText="1"/>
    </xf>
    <xf numFmtId="0" fontId="6" fillId="9" borderId="6" xfId="0" applyFont="1" applyFill="1" applyBorder="1" applyAlignment="1">
      <alignment horizontal="right" vertical="center" wrapText="1"/>
    </xf>
    <xf numFmtId="0" fontId="7" fillId="9" borderId="6" xfId="0" applyFont="1" applyFill="1" applyBorder="1" applyAlignment="1">
      <alignment horizontal="right" vertical="center" wrapText="1"/>
    </xf>
    <xf numFmtId="0" fontId="4" fillId="9" borderId="7" xfId="0" applyFont="1" applyFill="1" applyBorder="1" applyAlignment="1">
      <alignment horizontal="right" vertical="center"/>
    </xf>
    <xf numFmtId="0" fontId="7" fillId="9" borderId="6" xfId="0" applyNumberFormat="1" applyFont="1" applyFill="1" applyBorder="1" applyAlignment="1">
      <alignment horizontal="right" vertical="center" wrapText="1"/>
    </xf>
    <xf numFmtId="0" fontId="4" fillId="10" borderId="7" xfId="0" applyFont="1" applyFill="1" applyBorder="1" applyAlignment="1">
      <alignment horizontal="right" vertical="center"/>
    </xf>
    <xf numFmtId="0" fontId="4" fillId="10" borderId="4" xfId="0" applyFont="1" applyFill="1" applyBorder="1" applyAlignment="1">
      <alignment horizontal="right" vertical="center"/>
    </xf>
    <xf numFmtId="0" fontId="5" fillId="10" borderId="5" xfId="0" applyFont="1" applyFill="1" applyBorder="1" applyAlignment="1">
      <alignment horizontal="right" vertical="center"/>
    </xf>
    <xf numFmtId="0" fontId="6" fillId="10" borderId="6" xfId="0" applyFont="1" applyFill="1" applyBorder="1" applyAlignment="1">
      <alignment horizontal="right" vertical="center" wrapText="1"/>
    </xf>
    <xf numFmtId="0" fontId="7" fillId="8" borderId="3" xfId="0" applyFont="1" applyFill="1" applyBorder="1" applyAlignment="1">
      <alignment horizontal="right" vertical="center" wrapText="1"/>
    </xf>
    <xf numFmtId="0" fontId="7" fillId="10" borderId="6" xfId="0" applyFont="1" applyFill="1" applyBorder="1" applyAlignment="1">
      <alignment horizontal="right" vertical="center" wrapText="1"/>
    </xf>
    <xf numFmtId="0" fontId="7" fillId="10" borderId="6" xfId="0" applyNumberFormat="1" applyFont="1" applyFill="1" applyBorder="1" applyAlignment="1">
      <alignment horizontal="right" vertical="center" wrapText="1"/>
    </xf>
    <xf numFmtId="0" fontId="4" fillId="11" borderId="4" xfId="0" applyFont="1" applyFill="1" applyBorder="1" applyAlignment="1">
      <alignment horizontal="right" vertical="center"/>
    </xf>
    <xf numFmtId="0" fontId="5" fillId="11" borderId="5" xfId="0" applyFont="1" applyFill="1" applyBorder="1" applyAlignment="1">
      <alignment horizontal="right" vertical="center"/>
    </xf>
    <xf numFmtId="0" fontId="6" fillId="11" borderId="6" xfId="0" applyFont="1" applyFill="1" applyBorder="1" applyAlignment="1">
      <alignment horizontal="right" vertical="center" wrapText="1"/>
    </xf>
    <xf numFmtId="0" fontId="7" fillId="11" borderId="3" xfId="0" applyFont="1" applyFill="1" applyBorder="1" applyAlignment="1">
      <alignment horizontal="right" vertical="center" wrapText="1"/>
    </xf>
    <xf numFmtId="0" fontId="7" fillId="11" borderId="6" xfId="0" applyFont="1" applyFill="1" applyBorder="1" applyAlignment="1">
      <alignment horizontal="right" vertical="center" wrapText="1"/>
    </xf>
    <xf numFmtId="0" fontId="4" fillId="12" borderId="4" xfId="0" applyFont="1" applyFill="1" applyBorder="1" applyAlignment="1">
      <alignment horizontal="right" vertical="center"/>
    </xf>
    <xf numFmtId="0" fontId="5" fillId="12" borderId="5" xfId="0" applyFont="1" applyFill="1" applyBorder="1" applyAlignment="1">
      <alignment horizontal="right" vertical="center"/>
    </xf>
    <xf numFmtId="0" fontId="6" fillId="12" borderId="6" xfId="0" applyFont="1" applyFill="1" applyBorder="1" applyAlignment="1">
      <alignment horizontal="right" vertical="center" wrapText="1"/>
    </xf>
    <xf numFmtId="0" fontId="7" fillId="12" borderId="3" xfId="0" applyFont="1" applyFill="1" applyBorder="1" applyAlignment="1">
      <alignment horizontal="right" vertical="center" wrapText="1"/>
    </xf>
    <xf numFmtId="0" fontId="7" fillId="12" borderId="6" xfId="0" applyFont="1" applyFill="1" applyBorder="1" applyAlignment="1">
      <alignment horizontal="right" vertical="center" wrapText="1"/>
    </xf>
    <xf numFmtId="0" fontId="4" fillId="13" borderId="4" xfId="0" applyFont="1" applyFill="1" applyBorder="1" applyAlignment="1">
      <alignment horizontal="right" vertical="center"/>
    </xf>
    <xf numFmtId="0" fontId="5" fillId="13" borderId="5" xfId="0" applyFont="1" applyFill="1" applyBorder="1" applyAlignment="1">
      <alignment horizontal="right" vertical="center"/>
    </xf>
    <xf numFmtId="0" fontId="6" fillId="13" borderId="6" xfId="0" applyFont="1" applyFill="1" applyBorder="1" applyAlignment="1">
      <alignment horizontal="right" vertical="center" wrapText="1"/>
    </xf>
    <xf numFmtId="0" fontId="7" fillId="13" borderId="3" xfId="0" applyFont="1" applyFill="1" applyBorder="1" applyAlignment="1">
      <alignment horizontal="right" vertical="center" wrapText="1"/>
    </xf>
    <xf numFmtId="0" fontId="7" fillId="13" borderId="6" xfId="0" applyFont="1" applyFill="1" applyBorder="1" applyAlignment="1">
      <alignment horizontal="right" vertical="center" wrapText="1"/>
    </xf>
    <xf numFmtId="0" fontId="4" fillId="14" borderId="4" xfId="0" applyFont="1" applyFill="1" applyBorder="1" applyAlignment="1">
      <alignment horizontal="right" vertical="center"/>
    </xf>
    <xf numFmtId="0" fontId="5" fillId="14" borderId="5" xfId="0" applyFont="1" applyFill="1" applyBorder="1" applyAlignment="1">
      <alignment horizontal="right" vertical="center"/>
    </xf>
    <xf numFmtId="0" fontId="6" fillId="14" borderId="6" xfId="0" applyFont="1" applyFill="1" applyBorder="1" applyAlignment="1">
      <alignment horizontal="right" vertical="center" wrapText="1"/>
    </xf>
    <xf numFmtId="0" fontId="7" fillId="14" borderId="3" xfId="0" applyFont="1" applyFill="1" applyBorder="1" applyAlignment="1">
      <alignment horizontal="right" vertical="center" wrapText="1"/>
    </xf>
    <xf numFmtId="0" fontId="7" fillId="14" borderId="6" xfId="0" applyFont="1" applyFill="1" applyBorder="1" applyAlignment="1">
      <alignment horizontal="right" vertical="center" wrapText="1"/>
    </xf>
    <xf numFmtId="0" fontId="4" fillId="15" borderId="4" xfId="0" applyFont="1" applyFill="1" applyBorder="1" applyAlignment="1">
      <alignment horizontal="right" vertical="center"/>
    </xf>
    <xf numFmtId="0" fontId="5" fillId="15" borderId="5" xfId="0" applyFont="1" applyFill="1" applyBorder="1" applyAlignment="1">
      <alignment horizontal="right" vertical="center"/>
    </xf>
    <xf numFmtId="0" fontId="6" fillId="15" borderId="6" xfId="0" applyFont="1" applyFill="1" applyBorder="1" applyAlignment="1">
      <alignment horizontal="right" vertical="center" wrapText="1"/>
    </xf>
    <xf numFmtId="0" fontId="7" fillId="15" borderId="3" xfId="0" applyFont="1" applyFill="1" applyBorder="1" applyAlignment="1">
      <alignment horizontal="right" vertical="center" wrapText="1"/>
    </xf>
    <xf numFmtId="0" fontId="7" fillId="15" borderId="6" xfId="0" applyFont="1" applyFill="1" applyBorder="1" applyAlignment="1">
      <alignment horizontal="right" vertical="center" wrapText="1"/>
    </xf>
    <xf numFmtId="0" fontId="4" fillId="16" borderId="4" xfId="0" applyFont="1" applyFill="1" applyBorder="1" applyAlignment="1">
      <alignment horizontal="right" vertical="center"/>
    </xf>
    <xf numFmtId="0" fontId="5" fillId="16" borderId="5" xfId="0" applyFont="1" applyFill="1" applyBorder="1" applyAlignment="1">
      <alignment horizontal="right" vertical="center"/>
    </xf>
    <xf numFmtId="0" fontId="6" fillId="16" borderId="6" xfId="0" applyFont="1" applyFill="1" applyBorder="1" applyAlignment="1">
      <alignment horizontal="right" vertical="center" wrapText="1"/>
    </xf>
    <xf numFmtId="0" fontId="7" fillId="16" borderId="6" xfId="0" applyFont="1" applyFill="1" applyBorder="1" applyAlignment="1">
      <alignment horizontal="right" vertical="center" wrapText="1"/>
    </xf>
    <xf numFmtId="0" fontId="0" fillId="9" borderId="6" xfId="0" applyFill="1" applyBorder="1" applyAlignment="1">
      <alignment horizontal="right" vertical="center" wrapText="1"/>
    </xf>
    <xf numFmtId="0" fontId="6" fillId="9" borderId="6" xfId="0" applyNumberFormat="1" applyFont="1" applyFill="1" applyBorder="1" applyAlignment="1">
      <alignment horizontal="right" vertical="center" wrapText="1"/>
    </xf>
    <xf numFmtId="0" fontId="6" fillId="10" borderId="6" xfId="0" applyNumberFormat="1" applyFont="1" applyFill="1" applyBorder="1" applyAlignment="1">
      <alignment horizontal="right" vertical="center" wrapText="1"/>
    </xf>
    <xf numFmtId="0" fontId="0" fillId="10" borderId="6" xfId="0" applyFill="1" applyBorder="1" applyAlignment="1">
      <alignment horizontal="right" vertical="center" wrapText="1"/>
    </xf>
    <xf numFmtId="0" fontId="0" fillId="11" borderId="6" xfId="0" applyFill="1" applyBorder="1" applyAlignment="1">
      <alignment horizontal="right" vertical="center" wrapText="1"/>
    </xf>
    <xf numFmtId="0" fontId="0" fillId="11" borderId="6" xfId="0" applyFill="1" applyBorder="1" applyAlignment="1">
      <alignment horizontal="right"/>
    </xf>
    <xf numFmtId="0" fontId="0" fillId="12" borderId="6" xfId="0" applyFill="1" applyBorder="1" applyAlignment="1">
      <alignment horizontal="right"/>
    </xf>
    <xf numFmtId="0" fontId="0" fillId="13" borderId="6" xfId="0" applyFill="1" applyBorder="1" applyAlignment="1">
      <alignment horizontal="right"/>
    </xf>
    <xf numFmtId="0" fontId="0" fillId="14" borderId="6" xfId="0" applyFill="1" applyBorder="1" applyAlignment="1">
      <alignment horizontal="right"/>
    </xf>
    <xf numFmtId="0" fontId="0" fillId="15" borderId="6" xfId="0" applyFill="1" applyBorder="1" applyAlignment="1">
      <alignment horizontal="right"/>
    </xf>
    <xf numFmtId="0" fontId="0" fillId="16" borderId="6" xfId="0" applyFill="1" applyBorder="1" applyAlignment="1">
      <alignment horizontal="right"/>
    </xf>
    <xf numFmtId="0" fontId="8" fillId="9" borderId="6" xfId="0" applyFont="1" applyFill="1" applyBorder="1" applyAlignment="1">
      <alignment horizontal="center" vertical="center" wrapText="1"/>
    </xf>
    <xf numFmtId="0" fontId="7" fillId="9" borderId="3" xfId="0" applyFont="1" applyFill="1" applyBorder="1" applyAlignment="1">
      <alignment horizontal="left" vertical="center" wrapText="1"/>
    </xf>
    <xf numFmtId="0" fontId="15" fillId="9" borderId="6" xfId="0" applyFont="1" applyFill="1" applyBorder="1" applyAlignment="1">
      <alignment horizontal="right" vertical="center" wrapText="1"/>
    </xf>
    <xf numFmtId="0" fontId="15" fillId="9" borderId="6" xfId="0" applyFont="1" applyFill="1" applyBorder="1" applyAlignment="1">
      <alignment horizontal="right"/>
    </xf>
    <xf numFmtId="0" fontId="0" fillId="9" borderId="6" xfId="0" applyFill="1" applyBorder="1" applyAlignment="1">
      <alignment horizontal="right"/>
    </xf>
    <xf numFmtId="0" fontId="7" fillId="9" borderId="6" xfId="0" applyNumberFormat="1" applyFont="1" applyFill="1" applyBorder="1" applyAlignment="1">
      <alignment horizontal="left" vertical="center" wrapText="1"/>
    </xf>
    <xf numFmtId="0" fontId="8" fillId="10" borderId="6" xfId="0" applyFont="1" applyFill="1" applyBorder="1" applyAlignment="1">
      <alignment horizontal="center" vertical="center" wrapText="1"/>
    </xf>
    <xf numFmtId="0" fontId="15" fillId="10" borderId="6" xfId="0" applyFont="1" applyFill="1" applyBorder="1" applyAlignment="1">
      <alignment horizontal="right"/>
    </xf>
    <xf numFmtId="0" fontId="7" fillId="10" borderId="6" xfId="0" applyNumberFormat="1" applyFont="1" applyFill="1" applyBorder="1" applyAlignment="1">
      <alignment horizontal="left" vertical="center" wrapText="1"/>
    </xf>
    <xf numFmtId="0" fontId="0" fillId="10" borderId="6" xfId="0" applyFill="1" applyBorder="1" applyAlignment="1">
      <alignment horizontal="right"/>
    </xf>
    <xf numFmtId="0" fontId="7" fillId="10" borderId="3" xfId="0" applyFont="1" applyFill="1" applyBorder="1" applyAlignment="1">
      <alignment horizontal="left" vertical="center" wrapText="1"/>
    </xf>
    <xf numFmtId="0" fontId="8" fillId="11" borderId="6" xfId="0" applyFont="1" applyFill="1" applyBorder="1" applyAlignment="1">
      <alignment horizontal="center" vertical="center" wrapText="1"/>
    </xf>
    <xf numFmtId="0" fontId="7" fillId="11" borderId="3" xfId="0" applyFont="1" applyFill="1" applyBorder="1" applyAlignment="1">
      <alignment horizontal="left" vertical="center" wrapText="1"/>
    </xf>
    <xf numFmtId="0" fontId="15" fillId="11" borderId="6" xfId="0" applyFont="1" applyFill="1" applyBorder="1" applyAlignment="1">
      <alignment horizontal="right"/>
    </xf>
    <xf numFmtId="0" fontId="8" fillId="12" borderId="6" xfId="0" applyFont="1" applyFill="1" applyBorder="1" applyAlignment="1">
      <alignment horizontal="center" vertical="center" wrapText="1"/>
    </xf>
    <xf numFmtId="0" fontId="15" fillId="12" borderId="6" xfId="0" applyFont="1" applyFill="1" applyBorder="1" applyAlignment="1">
      <alignment horizontal="right"/>
    </xf>
    <xf numFmtId="0" fontId="7" fillId="12" borderId="3" xfId="0" applyFont="1" applyFill="1" applyBorder="1" applyAlignment="1">
      <alignment horizontal="left" vertical="center" wrapText="1"/>
    </xf>
    <xf numFmtId="0" fontId="8" fillId="13" borderId="6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left" vertical="center" wrapText="1"/>
    </xf>
    <xf numFmtId="0" fontId="15" fillId="13" borderId="6" xfId="0" applyFont="1" applyFill="1" applyBorder="1" applyAlignment="1">
      <alignment horizontal="right"/>
    </xf>
    <xf numFmtId="0" fontId="0" fillId="13" borderId="6" xfId="0" applyFont="1" applyFill="1" applyBorder="1" applyAlignment="1">
      <alignment horizontal="right"/>
    </xf>
    <xf numFmtId="0" fontId="8" fillId="14" borderId="6" xfId="0" applyFont="1" applyFill="1" applyBorder="1" applyAlignment="1">
      <alignment horizontal="center" vertical="center" wrapText="1"/>
    </xf>
    <xf numFmtId="0" fontId="15" fillId="14" borderId="6" xfId="0" applyFont="1" applyFill="1" applyBorder="1" applyAlignment="1">
      <alignment horizontal="right"/>
    </xf>
    <xf numFmtId="0" fontId="7" fillId="14" borderId="3" xfId="0" applyFont="1" applyFill="1" applyBorder="1" applyAlignment="1">
      <alignment horizontal="left" vertical="center" wrapText="1"/>
    </xf>
    <xf numFmtId="0" fontId="0" fillId="14" borderId="6" xfId="0" applyFont="1" applyFill="1" applyBorder="1" applyAlignment="1">
      <alignment horizontal="right"/>
    </xf>
    <xf numFmtId="0" fontId="7" fillId="14" borderId="6" xfId="0" applyFont="1" applyFill="1" applyBorder="1" applyAlignment="1">
      <alignment horizontal="left" vertical="center" wrapText="1"/>
    </xf>
    <xf numFmtId="0" fontId="8" fillId="15" borderId="6" xfId="0" applyFont="1" applyFill="1" applyBorder="1" applyAlignment="1">
      <alignment horizontal="center" vertical="center" wrapText="1"/>
    </xf>
    <xf numFmtId="0" fontId="7" fillId="15" borderId="6" xfId="0" applyFont="1" applyFill="1" applyBorder="1" applyAlignment="1">
      <alignment horizontal="left" vertical="center" wrapText="1"/>
    </xf>
    <xf numFmtId="0" fontId="15" fillId="15" borderId="6" xfId="0" applyFont="1" applyFill="1" applyBorder="1" applyAlignment="1">
      <alignment horizontal="right"/>
    </xf>
    <xf numFmtId="0" fontId="7" fillId="15" borderId="3" xfId="0" applyFont="1" applyFill="1" applyBorder="1" applyAlignment="1">
      <alignment horizontal="left" vertical="center" wrapText="1"/>
    </xf>
    <xf numFmtId="0" fontId="8" fillId="16" borderId="6" xfId="0" applyFont="1" applyFill="1" applyBorder="1" applyAlignment="1">
      <alignment horizontal="center" vertical="center" wrapText="1"/>
    </xf>
    <xf numFmtId="0" fontId="15" fillId="16" borderId="6" xfId="0" applyFont="1" applyFill="1" applyBorder="1" applyAlignment="1">
      <alignment horizontal="right"/>
    </xf>
    <xf numFmtId="0" fontId="7" fillId="16" borderId="6" xfId="0" applyFont="1" applyFill="1" applyBorder="1" applyAlignment="1">
      <alignment horizontal="left" vertical="center" wrapText="1"/>
    </xf>
    <xf numFmtId="0" fontId="7" fillId="16" borderId="3" xfId="0" applyFont="1" applyFill="1" applyBorder="1" applyAlignment="1">
      <alignment horizontal="left" vertical="center" wrapText="1"/>
    </xf>
    <xf numFmtId="0" fontId="7" fillId="9" borderId="6" xfId="0" applyFont="1" applyFill="1" applyBorder="1" applyAlignment="1">
      <alignment horizontal="left" vertical="center" wrapText="1"/>
    </xf>
    <xf numFmtId="0" fontId="7" fillId="10" borderId="6" xfId="0" applyFont="1" applyFill="1" applyBorder="1" applyAlignment="1">
      <alignment horizontal="left" vertical="center" wrapText="1"/>
    </xf>
    <xf numFmtId="0" fontId="7" fillId="11" borderId="6" xfId="0" applyFont="1" applyFill="1" applyBorder="1" applyAlignment="1">
      <alignment horizontal="left" vertical="center" wrapText="1"/>
    </xf>
    <xf numFmtId="0" fontId="7" fillId="12" borderId="6" xfId="0" applyFont="1" applyFill="1" applyBorder="1" applyAlignment="1">
      <alignment horizontal="left" vertical="center" wrapText="1"/>
    </xf>
    <xf numFmtId="0" fontId="7" fillId="13" borderId="6" xfId="0" applyFont="1" applyFill="1" applyBorder="1" applyAlignment="1">
      <alignment horizontal="left" vertical="center" wrapText="1"/>
    </xf>
    <xf numFmtId="0" fontId="4" fillId="17" borderId="4" xfId="0" applyFont="1" applyFill="1" applyBorder="1" applyAlignment="1">
      <alignment horizontal="right" vertical="center"/>
    </xf>
    <xf numFmtId="0" fontId="5" fillId="17" borderId="5" xfId="0" applyFont="1" applyFill="1" applyBorder="1" applyAlignment="1">
      <alignment horizontal="right" vertical="center"/>
    </xf>
    <xf numFmtId="0" fontId="6" fillId="17" borderId="6" xfId="0" applyFont="1" applyFill="1" applyBorder="1" applyAlignment="1">
      <alignment horizontal="right" vertical="center" wrapText="1"/>
    </xf>
    <xf numFmtId="0" fontId="7" fillId="17" borderId="3" xfId="0" applyFont="1" applyFill="1" applyBorder="1" applyAlignment="1">
      <alignment horizontal="right" vertical="center" wrapText="1"/>
    </xf>
    <xf numFmtId="0" fontId="7" fillId="17" borderId="6" xfId="0" applyFont="1" applyFill="1" applyBorder="1" applyAlignment="1">
      <alignment horizontal="right" vertical="center" wrapText="1"/>
    </xf>
    <xf numFmtId="0" fontId="12" fillId="9" borderId="6" xfId="0" applyFont="1" applyFill="1" applyBorder="1" applyAlignment="1">
      <alignment horizontal="right" vertical="center" wrapText="1"/>
    </xf>
    <xf numFmtId="0" fontId="13" fillId="9" borderId="6" xfId="0" applyFont="1" applyFill="1" applyBorder="1" applyAlignment="1">
      <alignment horizontal="right" vertical="center" wrapText="1"/>
    </xf>
    <xf numFmtId="0" fontId="12" fillId="10" borderId="6" xfId="0" applyFont="1" applyFill="1" applyBorder="1" applyAlignment="1">
      <alignment horizontal="right" vertical="center" wrapText="1"/>
    </xf>
    <xf numFmtId="0" fontId="13" fillId="10" borderId="6" xfId="0" applyFont="1" applyFill="1" applyBorder="1" applyAlignment="1">
      <alignment horizontal="right" vertical="center" wrapText="1"/>
    </xf>
    <xf numFmtId="0" fontId="12" fillId="10" borderId="8" xfId="0" applyFont="1" applyFill="1" applyBorder="1" applyAlignment="1">
      <alignment horizontal="right" vertical="center" wrapText="1"/>
    </xf>
    <xf numFmtId="0" fontId="13" fillId="10" borderId="8" xfId="0" applyFont="1" applyFill="1" applyBorder="1" applyAlignment="1">
      <alignment horizontal="right" vertical="center" wrapText="1"/>
    </xf>
    <xf numFmtId="0" fontId="12" fillId="11" borderId="6" xfId="0" applyFont="1" applyFill="1" applyBorder="1" applyAlignment="1">
      <alignment horizontal="right" vertical="center" wrapText="1"/>
    </xf>
    <xf numFmtId="0" fontId="13" fillId="11" borderId="6" xfId="0" applyFont="1" applyFill="1" applyBorder="1" applyAlignment="1">
      <alignment horizontal="right" vertical="center" wrapText="1"/>
    </xf>
    <xf numFmtId="0" fontId="12" fillId="11" borderId="8" xfId="0" applyFont="1" applyFill="1" applyBorder="1" applyAlignment="1">
      <alignment horizontal="right" vertical="center" wrapText="1"/>
    </xf>
    <xf numFmtId="0" fontId="13" fillId="11" borderId="8" xfId="0" applyFont="1" applyFill="1" applyBorder="1" applyAlignment="1">
      <alignment horizontal="right" vertical="center" wrapText="1"/>
    </xf>
    <xf numFmtId="0" fontId="12" fillId="12" borderId="6" xfId="0" applyFont="1" applyFill="1" applyBorder="1" applyAlignment="1">
      <alignment horizontal="right" vertical="center" wrapText="1"/>
    </xf>
    <xf numFmtId="0" fontId="13" fillId="12" borderId="6" xfId="0" applyFont="1" applyFill="1" applyBorder="1" applyAlignment="1">
      <alignment horizontal="right" vertical="center" wrapText="1"/>
    </xf>
    <xf numFmtId="0" fontId="12" fillId="12" borderId="8" xfId="0" applyFont="1" applyFill="1" applyBorder="1" applyAlignment="1">
      <alignment horizontal="right" vertical="center" wrapText="1"/>
    </xf>
    <xf numFmtId="0" fontId="13" fillId="12" borderId="8" xfId="0" applyFont="1" applyFill="1" applyBorder="1" applyAlignment="1">
      <alignment horizontal="right" vertical="center" wrapText="1"/>
    </xf>
    <xf numFmtId="0" fontId="12" fillId="13" borderId="6" xfId="0" applyFont="1" applyFill="1" applyBorder="1" applyAlignment="1">
      <alignment horizontal="right" vertical="center" wrapText="1"/>
    </xf>
    <xf numFmtId="0" fontId="13" fillId="13" borderId="6" xfId="0" applyFont="1" applyFill="1" applyBorder="1" applyAlignment="1">
      <alignment horizontal="right" vertical="center" wrapText="1"/>
    </xf>
    <xf numFmtId="0" fontId="12" fillId="13" borderId="8" xfId="0" applyFont="1" applyFill="1" applyBorder="1" applyAlignment="1">
      <alignment horizontal="right" vertical="center" wrapText="1"/>
    </xf>
    <xf numFmtId="0" fontId="13" fillId="13" borderId="8" xfId="0" applyFont="1" applyFill="1" applyBorder="1" applyAlignment="1">
      <alignment horizontal="right" vertical="center" wrapText="1"/>
    </xf>
    <xf numFmtId="0" fontId="12" fillId="14" borderId="6" xfId="0" applyFont="1" applyFill="1" applyBorder="1" applyAlignment="1">
      <alignment horizontal="right" vertical="center" wrapText="1"/>
    </xf>
    <xf numFmtId="0" fontId="13" fillId="14" borderId="6" xfId="0" applyFont="1" applyFill="1" applyBorder="1" applyAlignment="1">
      <alignment horizontal="right" vertical="center" wrapText="1"/>
    </xf>
    <xf numFmtId="0" fontId="12" fillId="14" borderId="8" xfId="0" applyFont="1" applyFill="1" applyBorder="1" applyAlignment="1">
      <alignment horizontal="right" vertical="center" wrapText="1"/>
    </xf>
    <xf numFmtId="0" fontId="13" fillId="14" borderId="8" xfId="0" applyFont="1" applyFill="1" applyBorder="1" applyAlignment="1">
      <alignment horizontal="right" vertical="center" wrapText="1"/>
    </xf>
    <xf numFmtId="0" fontId="12" fillId="15" borderId="4" xfId="0" applyFont="1" applyFill="1" applyBorder="1" applyAlignment="1">
      <alignment horizontal="right" vertical="center" wrapText="1"/>
    </xf>
    <xf numFmtId="0" fontId="12" fillId="15" borderId="6" xfId="0" applyFont="1" applyFill="1" applyBorder="1" applyAlignment="1">
      <alignment horizontal="right" vertical="center" wrapText="1"/>
    </xf>
    <xf numFmtId="0" fontId="13" fillId="15" borderId="6" xfId="0" applyFont="1" applyFill="1" applyBorder="1" applyAlignment="1">
      <alignment horizontal="right" vertical="center" wrapText="1"/>
    </xf>
    <xf numFmtId="0" fontId="12" fillId="15" borderId="8" xfId="0" applyFont="1" applyFill="1" applyBorder="1" applyAlignment="1">
      <alignment horizontal="right" vertical="center" wrapText="1"/>
    </xf>
    <xf numFmtId="0" fontId="12" fillId="16" borderId="4" xfId="0" applyFont="1" applyFill="1" applyBorder="1" applyAlignment="1">
      <alignment horizontal="right" vertical="center" wrapText="1"/>
    </xf>
    <xf numFmtId="0" fontId="12" fillId="16" borderId="6" xfId="0" applyFont="1" applyFill="1" applyBorder="1" applyAlignment="1">
      <alignment horizontal="right" vertical="center" wrapText="1"/>
    </xf>
    <xf numFmtId="0" fontId="13" fillId="16" borderId="6" xfId="0" applyFont="1" applyFill="1" applyBorder="1" applyAlignment="1">
      <alignment horizontal="right" vertical="center" wrapText="1"/>
    </xf>
    <xf numFmtId="0" fontId="12" fillId="16" borderId="8" xfId="0" applyFont="1" applyFill="1" applyBorder="1" applyAlignment="1">
      <alignment horizontal="right" vertical="center" wrapText="1"/>
    </xf>
    <xf numFmtId="0" fontId="12" fillId="17" borderId="4" xfId="0" applyFont="1" applyFill="1" applyBorder="1" applyAlignment="1">
      <alignment horizontal="right" vertical="center" wrapText="1"/>
    </xf>
    <xf numFmtId="0" fontId="12" fillId="17" borderId="6" xfId="0" applyFont="1" applyFill="1" applyBorder="1" applyAlignment="1">
      <alignment horizontal="right" vertical="center" wrapText="1"/>
    </xf>
    <xf numFmtId="0" fontId="13" fillId="17" borderId="6" xfId="0" applyFont="1" applyFill="1" applyBorder="1" applyAlignment="1">
      <alignment horizontal="right" vertical="center" wrapText="1"/>
    </xf>
    <xf numFmtId="0" fontId="12" fillId="17" borderId="8" xfId="0" applyFont="1" applyFill="1" applyBorder="1" applyAlignment="1">
      <alignment horizontal="right" vertical="center" wrapText="1"/>
    </xf>
    <xf numFmtId="0" fontId="0" fillId="0" borderId="6" xfId="0" applyBorder="1" applyAlignment="1">
      <alignment horizontal="right" vertical="center" wrapText="1"/>
    </xf>
    <xf numFmtId="0" fontId="16" fillId="0" borderId="6" xfId="0" applyFont="1" applyBorder="1" applyAlignment="1">
      <alignment horizontal="right" wrapText="1"/>
    </xf>
    <xf numFmtId="0" fontId="0" fillId="17" borderId="6" xfId="0" applyFill="1" applyBorder="1" applyAlignment="1">
      <alignment horizontal="right"/>
    </xf>
    <xf numFmtId="0" fontId="0" fillId="0" borderId="6" xfId="0" applyBorder="1" applyAlignment="1">
      <alignment horizontal="right"/>
    </xf>
    <xf numFmtId="0" fontId="8" fillId="17" borderId="6" xfId="0" applyFont="1" applyFill="1" applyBorder="1" applyAlignment="1">
      <alignment horizontal="center" vertical="center" wrapText="1"/>
    </xf>
    <xf numFmtId="0" fontId="7" fillId="17" borderId="6" xfId="0" applyFont="1" applyFill="1" applyBorder="1" applyAlignment="1">
      <alignment horizontal="left" vertical="center" wrapText="1"/>
    </xf>
    <xf numFmtId="0" fontId="15" fillId="17" borderId="6" xfId="0" applyFont="1" applyFill="1" applyBorder="1" applyAlignment="1">
      <alignment horizontal="right"/>
    </xf>
    <xf numFmtId="0" fontId="7" fillId="17" borderId="3" xfId="0" applyFont="1" applyFill="1" applyBorder="1" applyAlignment="1">
      <alignment horizontal="left" vertical="center" wrapText="1"/>
    </xf>
    <xf numFmtId="0" fontId="4" fillId="18" borderId="4" xfId="0" applyFont="1" applyFill="1" applyBorder="1" applyAlignment="1">
      <alignment horizontal="right" vertical="center"/>
    </xf>
    <xf numFmtId="0" fontId="14" fillId="18" borderId="6" xfId="0" applyFont="1" applyFill="1" applyBorder="1" applyAlignment="1">
      <alignment horizontal="right" vertical="center"/>
    </xf>
    <xf numFmtId="0" fontId="6" fillId="18" borderId="3" xfId="0" applyFont="1" applyFill="1" applyBorder="1" applyAlignment="1">
      <alignment horizontal="right" vertical="center" wrapText="1"/>
    </xf>
    <xf numFmtId="0" fontId="7" fillId="18" borderId="3" xfId="0" applyFont="1" applyFill="1" applyBorder="1" applyAlignment="1">
      <alignment horizontal="right" vertical="center" wrapText="1"/>
    </xf>
    <xf numFmtId="0" fontId="6" fillId="18" borderId="6" xfId="0" applyFont="1" applyFill="1" applyBorder="1" applyAlignment="1">
      <alignment horizontal="right" vertical="center" wrapText="1"/>
    </xf>
    <xf numFmtId="0" fontId="4" fillId="18" borderId="7" xfId="0" applyFont="1" applyFill="1" applyBorder="1" applyAlignment="1">
      <alignment horizontal="right" vertical="center"/>
    </xf>
    <xf numFmtId="0" fontId="7" fillId="18" borderId="6" xfId="0" applyFont="1" applyFill="1" applyBorder="1" applyAlignment="1">
      <alignment horizontal="right" vertical="center" wrapText="1"/>
    </xf>
    <xf numFmtId="0" fontId="4" fillId="19" borderId="7" xfId="0" applyFont="1" applyFill="1" applyBorder="1" applyAlignment="1">
      <alignment horizontal="right" vertical="center"/>
    </xf>
    <xf numFmtId="0" fontId="4" fillId="19" borderId="4" xfId="0" applyFont="1" applyFill="1" applyBorder="1" applyAlignment="1">
      <alignment horizontal="right" vertical="center"/>
    </xf>
    <xf numFmtId="0" fontId="14" fillId="19" borderId="6" xfId="0" applyFont="1" applyFill="1" applyBorder="1" applyAlignment="1">
      <alignment horizontal="right" vertical="center"/>
    </xf>
    <xf numFmtId="0" fontId="6" fillId="19" borderId="6" xfId="0" applyFont="1" applyFill="1" applyBorder="1" applyAlignment="1">
      <alignment horizontal="right" vertical="center" wrapText="1"/>
    </xf>
    <xf numFmtId="0" fontId="7" fillId="19" borderId="6" xfId="0" applyFont="1" applyFill="1" applyBorder="1" applyAlignment="1">
      <alignment horizontal="right" vertical="center" wrapText="1"/>
    </xf>
    <xf numFmtId="0" fontId="7" fillId="19" borderId="6" xfId="0" applyNumberFormat="1" applyFont="1" applyFill="1" applyBorder="1" applyAlignment="1">
      <alignment horizontal="right" vertical="center" wrapText="1"/>
    </xf>
    <xf numFmtId="0" fontId="4" fillId="8" borderId="4" xfId="0" applyFont="1" applyFill="1" applyBorder="1" applyAlignment="1">
      <alignment horizontal="right" vertical="center"/>
    </xf>
    <xf numFmtId="0" fontId="14" fillId="8" borderId="6" xfId="0" applyFont="1" applyFill="1" applyBorder="1" applyAlignment="1">
      <alignment horizontal="right" vertical="center"/>
    </xf>
    <xf numFmtId="0" fontId="6" fillId="8" borderId="6" xfId="0" applyFont="1" applyFill="1" applyBorder="1" applyAlignment="1">
      <alignment horizontal="right" vertical="center" wrapText="1"/>
    </xf>
    <xf numFmtId="0" fontId="7" fillId="8" borderId="6" xfId="0" applyFont="1" applyFill="1" applyBorder="1" applyAlignment="1">
      <alignment horizontal="right" vertical="center" wrapText="1"/>
    </xf>
    <xf numFmtId="0" fontId="4" fillId="20" borderId="4" xfId="0" applyFont="1" applyFill="1" applyBorder="1" applyAlignment="1">
      <alignment horizontal="right" vertical="center"/>
    </xf>
    <xf numFmtId="0" fontId="14" fillId="20" borderId="6" xfId="0" applyFont="1" applyFill="1" applyBorder="1" applyAlignment="1">
      <alignment horizontal="right" vertical="center"/>
    </xf>
    <xf numFmtId="0" fontId="6" fillId="20" borderId="6" xfId="0" applyFont="1" applyFill="1" applyBorder="1" applyAlignment="1">
      <alignment horizontal="right" vertical="center" wrapText="1"/>
    </xf>
    <xf numFmtId="0" fontId="7" fillId="20" borderId="6" xfId="0" applyFont="1" applyFill="1" applyBorder="1" applyAlignment="1">
      <alignment horizontal="right" vertical="center" wrapText="1"/>
    </xf>
    <xf numFmtId="0" fontId="12" fillId="18" borderId="6" xfId="0" applyFont="1" applyFill="1" applyBorder="1" applyAlignment="1">
      <alignment horizontal="right" vertical="center" wrapText="1"/>
    </xf>
    <xf numFmtId="0" fontId="13" fillId="18" borderId="6" xfId="0" applyFont="1" applyFill="1" applyBorder="1" applyAlignment="1">
      <alignment horizontal="right" vertical="center" wrapText="1"/>
    </xf>
    <xf numFmtId="0" fontId="12" fillId="19" borderId="6" xfId="0" applyFont="1" applyFill="1" applyBorder="1" applyAlignment="1">
      <alignment horizontal="right" vertical="center" wrapText="1"/>
    </xf>
    <xf numFmtId="0" fontId="13" fillId="19" borderId="6" xfId="0" applyFont="1" applyFill="1" applyBorder="1" applyAlignment="1">
      <alignment horizontal="right" vertical="center" wrapText="1"/>
    </xf>
    <xf numFmtId="0" fontId="12" fillId="19" borderId="8" xfId="0" applyFont="1" applyFill="1" applyBorder="1" applyAlignment="1">
      <alignment horizontal="right" vertical="center" wrapText="1"/>
    </xf>
    <xf numFmtId="0" fontId="13" fillId="19" borderId="8" xfId="0" applyFont="1" applyFill="1" applyBorder="1" applyAlignment="1">
      <alignment horizontal="right" vertical="center" wrapText="1"/>
    </xf>
    <xf numFmtId="0" fontId="12" fillId="20" borderId="6" xfId="0" applyFont="1" applyFill="1" applyBorder="1" applyAlignment="1">
      <alignment horizontal="right" vertical="center" wrapText="1"/>
    </xf>
    <xf numFmtId="0" fontId="13" fillId="20" borderId="6" xfId="0" applyFont="1" applyFill="1" applyBorder="1" applyAlignment="1">
      <alignment horizontal="right" vertical="center" wrapText="1"/>
    </xf>
    <xf numFmtId="0" fontId="12" fillId="20" borderId="8" xfId="0" applyFont="1" applyFill="1" applyBorder="1" applyAlignment="1">
      <alignment horizontal="right" vertical="center" wrapText="1"/>
    </xf>
    <xf numFmtId="0" fontId="13" fillId="20" borderId="8" xfId="0" applyFont="1" applyFill="1" applyBorder="1" applyAlignment="1">
      <alignment horizontal="right" vertical="center" wrapText="1"/>
    </xf>
    <xf numFmtId="0" fontId="0" fillId="0" borderId="6" xfId="0" applyBorder="1" applyAlignment="1">
      <alignment vertical="center" wrapText="1"/>
    </xf>
    <xf numFmtId="0" fontId="0" fillId="18" borderId="6" xfId="0" applyFill="1" applyBorder="1" applyAlignment="1">
      <alignment horizontal="right" vertical="center" wrapText="1"/>
    </xf>
    <xf numFmtId="0" fontId="6" fillId="19" borderId="6" xfId="0" applyNumberFormat="1" applyFont="1" applyFill="1" applyBorder="1" applyAlignment="1">
      <alignment horizontal="right" vertical="center" wrapText="1"/>
    </xf>
    <xf numFmtId="0" fontId="0" fillId="19" borderId="6" xfId="0" applyFill="1" applyBorder="1" applyAlignment="1">
      <alignment horizontal="right" vertical="center" wrapText="1"/>
    </xf>
    <xf numFmtId="0" fontId="0" fillId="8" borderId="6" xfId="0" applyFill="1" applyBorder="1" applyAlignment="1">
      <alignment horizontal="right" vertical="center" wrapText="1"/>
    </xf>
    <xf numFmtId="0" fontId="0" fillId="20" borderId="6" xfId="0" applyFill="1" applyBorder="1" applyAlignment="1">
      <alignment horizontal="right" vertical="center" wrapText="1"/>
    </xf>
    <xf numFmtId="0" fontId="0" fillId="20" borderId="6" xfId="0" applyFill="1" applyBorder="1" applyAlignment="1">
      <alignment horizontal="right"/>
    </xf>
    <xf numFmtId="0" fontId="8" fillId="18" borderId="6" xfId="0" applyFont="1" applyFill="1" applyBorder="1" applyAlignment="1">
      <alignment horizontal="center" vertical="center" wrapText="1"/>
    </xf>
    <xf numFmtId="0" fontId="0" fillId="18" borderId="6" xfId="0" applyFill="1" applyBorder="1"/>
    <xf numFmtId="0" fontId="7" fillId="18" borderId="3" xfId="0" applyFont="1" applyFill="1" applyBorder="1" applyAlignment="1">
      <alignment horizontal="left" vertical="center" wrapText="1"/>
    </xf>
    <xf numFmtId="0" fontId="15" fillId="18" borderId="6" xfId="0" applyFont="1" applyFill="1" applyBorder="1"/>
    <xf numFmtId="0" fontId="8" fillId="19" borderId="6" xfId="0" applyFont="1" applyFill="1" applyBorder="1" applyAlignment="1">
      <alignment horizontal="center" vertical="center" wrapText="1"/>
    </xf>
    <xf numFmtId="0" fontId="0" fillId="19" borderId="6" xfId="0" applyFill="1" applyBorder="1"/>
    <xf numFmtId="0" fontId="7" fillId="19" borderId="6" xfId="0" applyNumberFormat="1" applyFont="1" applyFill="1" applyBorder="1" applyAlignment="1">
      <alignment horizontal="left" vertical="center" wrapText="1"/>
    </xf>
    <xf numFmtId="0" fontId="15" fillId="19" borderId="6" xfId="0" applyFont="1" applyFill="1" applyBorder="1"/>
    <xf numFmtId="0" fontId="8" fillId="8" borderId="6" xfId="0" applyFont="1" applyFill="1" applyBorder="1" applyAlignment="1">
      <alignment horizontal="center" vertical="center" wrapText="1"/>
    </xf>
    <xf numFmtId="0" fontId="0" fillId="8" borderId="6" xfId="0" applyFill="1" applyBorder="1"/>
    <xf numFmtId="0" fontId="7" fillId="8" borderId="3" xfId="0" applyFont="1" applyFill="1" applyBorder="1" applyAlignment="1">
      <alignment horizontal="left" vertical="center" wrapText="1"/>
    </xf>
    <xf numFmtId="0" fontId="15" fillId="8" borderId="6" xfId="0" applyFont="1" applyFill="1" applyBorder="1"/>
    <xf numFmtId="0" fontId="8" fillId="20" borderId="6" xfId="0" applyFont="1" applyFill="1" applyBorder="1" applyAlignment="1">
      <alignment horizontal="center" vertical="center" wrapText="1"/>
    </xf>
    <xf numFmtId="0" fontId="0" fillId="20" borderId="6" xfId="0" applyFill="1" applyBorder="1"/>
    <xf numFmtId="0" fontId="7" fillId="20" borderId="3" xfId="0" applyFont="1" applyFill="1" applyBorder="1" applyAlignment="1">
      <alignment horizontal="left" vertical="center" wrapText="1"/>
    </xf>
    <xf numFmtId="0" fontId="15" fillId="20" borderId="6" xfId="0" applyFont="1" applyFill="1" applyBorder="1"/>
    <xf numFmtId="0" fontId="7" fillId="20" borderId="6" xfId="0" applyFont="1" applyFill="1" applyBorder="1" applyAlignment="1">
      <alignment horizontal="left" vertical="center" wrapText="1"/>
    </xf>
    <xf numFmtId="0" fontId="15" fillId="20" borderId="6" xfId="0" applyFont="1" applyFill="1" applyBorder="1" applyAlignment="1">
      <alignment horizontal="right"/>
    </xf>
    <xf numFmtId="0" fontId="7" fillId="18" borderId="6" xfId="0" applyFont="1" applyFill="1" applyBorder="1" applyAlignment="1">
      <alignment horizontal="left" vertical="center" wrapText="1"/>
    </xf>
    <xf numFmtId="0" fontId="7" fillId="8" borderId="6" xfId="0" applyFont="1" applyFill="1" applyBorder="1" applyAlignment="1">
      <alignment horizontal="left" vertical="center" wrapText="1"/>
    </xf>
    <xf numFmtId="0" fontId="14" fillId="17" borderId="6" xfId="0" applyFont="1" applyFill="1" applyBorder="1" applyAlignment="1">
      <alignment horizontal="right" vertical="center"/>
    </xf>
    <xf numFmtId="0" fontId="6" fillId="17" borderId="3" xfId="0" applyFont="1" applyFill="1" applyBorder="1" applyAlignment="1">
      <alignment horizontal="right" vertical="center" wrapText="1"/>
    </xf>
    <xf numFmtId="0" fontId="4" fillId="17" borderId="7" xfId="0" applyFont="1" applyFill="1" applyBorder="1" applyAlignment="1">
      <alignment horizontal="right" vertical="center"/>
    </xf>
    <xf numFmtId="0" fontId="7" fillId="17" borderId="6" xfId="0" applyNumberFormat="1" applyFont="1" applyFill="1" applyBorder="1" applyAlignment="1">
      <alignment horizontal="right" vertical="center" wrapText="1"/>
    </xf>
    <xf numFmtId="0" fontId="4" fillId="8" borderId="7" xfId="0" applyFont="1" applyFill="1" applyBorder="1" applyAlignment="1">
      <alignment horizontal="right" vertical="center"/>
    </xf>
    <xf numFmtId="0" fontId="7" fillId="8" borderId="6" xfId="0" applyNumberFormat="1" applyFont="1" applyFill="1" applyBorder="1" applyAlignment="1">
      <alignment horizontal="right" vertical="center" wrapText="1"/>
    </xf>
    <xf numFmtId="0" fontId="14" fillId="15" borderId="6" xfId="0" applyFont="1" applyFill="1" applyBorder="1" applyAlignment="1">
      <alignment horizontal="right" vertical="center"/>
    </xf>
    <xf numFmtId="0" fontId="13" fillId="15" borderId="8" xfId="0" applyFont="1" applyFill="1" applyBorder="1" applyAlignment="1">
      <alignment horizontal="right" vertical="center" wrapText="1"/>
    </xf>
    <xf numFmtId="0" fontId="0" fillId="0" borderId="10" xfId="0" applyBorder="1" applyAlignment="1">
      <alignment vertical="center" wrapText="1"/>
    </xf>
    <xf numFmtId="0" fontId="0" fillId="0" borderId="10" xfId="0" applyBorder="1" applyAlignment="1">
      <alignment horizontal="right" vertical="center" wrapText="1"/>
    </xf>
    <xf numFmtId="0" fontId="0" fillId="0" borderId="11" xfId="0" applyBorder="1" applyAlignment="1">
      <alignment horizontal="right" vertical="center" wrapText="1"/>
    </xf>
    <xf numFmtId="0" fontId="0" fillId="17" borderId="6" xfId="0" applyFill="1" applyBorder="1" applyAlignment="1">
      <alignment horizontal="right" vertical="center" wrapText="1"/>
    </xf>
    <xf numFmtId="0" fontId="6" fillId="17" borderId="6" xfId="0" applyNumberFormat="1" applyFont="1" applyFill="1" applyBorder="1" applyAlignment="1">
      <alignment horizontal="right" vertical="center" wrapText="1"/>
    </xf>
    <xf numFmtId="0" fontId="6" fillId="8" borderId="6" xfId="0" applyNumberFormat="1" applyFont="1" applyFill="1" applyBorder="1" applyAlignment="1">
      <alignment horizontal="right" vertical="center" wrapText="1"/>
    </xf>
    <xf numFmtId="0" fontId="0" fillId="15" borderId="6" xfId="0" applyFill="1" applyBorder="1" applyAlignment="1">
      <alignment horizontal="right" vertical="center" wrapText="1"/>
    </xf>
    <xf numFmtId="0" fontId="0" fillId="15" borderId="11" xfId="0" applyFill="1" applyBorder="1" applyAlignment="1">
      <alignment horizontal="right" vertical="center" wrapText="1"/>
    </xf>
    <xf numFmtId="0" fontId="0" fillId="15" borderId="9" xfId="0" applyFill="1" applyBorder="1" applyAlignment="1">
      <alignment horizontal="right" vertical="center" wrapText="1"/>
    </xf>
    <xf numFmtId="0" fontId="0" fillId="0" borderId="5" xfId="0" applyBorder="1" applyAlignment="1">
      <alignment horizontal="right" vertical="center" wrapText="1"/>
    </xf>
    <xf numFmtId="0" fontId="0" fillId="0" borderId="12" xfId="0" applyBorder="1" applyAlignment="1">
      <alignment horizontal="right" vertical="center" wrapText="1"/>
    </xf>
    <xf numFmtId="0" fontId="0" fillId="0" borderId="13" xfId="0" applyBorder="1" applyAlignment="1">
      <alignment horizontal="right" vertical="center" wrapText="1"/>
    </xf>
    <xf numFmtId="0" fontId="0" fillId="17" borderId="6" xfId="0" applyFill="1" applyBorder="1"/>
    <xf numFmtId="0" fontId="15" fillId="17" borderId="6" xfId="0" applyFont="1" applyFill="1" applyBorder="1"/>
    <xf numFmtId="0" fontId="7" fillId="17" borderId="6" xfId="0" applyNumberFormat="1" applyFont="1" applyFill="1" applyBorder="1" applyAlignment="1">
      <alignment horizontal="left" vertical="center" wrapText="1"/>
    </xf>
    <xf numFmtId="0" fontId="7" fillId="8" borderId="6" xfId="0" applyNumberFormat="1" applyFont="1" applyFill="1" applyBorder="1" applyAlignment="1">
      <alignment horizontal="left" vertical="center" wrapText="1"/>
    </xf>
    <xf numFmtId="0" fontId="0" fillId="15" borderId="6" xfId="0" applyFill="1" applyBorder="1"/>
    <xf numFmtId="0" fontId="15" fillId="15" borderId="6" xfId="0" applyFont="1" applyFill="1" applyBorder="1"/>
    <xf numFmtId="0" fontId="0" fillId="15" borderId="12" xfId="0" applyFill="1" applyBorder="1" applyAlignment="1">
      <alignment horizontal="right" vertical="center" wrapText="1"/>
    </xf>
    <xf numFmtId="0" fontId="0" fillId="15" borderId="13" xfId="0" applyFill="1" applyBorder="1" applyAlignment="1">
      <alignment horizontal="right" vertical="center" wrapText="1"/>
    </xf>
    <xf numFmtId="0" fontId="4" fillId="21" borderId="4" xfId="0" applyFont="1" applyFill="1" applyBorder="1" applyAlignment="1">
      <alignment horizontal="right" vertical="center"/>
    </xf>
    <xf numFmtId="0" fontId="5" fillId="21" borderId="5" xfId="0" applyFont="1" applyFill="1" applyBorder="1" applyAlignment="1">
      <alignment horizontal="right" vertical="center"/>
    </xf>
    <xf numFmtId="0" fontId="6" fillId="21" borderId="3" xfId="0" applyFont="1" applyFill="1" applyBorder="1" applyAlignment="1">
      <alignment horizontal="right" vertical="center" wrapText="1"/>
    </xf>
    <xf numFmtId="0" fontId="7" fillId="21" borderId="3" xfId="0" applyFont="1" applyFill="1" applyBorder="1" applyAlignment="1">
      <alignment horizontal="right" vertical="center" wrapText="1"/>
    </xf>
    <xf numFmtId="0" fontId="6" fillId="21" borderId="6" xfId="0" applyFont="1" applyFill="1" applyBorder="1" applyAlignment="1">
      <alignment horizontal="right" vertical="center" wrapText="1"/>
    </xf>
    <xf numFmtId="0" fontId="4" fillId="21" borderId="7" xfId="0" applyFont="1" applyFill="1" applyBorder="1" applyAlignment="1">
      <alignment horizontal="right" vertical="center"/>
    </xf>
    <xf numFmtId="0" fontId="7" fillId="21" borderId="6" xfId="0" applyFont="1" applyFill="1" applyBorder="1" applyAlignment="1">
      <alignment horizontal="right" vertical="center" wrapText="1"/>
    </xf>
    <xf numFmtId="0" fontId="7" fillId="21" borderId="6" xfId="0" applyNumberFormat="1" applyFont="1" applyFill="1" applyBorder="1" applyAlignment="1">
      <alignment horizontal="right" vertical="center" wrapText="1"/>
    </xf>
    <xf numFmtId="0" fontId="5" fillId="19" borderId="5" xfId="0" applyFont="1" applyFill="1" applyBorder="1" applyAlignment="1">
      <alignment horizontal="right" vertical="center"/>
    </xf>
    <xf numFmtId="0" fontId="7" fillId="19" borderId="3" xfId="0" applyFont="1" applyFill="1" applyBorder="1" applyAlignment="1">
      <alignment horizontal="right" vertical="center" wrapText="1"/>
    </xf>
    <xf numFmtId="0" fontId="5" fillId="20" borderId="5" xfId="0" applyFont="1" applyFill="1" applyBorder="1" applyAlignment="1">
      <alignment horizontal="right" vertical="center"/>
    </xf>
    <xf numFmtId="0" fontId="7" fillId="20" borderId="3" xfId="0" applyFont="1" applyFill="1" applyBorder="1" applyAlignment="1">
      <alignment horizontal="right" vertical="center" wrapText="1"/>
    </xf>
    <xf numFmtId="0" fontId="7" fillId="16" borderId="3" xfId="0" applyFont="1" applyFill="1" applyBorder="1" applyAlignment="1">
      <alignment horizontal="right" vertical="center" wrapText="1"/>
    </xf>
    <xf numFmtId="0" fontId="5" fillId="8" borderId="5" xfId="0" applyFont="1" applyFill="1" applyBorder="1" applyAlignment="1">
      <alignment horizontal="right" vertical="center"/>
    </xf>
    <xf numFmtId="0" fontId="0" fillId="21" borderId="6" xfId="0" applyFill="1" applyBorder="1" applyAlignment="1">
      <alignment horizontal="right" vertical="center" wrapText="1"/>
    </xf>
    <xf numFmtId="0" fontId="6" fillId="21" borderId="6" xfId="0" applyNumberFormat="1" applyFont="1" applyFill="1" applyBorder="1" applyAlignment="1">
      <alignment horizontal="right" vertical="center" wrapText="1"/>
    </xf>
    <xf numFmtId="0" fontId="0" fillId="8" borderId="6" xfId="0" applyFill="1" applyBorder="1" applyAlignment="1">
      <alignment horizontal="right"/>
    </xf>
    <xf numFmtId="0" fontId="8" fillId="21" borderId="6" xfId="0" applyFont="1" applyFill="1" applyBorder="1" applyAlignment="1">
      <alignment horizontal="center" vertical="center" wrapText="1"/>
    </xf>
    <xf numFmtId="0" fontId="7" fillId="21" borderId="3" xfId="0" applyFont="1" applyFill="1" applyBorder="1" applyAlignment="1">
      <alignment horizontal="left" vertical="center" wrapText="1"/>
    </xf>
    <xf numFmtId="0" fontId="7" fillId="21" borderId="6" xfId="0" applyNumberFormat="1" applyFont="1" applyFill="1" applyBorder="1" applyAlignment="1">
      <alignment horizontal="left" vertical="center" wrapText="1"/>
    </xf>
    <xf numFmtId="0" fontId="7" fillId="19" borderId="3" xfId="0" applyFont="1" applyFill="1" applyBorder="1" applyAlignment="1">
      <alignment horizontal="left" vertical="center" wrapText="1"/>
    </xf>
    <xf numFmtId="0" fontId="7" fillId="21" borderId="6" xfId="0" applyFont="1" applyFill="1" applyBorder="1" applyAlignment="1">
      <alignment horizontal="left" vertical="center" wrapText="1"/>
    </xf>
    <xf numFmtId="0" fontId="7" fillId="19" borderId="6" xfId="0" applyFont="1" applyFill="1" applyBorder="1" applyAlignment="1">
      <alignment horizontal="left" vertical="center" wrapText="1"/>
    </xf>
    <xf numFmtId="0" fontId="12" fillId="21" borderId="6" xfId="0" applyFont="1" applyFill="1" applyBorder="1" applyAlignment="1">
      <alignment horizontal="right" vertical="center" wrapText="1"/>
    </xf>
    <xf numFmtId="0" fontId="13" fillId="21" borderId="6" xfId="0" applyFont="1" applyFill="1" applyBorder="1" applyAlignment="1">
      <alignment horizontal="right" vertical="center" wrapText="1"/>
    </xf>
    <xf numFmtId="0" fontId="12" fillId="20" borderId="4" xfId="0" applyFont="1" applyFill="1" applyBorder="1" applyAlignment="1">
      <alignment horizontal="right" vertical="center" wrapText="1"/>
    </xf>
    <xf numFmtId="0" fontId="13" fillId="17" borderId="8" xfId="0" applyFont="1" applyFill="1" applyBorder="1" applyAlignment="1">
      <alignment horizontal="right" vertical="center" wrapText="1"/>
    </xf>
    <xf numFmtId="0" fontId="12" fillId="14" borderId="4" xfId="0" applyFont="1" applyFill="1" applyBorder="1" applyAlignment="1">
      <alignment horizontal="right" vertical="center" wrapText="1"/>
    </xf>
    <xf numFmtId="0" fontId="12" fillId="8" borderId="4" xfId="0" applyFont="1" applyFill="1" applyBorder="1" applyAlignment="1">
      <alignment horizontal="right" vertical="center" wrapText="1"/>
    </xf>
    <xf numFmtId="0" fontId="0" fillId="22" borderId="0" xfId="0" applyFill="1"/>
    <xf numFmtId="0" fontId="6" fillId="15" borderId="3" xfId="0" applyFont="1" applyFill="1" applyBorder="1" applyAlignment="1">
      <alignment horizontal="right" vertical="center" wrapText="1"/>
    </xf>
    <xf numFmtId="0" fontId="4" fillId="15" borderId="7" xfId="0" applyFont="1" applyFill="1" applyBorder="1" applyAlignment="1">
      <alignment horizontal="right" vertical="center"/>
    </xf>
    <xf numFmtId="0" fontId="6" fillId="14" borderId="3" xfId="0" applyFont="1" applyFill="1" applyBorder="1" applyAlignment="1">
      <alignment horizontal="right" vertical="center" wrapText="1"/>
    </xf>
    <xf numFmtId="0" fontId="4" fillId="23" borderId="4" xfId="0" applyFont="1" applyFill="1" applyBorder="1" applyAlignment="1">
      <alignment horizontal="right" vertical="center"/>
    </xf>
    <xf numFmtId="0" fontId="5" fillId="23" borderId="5" xfId="0" applyFont="1" applyFill="1" applyBorder="1" applyAlignment="1">
      <alignment horizontal="right" vertical="center"/>
    </xf>
    <xf numFmtId="0" fontId="6" fillId="23" borderId="3" xfId="0" applyFont="1" applyFill="1" applyBorder="1" applyAlignment="1">
      <alignment horizontal="right" vertical="center" wrapText="1"/>
    </xf>
    <xf numFmtId="0" fontId="7" fillId="23" borderId="3" xfId="0" applyFont="1" applyFill="1" applyBorder="1" applyAlignment="1">
      <alignment horizontal="right" vertical="center" wrapText="1"/>
    </xf>
    <xf numFmtId="0" fontId="6" fillId="23" borderId="6" xfId="0" applyFont="1" applyFill="1" applyBorder="1" applyAlignment="1">
      <alignment horizontal="right" vertical="center" wrapText="1"/>
    </xf>
    <xf numFmtId="0" fontId="7" fillId="23" borderId="6" xfId="0" applyFont="1" applyFill="1" applyBorder="1" applyAlignment="1">
      <alignment horizontal="right" vertical="center" wrapText="1"/>
    </xf>
    <xf numFmtId="0" fontId="6" fillId="20" borderId="3" xfId="0" applyFont="1" applyFill="1" applyBorder="1" applyAlignment="1">
      <alignment horizontal="right" vertical="center" wrapText="1"/>
    </xf>
    <xf numFmtId="0" fontId="12" fillId="23" borderId="6" xfId="0" applyFont="1" applyFill="1" applyBorder="1" applyAlignment="1">
      <alignment horizontal="right" vertical="center" wrapText="1"/>
    </xf>
    <xf numFmtId="0" fontId="13" fillId="23" borderId="6" xfId="0" applyFont="1" applyFill="1" applyBorder="1" applyAlignment="1">
      <alignment horizontal="right" vertical="center" wrapText="1"/>
    </xf>
    <xf numFmtId="0" fontId="16" fillId="15" borderId="6" xfId="0" applyFont="1" applyFill="1" applyBorder="1" applyAlignment="1">
      <alignment horizontal="right" wrapText="1"/>
    </xf>
    <xf numFmtId="0" fontId="8" fillId="15" borderId="6" xfId="0" applyFont="1" applyFill="1" applyBorder="1" applyAlignment="1">
      <alignment horizontal="right" vertical="center" wrapText="1"/>
    </xf>
    <xf numFmtId="0" fontId="16" fillId="17" borderId="6" xfId="0" applyFont="1" applyFill="1" applyBorder="1" applyAlignment="1">
      <alignment horizontal="right" wrapText="1"/>
    </xf>
    <xf numFmtId="0" fontId="8" fillId="17" borderId="6" xfId="0" applyFont="1" applyFill="1" applyBorder="1" applyAlignment="1">
      <alignment horizontal="right" vertical="center" wrapText="1"/>
    </xf>
    <xf numFmtId="0" fontId="16" fillId="14" borderId="6" xfId="0" applyFont="1" applyFill="1" applyBorder="1" applyAlignment="1">
      <alignment horizontal="right" wrapText="1"/>
    </xf>
    <xf numFmtId="0" fontId="8" fillId="14" borderId="6" xfId="0" applyFont="1" applyFill="1" applyBorder="1" applyAlignment="1">
      <alignment horizontal="right" vertical="center" wrapText="1"/>
    </xf>
    <xf numFmtId="0" fontId="16" fillId="23" borderId="6" xfId="0" applyFont="1" applyFill="1" applyBorder="1" applyAlignment="1">
      <alignment horizontal="right" wrapText="1"/>
    </xf>
    <xf numFmtId="0" fontId="8" fillId="23" borderId="6" xfId="0" applyFont="1" applyFill="1" applyBorder="1" applyAlignment="1">
      <alignment horizontal="right" vertical="center" wrapText="1"/>
    </xf>
    <xf numFmtId="0" fontId="16" fillId="20" borderId="6" xfId="0" applyFont="1" applyFill="1" applyBorder="1" applyAlignment="1">
      <alignment horizontal="right" wrapText="1"/>
    </xf>
    <xf numFmtId="0" fontId="8" fillId="20" borderId="6" xfId="0" applyFont="1" applyFill="1" applyBorder="1" applyAlignment="1">
      <alignment horizontal="right" vertical="center" wrapText="1"/>
    </xf>
    <xf numFmtId="0" fontId="14" fillId="22" borderId="6" xfId="0" applyFont="1" applyFill="1" applyBorder="1" applyAlignment="1">
      <alignment horizontal="right" vertical="center"/>
    </xf>
    <xf numFmtId="0" fontId="17" fillId="15" borderId="6" xfId="0" applyFont="1" applyFill="1" applyBorder="1" applyAlignment="1">
      <alignment horizontal="right" wrapText="1"/>
    </xf>
    <xf numFmtId="0" fontId="17" fillId="17" borderId="6" xfId="0" applyFont="1" applyFill="1" applyBorder="1" applyAlignment="1">
      <alignment horizontal="right" wrapText="1"/>
    </xf>
    <xf numFmtId="0" fontId="17" fillId="14" borderId="6" xfId="0" applyFont="1" applyFill="1" applyBorder="1" applyAlignment="1">
      <alignment horizontal="right" wrapText="1"/>
    </xf>
    <xf numFmtId="0" fontId="8" fillId="23" borderId="6" xfId="0" applyFont="1" applyFill="1" applyBorder="1" applyAlignment="1">
      <alignment horizontal="center" vertical="center" wrapText="1"/>
    </xf>
    <xf numFmtId="0" fontId="7" fillId="23" borderId="3" xfId="0" applyFont="1" applyFill="1" applyBorder="1" applyAlignment="1">
      <alignment horizontal="left" vertical="center" wrapText="1"/>
    </xf>
    <xf numFmtId="0" fontId="17" fillId="23" borderId="6" xfId="0" applyFont="1" applyFill="1" applyBorder="1" applyAlignment="1">
      <alignment horizontal="right" wrapText="1"/>
    </xf>
    <xf numFmtId="0" fontId="17" fillId="20" borderId="6" xfId="0" applyFont="1" applyFill="1" applyBorder="1" applyAlignment="1">
      <alignment horizontal="right" wrapText="1"/>
    </xf>
    <xf numFmtId="0" fontId="7" fillId="23" borderId="6" xfId="0" applyFont="1" applyFill="1" applyBorder="1" applyAlignment="1">
      <alignment horizontal="left" vertical="center" wrapText="1"/>
    </xf>
    <xf numFmtId="0" fontId="18" fillId="17" borderId="6" xfId="0" applyFont="1" applyFill="1" applyBorder="1" applyAlignment="1">
      <alignment horizontal="right" wrapText="1"/>
    </xf>
    <xf numFmtId="0" fontId="6" fillId="19" borderId="3" xfId="0" applyFont="1" applyFill="1" applyBorder="1" applyAlignment="1">
      <alignment horizontal="right" vertical="center" wrapText="1"/>
    </xf>
    <xf numFmtId="0" fontId="16" fillId="19" borderId="6" xfId="0" applyFont="1" applyFill="1" applyBorder="1" applyAlignment="1">
      <alignment horizontal="right" wrapText="1"/>
    </xf>
    <xf numFmtId="0" fontId="8" fillId="19" borderId="6" xfId="0" applyFont="1" applyFill="1" applyBorder="1" applyAlignment="1">
      <alignment horizontal="right" vertical="center" wrapText="1"/>
    </xf>
    <xf numFmtId="0" fontId="16" fillId="15" borderId="3" xfId="0" applyFont="1" applyFill="1" applyBorder="1" applyAlignment="1">
      <alignment horizontal="right" wrapText="1"/>
    </xf>
    <xf numFmtId="0" fontId="18" fillId="20" borderId="6" xfId="0" applyFont="1" applyFill="1" applyBorder="1" applyAlignment="1">
      <alignment horizontal="right" wrapText="1"/>
    </xf>
    <xf numFmtId="0" fontId="18" fillId="19" borderId="6" xfId="0" applyFont="1" applyFill="1" applyBorder="1" applyAlignment="1">
      <alignment horizontal="right" wrapText="1"/>
    </xf>
    <xf numFmtId="0" fontId="17" fillId="19" borderId="6" xfId="0" applyFont="1" applyFill="1" applyBorder="1" applyAlignment="1">
      <alignment horizontal="right" wrapText="1"/>
    </xf>
    <xf numFmtId="0" fontId="18" fillId="15" borderId="6" xfId="0" applyFont="1" applyFill="1" applyBorder="1" applyAlignment="1">
      <alignment horizontal="right" wrapText="1"/>
    </xf>
    <xf numFmtId="0" fontId="16" fillId="0" borderId="3" xfId="0" applyFont="1" applyBorder="1" applyAlignment="1">
      <alignment horizontal="right" wrapText="1"/>
    </xf>
    <xf numFmtId="0" fontId="0" fillId="7" borderId="0" xfId="0" applyFill="1"/>
    <xf numFmtId="0" fontId="4" fillId="14" borderId="7" xfId="0" applyFont="1" applyFill="1" applyBorder="1" applyAlignment="1">
      <alignment horizontal="right" vertical="center"/>
    </xf>
    <xf numFmtId="0" fontId="7" fillId="14" borderId="6" xfId="0" applyNumberFormat="1" applyFont="1" applyFill="1" applyBorder="1" applyAlignment="1">
      <alignment horizontal="right" vertical="center" wrapText="1"/>
    </xf>
    <xf numFmtId="0" fontId="6" fillId="14" borderId="6" xfId="0" applyNumberFormat="1" applyFont="1" applyFill="1" applyBorder="1" applyAlignment="1">
      <alignment horizontal="right" vertical="center" wrapText="1"/>
    </xf>
    <xf numFmtId="0" fontId="7" fillId="14" borderId="5" xfId="0" applyFont="1" applyFill="1" applyBorder="1" applyAlignment="1">
      <alignment horizontal="right" vertical="center" wrapText="1"/>
    </xf>
    <xf numFmtId="0" fontId="7" fillId="17" borderId="5" xfId="0" applyFont="1" applyFill="1" applyBorder="1" applyAlignment="1">
      <alignment horizontal="right" vertical="center" wrapText="1"/>
    </xf>
    <xf numFmtId="0" fontId="19" fillId="14" borderId="6" xfId="0" applyFont="1" applyFill="1" applyBorder="1" applyAlignment="1">
      <alignment horizontal="right" vertical="center" wrapText="1"/>
    </xf>
    <xf numFmtId="0" fontId="19" fillId="14" borderId="3" xfId="0" applyFont="1" applyFill="1" applyBorder="1" applyAlignment="1">
      <alignment horizontal="right" vertical="center" wrapText="1"/>
    </xf>
    <xf numFmtId="0" fontId="7" fillId="14" borderId="6" xfId="0" applyNumberFormat="1" applyFont="1" applyFill="1" applyBorder="1" applyAlignment="1">
      <alignment horizontal="left" vertical="center" wrapText="1"/>
    </xf>
    <xf numFmtId="0" fontId="19" fillId="17" borderId="6" xfId="0" applyFont="1" applyFill="1" applyBorder="1" applyAlignment="1">
      <alignment horizontal="right" vertical="center" wrapText="1"/>
    </xf>
    <xf numFmtId="0" fontId="19" fillId="17" borderId="3" xfId="0" applyFont="1" applyFill="1" applyBorder="1" applyAlignment="1">
      <alignment horizontal="right" vertical="center" wrapText="1"/>
    </xf>
    <xf numFmtId="0" fontId="19" fillId="15" borderId="3" xfId="0" applyFont="1" applyFill="1" applyBorder="1" applyAlignment="1">
      <alignment horizontal="right" vertical="center" wrapText="1"/>
    </xf>
    <xf numFmtId="0" fontId="19" fillId="15" borderId="6" xfId="0" applyFont="1" applyFill="1" applyBorder="1" applyAlignment="1">
      <alignment horizontal="right" vertical="center" wrapText="1"/>
    </xf>
    <xf numFmtId="0" fontId="4" fillId="20" borderId="7" xfId="0" applyFont="1" applyFill="1" applyBorder="1" applyAlignment="1">
      <alignment horizontal="right" vertical="center"/>
    </xf>
    <xf numFmtId="0" fontId="7" fillId="20" borderId="6" xfId="0" applyNumberFormat="1" applyFont="1" applyFill="1" applyBorder="1" applyAlignment="1">
      <alignment horizontal="right" vertical="center" wrapText="1"/>
    </xf>
    <xf numFmtId="0" fontId="6" fillId="13" borderId="3" xfId="0" applyFont="1" applyFill="1" applyBorder="1" applyAlignment="1">
      <alignment horizontal="right" vertical="center" wrapText="1"/>
    </xf>
    <xf numFmtId="0" fontId="4" fillId="13" borderId="7" xfId="0" applyFont="1" applyFill="1" applyBorder="1" applyAlignment="1">
      <alignment horizontal="right" vertical="center"/>
    </xf>
    <xf numFmtId="0" fontId="4" fillId="7" borderId="4" xfId="0" applyFont="1" applyFill="1" applyBorder="1" applyAlignment="1">
      <alignment horizontal="right" vertical="center"/>
    </xf>
    <xf numFmtId="0" fontId="5" fillId="7" borderId="5" xfId="0" applyFont="1" applyFill="1" applyBorder="1" applyAlignment="1">
      <alignment horizontal="right" vertical="center"/>
    </xf>
    <xf numFmtId="0" fontId="6" fillId="7" borderId="3" xfId="0" applyFont="1" applyFill="1" applyBorder="1" applyAlignment="1">
      <alignment horizontal="right" vertical="center" wrapText="1"/>
    </xf>
    <xf numFmtId="0" fontId="7" fillId="7" borderId="3" xfId="0" applyFont="1" applyFill="1" applyBorder="1" applyAlignment="1">
      <alignment horizontal="right" vertical="center" wrapText="1"/>
    </xf>
    <xf numFmtId="0" fontId="4" fillId="7" borderId="7" xfId="0" applyFont="1" applyFill="1" applyBorder="1" applyAlignment="1">
      <alignment horizontal="right" vertical="center"/>
    </xf>
    <xf numFmtId="0" fontId="6" fillId="7" borderId="6" xfId="0" applyFont="1" applyFill="1" applyBorder="1" applyAlignment="1">
      <alignment horizontal="right" vertical="center" wrapText="1"/>
    </xf>
    <xf numFmtId="0" fontId="6" fillId="20" borderId="6" xfId="0" applyNumberFormat="1" applyFont="1" applyFill="1" applyBorder="1" applyAlignment="1">
      <alignment horizontal="right" vertical="center" wrapText="1"/>
    </xf>
    <xf numFmtId="0" fontId="7" fillId="20" borderId="5" xfId="0" applyFont="1" applyFill="1" applyBorder="1" applyAlignment="1">
      <alignment horizontal="right" vertical="center" wrapText="1"/>
    </xf>
    <xf numFmtId="0" fontId="8" fillId="13" borderId="6" xfId="0" applyFont="1" applyFill="1" applyBorder="1" applyAlignment="1">
      <alignment horizontal="right" vertical="center" wrapText="1"/>
    </xf>
    <xf numFmtId="0" fontId="7" fillId="7" borderId="6" xfId="0" applyFont="1" applyFill="1" applyBorder="1" applyAlignment="1">
      <alignment horizontal="right" vertical="center" wrapText="1"/>
    </xf>
    <xf numFmtId="0" fontId="8" fillId="7" borderId="6" xfId="0" applyFont="1" applyFill="1" applyBorder="1" applyAlignment="1">
      <alignment horizontal="right" vertical="center" wrapText="1"/>
    </xf>
    <xf numFmtId="0" fontId="7" fillId="20" borderId="6" xfId="0" applyNumberFormat="1" applyFont="1" applyFill="1" applyBorder="1" applyAlignment="1">
      <alignment horizontal="left" vertical="center" wrapText="1"/>
    </xf>
    <xf numFmtId="0" fontId="19" fillId="20" borderId="6" xfId="0" applyFont="1" applyFill="1" applyBorder="1" applyAlignment="1">
      <alignment horizontal="right" vertical="center" wrapText="1"/>
    </xf>
    <xf numFmtId="0" fontId="19" fillId="20" borderId="3" xfId="0" applyFont="1" applyFill="1" applyBorder="1" applyAlignment="1">
      <alignment horizontal="right" vertical="center" wrapText="1"/>
    </xf>
    <xf numFmtId="0" fontId="19" fillId="13" borderId="3" xfId="0" applyFont="1" applyFill="1" applyBorder="1" applyAlignment="1">
      <alignment horizontal="right" vertical="center" wrapText="1"/>
    </xf>
    <xf numFmtId="0" fontId="19" fillId="7" borderId="3" xfId="0" applyFont="1" applyFill="1" applyBorder="1" applyAlignment="1">
      <alignment horizontal="right" vertical="center" wrapText="1"/>
    </xf>
    <xf numFmtId="0" fontId="7" fillId="7" borderId="3" xfId="0" applyFont="1" applyFill="1" applyBorder="1" applyAlignment="1">
      <alignment horizontal="left" vertical="center" wrapText="1"/>
    </xf>
    <xf numFmtId="0" fontId="7" fillId="7" borderId="6" xfId="0" applyFont="1" applyFill="1" applyBorder="1" applyAlignment="1">
      <alignment horizontal="left" vertical="center" wrapText="1"/>
    </xf>
    <xf numFmtId="0" fontId="5" fillId="13" borderId="3" xfId="0" applyFont="1" applyFill="1" applyBorder="1" applyAlignment="1">
      <alignment horizontal="right" vertical="center" wrapText="1"/>
    </xf>
    <xf numFmtId="0" fontId="18" fillId="14" borderId="6" xfId="0" applyFont="1" applyFill="1" applyBorder="1" applyAlignment="1">
      <alignment horizontal="right" wrapText="1"/>
    </xf>
    <xf numFmtId="0" fontId="4" fillId="24" borderId="4" xfId="0" applyFont="1" applyFill="1" applyBorder="1" applyAlignment="1">
      <alignment horizontal="right" vertical="center"/>
    </xf>
    <xf numFmtId="0" fontId="5" fillId="24" borderId="5" xfId="0" applyFont="1" applyFill="1" applyBorder="1" applyAlignment="1">
      <alignment horizontal="right" vertical="center"/>
    </xf>
    <xf numFmtId="0" fontId="6" fillId="24" borderId="3" xfId="0" applyFont="1" applyFill="1" applyBorder="1" applyAlignment="1">
      <alignment horizontal="right" vertical="center" wrapText="1"/>
    </xf>
    <xf numFmtId="0" fontId="7" fillId="24" borderId="3" xfId="0" applyFont="1" applyFill="1" applyBorder="1" applyAlignment="1">
      <alignment horizontal="right" vertical="center" wrapText="1"/>
    </xf>
    <xf numFmtId="0" fontId="6" fillId="24" borderId="6" xfId="0" applyFont="1" applyFill="1" applyBorder="1" applyAlignment="1">
      <alignment horizontal="right" vertical="center" wrapText="1"/>
    </xf>
    <xf numFmtId="0" fontId="4" fillId="24" borderId="7" xfId="0" applyFont="1" applyFill="1" applyBorder="1" applyAlignment="1">
      <alignment horizontal="right" vertical="center"/>
    </xf>
    <xf numFmtId="0" fontId="7" fillId="24" borderId="6" xfId="0" applyFont="1" applyFill="1" applyBorder="1" applyAlignment="1">
      <alignment horizontal="right" vertical="center" wrapText="1"/>
    </xf>
    <xf numFmtId="0" fontId="7" fillId="24" borderId="6" xfId="0" applyNumberFormat="1" applyFont="1" applyFill="1" applyBorder="1" applyAlignment="1">
      <alignment horizontal="right" vertical="center" wrapText="1"/>
    </xf>
    <xf numFmtId="0" fontId="0" fillId="0" borderId="0" xfId="0" applyFont="1" applyFill="1" applyBorder="1" applyAlignment="1"/>
    <xf numFmtId="0" fontId="20" fillId="0" borderId="6" xfId="0" applyFont="1" applyFill="1" applyBorder="1" applyAlignment="1">
      <alignment horizontal="center" vertical="center" wrapText="1"/>
    </xf>
    <xf numFmtId="0" fontId="20" fillId="24" borderId="6" xfId="0" applyFont="1" applyFill="1" applyBorder="1" applyAlignment="1">
      <alignment horizontal="center" vertical="center" wrapText="1"/>
    </xf>
    <xf numFmtId="0" fontId="6" fillId="24" borderId="6" xfId="0" applyNumberFormat="1" applyFont="1" applyFill="1" applyBorder="1" applyAlignment="1">
      <alignment horizontal="right" vertical="center" wrapText="1"/>
    </xf>
    <xf numFmtId="0" fontId="20" fillId="17" borderId="6" xfId="0" applyFont="1" applyFill="1" applyBorder="1" applyAlignment="1">
      <alignment horizontal="center" vertical="center" wrapText="1"/>
    </xf>
    <xf numFmtId="0" fontId="20" fillId="15" borderId="6" xfId="0" applyFont="1" applyFill="1" applyBorder="1" applyAlignment="1">
      <alignment horizontal="center" vertical="center" wrapText="1"/>
    </xf>
    <xf numFmtId="0" fontId="7" fillId="24" borderId="3" xfId="0" applyFont="1" applyFill="1" applyBorder="1" applyAlignment="1">
      <alignment horizontal="left" vertical="center" wrapText="1"/>
    </xf>
    <xf numFmtId="0" fontId="21" fillId="24" borderId="6" xfId="0" applyFont="1" applyFill="1" applyBorder="1" applyAlignment="1">
      <alignment horizontal="center" vertical="center" wrapText="1"/>
    </xf>
    <xf numFmtId="0" fontId="7" fillId="24" borderId="6" xfId="0" applyNumberFormat="1" applyFont="1" applyFill="1" applyBorder="1" applyAlignment="1">
      <alignment horizontal="left" vertical="center" wrapText="1"/>
    </xf>
    <xf numFmtId="0" fontId="21" fillId="17" borderId="6" xfId="0" applyFont="1" applyFill="1" applyBorder="1" applyAlignment="1">
      <alignment horizontal="center" vertical="center" wrapText="1"/>
    </xf>
    <xf numFmtId="0" fontId="21" fillId="15" borderId="6" xfId="0" applyFont="1" applyFill="1" applyBorder="1" applyAlignment="1">
      <alignment horizontal="center" vertical="center" wrapText="1"/>
    </xf>
    <xf numFmtId="0" fontId="7" fillId="24" borderId="6" xfId="0" applyFont="1" applyFill="1" applyBorder="1" applyAlignment="1">
      <alignment horizontal="left" vertical="center" wrapText="1"/>
    </xf>
    <xf numFmtId="0" fontId="0" fillId="15" borderId="0" xfId="0" applyFill="1"/>
    <xf numFmtId="0" fontId="0" fillId="0" borderId="0" xfId="0" applyFont="1"/>
    <xf numFmtId="0" fontId="8" fillId="20" borderId="6" xfId="0" applyNumberFormat="1" applyFont="1" applyFill="1" applyBorder="1" applyAlignment="1">
      <alignment horizontal="right" vertical="center" wrapText="1"/>
    </xf>
    <xf numFmtId="0" fontId="22" fillId="13" borderId="4" xfId="0" applyFont="1" applyFill="1" applyBorder="1" applyAlignment="1">
      <alignment horizontal="right" vertical="center" wrapText="1"/>
    </xf>
    <xf numFmtId="0" fontId="8" fillId="13" borderId="6" xfId="0" applyNumberFormat="1" applyFont="1" applyFill="1" applyBorder="1" applyAlignment="1">
      <alignment horizontal="right" vertical="center" wrapText="1"/>
    </xf>
    <xf numFmtId="0" fontId="7" fillId="13" borderId="6" xfId="0" applyNumberFormat="1" applyFont="1" applyFill="1" applyBorder="1" applyAlignment="1">
      <alignment horizontal="right" vertical="center" wrapText="1"/>
    </xf>
    <xf numFmtId="0" fontId="8" fillId="15" borderId="6" xfId="0" applyNumberFormat="1" applyFont="1" applyFill="1" applyBorder="1" applyAlignment="1">
      <alignment horizontal="right" vertical="center" wrapText="1"/>
    </xf>
    <xf numFmtId="0" fontId="7" fillId="15" borderId="6" xfId="0" applyNumberFormat="1" applyFont="1" applyFill="1" applyBorder="1" applyAlignment="1">
      <alignment horizontal="right" vertical="center" wrapText="1"/>
    </xf>
    <xf numFmtId="0" fontId="7" fillId="8" borderId="5" xfId="0" applyFont="1" applyFill="1" applyBorder="1" applyAlignment="1">
      <alignment horizontal="right" vertical="center" wrapText="1"/>
    </xf>
    <xf numFmtId="0" fontId="8" fillId="8" borderId="6" xfId="0" applyFont="1" applyFill="1" applyBorder="1" applyAlignment="1">
      <alignment horizontal="right" vertical="center" wrapText="1"/>
    </xf>
    <xf numFmtId="0" fontId="6" fillId="13" borderId="6" xfId="0" applyNumberFormat="1" applyFont="1" applyFill="1" applyBorder="1" applyAlignment="1">
      <alignment horizontal="right" vertical="center" wrapText="1"/>
    </xf>
    <xf numFmtId="0" fontId="7" fillId="13" borderId="5" xfId="0" applyFont="1" applyFill="1" applyBorder="1" applyAlignment="1">
      <alignment horizontal="right" vertical="center" wrapText="1"/>
    </xf>
    <xf numFmtId="0" fontId="6" fillId="15" borderId="6" xfId="0" applyNumberFormat="1" applyFont="1" applyFill="1" applyBorder="1" applyAlignment="1">
      <alignment horizontal="right" vertical="center" wrapText="1"/>
    </xf>
    <xf numFmtId="0" fontId="7" fillId="15" borderId="5" xfId="0" applyFont="1" applyFill="1" applyBorder="1" applyAlignment="1">
      <alignment horizontal="right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7" borderId="3" xfId="0" applyFont="1" applyFill="1" applyBorder="1" applyAlignment="1">
      <alignment horizontal="right" vertical="center" wrapText="1"/>
    </xf>
    <xf numFmtId="0" fontId="5" fillId="8" borderId="6" xfId="0" applyFont="1" applyFill="1" applyBorder="1" applyAlignment="1">
      <alignment horizontal="right" vertical="center" wrapText="1"/>
    </xf>
    <xf numFmtId="0" fontId="5" fillId="20" borderId="3" xfId="0" applyFont="1" applyFill="1" applyBorder="1" applyAlignment="1">
      <alignment horizontal="right" vertical="center" wrapText="1"/>
    </xf>
    <xf numFmtId="0" fontId="5" fillId="20" borderId="14" xfId="0" applyFont="1" applyFill="1" applyBorder="1" applyAlignment="1">
      <alignment horizontal="right" vertical="center" wrapText="1"/>
    </xf>
    <xf numFmtId="0" fontId="5" fillId="13" borderId="14" xfId="0" applyFont="1" applyFill="1" applyBorder="1" applyAlignment="1">
      <alignment horizontal="right" vertical="center" wrapText="1"/>
    </xf>
    <xf numFmtId="0" fontId="7" fillId="13" borderId="6" xfId="0" applyNumberFormat="1" applyFont="1" applyFill="1" applyBorder="1" applyAlignment="1">
      <alignment horizontal="left" vertical="center" wrapText="1"/>
    </xf>
    <xf numFmtId="0" fontId="5" fillId="15" borderId="14" xfId="0" applyFont="1" applyFill="1" applyBorder="1" applyAlignment="1">
      <alignment horizontal="right" vertical="center" wrapText="1"/>
    </xf>
    <xf numFmtId="0" fontId="7" fillId="15" borderId="6" xfId="0" applyNumberFormat="1" applyFont="1" applyFill="1" applyBorder="1" applyAlignment="1">
      <alignment horizontal="left" vertical="center" wrapText="1"/>
    </xf>
    <xf numFmtId="0" fontId="5" fillId="4" borderId="3" xfId="0" applyFont="1" applyFill="1" applyBorder="1" applyAlignment="1">
      <alignment horizontal="right" vertical="center" wrapText="1"/>
    </xf>
    <xf numFmtId="0" fontId="19" fillId="20" borderId="14" xfId="0" applyFont="1" applyFill="1" applyBorder="1" applyAlignment="1">
      <alignment horizontal="right" vertical="center" wrapText="1"/>
    </xf>
    <xf numFmtId="0" fontId="12" fillId="18" borderId="4" xfId="0" applyFont="1" applyFill="1" applyBorder="1" applyAlignment="1">
      <alignment horizontal="right" vertical="center" wrapText="1"/>
    </xf>
    <xf numFmtId="0" fontId="8" fillId="8" borderId="6" xfId="0" applyNumberFormat="1" applyFont="1" applyFill="1" applyBorder="1" applyAlignment="1">
      <alignment horizontal="right" vertical="center" wrapText="1"/>
    </xf>
    <xf numFmtId="0" fontId="7" fillId="19" borderId="5" xfId="0" applyFont="1" applyFill="1" applyBorder="1" applyAlignment="1">
      <alignment horizontal="right" vertical="center" wrapText="1"/>
    </xf>
    <xf numFmtId="0" fontId="8" fillId="18" borderId="6" xfId="0" applyFont="1" applyFill="1" applyBorder="1" applyAlignment="1">
      <alignment horizontal="right" vertical="center" wrapText="1"/>
    </xf>
    <xf numFmtId="0" fontId="19" fillId="15" borderId="14" xfId="0" applyFont="1" applyFill="1" applyBorder="1" applyAlignment="1">
      <alignment horizontal="right" vertical="center" wrapText="1"/>
    </xf>
    <xf numFmtId="0" fontId="5" fillId="15" borderId="3" xfId="0" applyFont="1" applyFill="1" applyBorder="1" applyAlignment="1">
      <alignment horizontal="right" vertical="center" wrapText="1"/>
    </xf>
    <xf numFmtId="0" fontId="5" fillId="19" borderId="3" xfId="0" applyFont="1" applyFill="1" applyBorder="1" applyAlignment="1">
      <alignment horizontal="right" vertical="center" wrapText="1"/>
    </xf>
    <xf numFmtId="0" fontId="5" fillId="19" borderId="6" xfId="0" applyFont="1" applyFill="1" applyBorder="1" applyAlignment="1">
      <alignment horizontal="right" vertical="center" wrapText="1"/>
    </xf>
    <xf numFmtId="0" fontId="19" fillId="19" borderId="6" xfId="0" applyFont="1" applyFill="1" applyBorder="1" applyAlignment="1">
      <alignment horizontal="right" vertical="center" wrapText="1"/>
    </xf>
    <xf numFmtId="0" fontId="5" fillId="18" borderId="3" xfId="0" applyFont="1" applyFill="1" applyBorder="1" applyAlignment="1">
      <alignment horizontal="right" vertical="center" wrapText="1"/>
    </xf>
    <xf numFmtId="0" fontId="19" fillId="18" borderId="3" xfId="0" applyFont="1" applyFill="1" applyBorder="1" applyAlignment="1">
      <alignment horizontal="right" vertical="center" wrapText="1"/>
    </xf>
    <xf numFmtId="0" fontId="5" fillId="8" borderId="14" xfId="0" applyFont="1" applyFill="1" applyBorder="1" applyAlignment="1">
      <alignment horizontal="right" vertical="center" wrapText="1"/>
    </xf>
    <xf numFmtId="0" fontId="19" fillId="8" borderId="14" xfId="0" applyFont="1" applyFill="1" applyBorder="1" applyAlignment="1">
      <alignment horizontal="right" vertical="center" wrapText="1"/>
    </xf>
    <xf numFmtId="0" fontId="5" fillId="17" borderId="6" xfId="0" applyFont="1" applyFill="1" applyBorder="1" applyAlignment="1">
      <alignment horizontal="right" vertical="center" wrapText="1"/>
    </xf>
    <xf numFmtId="0" fontId="5" fillId="17" borderId="3" xfId="0" applyFont="1" applyFill="1" applyBorder="1" applyAlignment="1">
      <alignment horizontal="right" vertical="center" wrapText="1"/>
    </xf>
    <xf numFmtId="0" fontId="19" fillId="16" borderId="3" xfId="0" applyFont="1" applyFill="1" applyBorder="1" applyAlignment="1">
      <alignment horizontal="right" vertical="center" wrapText="1"/>
    </xf>
    <xf numFmtId="0" fontId="4" fillId="16" borderId="7" xfId="0" applyFont="1" applyFill="1" applyBorder="1" applyAlignment="1">
      <alignment horizontal="right" vertical="center"/>
    </xf>
    <xf numFmtId="0" fontId="8" fillId="16" borderId="6" xfId="0" applyNumberFormat="1" applyFont="1" applyFill="1" applyBorder="1" applyAlignment="1">
      <alignment horizontal="right" vertical="center" wrapText="1"/>
    </xf>
    <xf numFmtId="0" fontId="7" fillId="16" borderId="6" xfId="0" applyNumberFormat="1" applyFont="1" applyFill="1" applyBorder="1" applyAlignment="1">
      <alignment horizontal="right" vertical="center" wrapText="1"/>
    </xf>
    <xf numFmtId="0" fontId="22" fillId="13" borderId="6" xfId="0" applyFont="1" applyFill="1" applyBorder="1" applyAlignment="1">
      <alignment horizontal="right" vertical="center" wrapText="1"/>
    </xf>
    <xf numFmtId="0" fontId="23" fillId="13" borderId="6" xfId="0" applyFont="1" applyFill="1" applyBorder="1" applyAlignment="1">
      <alignment horizontal="right" vertical="center" wrapText="1"/>
    </xf>
    <xf numFmtId="0" fontId="22" fillId="13" borderId="8" xfId="0" applyFont="1" applyFill="1" applyBorder="1" applyAlignment="1">
      <alignment horizontal="right" vertical="center" wrapText="1"/>
    </xf>
    <xf numFmtId="0" fontId="13" fillId="4" borderId="8" xfId="0" applyFont="1" applyFill="1" applyBorder="1" applyAlignment="1">
      <alignment horizontal="right" vertical="center" wrapText="1"/>
    </xf>
    <xf numFmtId="0" fontId="22" fillId="25" borderId="4" xfId="0" applyFont="1" applyFill="1" applyBorder="1" applyAlignment="1">
      <alignment horizontal="right" vertical="center" wrapText="1"/>
    </xf>
    <xf numFmtId="0" fontId="22" fillId="25" borderId="6" xfId="0" applyFont="1" applyFill="1" applyBorder="1" applyAlignment="1">
      <alignment horizontal="right" vertical="center" wrapText="1"/>
    </xf>
    <xf numFmtId="0" fontId="23" fillId="25" borderId="6" xfId="0" applyFont="1" applyFill="1" applyBorder="1" applyAlignment="1">
      <alignment horizontal="right" vertical="center" wrapText="1"/>
    </xf>
    <xf numFmtId="0" fontId="22" fillId="25" borderId="8" xfId="0" applyFont="1" applyFill="1" applyBorder="1" applyAlignment="1">
      <alignment horizontal="right" vertical="center" wrapText="1"/>
    </xf>
    <xf numFmtId="0" fontId="12" fillId="19" borderId="4" xfId="0" applyFont="1" applyFill="1" applyBorder="1" applyAlignment="1">
      <alignment horizontal="right" vertical="center" wrapText="1"/>
    </xf>
    <xf numFmtId="0" fontId="22" fillId="16" borderId="4" xfId="0" applyFont="1" applyFill="1" applyBorder="1" applyAlignment="1">
      <alignment horizontal="right" vertical="center" wrapText="1"/>
    </xf>
    <xf numFmtId="0" fontId="22" fillId="16" borderId="6" xfId="0" applyFont="1" applyFill="1" applyBorder="1" applyAlignment="1">
      <alignment horizontal="right" vertical="center" wrapText="1"/>
    </xf>
    <xf numFmtId="0" fontId="23" fillId="16" borderId="6" xfId="0" applyFont="1" applyFill="1" applyBorder="1" applyAlignment="1">
      <alignment horizontal="right" vertical="center" wrapText="1"/>
    </xf>
    <xf numFmtId="0" fontId="22" fillId="16" borderId="8" xfId="0" applyFont="1" applyFill="1" applyBorder="1" applyAlignment="1">
      <alignment horizontal="right" vertical="center" wrapText="1"/>
    </xf>
    <xf numFmtId="0" fontId="6" fillId="16" borderId="6" xfId="0" applyNumberFormat="1" applyFont="1" applyFill="1" applyBorder="1" applyAlignment="1">
      <alignment horizontal="right" vertical="center" wrapText="1"/>
    </xf>
    <xf numFmtId="0" fontId="7" fillId="24" borderId="5" xfId="0" applyFont="1" applyFill="1" applyBorder="1" applyAlignment="1">
      <alignment horizontal="right" vertical="center" wrapText="1"/>
    </xf>
    <xf numFmtId="0" fontId="8" fillId="24" borderId="6" xfId="0" applyFont="1" applyFill="1" applyBorder="1" applyAlignment="1">
      <alignment horizontal="right" vertical="center" wrapText="1"/>
    </xf>
    <xf numFmtId="0" fontId="12" fillId="20" borderId="6" xfId="0" applyNumberFormat="1" applyFont="1" applyFill="1" applyBorder="1" applyAlignment="1">
      <alignment horizontal="right" vertical="center" wrapText="1"/>
    </xf>
    <xf numFmtId="0" fontId="22" fillId="13" borderId="6" xfId="0" applyNumberFormat="1" applyFont="1" applyFill="1" applyBorder="1" applyAlignment="1">
      <alignment horizontal="right" vertical="center" wrapText="1"/>
    </xf>
    <xf numFmtId="0" fontId="12" fillId="15" borderId="6" xfId="0" applyNumberFormat="1" applyFont="1" applyFill="1" applyBorder="1" applyAlignment="1">
      <alignment horizontal="right" vertical="center" wrapText="1"/>
    </xf>
    <xf numFmtId="0" fontId="12" fillId="15" borderId="8" xfId="0" applyNumberFormat="1" applyFont="1" applyFill="1" applyBorder="1" applyAlignment="1">
      <alignment horizontal="right" vertical="center" wrapText="1"/>
    </xf>
    <xf numFmtId="0" fontId="22" fillId="25" borderId="6" xfId="0" applyNumberFormat="1" applyFont="1" applyFill="1" applyBorder="1" applyAlignment="1">
      <alignment horizontal="right" vertical="center" wrapText="1"/>
    </xf>
    <xf numFmtId="0" fontId="12" fillId="19" borderId="6" xfId="0" applyNumberFormat="1" applyFont="1" applyFill="1" applyBorder="1" applyAlignment="1">
      <alignment horizontal="right" vertical="center" wrapText="1"/>
    </xf>
    <xf numFmtId="0" fontId="12" fillId="19" borderId="8" xfId="0" applyNumberFormat="1" applyFont="1" applyFill="1" applyBorder="1" applyAlignment="1">
      <alignment horizontal="right" vertical="center" wrapText="1"/>
    </xf>
    <xf numFmtId="0" fontId="12" fillId="17" borderId="6" xfId="0" applyNumberFormat="1" applyFont="1" applyFill="1" applyBorder="1" applyAlignment="1">
      <alignment horizontal="right" vertical="center" wrapText="1"/>
    </xf>
    <xf numFmtId="0" fontId="22" fillId="16" borderId="6" xfId="0" applyNumberFormat="1" applyFont="1" applyFill="1" applyBorder="1" applyAlignment="1">
      <alignment horizontal="right" vertical="center" wrapText="1"/>
    </xf>
    <xf numFmtId="0" fontId="5" fillId="16" borderId="3" xfId="0" applyFont="1" applyFill="1" applyBorder="1" applyAlignment="1">
      <alignment horizontal="right" vertical="center" wrapText="1"/>
    </xf>
    <xf numFmtId="0" fontId="5" fillId="16" borderId="14" xfId="0" applyFont="1" applyFill="1" applyBorder="1" applyAlignment="1">
      <alignment horizontal="right" vertical="center" wrapText="1"/>
    </xf>
    <xf numFmtId="0" fontId="7" fillId="16" borderId="6" xfId="0" applyNumberFormat="1" applyFont="1" applyFill="1" applyBorder="1" applyAlignment="1">
      <alignment horizontal="left" vertical="center" wrapText="1"/>
    </xf>
    <xf numFmtId="0" fontId="19" fillId="16" borderId="14" xfId="0" applyFont="1" applyFill="1" applyBorder="1" applyAlignment="1">
      <alignment horizontal="right" vertical="center" wrapText="1"/>
    </xf>
    <xf numFmtId="0" fontId="14" fillId="0" borderId="14" xfId="0" applyFont="1" applyFill="1" applyBorder="1" applyAlignment="1">
      <alignment horizontal="right" vertical="center"/>
    </xf>
    <xf numFmtId="0" fontId="4" fillId="13" borderId="6" xfId="0" applyFont="1" applyFill="1" applyBorder="1" applyAlignment="1">
      <alignment horizontal="right" vertical="center"/>
    </xf>
    <xf numFmtId="0" fontId="12" fillId="13" borderId="6" xfId="0" applyNumberFormat="1" applyFont="1" applyFill="1" applyBorder="1" applyAlignment="1">
      <alignment horizontal="right" vertical="center" wrapText="1"/>
    </xf>
    <xf numFmtId="0" fontId="12" fillId="13" borderId="8" xfId="0" applyNumberFormat="1" applyFont="1" applyFill="1" applyBorder="1" applyAlignment="1">
      <alignment horizontal="right" vertical="center" wrapText="1"/>
    </xf>
    <xf numFmtId="0" fontId="7" fillId="20" borderId="14" xfId="0" applyFont="1" applyFill="1" applyBorder="1" applyAlignment="1">
      <alignment horizontal="right" vertical="center" wrapText="1"/>
    </xf>
    <xf numFmtId="0" fontId="7" fillId="13" borderId="14" xfId="0" applyFont="1" applyFill="1" applyBorder="1" applyAlignment="1">
      <alignment horizontal="right" vertical="center" wrapText="1"/>
    </xf>
    <xf numFmtId="0" fontId="7" fillId="7" borderId="6" xfId="0" applyNumberFormat="1" applyFont="1" applyFill="1" applyBorder="1" applyAlignment="1">
      <alignment horizontal="right" vertical="center" wrapText="1"/>
    </xf>
    <xf numFmtId="0" fontId="6" fillId="7" borderId="6" xfId="0" applyNumberFormat="1" applyFont="1" applyFill="1" applyBorder="1" applyAlignment="1">
      <alignment horizontal="right" vertical="center" wrapText="1"/>
    </xf>
    <xf numFmtId="0" fontId="7" fillId="7" borderId="5" xfId="0" applyFont="1" applyFill="1" applyBorder="1" applyAlignment="1">
      <alignment horizontal="right" vertical="center" wrapText="1"/>
    </xf>
    <xf numFmtId="0" fontId="8" fillId="7" borderId="6" xfId="0" applyFont="1" applyFill="1" applyBorder="1" applyAlignment="1">
      <alignment horizontal="center" vertical="center" wrapText="1"/>
    </xf>
    <xf numFmtId="0" fontId="7" fillId="7" borderId="6" xfId="0" applyNumberFormat="1" applyFont="1" applyFill="1" applyBorder="1" applyAlignment="1">
      <alignment horizontal="left" vertical="center" wrapText="1"/>
    </xf>
    <xf numFmtId="0" fontId="7" fillId="15" borderId="14" xfId="0" applyFont="1" applyFill="1" applyBorder="1" applyAlignment="1">
      <alignment horizontal="right" vertical="center" wrapText="1"/>
    </xf>
    <xf numFmtId="0" fontId="8" fillId="4" borderId="6" xfId="0" applyFont="1" applyFill="1" applyBorder="1" applyAlignment="1">
      <alignment horizontal="center" vertical="center" wrapText="1"/>
    </xf>
    <xf numFmtId="0" fontId="12" fillId="13" borderId="4" xfId="0" applyFont="1" applyFill="1" applyBorder="1" applyAlignment="1">
      <alignment horizontal="right" vertical="center" wrapText="1"/>
    </xf>
    <xf numFmtId="0" fontId="7" fillId="4" borderId="8" xfId="0" applyFont="1" applyFill="1" applyBorder="1" applyAlignment="1">
      <alignment horizontal="right" vertical="center" wrapText="1"/>
    </xf>
    <xf numFmtId="0" fontId="8" fillId="7" borderId="6" xfId="0" applyNumberFormat="1" applyFont="1" applyFill="1" applyBorder="1" applyAlignment="1">
      <alignment horizontal="right" vertical="center" wrapText="1"/>
    </xf>
    <xf numFmtId="0" fontId="4" fillId="4" borderId="7" xfId="0" applyFont="1" applyFill="1" applyBorder="1" applyAlignment="1">
      <alignment horizontal="right" vertical="center"/>
    </xf>
    <xf numFmtId="0" fontId="8" fillId="4" borderId="6" xfId="0" applyNumberFormat="1" applyFont="1" applyFill="1" applyBorder="1" applyAlignment="1">
      <alignment horizontal="right" vertical="center" wrapText="1"/>
    </xf>
    <xf numFmtId="0" fontId="7" fillId="4" borderId="6" xfId="0" applyNumberFormat="1" applyFont="1" applyFill="1" applyBorder="1" applyAlignment="1">
      <alignment horizontal="right" vertical="center" wrapText="1"/>
    </xf>
    <xf numFmtId="0" fontId="6" fillId="4" borderId="6" xfId="0" applyNumberFormat="1" applyFont="1" applyFill="1" applyBorder="1" applyAlignment="1">
      <alignment horizontal="right" vertical="center" wrapText="1"/>
    </xf>
    <xf numFmtId="0" fontId="7" fillId="4" borderId="5" xfId="0" applyFont="1" applyFill="1" applyBorder="1" applyAlignment="1">
      <alignment horizontal="right" vertical="center" wrapText="1"/>
    </xf>
    <xf numFmtId="0" fontId="7" fillId="7" borderId="14" xfId="0" applyFont="1" applyFill="1" applyBorder="1" applyAlignment="1">
      <alignment horizontal="right" vertical="center" wrapText="1"/>
    </xf>
    <xf numFmtId="0" fontId="7" fillId="8" borderId="14" xfId="0" applyFont="1" applyFill="1" applyBorder="1" applyAlignment="1">
      <alignment horizontal="right" vertical="center" wrapText="1"/>
    </xf>
    <xf numFmtId="0" fontId="7" fillId="4" borderId="14" xfId="0" applyFont="1" applyFill="1" applyBorder="1" applyAlignment="1">
      <alignment horizontal="right" vertical="center" wrapText="1"/>
    </xf>
    <xf numFmtId="0" fontId="7" fillId="4" borderId="6" xfId="0" applyNumberFormat="1" applyFont="1" applyFill="1" applyBorder="1" applyAlignment="1">
      <alignment horizontal="left" vertical="center" wrapText="1"/>
    </xf>
    <xf numFmtId="0" fontId="12" fillId="7" borderId="4" xfId="0" applyFont="1" applyFill="1" applyBorder="1" applyAlignment="1">
      <alignment horizontal="right" vertical="center" wrapText="1"/>
    </xf>
    <xf numFmtId="0" fontId="12" fillId="7" borderId="8" xfId="0" applyFont="1" applyFill="1" applyBorder="1" applyAlignment="1">
      <alignment horizontal="right" vertical="center" wrapText="1"/>
    </xf>
    <xf numFmtId="0" fontId="13" fillId="7" borderId="8" xfId="0" applyFont="1" applyFill="1" applyBorder="1" applyAlignment="1">
      <alignment horizontal="right" vertical="center" wrapText="1"/>
    </xf>
    <xf numFmtId="0" fontId="12" fillId="7" borderId="6" xfId="0" applyNumberFormat="1" applyFont="1" applyFill="1" applyBorder="1" applyAlignment="1">
      <alignment horizontal="right" vertical="center" wrapText="1"/>
    </xf>
    <xf numFmtId="0" fontId="12" fillId="7" borderId="8" xfId="0" applyNumberFormat="1" applyFont="1" applyFill="1" applyBorder="1" applyAlignment="1">
      <alignment horizontal="right" vertical="center" wrapText="1"/>
    </xf>
    <xf numFmtId="0" fontId="4" fillId="26" borderId="7" xfId="0" applyFont="1" applyFill="1" applyBorder="1" applyAlignment="1">
      <alignment horizontal="right" vertical="center"/>
    </xf>
    <xf numFmtId="0" fontId="4" fillId="26" borderId="4" xfId="0" applyFont="1" applyFill="1" applyBorder="1" applyAlignment="1">
      <alignment horizontal="right" vertical="center"/>
    </xf>
    <xf numFmtId="0" fontId="4" fillId="26" borderId="6" xfId="0" applyFont="1" applyFill="1" applyBorder="1" applyAlignment="1">
      <alignment horizontal="right" vertical="center"/>
    </xf>
    <xf numFmtId="0" fontId="6" fillId="26" borderId="6" xfId="0" applyFont="1" applyFill="1" applyBorder="1" applyAlignment="1">
      <alignment horizontal="right" vertical="center" wrapText="1"/>
    </xf>
    <xf numFmtId="0" fontId="8" fillId="26" borderId="6" xfId="0" applyNumberFormat="1" applyFont="1" applyFill="1" applyBorder="1" applyAlignment="1">
      <alignment horizontal="right" vertical="center" wrapText="1"/>
    </xf>
    <xf numFmtId="0" fontId="7" fillId="26" borderId="6" xfId="0" applyFont="1" applyFill="1" applyBorder="1" applyAlignment="1">
      <alignment horizontal="right" vertical="center" wrapText="1"/>
    </xf>
    <xf numFmtId="0" fontId="7" fillId="26" borderId="6" xfId="0" applyNumberFormat="1" applyFont="1" applyFill="1" applyBorder="1" applyAlignment="1">
      <alignment horizontal="right" vertical="center" wrapText="1"/>
    </xf>
    <xf numFmtId="0" fontId="12" fillId="26" borderId="4" xfId="0" applyFont="1" applyFill="1" applyBorder="1" applyAlignment="1">
      <alignment horizontal="right" vertical="center" wrapText="1"/>
    </xf>
    <xf numFmtId="0" fontId="12" fillId="26" borderId="6" xfId="0" applyFont="1" applyFill="1" applyBorder="1" applyAlignment="1">
      <alignment horizontal="right" vertical="center" wrapText="1"/>
    </xf>
    <xf numFmtId="0" fontId="13" fillId="26" borderId="6" xfId="0" applyFont="1" applyFill="1" applyBorder="1" applyAlignment="1">
      <alignment horizontal="right" vertical="center" wrapText="1"/>
    </xf>
    <xf numFmtId="0" fontId="12" fillId="26" borderId="15" xfId="0" applyFont="1" applyFill="1" applyBorder="1" applyAlignment="1">
      <alignment horizontal="right" vertical="center" wrapText="1"/>
    </xf>
    <xf numFmtId="0" fontId="12" fillId="26" borderId="8" xfId="0" applyFont="1" applyFill="1" applyBorder="1" applyAlignment="1">
      <alignment horizontal="right" vertical="center" wrapText="1"/>
    </xf>
    <xf numFmtId="0" fontId="13" fillId="26" borderId="8" xfId="0" applyFont="1" applyFill="1" applyBorder="1" applyAlignment="1">
      <alignment horizontal="right" vertical="center" wrapText="1"/>
    </xf>
    <xf numFmtId="0" fontId="6" fillId="26" borderId="6" xfId="0" applyNumberFormat="1" applyFont="1" applyFill="1" applyBorder="1" applyAlignment="1">
      <alignment horizontal="right" vertical="center" wrapText="1"/>
    </xf>
    <xf numFmtId="0" fontId="7" fillId="26" borderId="5" xfId="0" applyFont="1" applyFill="1" applyBorder="1" applyAlignment="1">
      <alignment horizontal="right" vertical="center" wrapText="1"/>
    </xf>
    <xf numFmtId="0" fontId="8" fillId="26" borderId="6" xfId="0" applyFont="1" applyFill="1" applyBorder="1" applyAlignment="1">
      <alignment horizontal="right" vertical="center" wrapText="1"/>
    </xf>
    <xf numFmtId="0" fontId="12" fillId="26" borderId="6" xfId="0" applyNumberFormat="1" applyFont="1" applyFill="1" applyBorder="1" applyAlignment="1">
      <alignment horizontal="right" vertical="center" wrapText="1"/>
    </xf>
    <xf numFmtId="0" fontId="12" fillId="26" borderId="8" xfId="0" applyNumberFormat="1" applyFont="1" applyFill="1" applyBorder="1" applyAlignment="1">
      <alignment horizontal="right" vertical="center" wrapText="1"/>
    </xf>
    <xf numFmtId="0" fontId="8" fillId="26" borderId="6" xfId="0" applyFont="1" applyFill="1" applyBorder="1" applyAlignment="1">
      <alignment horizontal="center" vertical="center" wrapText="1"/>
    </xf>
    <xf numFmtId="0" fontId="7" fillId="26" borderId="14" xfId="0" applyFont="1" applyFill="1" applyBorder="1" applyAlignment="1">
      <alignment horizontal="right" vertical="center" wrapText="1"/>
    </xf>
    <xf numFmtId="0" fontId="7" fillId="26" borderId="6" xfId="0" applyNumberFormat="1" applyFont="1" applyFill="1" applyBorder="1" applyAlignment="1">
      <alignment horizontal="left" vertical="center" wrapText="1"/>
    </xf>
    <xf numFmtId="0" fontId="7" fillId="26" borderId="3" xfId="0" applyFont="1" applyFill="1" applyBorder="1" applyAlignment="1">
      <alignment horizontal="right" vertical="center" wrapText="1"/>
    </xf>
    <xf numFmtId="0" fontId="7" fillId="26" borderId="6" xfId="0" applyFont="1" applyFill="1" applyBorder="1" applyAlignment="1">
      <alignment horizontal="left" vertical="center" wrapText="1"/>
    </xf>
    <xf numFmtId="0" fontId="4" fillId="7" borderId="6" xfId="0" applyFont="1" applyFill="1" applyBorder="1" applyAlignment="1">
      <alignment horizontal="right" vertical="center"/>
    </xf>
    <xf numFmtId="0" fontId="4" fillId="8" borderId="6" xfId="0" applyFont="1" applyFill="1" applyBorder="1" applyAlignment="1">
      <alignment horizontal="right" vertical="center"/>
    </xf>
    <xf numFmtId="0" fontId="4" fillId="4" borderId="6" xfId="0" applyFont="1" applyFill="1" applyBorder="1" applyAlignment="1">
      <alignment horizontal="right" vertical="center"/>
    </xf>
    <xf numFmtId="0" fontId="12" fillId="16" borderId="6" xfId="0" applyNumberFormat="1" applyFont="1" applyFill="1" applyBorder="1" applyAlignment="1">
      <alignment horizontal="right" vertical="center" wrapText="1"/>
    </xf>
    <xf numFmtId="0" fontId="12" fillId="8" borderId="6" xfId="0" applyNumberFormat="1" applyFont="1" applyFill="1" applyBorder="1" applyAlignment="1">
      <alignment horizontal="right" vertical="center" wrapText="1"/>
    </xf>
    <xf numFmtId="0" fontId="12" fillId="4" borderId="6" xfId="0" applyNumberFormat="1" applyFont="1" applyFill="1" applyBorder="1" applyAlignment="1">
      <alignment horizontal="right" vertical="center" wrapText="1"/>
    </xf>
    <xf numFmtId="0" fontId="12" fillId="4" borderId="8" xfId="0" applyNumberFormat="1" applyFont="1" applyFill="1" applyBorder="1" applyAlignment="1">
      <alignment horizontal="right" vertical="center" wrapText="1"/>
    </xf>
    <xf numFmtId="0" fontId="4" fillId="20" borderId="6" xfId="0" applyFont="1" applyFill="1" applyBorder="1" applyAlignment="1">
      <alignment horizontal="right" vertical="center"/>
    </xf>
    <xf numFmtId="0" fontId="5" fillId="20" borderId="4" xfId="0" applyFont="1" applyFill="1" applyBorder="1" applyAlignment="1">
      <alignment horizontal="right" vertical="center" wrapText="1"/>
    </xf>
    <xf numFmtId="0" fontId="5" fillId="20" borderId="15" xfId="0" applyFont="1" applyFill="1" applyBorder="1" applyAlignment="1">
      <alignment horizontal="right" vertical="center" wrapText="1"/>
    </xf>
    <xf numFmtId="0" fontId="4" fillId="27" borderId="7" xfId="0" applyFont="1" applyFill="1" applyBorder="1" applyAlignment="1">
      <alignment horizontal="right" vertical="center"/>
    </xf>
    <xf numFmtId="0" fontId="4" fillId="27" borderId="4" xfId="0" applyFont="1" applyFill="1" applyBorder="1" applyAlignment="1">
      <alignment horizontal="right" vertical="center"/>
    </xf>
    <xf numFmtId="0" fontId="5" fillId="27" borderId="4" xfId="0" applyFont="1" applyFill="1" applyBorder="1" applyAlignment="1">
      <alignment horizontal="right" vertical="center" wrapText="1"/>
    </xf>
    <xf numFmtId="0" fontId="6" fillId="27" borderId="6" xfId="0" applyFont="1" applyFill="1" applyBorder="1" applyAlignment="1">
      <alignment horizontal="right" vertical="center" wrapText="1"/>
    </xf>
    <xf numFmtId="0" fontId="8" fillId="27" borderId="6" xfId="0" applyNumberFormat="1" applyFont="1" applyFill="1" applyBorder="1" applyAlignment="1">
      <alignment horizontal="right" vertical="center" wrapText="1"/>
    </xf>
    <xf numFmtId="0" fontId="7" fillId="27" borderId="6" xfId="0" applyFont="1" applyFill="1" applyBorder="1" applyAlignment="1">
      <alignment horizontal="right" vertical="center" wrapText="1"/>
    </xf>
    <xf numFmtId="0" fontId="7" fillId="27" borderId="6" xfId="0" applyNumberFormat="1" applyFont="1" applyFill="1" applyBorder="1" applyAlignment="1">
      <alignment horizontal="right" vertical="center" wrapText="1"/>
    </xf>
    <xf numFmtId="0" fontId="5" fillId="17" borderId="4" xfId="0" applyFont="1" applyFill="1" applyBorder="1" applyAlignment="1">
      <alignment horizontal="right" vertical="center" wrapText="1"/>
    </xf>
    <xf numFmtId="0" fontId="8" fillId="17" borderId="6" xfId="0" applyNumberFormat="1" applyFont="1" applyFill="1" applyBorder="1" applyAlignment="1">
      <alignment horizontal="right" vertical="center" wrapText="1"/>
    </xf>
    <xf numFmtId="0" fontId="12" fillId="27" borderId="6" xfId="0" applyFont="1" applyFill="1" applyBorder="1" applyAlignment="1">
      <alignment horizontal="right" vertical="center" wrapText="1"/>
    </xf>
    <xf numFmtId="0" fontId="13" fillId="27" borderId="6" xfId="0" applyFont="1" applyFill="1" applyBorder="1" applyAlignment="1">
      <alignment horizontal="right" vertical="center" wrapText="1"/>
    </xf>
    <xf numFmtId="0" fontId="12" fillId="27" borderId="8" xfId="0" applyFont="1" applyFill="1" applyBorder="1" applyAlignment="1">
      <alignment horizontal="right" vertical="center" wrapText="1"/>
    </xf>
    <xf numFmtId="0" fontId="13" fillId="27" borderId="8" xfId="0" applyFont="1" applyFill="1" applyBorder="1" applyAlignment="1">
      <alignment horizontal="right" vertical="center" wrapText="1"/>
    </xf>
    <xf numFmtId="0" fontId="6" fillId="27" borderId="6" xfId="0" applyNumberFormat="1" applyFont="1" applyFill="1" applyBorder="1" applyAlignment="1">
      <alignment horizontal="right" vertical="center" wrapText="1"/>
    </xf>
    <xf numFmtId="0" fontId="7" fillId="27" borderId="5" xfId="0" applyFont="1" applyFill="1" applyBorder="1" applyAlignment="1">
      <alignment horizontal="right" vertical="center" wrapText="1"/>
    </xf>
    <xf numFmtId="0" fontId="8" fillId="27" borderId="6" xfId="0" applyFont="1" applyFill="1" applyBorder="1" applyAlignment="1">
      <alignment horizontal="right" vertical="center" wrapText="1"/>
    </xf>
    <xf numFmtId="0" fontId="12" fillId="20" borderId="8" xfId="0" applyNumberFormat="1" applyFont="1" applyFill="1" applyBorder="1" applyAlignment="1">
      <alignment horizontal="right" vertical="center" wrapText="1"/>
    </xf>
    <xf numFmtId="0" fontId="12" fillId="27" borderId="6" xfId="0" applyNumberFormat="1" applyFont="1" applyFill="1" applyBorder="1" applyAlignment="1">
      <alignment horizontal="right" vertical="center" wrapText="1"/>
    </xf>
    <xf numFmtId="0" fontId="12" fillId="27" borderId="8" xfId="0" applyNumberFormat="1" applyFont="1" applyFill="1" applyBorder="1" applyAlignment="1">
      <alignment horizontal="right" vertical="center" wrapText="1"/>
    </xf>
    <xf numFmtId="0" fontId="12" fillId="17" borderId="8" xfId="0" applyNumberFormat="1" applyFont="1" applyFill="1" applyBorder="1" applyAlignment="1">
      <alignment horizontal="right" vertical="center" wrapText="1"/>
    </xf>
    <xf numFmtId="0" fontId="8" fillId="27" borderId="6" xfId="0" applyFont="1" applyFill="1" applyBorder="1" applyAlignment="1">
      <alignment horizontal="center" vertical="center" wrapText="1"/>
    </xf>
    <xf numFmtId="0" fontId="7" fillId="27" borderId="14" xfId="0" applyFont="1" applyFill="1" applyBorder="1" applyAlignment="1">
      <alignment horizontal="right" vertical="center" wrapText="1"/>
    </xf>
    <xf numFmtId="0" fontId="7" fillId="27" borderId="6" xfId="0" applyNumberFormat="1" applyFont="1" applyFill="1" applyBorder="1" applyAlignment="1">
      <alignment horizontal="left" vertical="center" wrapText="1"/>
    </xf>
    <xf numFmtId="0" fontId="7" fillId="17" borderId="14" xfId="0" applyFont="1" applyFill="1" applyBorder="1" applyAlignment="1">
      <alignment horizontal="right" vertical="center" wrapText="1"/>
    </xf>
    <xf numFmtId="0" fontId="4" fillId="20" borderId="16" xfId="0" applyFont="1" applyFill="1" applyBorder="1" applyAlignment="1">
      <alignment horizontal="right" vertical="center"/>
    </xf>
    <xf numFmtId="0" fontId="4" fillId="20" borderId="15" xfId="0" applyFont="1" applyFill="1" applyBorder="1" applyAlignment="1">
      <alignment horizontal="right" vertical="center"/>
    </xf>
    <xf numFmtId="0" fontId="4" fillId="20" borderId="8" xfId="0" applyFont="1" applyFill="1" applyBorder="1" applyAlignment="1">
      <alignment horizontal="right" vertical="center"/>
    </xf>
    <xf numFmtId="0" fontId="6" fillId="20" borderId="8" xfId="0" applyFont="1" applyFill="1" applyBorder="1" applyAlignment="1">
      <alignment horizontal="right" vertical="center" wrapText="1"/>
    </xf>
    <xf numFmtId="0" fontId="8" fillId="20" borderId="8" xfId="0" applyNumberFormat="1" applyFont="1" applyFill="1" applyBorder="1" applyAlignment="1">
      <alignment horizontal="right" vertical="center" wrapText="1"/>
    </xf>
    <xf numFmtId="0" fontId="7" fillId="20" borderId="8" xfId="0" applyFont="1" applyFill="1" applyBorder="1" applyAlignment="1">
      <alignment horizontal="right" vertical="center" wrapText="1"/>
    </xf>
    <xf numFmtId="0" fontId="7" fillId="20" borderId="8" xfId="0" applyNumberFormat="1" applyFont="1" applyFill="1" applyBorder="1" applyAlignment="1">
      <alignment horizontal="right" vertical="center" wrapText="1"/>
    </xf>
    <xf numFmtId="0" fontId="4" fillId="7" borderId="4" xfId="0" applyNumberFormat="1" applyFont="1" applyFill="1" applyBorder="1" applyAlignment="1">
      <alignment horizontal="right" vertical="center"/>
    </xf>
    <xf numFmtId="0" fontId="4" fillId="7" borderId="8" xfId="0" applyFont="1" applyFill="1" applyBorder="1" applyAlignment="1">
      <alignment horizontal="right" vertical="center"/>
    </xf>
    <xf numFmtId="0" fontId="5" fillId="7" borderId="4" xfId="0" applyFont="1" applyFill="1" applyBorder="1" applyAlignment="1">
      <alignment horizontal="right" vertical="center" wrapText="1"/>
    </xf>
    <xf numFmtId="0" fontId="6" fillId="20" borderId="8" xfId="0" applyNumberFormat="1" applyFont="1" applyFill="1" applyBorder="1" applyAlignment="1">
      <alignment horizontal="right" vertical="center" wrapText="1"/>
    </xf>
    <xf numFmtId="0" fontId="7" fillId="20" borderId="17" xfId="0" applyFont="1" applyFill="1" applyBorder="1" applyAlignment="1">
      <alignment horizontal="right" vertical="center" wrapText="1"/>
    </xf>
    <xf numFmtId="0" fontId="8" fillId="20" borderId="8" xfId="0" applyFont="1" applyFill="1" applyBorder="1" applyAlignment="1">
      <alignment horizontal="right" vertical="center" wrapText="1"/>
    </xf>
    <xf numFmtId="0" fontId="14" fillId="0" borderId="0" xfId="0" applyFont="1"/>
    <xf numFmtId="0" fontId="8" fillId="20" borderId="8" xfId="0" applyFont="1" applyFill="1" applyBorder="1" applyAlignment="1">
      <alignment horizontal="center" vertical="center" wrapText="1"/>
    </xf>
    <xf numFmtId="0" fontId="7" fillId="20" borderId="8" xfId="0" applyNumberFormat="1" applyFont="1" applyFill="1" applyBorder="1" applyAlignment="1">
      <alignment horizontal="left" vertical="center" wrapText="1"/>
    </xf>
    <xf numFmtId="0" fontId="8" fillId="7" borderId="6" xfId="0" applyNumberFormat="1" applyFont="1" applyFill="1" applyBorder="1" applyAlignment="1">
      <alignment horizontal="center" vertical="center" wrapText="1"/>
    </xf>
    <xf numFmtId="0" fontId="8" fillId="7" borderId="8" xfId="0" applyFont="1" applyFill="1" applyBorder="1" applyAlignment="1">
      <alignment horizontal="center" vertical="center" wrapText="1"/>
    </xf>
    <xf numFmtId="0" fontId="5" fillId="26" borderId="5" xfId="0" applyFont="1" applyFill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4" fillId="8" borderId="4" xfId="0" applyNumberFormat="1" applyFont="1" applyFill="1" applyBorder="1" applyAlignment="1">
      <alignment horizontal="right" vertical="center"/>
    </xf>
    <xf numFmtId="0" fontId="8" fillId="8" borderId="6" xfId="0" applyFont="1" applyFill="1" applyBorder="1" applyAlignment="1">
      <alignment horizontal="right" vertical="center"/>
    </xf>
    <xf numFmtId="0" fontId="4" fillId="8" borderId="15" xfId="0" applyNumberFormat="1" applyFont="1" applyFill="1" applyBorder="1" applyAlignment="1">
      <alignment horizontal="right" vertical="center"/>
    </xf>
    <xf numFmtId="0" fontId="8" fillId="8" borderId="8" xfId="0" applyFont="1" applyFill="1" applyBorder="1" applyAlignment="1">
      <alignment horizontal="right" vertical="center"/>
    </xf>
    <xf numFmtId="0" fontId="6" fillId="8" borderId="8" xfId="0" applyFont="1" applyFill="1" applyBorder="1" applyAlignment="1">
      <alignment horizontal="right" vertical="center" wrapText="1"/>
    </xf>
    <xf numFmtId="0" fontId="8" fillId="8" borderId="8" xfId="0" applyNumberFormat="1" applyFont="1" applyFill="1" applyBorder="1" applyAlignment="1">
      <alignment horizontal="right" vertical="center" wrapText="1"/>
    </xf>
    <xf numFmtId="0" fontId="7" fillId="8" borderId="8" xfId="0" applyFont="1" applyFill="1" applyBorder="1" applyAlignment="1">
      <alignment horizontal="right" vertical="center" wrapText="1"/>
    </xf>
    <xf numFmtId="0" fontId="7" fillId="8" borderId="8" xfId="0" applyNumberFormat="1" applyFont="1" applyFill="1" applyBorder="1" applyAlignment="1">
      <alignment horizontal="right" vertical="center" wrapText="1"/>
    </xf>
    <xf numFmtId="0" fontId="6" fillId="8" borderId="8" xfId="0" applyNumberFormat="1" applyFont="1" applyFill="1" applyBorder="1" applyAlignment="1">
      <alignment horizontal="right" vertical="center" wrapText="1"/>
    </xf>
    <xf numFmtId="0" fontId="7" fillId="8" borderId="17" xfId="0" applyFont="1" applyFill="1" applyBorder="1" applyAlignment="1">
      <alignment horizontal="right" vertical="center" wrapText="1"/>
    </xf>
    <xf numFmtId="0" fontId="8" fillId="8" borderId="8" xfId="0" applyFont="1" applyFill="1" applyBorder="1" applyAlignment="1">
      <alignment horizontal="right" vertical="center" wrapText="1"/>
    </xf>
    <xf numFmtId="0" fontId="12" fillId="8" borderId="8" xfId="0" applyNumberFormat="1" applyFont="1" applyFill="1" applyBorder="1" applyAlignment="1">
      <alignment horizontal="right" vertical="center" wrapText="1"/>
    </xf>
    <xf numFmtId="0" fontId="8" fillId="8" borderId="8" xfId="0" applyFont="1" applyFill="1" applyBorder="1" applyAlignment="1">
      <alignment horizontal="center" vertical="center" wrapText="1"/>
    </xf>
    <xf numFmtId="0" fontId="7" fillId="8" borderId="8" xfId="0" applyNumberFormat="1" applyFont="1" applyFill="1" applyBorder="1" applyAlignment="1">
      <alignment horizontal="left" vertical="center" wrapText="1"/>
    </xf>
    <xf numFmtId="0" fontId="4" fillId="28" borderId="7" xfId="0" applyFont="1" applyFill="1" applyBorder="1" applyAlignment="1">
      <alignment horizontal="right" vertical="center"/>
    </xf>
    <xf numFmtId="0" fontId="4" fillId="28" borderId="4" xfId="0" applyFont="1" applyFill="1" applyBorder="1" applyAlignment="1">
      <alignment horizontal="right" vertical="center"/>
    </xf>
    <xf numFmtId="0" fontId="5" fillId="28" borderId="5" xfId="0" applyFont="1" applyFill="1" applyBorder="1" applyAlignment="1">
      <alignment horizontal="right" vertical="center"/>
    </xf>
    <xf numFmtId="0" fontId="6" fillId="28" borderId="6" xfId="0" applyFont="1" applyFill="1" applyBorder="1" applyAlignment="1">
      <alignment horizontal="right" vertical="center" wrapText="1"/>
    </xf>
    <xf numFmtId="0" fontId="7" fillId="28" borderId="6" xfId="0" applyFont="1" applyFill="1" applyBorder="1" applyAlignment="1">
      <alignment horizontal="right" vertical="center" wrapText="1"/>
    </xf>
    <xf numFmtId="0" fontId="7" fillId="28" borderId="6" xfId="0" applyNumberFormat="1" applyFont="1" applyFill="1" applyBorder="1" applyAlignment="1">
      <alignment horizontal="right" vertical="center" wrapText="1"/>
    </xf>
    <xf numFmtId="0" fontId="12" fillId="28" borderId="4" xfId="0" applyFont="1" applyFill="1" applyBorder="1" applyAlignment="1">
      <alignment horizontal="right" vertical="center" wrapText="1"/>
    </xf>
    <xf numFmtId="0" fontId="12" fillId="28" borderId="6" xfId="0" applyFont="1" applyFill="1" applyBorder="1" applyAlignment="1">
      <alignment horizontal="right" vertical="center" wrapText="1"/>
    </xf>
    <xf numFmtId="0" fontId="13" fillId="28" borderId="6" xfId="0" applyFont="1" applyFill="1" applyBorder="1" applyAlignment="1">
      <alignment horizontal="right" vertical="center" wrapText="1"/>
    </xf>
    <xf numFmtId="0" fontId="12" fillId="28" borderId="8" xfId="0" applyFont="1" applyFill="1" applyBorder="1" applyAlignment="1">
      <alignment horizontal="right" vertical="center" wrapText="1"/>
    </xf>
    <xf numFmtId="0" fontId="13" fillId="28" borderId="8" xfId="0" applyFont="1" applyFill="1" applyBorder="1" applyAlignment="1">
      <alignment horizontal="right" vertical="center" wrapText="1"/>
    </xf>
    <xf numFmtId="0" fontId="8" fillId="28" borderId="6" xfId="0" applyFont="1" applyFill="1" applyBorder="1" applyAlignment="1">
      <alignment horizontal="right" vertical="center" wrapText="1"/>
    </xf>
    <xf numFmtId="0" fontId="6" fillId="28" borderId="6" xfId="0" applyNumberFormat="1" applyFont="1" applyFill="1" applyBorder="1" applyAlignment="1">
      <alignment horizontal="right" vertical="center" wrapText="1"/>
    </xf>
    <xf numFmtId="0" fontId="7" fillId="28" borderId="5" xfId="0" applyFont="1" applyFill="1" applyBorder="1" applyAlignment="1">
      <alignment horizontal="right" vertical="center" wrapText="1"/>
    </xf>
    <xf numFmtId="0" fontId="8" fillId="28" borderId="6" xfId="0" applyFont="1" applyFill="1" applyBorder="1" applyAlignment="1">
      <alignment horizontal="center" vertical="center" wrapText="1"/>
    </xf>
    <xf numFmtId="0" fontId="7" fillId="28" borderId="3" xfId="0" applyFont="1" applyFill="1" applyBorder="1" applyAlignment="1">
      <alignment horizontal="right" vertical="center" wrapText="1"/>
    </xf>
    <xf numFmtId="0" fontId="7" fillId="28" borderId="3" xfId="0" applyFont="1" applyFill="1" applyBorder="1" applyAlignment="1">
      <alignment horizontal="left" vertical="center" wrapText="1"/>
    </xf>
    <xf numFmtId="0" fontId="7" fillId="28" borderId="6" xfId="0" applyNumberFormat="1" applyFont="1" applyFill="1" applyBorder="1" applyAlignment="1">
      <alignment horizontal="left" vertical="center" wrapText="1"/>
    </xf>
    <xf numFmtId="0" fontId="7" fillId="26" borderId="3" xfId="0" applyFont="1" applyFill="1" applyBorder="1" applyAlignment="1">
      <alignment horizontal="left" vertical="center" wrapText="1"/>
    </xf>
    <xf numFmtId="0" fontId="7" fillId="28" borderId="6" xfId="0" applyFont="1" applyFill="1" applyBorder="1" applyAlignment="1">
      <alignment horizontal="left" vertical="center" wrapText="1"/>
    </xf>
    <xf numFmtId="0" fontId="4" fillId="29" borderId="4" xfId="0" applyFont="1" applyFill="1" applyBorder="1" applyAlignment="1">
      <alignment horizontal="right" vertical="center"/>
    </xf>
    <xf numFmtId="0" fontId="5" fillId="29" borderId="5" xfId="0" applyFont="1" applyFill="1" applyBorder="1" applyAlignment="1">
      <alignment horizontal="right" vertical="center"/>
    </xf>
    <xf numFmtId="0" fontId="6" fillId="29" borderId="6" xfId="0" applyFont="1" applyFill="1" applyBorder="1" applyAlignment="1">
      <alignment horizontal="right" vertical="center" wrapText="1"/>
    </xf>
    <xf numFmtId="0" fontId="7" fillId="29" borderId="6" xfId="0" applyFont="1" applyFill="1" applyBorder="1" applyAlignment="1">
      <alignment horizontal="right" vertical="center" wrapText="1"/>
    </xf>
    <xf numFmtId="0" fontId="4" fillId="29" borderId="7" xfId="0" applyFont="1" applyFill="1" applyBorder="1" applyAlignment="1">
      <alignment horizontal="right" vertical="center"/>
    </xf>
    <xf numFmtId="0" fontId="8" fillId="29" borderId="6" xfId="0" applyNumberFormat="1" applyFont="1" applyFill="1" applyBorder="1" applyAlignment="1">
      <alignment horizontal="right" vertical="center" wrapText="1"/>
    </xf>
    <xf numFmtId="0" fontId="7" fillId="29" borderId="6" xfId="0" applyNumberFormat="1" applyFont="1" applyFill="1" applyBorder="1" applyAlignment="1">
      <alignment horizontal="right" vertical="center" wrapText="1"/>
    </xf>
    <xf numFmtId="0" fontId="4" fillId="29" borderId="16" xfId="0" applyFont="1" applyFill="1" applyBorder="1" applyAlignment="1">
      <alignment horizontal="right" vertical="center"/>
    </xf>
    <xf numFmtId="0" fontId="6" fillId="29" borderId="8" xfId="0" applyFont="1" applyFill="1" applyBorder="1" applyAlignment="1">
      <alignment horizontal="right" vertical="center" wrapText="1"/>
    </xf>
    <xf numFmtId="0" fontId="8" fillId="29" borderId="8" xfId="0" applyNumberFormat="1" applyFont="1" applyFill="1" applyBorder="1" applyAlignment="1">
      <alignment horizontal="right" vertical="center" wrapText="1"/>
    </xf>
    <xf numFmtId="0" fontId="7" fillId="29" borderId="8" xfId="0" applyFont="1" applyFill="1" applyBorder="1" applyAlignment="1">
      <alignment horizontal="right" vertical="center" wrapText="1"/>
    </xf>
    <xf numFmtId="0" fontId="7" fillId="29" borderId="8" xfId="0" applyNumberFormat="1" applyFont="1" applyFill="1" applyBorder="1" applyAlignment="1">
      <alignment horizontal="right" vertical="center" wrapText="1"/>
    </xf>
    <xf numFmtId="0" fontId="12" fillId="29" borderId="6" xfId="0" applyFont="1" applyFill="1" applyBorder="1" applyAlignment="1">
      <alignment horizontal="right" vertical="center" wrapText="1"/>
    </xf>
    <xf numFmtId="0" fontId="13" fillId="29" borderId="6" xfId="0" applyFont="1" applyFill="1" applyBorder="1" applyAlignment="1">
      <alignment horizontal="right" vertical="center" wrapText="1"/>
    </xf>
    <xf numFmtId="0" fontId="12" fillId="29" borderId="8" xfId="0" applyFont="1" applyFill="1" applyBorder="1" applyAlignment="1">
      <alignment horizontal="right" vertical="center" wrapText="1"/>
    </xf>
    <xf numFmtId="0" fontId="13" fillId="29" borderId="8" xfId="0" applyFont="1" applyFill="1" applyBorder="1" applyAlignment="1">
      <alignment horizontal="right" vertical="center" wrapText="1"/>
    </xf>
    <xf numFmtId="0" fontId="8" fillId="29" borderId="6" xfId="0" applyFont="1" applyFill="1" applyBorder="1" applyAlignment="1">
      <alignment horizontal="right" vertical="center" wrapText="1"/>
    </xf>
    <xf numFmtId="0" fontId="6" fillId="29" borderId="6" xfId="0" applyNumberFormat="1" applyFont="1" applyFill="1" applyBorder="1" applyAlignment="1">
      <alignment horizontal="right" vertical="center" wrapText="1"/>
    </xf>
    <xf numFmtId="0" fontId="7" fillId="29" borderId="5" xfId="0" applyFont="1" applyFill="1" applyBorder="1" applyAlignment="1">
      <alignment horizontal="right" vertical="center" wrapText="1"/>
    </xf>
    <xf numFmtId="0" fontId="6" fillId="29" borderId="8" xfId="0" applyNumberFormat="1" applyFont="1" applyFill="1" applyBorder="1" applyAlignment="1">
      <alignment horizontal="right" vertical="center" wrapText="1"/>
    </xf>
    <xf numFmtId="0" fontId="7" fillId="29" borderId="17" xfId="0" applyFont="1" applyFill="1" applyBorder="1" applyAlignment="1">
      <alignment horizontal="right" vertical="center" wrapText="1"/>
    </xf>
    <xf numFmtId="0" fontId="8" fillId="29" borderId="8" xfId="0" applyFont="1" applyFill="1" applyBorder="1" applyAlignment="1">
      <alignment horizontal="right" vertical="center" wrapText="1"/>
    </xf>
    <xf numFmtId="0" fontId="12" fillId="29" borderId="6" xfId="0" applyNumberFormat="1" applyFont="1" applyFill="1" applyBorder="1" applyAlignment="1">
      <alignment horizontal="right" vertical="center" wrapText="1"/>
    </xf>
    <xf numFmtId="0" fontId="12" fillId="29" borderId="8" xfId="0" applyNumberFormat="1" applyFont="1" applyFill="1" applyBorder="1" applyAlignment="1">
      <alignment horizontal="right" vertical="center" wrapText="1"/>
    </xf>
    <xf numFmtId="0" fontId="8" fillId="29" borderId="6" xfId="0" applyFont="1" applyFill="1" applyBorder="1" applyAlignment="1">
      <alignment horizontal="center" vertical="center" wrapText="1"/>
    </xf>
    <xf numFmtId="0" fontId="7" fillId="29" borderId="3" xfId="0" applyFont="1" applyFill="1" applyBorder="1" applyAlignment="1">
      <alignment horizontal="right" vertical="center" wrapText="1"/>
    </xf>
    <xf numFmtId="0" fontId="7" fillId="29" borderId="3" xfId="0" applyFont="1" applyFill="1" applyBorder="1" applyAlignment="1">
      <alignment horizontal="left" vertical="center" wrapText="1"/>
    </xf>
    <xf numFmtId="0" fontId="7" fillId="29" borderId="6" xfId="0" applyNumberFormat="1" applyFont="1" applyFill="1" applyBorder="1" applyAlignment="1">
      <alignment horizontal="left" vertical="center" wrapText="1"/>
    </xf>
    <xf numFmtId="0" fontId="8" fillId="29" borderId="8" xfId="0" applyFont="1" applyFill="1" applyBorder="1" applyAlignment="1">
      <alignment horizontal="center" vertical="center" wrapText="1"/>
    </xf>
    <xf numFmtId="0" fontId="7" fillId="29" borderId="14" xfId="0" applyFont="1" applyFill="1" applyBorder="1" applyAlignment="1">
      <alignment horizontal="right" vertical="center" wrapText="1"/>
    </xf>
    <xf numFmtId="0" fontId="7" fillId="29" borderId="8" xfId="0" applyNumberFormat="1" applyFont="1" applyFill="1" applyBorder="1" applyAlignment="1">
      <alignment horizontal="left" vertical="center" wrapText="1"/>
    </xf>
    <xf numFmtId="0" fontId="7" fillId="29" borderId="6" xfId="0" applyFont="1" applyFill="1" applyBorder="1" applyAlignment="1">
      <alignment horizontal="left" vertical="center" wrapText="1"/>
    </xf>
    <xf numFmtId="0" fontId="0" fillId="8" borderId="0" xfId="0" applyFill="1"/>
    <xf numFmtId="0" fontId="5" fillId="27" borderId="5" xfId="0" applyFont="1" applyFill="1" applyBorder="1" applyAlignment="1">
      <alignment horizontal="right" vertical="center"/>
    </xf>
    <xf numFmtId="0" fontId="12" fillId="27" borderId="4" xfId="0" applyFont="1" applyFill="1" applyBorder="1" applyAlignment="1">
      <alignment horizontal="right" vertical="center" wrapText="1"/>
    </xf>
    <xf numFmtId="0" fontId="12" fillId="27" borderId="15" xfId="0" applyFont="1" applyFill="1" applyBorder="1" applyAlignment="1">
      <alignment horizontal="right" vertical="center" wrapText="1"/>
    </xf>
    <xf numFmtId="0" fontId="7" fillId="27" borderId="3" xfId="0" applyFont="1" applyFill="1" applyBorder="1" applyAlignment="1">
      <alignment horizontal="right" vertical="center" wrapText="1"/>
    </xf>
    <xf numFmtId="0" fontId="7" fillId="27" borderId="3" xfId="0" applyFont="1" applyFill="1" applyBorder="1" applyAlignment="1">
      <alignment horizontal="left" vertical="center" wrapText="1"/>
    </xf>
    <xf numFmtId="0" fontId="7" fillId="27" borderId="6" xfId="0" applyFont="1" applyFill="1" applyBorder="1" applyAlignment="1">
      <alignment horizontal="left" vertical="center" wrapText="1"/>
    </xf>
    <xf numFmtId="0" fontId="12" fillId="29" borderId="4" xfId="0" applyFont="1" applyFill="1" applyBorder="1" applyAlignment="1">
      <alignment horizontal="right" vertical="center" wrapText="1"/>
    </xf>
    <xf numFmtId="0" fontId="12" fillId="4" borderId="15" xfId="0" applyFont="1" applyFill="1" applyBorder="1" applyAlignment="1">
      <alignment horizontal="right" vertical="center" wrapText="1"/>
    </xf>
    <xf numFmtId="0" fontId="4" fillId="30" borderId="7" xfId="0" applyFont="1" applyFill="1" applyBorder="1" applyAlignment="1">
      <alignment horizontal="right" vertical="center"/>
    </xf>
    <xf numFmtId="0" fontId="4" fillId="30" borderId="4" xfId="0" applyFont="1" applyFill="1" applyBorder="1" applyAlignment="1">
      <alignment horizontal="right" vertical="center"/>
    </xf>
    <xf numFmtId="0" fontId="5" fillId="30" borderId="5" xfId="0" applyFont="1" applyFill="1" applyBorder="1" applyAlignment="1">
      <alignment horizontal="right" vertical="center"/>
    </xf>
    <xf numFmtId="0" fontId="6" fillId="30" borderId="6" xfId="0" applyFont="1" applyFill="1" applyBorder="1" applyAlignment="1">
      <alignment horizontal="right" vertical="center" wrapText="1"/>
    </xf>
    <xf numFmtId="0" fontId="7" fillId="30" borderId="6" xfId="0" applyFont="1" applyFill="1" applyBorder="1" applyAlignment="1">
      <alignment horizontal="right" vertical="center" wrapText="1"/>
    </xf>
    <xf numFmtId="0" fontId="7" fillId="30" borderId="6" xfId="0" applyNumberFormat="1" applyFont="1" applyFill="1" applyBorder="1" applyAlignment="1">
      <alignment horizontal="right" vertical="center" wrapText="1"/>
    </xf>
    <xf numFmtId="0" fontId="12" fillId="30" borderId="6" xfId="0" applyFont="1" applyFill="1" applyBorder="1" applyAlignment="1">
      <alignment horizontal="right" vertical="center" wrapText="1"/>
    </xf>
    <xf numFmtId="0" fontId="13" fillId="30" borderId="6" xfId="0" applyFont="1" applyFill="1" applyBorder="1" applyAlignment="1">
      <alignment horizontal="right" vertical="center" wrapText="1"/>
    </xf>
    <xf numFmtId="0" fontId="12" fillId="30" borderId="8" xfId="0" applyFont="1" applyFill="1" applyBorder="1" applyAlignment="1">
      <alignment horizontal="right" vertical="center" wrapText="1"/>
    </xf>
    <xf numFmtId="0" fontId="13" fillId="30" borderId="8" xfId="0" applyFont="1" applyFill="1" applyBorder="1" applyAlignment="1">
      <alignment horizontal="right" vertical="center" wrapText="1"/>
    </xf>
    <xf numFmtId="0" fontId="6" fillId="30" borderId="6" xfId="0" applyNumberFormat="1" applyFont="1" applyFill="1" applyBorder="1" applyAlignment="1">
      <alignment horizontal="right" vertical="center" wrapText="1"/>
    </xf>
    <xf numFmtId="0" fontId="7" fillId="30" borderId="5" xfId="0" applyFont="1" applyFill="1" applyBorder="1" applyAlignment="1">
      <alignment horizontal="right" vertical="center" wrapText="1"/>
    </xf>
    <xf numFmtId="0" fontId="8" fillId="30" borderId="6" xfId="0" applyFont="1" applyFill="1" applyBorder="1" applyAlignment="1">
      <alignment horizontal="right" vertical="center" wrapText="1"/>
    </xf>
    <xf numFmtId="0" fontId="8" fillId="30" borderId="6" xfId="0" applyFont="1" applyFill="1" applyBorder="1" applyAlignment="1">
      <alignment horizontal="center" vertical="center" wrapText="1"/>
    </xf>
    <xf numFmtId="0" fontId="7" fillId="30" borderId="6" xfId="0" applyNumberFormat="1" applyFont="1" applyFill="1" applyBorder="1" applyAlignment="1">
      <alignment horizontal="left" vertical="center" wrapText="1"/>
    </xf>
    <xf numFmtId="0" fontId="7" fillId="30" borderId="3" xfId="0" applyFont="1" applyFill="1" applyBorder="1" applyAlignment="1">
      <alignment horizontal="left" vertical="center" wrapText="1"/>
    </xf>
    <xf numFmtId="0" fontId="7" fillId="30" borderId="6" xfId="0" applyFont="1" applyFill="1" applyBorder="1" applyAlignment="1">
      <alignment horizontal="left" vertical="center" wrapText="1"/>
    </xf>
    <xf numFmtId="0" fontId="0" fillId="20" borderId="0" xfId="0" applyFill="1"/>
    <xf numFmtId="0" fontId="6" fillId="8" borderId="3" xfId="0" applyFont="1" applyFill="1" applyBorder="1" applyAlignment="1">
      <alignment horizontal="right" vertical="center" wrapText="1"/>
    </xf>
    <xf numFmtId="0" fontId="4" fillId="31" borderId="4" xfId="0" applyFont="1" applyFill="1" applyBorder="1" applyAlignment="1">
      <alignment horizontal="right" vertical="center"/>
    </xf>
    <xf numFmtId="0" fontId="5" fillId="31" borderId="5" xfId="0" applyFont="1" applyFill="1" applyBorder="1" applyAlignment="1">
      <alignment horizontal="right" vertical="center"/>
    </xf>
    <xf numFmtId="0" fontId="6" fillId="31" borderId="3" xfId="0" applyFont="1" applyFill="1" applyBorder="1" applyAlignment="1">
      <alignment horizontal="right" vertical="center" wrapText="1"/>
    </xf>
    <xf numFmtId="0" fontId="7" fillId="31" borderId="3" xfId="0" applyFont="1" applyFill="1" applyBorder="1" applyAlignment="1">
      <alignment horizontal="right" vertical="center" wrapText="1"/>
    </xf>
    <xf numFmtId="0" fontId="6" fillId="31" borderId="6" xfId="0" applyFont="1" applyFill="1" applyBorder="1" applyAlignment="1">
      <alignment horizontal="right" vertical="center" wrapText="1"/>
    </xf>
    <xf numFmtId="0" fontId="4" fillId="31" borderId="7" xfId="0" applyFont="1" applyFill="1" applyBorder="1" applyAlignment="1">
      <alignment horizontal="right" vertical="center"/>
    </xf>
    <xf numFmtId="0" fontId="7" fillId="31" borderId="6" xfId="0" applyFont="1" applyFill="1" applyBorder="1" applyAlignment="1">
      <alignment horizontal="right" vertical="center" wrapText="1"/>
    </xf>
    <xf numFmtId="0" fontId="7" fillId="31" borderId="6" xfId="0" applyNumberFormat="1" applyFont="1" applyFill="1" applyBorder="1" applyAlignment="1">
      <alignment horizontal="right" vertical="center" wrapText="1"/>
    </xf>
    <xf numFmtId="0" fontId="8" fillId="31" borderId="6" xfId="0" applyFont="1" applyFill="1" applyBorder="1" applyAlignment="1">
      <alignment horizontal="right" vertical="center" wrapText="1"/>
    </xf>
    <xf numFmtId="0" fontId="6" fillId="31" borderId="6" xfId="0" applyNumberFormat="1" applyFont="1" applyFill="1" applyBorder="1" applyAlignment="1">
      <alignment horizontal="right" vertical="center" wrapText="1"/>
    </xf>
    <xf numFmtId="0" fontId="7" fillId="31" borderId="5" xfId="0" applyFont="1" applyFill="1" applyBorder="1" applyAlignment="1">
      <alignment horizontal="right" vertical="center" wrapText="1"/>
    </xf>
    <xf numFmtId="0" fontId="8" fillId="31" borderId="6" xfId="0" applyFont="1" applyFill="1" applyBorder="1" applyAlignment="1">
      <alignment horizontal="center" vertical="center" wrapText="1"/>
    </xf>
    <xf numFmtId="0" fontId="7" fillId="31" borderId="3" xfId="0" applyFont="1" applyFill="1" applyBorder="1" applyAlignment="1">
      <alignment horizontal="left" vertical="center" wrapText="1"/>
    </xf>
    <xf numFmtId="0" fontId="7" fillId="31" borderId="6" xfId="0" applyFont="1" applyFill="1" applyBorder="1" applyAlignment="1">
      <alignment horizontal="left" vertical="center" wrapText="1"/>
    </xf>
    <xf numFmtId="0" fontId="7" fillId="31" borderId="6" xfId="0" applyNumberFormat="1" applyFont="1" applyFill="1" applyBorder="1" applyAlignment="1">
      <alignment horizontal="left" vertical="center" wrapText="1"/>
    </xf>
    <xf numFmtId="0" fontId="4" fillId="0" borderId="4" xfId="0" applyFont="1" applyBorder="1" applyAlignment="1">
      <alignment horizontal="right" vertical="center"/>
    </xf>
    <xf numFmtId="0" fontId="5" fillId="0" borderId="5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 wrapText="1"/>
    </xf>
    <xf numFmtId="0" fontId="7" fillId="0" borderId="6" xfId="0" applyFont="1" applyBorder="1" applyAlignment="1">
      <alignment horizontal="right" vertical="center" wrapText="1"/>
    </xf>
    <xf numFmtId="0" fontId="12" fillId="0" borderId="6" xfId="0" applyFont="1" applyBorder="1" applyAlignment="1">
      <alignment horizontal="right" vertical="center" wrapText="1"/>
    </xf>
    <xf numFmtId="0" fontId="13" fillId="0" borderId="6" xfId="0" applyFont="1" applyBorder="1" applyAlignment="1">
      <alignment horizontal="right" vertical="center" wrapText="1"/>
    </xf>
    <xf numFmtId="0" fontId="8" fillId="0" borderId="6" xfId="0" applyFont="1" applyBorder="1" applyAlignment="1">
      <alignment horizontal="righ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wrapText="1"/>
    </xf>
    <xf numFmtId="0" fontId="4" fillId="5" borderId="4" xfId="0" applyFont="1" applyFill="1" applyBorder="1" applyAlignment="1">
      <alignment horizontal="right" vertical="center"/>
    </xf>
    <xf numFmtId="0" fontId="5" fillId="5" borderId="5" xfId="0" applyFont="1" applyFill="1" applyBorder="1" applyAlignment="1">
      <alignment horizontal="right" vertical="center"/>
    </xf>
    <xf numFmtId="0" fontId="6" fillId="5" borderId="3" xfId="0" applyFont="1" applyFill="1" applyBorder="1" applyAlignment="1">
      <alignment horizontal="right" vertical="center" wrapText="1"/>
    </xf>
    <xf numFmtId="0" fontId="7" fillId="5" borderId="3" xfId="0" applyFont="1" applyFill="1" applyBorder="1" applyAlignment="1">
      <alignment horizontal="right" vertical="center" wrapText="1"/>
    </xf>
    <xf numFmtId="0" fontId="6" fillId="5" borderId="6" xfId="0" applyFont="1" applyFill="1" applyBorder="1" applyAlignment="1">
      <alignment horizontal="right" vertical="center" wrapText="1"/>
    </xf>
    <xf numFmtId="0" fontId="4" fillId="5" borderId="7" xfId="0" applyFont="1" applyFill="1" applyBorder="1" applyAlignment="1">
      <alignment horizontal="right" vertical="center"/>
    </xf>
    <xf numFmtId="0" fontId="7" fillId="5" borderId="6" xfId="0" applyFont="1" applyFill="1" applyBorder="1" applyAlignment="1">
      <alignment horizontal="right" vertical="center" wrapText="1"/>
    </xf>
    <xf numFmtId="0" fontId="7" fillId="5" borderId="6" xfId="0" applyNumberFormat="1" applyFont="1" applyFill="1" applyBorder="1" applyAlignment="1">
      <alignment horizontal="right" vertical="center" wrapText="1"/>
    </xf>
    <xf numFmtId="0" fontId="4" fillId="32" borderId="7" xfId="0" applyFont="1" applyFill="1" applyBorder="1" applyAlignment="1">
      <alignment horizontal="right" vertical="center"/>
    </xf>
    <xf numFmtId="0" fontId="4" fillId="32" borderId="4" xfId="0" applyFont="1" applyFill="1" applyBorder="1" applyAlignment="1">
      <alignment horizontal="right" vertical="center"/>
    </xf>
    <xf numFmtId="0" fontId="5" fillId="32" borderId="5" xfId="0" applyFont="1" applyFill="1" applyBorder="1" applyAlignment="1">
      <alignment horizontal="right" vertical="center"/>
    </xf>
    <xf numFmtId="0" fontId="6" fillId="32" borderId="6" xfId="0" applyFont="1" applyFill="1" applyBorder="1" applyAlignment="1">
      <alignment horizontal="right" vertical="center" wrapText="1"/>
    </xf>
    <xf numFmtId="0" fontId="7" fillId="32" borderId="6" xfId="0" applyFont="1" applyFill="1" applyBorder="1" applyAlignment="1">
      <alignment horizontal="right" vertical="center" wrapText="1"/>
    </xf>
    <xf numFmtId="0" fontId="7" fillId="32" borderId="6" xfId="0" applyNumberFormat="1" applyFont="1" applyFill="1" applyBorder="1" applyAlignment="1">
      <alignment horizontal="right" vertical="center" wrapText="1"/>
    </xf>
    <xf numFmtId="0" fontId="4" fillId="0" borderId="0" xfId="0" applyFont="1" applyBorder="1" applyAlignment="1">
      <alignment horizontal="right" vertical="center"/>
    </xf>
    <xf numFmtId="0" fontId="5" fillId="0" borderId="0" xfId="0" applyFont="1" applyBorder="1" applyAlignment="1">
      <alignment horizontal="right" vertical="center"/>
    </xf>
    <xf numFmtId="0" fontId="6" fillId="0" borderId="0" xfId="0" applyFont="1" applyBorder="1" applyAlignment="1">
      <alignment horizontal="right" vertical="center" wrapText="1"/>
    </xf>
    <xf numFmtId="0" fontId="7" fillId="0" borderId="0" xfId="0" applyFont="1" applyBorder="1" applyAlignment="1">
      <alignment horizontal="right" vertical="center" wrapText="1"/>
    </xf>
    <xf numFmtId="0" fontId="12" fillId="32" borderId="6" xfId="0" applyFont="1" applyFill="1" applyBorder="1" applyAlignment="1">
      <alignment horizontal="right" vertical="center" wrapText="1"/>
    </xf>
    <xf numFmtId="0" fontId="13" fillId="32" borderId="6" xfId="0" applyFont="1" applyFill="1" applyBorder="1" applyAlignment="1">
      <alignment horizontal="right" vertical="center" wrapText="1"/>
    </xf>
    <xf numFmtId="0" fontId="8" fillId="5" borderId="6" xfId="0" applyFont="1" applyFill="1" applyBorder="1" applyAlignment="1">
      <alignment horizontal="right" vertical="center" wrapText="1"/>
    </xf>
    <xf numFmtId="0" fontId="6" fillId="5" borderId="6" xfId="0" applyNumberFormat="1" applyFont="1" applyFill="1" applyBorder="1" applyAlignment="1">
      <alignment horizontal="right" vertical="center" wrapText="1"/>
    </xf>
    <xf numFmtId="0" fontId="7" fillId="5" borderId="5" xfId="0" applyFont="1" applyFill="1" applyBorder="1" applyAlignment="1">
      <alignment horizontal="right" vertical="center" wrapText="1"/>
    </xf>
    <xf numFmtId="0" fontId="6" fillId="32" borderId="6" xfId="0" applyNumberFormat="1" applyFont="1" applyFill="1" applyBorder="1" applyAlignment="1">
      <alignment horizontal="right" vertical="center" wrapText="1"/>
    </xf>
    <xf numFmtId="0" fontId="7" fillId="32" borderId="5" xfId="0" applyFont="1" applyFill="1" applyBorder="1" applyAlignment="1">
      <alignment horizontal="right" vertical="center" wrapText="1"/>
    </xf>
    <xf numFmtId="0" fontId="8" fillId="32" borderId="6" xfId="0" applyFont="1" applyFill="1" applyBorder="1" applyAlignment="1">
      <alignment horizontal="right" vertical="center" wrapText="1"/>
    </xf>
    <xf numFmtId="0" fontId="8" fillId="0" borderId="0" xfId="0" applyFont="1" applyBorder="1" applyAlignment="1">
      <alignment horizontal="right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left" vertical="center" wrapText="1"/>
    </xf>
    <xf numFmtId="0" fontId="7" fillId="5" borderId="6" xfId="0" applyFont="1" applyFill="1" applyBorder="1" applyAlignment="1">
      <alignment horizontal="left" vertical="center" wrapText="1"/>
    </xf>
    <xf numFmtId="0" fontId="7" fillId="32" borderId="6" xfId="0" applyNumberFormat="1" applyFont="1" applyFill="1" applyBorder="1" applyAlignment="1">
      <alignment horizontal="left" vertical="center" wrapText="1"/>
    </xf>
    <xf numFmtId="0" fontId="8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7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right" vertical="center" wrapText="1"/>
    </xf>
    <xf numFmtId="0" fontId="7" fillId="0" borderId="3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/>
    </xf>
    <xf numFmtId="0" fontId="4" fillId="30" borderId="15" xfId="0" applyFont="1" applyFill="1" applyBorder="1" applyAlignment="1">
      <alignment horizontal="right" vertical="center"/>
    </xf>
    <xf numFmtId="0" fontId="6" fillId="30" borderId="8" xfId="0" applyFont="1" applyFill="1" applyBorder="1" applyAlignment="1">
      <alignment horizontal="right" vertical="center" wrapText="1"/>
    </xf>
    <xf numFmtId="0" fontId="7" fillId="30" borderId="8" xfId="0" applyFont="1" applyFill="1" applyBorder="1" applyAlignment="1">
      <alignment horizontal="right" vertical="center" wrapText="1"/>
    </xf>
    <xf numFmtId="0" fontId="8" fillId="30" borderId="8" xfId="0" applyFont="1" applyFill="1" applyBorder="1" applyAlignment="1">
      <alignment horizontal="right" vertical="center" wrapText="1"/>
    </xf>
    <xf numFmtId="0" fontId="8" fillId="30" borderId="8" xfId="0" applyFont="1" applyFill="1" applyBorder="1" applyAlignment="1">
      <alignment horizontal="center" vertical="center" wrapText="1"/>
    </xf>
    <xf numFmtId="0" fontId="7" fillId="30" borderId="8" xfId="0" applyFont="1" applyFill="1" applyBorder="1" applyAlignment="1">
      <alignment horizontal="left" vertical="center" wrapText="1"/>
    </xf>
    <xf numFmtId="0" fontId="4" fillId="22" borderId="4" xfId="0" applyFont="1" applyFill="1" applyBorder="1" applyAlignment="1">
      <alignment horizontal="right" vertical="center"/>
    </xf>
    <xf numFmtId="0" fontId="5" fillId="22" borderId="5" xfId="0" applyFont="1" applyFill="1" applyBorder="1" applyAlignment="1">
      <alignment horizontal="right" vertical="center"/>
    </xf>
    <xf numFmtId="0" fontId="6" fillId="22" borderId="6" xfId="0" applyFont="1" applyFill="1" applyBorder="1" applyAlignment="1">
      <alignment horizontal="right" vertical="center" wrapText="1"/>
    </xf>
    <xf numFmtId="0" fontId="8" fillId="22" borderId="6" xfId="0" applyFont="1" applyFill="1" applyBorder="1" applyAlignment="1">
      <alignment horizontal="right" vertical="center" wrapText="1"/>
    </xf>
    <xf numFmtId="0" fontId="7" fillId="22" borderId="6" xfId="0" applyFont="1" applyFill="1" applyBorder="1" applyAlignment="1">
      <alignment horizontal="right" vertical="center" wrapText="1"/>
    </xf>
    <xf numFmtId="0" fontId="7" fillId="22" borderId="6" xfId="0" applyNumberFormat="1" applyFont="1" applyFill="1" applyBorder="1" applyAlignment="1">
      <alignment horizontal="right" vertical="center" wrapText="1"/>
    </xf>
    <xf numFmtId="0" fontId="6" fillId="22" borderId="8" xfId="0" applyFont="1" applyFill="1" applyBorder="1" applyAlignment="1">
      <alignment horizontal="right" vertical="center" wrapText="1"/>
    </xf>
    <xf numFmtId="0" fontId="7" fillId="22" borderId="8" xfId="0" applyFont="1" applyFill="1" applyBorder="1" applyAlignment="1">
      <alignment horizontal="right" vertical="center" wrapText="1"/>
    </xf>
    <xf numFmtId="0" fontId="6" fillId="22" borderId="6" xfId="0" applyNumberFormat="1" applyFont="1" applyFill="1" applyBorder="1" applyAlignment="1">
      <alignment horizontal="right" vertical="center" wrapText="1"/>
    </xf>
    <xf numFmtId="0" fontId="8" fillId="22" borderId="3" xfId="0" applyFont="1" applyFill="1" applyBorder="1" applyAlignment="1">
      <alignment horizontal="center" vertical="center" wrapText="1"/>
    </xf>
    <xf numFmtId="0" fontId="7" fillId="22" borderId="6" xfId="0" applyNumberFormat="1" applyFont="1" applyFill="1" applyBorder="1" applyAlignment="1">
      <alignment horizontal="left" vertical="center" wrapText="1"/>
    </xf>
    <xf numFmtId="0" fontId="8" fillId="22" borderId="6" xfId="0" applyFont="1" applyFill="1" applyBorder="1" applyAlignment="1">
      <alignment horizontal="center" vertical="center" wrapText="1"/>
    </xf>
    <xf numFmtId="0" fontId="7" fillId="22" borderId="6" xfId="0" applyFont="1" applyFill="1" applyBorder="1" applyAlignment="1">
      <alignment horizontal="left" vertical="center" wrapText="1"/>
    </xf>
    <xf numFmtId="0" fontId="7" fillId="22" borderId="8" xfId="0" applyFont="1" applyFill="1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2381"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rgb="FF00B0F0"/>
        </patternFill>
      </fill>
    </dxf>
    <dxf>
      <fill>
        <patternFill patternType="solid">
          <bgColor rgb="FFFF7C80"/>
        </patternFill>
      </fill>
    </dxf>
    <dxf>
      <fill>
        <patternFill patternType="solid">
          <bgColor rgb="FF66FF33"/>
        </patternFill>
      </fill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6" tint="0.599993896298105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599993896298105"/>
        </patternFill>
      </fill>
      <alignment horizontal="right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alignment horizontal="right" vertical="center"/>
      <border>
        <left/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theme="1"/>
      </font>
      <fill>
        <patternFill patternType="solid">
          <bgColor theme="8" tint="0.799920651875362"/>
        </patternFill>
      </fill>
      <alignment horizontal="right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strike val="0"/>
        <u val="none"/>
        <sz val="11"/>
      </font>
      <fill>
        <patternFill patternType="solid">
          <bgColor theme="8" tint="0.799920651875362"/>
        </patternFill>
      </fill>
      <alignment horizontal="righ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theme="1" tint="0.499984740745262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4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fill>
        <patternFill patternType="solid">
          <bgColor theme="9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宋体"/>
        <scheme val="none"/>
        <b val="0"/>
        <i val="0"/>
        <strike val="0"/>
        <u val="none"/>
        <sz val="11"/>
        <color rgb="FF000000"/>
      </font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8" tint="0.799920651875362"/>
        </patternFill>
      </fill>
      <alignment horizontal="right" vertical="center" wrapText="1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alignment horizontal="right" vertical="center" wrapText="1"/>
      <border>
        <left style="thin">
          <color auto="1"/>
        </left>
        <right style="thin">
          <color auto="1"/>
        </right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1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  <b val="0"/>
        <i val="0"/>
        <strike val="0"/>
        <u val="none"/>
        <sz val="11"/>
        <color rgb="FF000000"/>
      </font>
      <fill>
        <patternFill patternType="solid">
          <bgColor theme="8" tint="0.799920651875362"/>
        </patternFill>
      </fill>
      <alignment horizontal="righ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Medium9"/>
  <colors>
    <mruColors>
      <color rgb="00FF7C80"/>
      <color rgb="0066FF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6" Type="http://schemas.openxmlformats.org/officeDocument/2006/relationships/sharedStrings" Target="sharedStrings.xml"/><Relationship Id="rId65" Type="http://schemas.openxmlformats.org/officeDocument/2006/relationships/styles" Target="styles.xml"/><Relationship Id="rId64" Type="http://schemas.openxmlformats.org/officeDocument/2006/relationships/theme" Target="theme/theme1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X25" totalsRowShown="0">
  <autoFilter ref="A1:X25"/>
  <tableColumns count="24">
    <tableColumn id="1" name="区服" dataDxfId="0"/>
    <tableColumn id="2" name="开服天数" dataDxfId="1"/>
    <tableColumn id="3" name="目标区服" dataDxfId="2"/>
    <tableColumn id="4" name="目标国家（映射）" dataDxfId="3"/>
    <tableColumn id="5" name="补偿Coin" dataDxfId="4"/>
    <tableColumn id="6" name="共计补偿Coin" dataDxfId="5"/>
    <tableColumn id="7" name="补偿辎重" dataDxfId="6"/>
    <tableColumn id="8" name="原国家" dataDxfId="7"/>
    <tableColumn id="9" name="国家辅助" dataDxfId="8"/>
    <tableColumn id="10" name="都城数" dataDxfId="9"/>
    <tableColumn id="11" name="城池总数" dataDxfId="10"/>
    <tableColumn id="12" name="活跃高战玩家数" dataDxfId="11"/>
    <tableColumn id="13" name="活跃中坚玩家数" dataDxfId="12"/>
    <tableColumn id="14" name="排名积分" dataDxfId="13"/>
    <tableColumn id="15" name="活跃尖端战力" dataDxfId="14"/>
    <tableColumn id="16" name="活跃总战力" dataDxfId="15"/>
    <tableColumn id="17" name="目标国家" dataDxfId="16"/>
    <tableColumn id="18" name="目标辅助" dataDxfId="17"/>
    <tableColumn id="19" name="活跃实际充值" dataDxfId="18"/>
    <tableColumn id="20" name="活跃虚拟充值" dataDxfId="19"/>
    <tableColumn id="21" name="活跃Coin" dataDxfId="20"/>
    <tableColumn id="22" name="综合国力" dataDxfId="21"/>
    <tableColumn id="23" name="辅助导出" dataDxfId="22"/>
    <tableColumn id="24" name="导出" dataDxfId="23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表2" displayName="表2" ref="A28:M34" totalsRowShown="0">
  <autoFilter ref="A28:M34"/>
  <tableColumns count="13">
    <tableColumn id="1" name="合区区服" dataDxfId="24"/>
    <tableColumn id="2" name="国家" dataDxfId="25"/>
    <tableColumn id="3" name="原国家数" dataDxfId="26"/>
    <tableColumn id="4" name="原活跃高战玩家数" dataDxfId="27"/>
    <tableColumn id="5" name="原活跃中坚玩家数" dataDxfId="28"/>
    <tableColumn id="6" name="原单服最尖端战力" dataDxfId="29"/>
    <tableColumn id="7" name="活跃总战力" dataDxfId="30"/>
    <tableColumn id="8" name="活跃实际充值" dataDxfId="31"/>
    <tableColumn id="9" name="活跃虚拟充值" dataDxfId="32"/>
    <tableColumn id="10" name="活跃Coin" dataDxfId="33"/>
    <tableColumn id="11" name="共计补偿Coin" dataDxfId="34"/>
    <tableColumn id="12" name="补偿后Coin" dataDxfId="35"/>
    <tableColumn id="13" name="原综合国力" dataDxfId="36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表1_4" displayName="表1_4" ref="A1:X34" totalsRowShown="0">
  <autoFilter ref="A1:X34"/>
  <tableColumns count="24">
    <tableColumn id="1" name="区服" dataDxfId="40"/>
    <tableColumn id="2" name="开服天数" dataDxfId="41"/>
    <tableColumn id="3" name="目标区服" dataDxfId="42"/>
    <tableColumn id="4" name="目标国家（映射）" dataDxfId="43"/>
    <tableColumn id="5" name="补偿Coin" dataDxfId="44"/>
    <tableColumn id="6" name="共计补偿Coin" dataDxfId="45"/>
    <tableColumn id="7" name="补偿辎重" dataDxfId="46"/>
    <tableColumn id="8" name="原国家" dataDxfId="47"/>
    <tableColumn id="9" name="国家辅助" dataDxfId="48"/>
    <tableColumn id="10" name="都城数" dataDxfId="49"/>
    <tableColumn id="11" name="城池总数" dataDxfId="50"/>
    <tableColumn id="12" name="活跃高战玩家数" dataDxfId="51"/>
    <tableColumn id="13" name="活跃中坚玩家数" dataDxfId="52"/>
    <tableColumn id="14" name="排名积分" dataDxfId="53"/>
    <tableColumn id="15" name="活跃尖端战力" dataDxfId="54"/>
    <tableColumn id="16" name="活跃总战力" dataDxfId="55"/>
    <tableColumn id="17" name="目标国家" dataDxfId="56"/>
    <tableColumn id="18" name="目标辅助" dataDxfId="57"/>
    <tableColumn id="19" name="活跃实际充值" dataDxfId="58"/>
    <tableColumn id="20" name="活跃虚拟充值" dataDxfId="59"/>
    <tableColumn id="21" name="活跃Coin" dataDxfId="60"/>
    <tableColumn id="22" name="综合国力" dataDxfId="61"/>
    <tableColumn id="23" name="辅助导出" dataDxfId="62"/>
    <tableColumn id="24" name="导出" dataDxfId="63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表2_5" displayName="表2_5" ref="A37:M49" totalsRowShown="0">
  <autoFilter ref="A37:M49"/>
  <tableColumns count="13">
    <tableColumn id="1" name="合区区服" dataDxfId="64"/>
    <tableColumn id="2" name="国家" dataDxfId="65"/>
    <tableColumn id="3" name="原国家数" dataDxfId="66"/>
    <tableColumn id="4" name="原活跃高战玩家数" dataDxfId="67"/>
    <tableColumn id="5" name="原活跃中坚玩家数" dataDxfId="68"/>
    <tableColumn id="6" name="原单服最尖端战力" dataDxfId="69"/>
    <tableColumn id="7" name="活跃总战力" dataDxfId="70"/>
    <tableColumn id="8" name="活跃实际充值" dataDxfId="71"/>
    <tableColumn id="9" name="活跃虚拟充值" dataDxfId="72"/>
    <tableColumn id="10" name="活跃Coin" dataDxfId="73"/>
    <tableColumn id="11" name="共计补偿Coin" dataDxfId="74"/>
    <tableColumn id="12" name="补偿后Coin" dataDxfId="75"/>
    <tableColumn id="13" name="原综合国力" dataDxfId="76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7" name="表1_8" displayName="表1_8" ref="A1:X25" totalsRowShown="0">
  <autoFilter ref="A1:X25"/>
  <tableColumns count="24">
    <tableColumn id="1" name="区服" dataDxfId="77"/>
    <tableColumn id="2" name="开服天数" dataDxfId="78"/>
    <tableColumn id="3" name="目标区服" dataDxfId="79"/>
    <tableColumn id="4" name="目标国家（映射）" dataDxfId="80"/>
    <tableColumn id="5" name="补偿Coin" dataDxfId="81"/>
    <tableColumn id="6" name="共计补偿Coin" dataDxfId="82"/>
    <tableColumn id="7" name="补偿辎重" dataDxfId="83"/>
    <tableColumn id="8" name="原国家" dataDxfId="84"/>
    <tableColumn id="9" name="国家辅助" dataDxfId="85"/>
    <tableColumn id="10" name="都城数" dataDxfId="86"/>
    <tableColumn id="11" name="城池总数" dataDxfId="87"/>
    <tableColumn id="12" name="活跃高战玩家数" dataDxfId="88"/>
    <tableColumn id="13" name="活跃中坚玩家数" dataDxfId="89"/>
    <tableColumn id="14" name="排名积分" dataDxfId="90"/>
    <tableColumn id="15" name="活跃尖端战力" dataDxfId="91"/>
    <tableColumn id="16" name="活跃总战力" dataDxfId="92"/>
    <tableColumn id="17" name="目标国家" dataDxfId="93"/>
    <tableColumn id="18" name="目标辅助" dataDxfId="94"/>
    <tableColumn id="19" name="活跃实际充值" dataDxfId="95"/>
    <tableColumn id="20" name="活跃虚拟充值" dataDxfId="96"/>
    <tableColumn id="21" name="活跃Coin" dataDxfId="97"/>
    <tableColumn id="22" name="综合国力" dataDxfId="98"/>
    <tableColumn id="23" name="辅助导出" dataDxfId="99"/>
    <tableColumn id="24" name="导出" dataDxfId="100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8" name="表2_9" displayName="表2_9" ref="A28:M34" totalsRowShown="0">
  <autoFilter ref="A28:M34"/>
  <tableColumns count="13">
    <tableColumn id="1" name="合区区服" dataDxfId="101"/>
    <tableColumn id="2" name="国家" dataDxfId="102"/>
    <tableColumn id="3" name="原国家数" dataDxfId="103"/>
    <tableColumn id="4" name="原活跃高战玩家数" dataDxfId="104"/>
    <tableColumn id="5" name="原活跃中坚玩家数" dataDxfId="105"/>
    <tableColumn id="6" name="原单服最尖端战力" dataDxfId="106"/>
    <tableColumn id="7" name="活跃总战力" dataDxfId="107"/>
    <tableColumn id="8" name="活跃实际充值" dataDxfId="108"/>
    <tableColumn id="9" name="活跃虚拟充值" dataDxfId="109"/>
    <tableColumn id="10" name="活跃Coin" dataDxfId="110"/>
    <tableColumn id="11" name="共计补偿Coin" dataDxfId="111"/>
    <tableColumn id="12" name="补偿后Coin" dataDxfId="112"/>
    <tableColumn id="13" name="原综合国力" dataDxfId="113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5" name="表1_86" displayName="表1_86" ref="A1:X13" totalsRowShown="0">
  <autoFilter ref="A1:X13"/>
  <tableColumns count="24">
    <tableColumn id="1" name="区服" dataDxfId="114"/>
    <tableColumn id="2" name="开服天数" dataDxfId="115"/>
    <tableColumn id="3" name="目标区服" dataDxfId="116"/>
    <tableColumn id="4" name="目标国家（映射）" dataDxfId="117"/>
    <tableColumn id="5" name="补偿Coin" dataDxfId="118"/>
    <tableColumn id="6" name="共计补偿Coin" dataDxfId="119"/>
    <tableColumn id="7" name="补偿辎重" dataDxfId="120"/>
    <tableColumn id="8" name="原国家" dataDxfId="121"/>
    <tableColumn id="9" name="国家辅助" dataDxfId="122"/>
    <tableColumn id="10" name="都城数" dataDxfId="123"/>
    <tableColumn id="11" name="城池总数" dataDxfId="124"/>
    <tableColumn id="12" name="活跃高战玩家数" dataDxfId="125"/>
    <tableColumn id="13" name="活跃中坚玩家数" dataDxfId="126"/>
    <tableColumn id="14" name="排名积分" dataDxfId="127"/>
    <tableColumn id="15" name="活跃尖端战力" dataDxfId="128"/>
    <tableColumn id="16" name="活跃总战力" dataDxfId="129"/>
    <tableColumn id="17" name="目标国家" dataDxfId="130"/>
    <tableColumn id="18" name="目标辅助" dataDxfId="131"/>
    <tableColumn id="19" name="活跃实际充值" dataDxfId="132"/>
    <tableColumn id="20" name="活跃虚拟充值" dataDxfId="133"/>
    <tableColumn id="21" name="活跃Coin" dataDxfId="134"/>
    <tableColumn id="22" name="综合国力" dataDxfId="135"/>
    <tableColumn id="23" name="辅助导出" dataDxfId="136"/>
    <tableColumn id="24" name="导出" dataDxfId="137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6" name="表2_97" displayName="表2_97" ref="A16:M22" totalsRowShown="0">
  <autoFilter ref="A16:M22"/>
  <tableColumns count="13">
    <tableColumn id="1" name="合区区服" dataDxfId="138"/>
    <tableColumn id="2" name="国家" dataDxfId="139"/>
    <tableColumn id="3" name="原国家数" dataDxfId="140"/>
    <tableColumn id="4" name="原活跃高战玩家数" dataDxfId="141"/>
    <tableColumn id="5" name="原活跃中坚玩家数" dataDxfId="142"/>
    <tableColumn id="6" name="原单服最尖端战力" dataDxfId="143"/>
    <tableColumn id="7" name="活跃总战力" dataDxfId="144"/>
    <tableColumn id="8" name="活跃实际充值" dataDxfId="145"/>
    <tableColumn id="9" name="活跃虚拟充值" dataDxfId="146"/>
    <tableColumn id="10" name="活跃Coin" dataDxfId="147"/>
    <tableColumn id="11" name="共计补偿Coin" dataDxfId="148"/>
    <tableColumn id="12" name="补偿后Coin" dataDxfId="149"/>
    <tableColumn id="13" name="原综合国力" dataDxfId="150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表1_8610" displayName="表1_8610" ref="A1:X16" totalsRowShown="0">
  <autoFilter ref="A1:X16"/>
  <tableColumns count="24">
    <tableColumn id="1" name="区服" dataDxfId="151"/>
    <tableColumn id="2" name="开服天数" dataDxfId="152"/>
    <tableColumn id="3" name="目标区服" dataDxfId="153"/>
    <tableColumn id="4" name="目标国家（映射）" dataDxfId="154"/>
    <tableColumn id="5" name="补偿Coin" dataDxfId="155"/>
    <tableColumn id="6" name="共计补偿Coin" dataDxfId="156"/>
    <tableColumn id="7" name="补偿辎重" dataDxfId="157"/>
    <tableColumn id="8" name="原国家" dataDxfId="158"/>
    <tableColumn id="9" name="国家辅助" dataDxfId="159"/>
    <tableColumn id="10" name="都城数" dataDxfId="160"/>
    <tableColumn id="11" name="城池总数" dataDxfId="161"/>
    <tableColumn id="12" name="活跃高战玩家数" dataDxfId="162"/>
    <tableColumn id="13" name="活跃中坚玩家数" dataDxfId="163"/>
    <tableColumn id="14" name="排名积分" dataDxfId="164"/>
    <tableColumn id="15" name="活跃尖端战力" dataDxfId="165"/>
    <tableColumn id="16" name="活跃总战力" dataDxfId="166"/>
    <tableColumn id="17" name="目标国家" dataDxfId="167"/>
    <tableColumn id="18" name="目标辅助" dataDxfId="168"/>
    <tableColumn id="19" name="活跃实际充值" dataDxfId="169"/>
    <tableColumn id="20" name="活跃虚拟充值" dataDxfId="170"/>
    <tableColumn id="21" name="活跃Coin" dataDxfId="171"/>
    <tableColumn id="22" name="综合国力" dataDxfId="172"/>
    <tableColumn id="23" name="辅助导出" dataDxfId="173"/>
    <tableColumn id="24" name="导出" dataDxfId="174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表2_9711" displayName="表2_9711" ref="A22:M28" totalsRowShown="0">
  <autoFilter ref="A22:M28"/>
  <tableColumns count="13">
    <tableColumn id="1" name="合区区服" dataDxfId="175"/>
    <tableColumn id="2" name="国家" dataDxfId="176"/>
    <tableColumn id="3" name="原国家数" dataDxfId="177"/>
    <tableColumn id="4" name="原活跃高战玩家数" dataDxfId="178"/>
    <tableColumn id="5" name="原活跃中坚玩家数" dataDxfId="179"/>
    <tableColumn id="6" name="原单服最尖端战力" dataDxfId="180"/>
    <tableColumn id="7" name="活跃总战力" dataDxfId="181"/>
    <tableColumn id="8" name="活跃实际充值" dataDxfId="182"/>
    <tableColumn id="9" name="活跃虚拟充值" dataDxfId="183"/>
    <tableColumn id="10" name="活跃Coin" dataDxfId="184"/>
    <tableColumn id="11" name="共计补偿Coin" dataDxfId="185"/>
    <tableColumn id="12" name="补偿后Coin" dataDxfId="186"/>
    <tableColumn id="13" name="原综合国力" dataDxfId="187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3" name="表1_861014" displayName="表1_861014" ref="A1:X25" totalsRowShown="0">
  <autoFilter ref="A1:X25"/>
  <tableColumns count="24">
    <tableColumn id="1" name="区服" dataDxfId="188"/>
    <tableColumn id="2" name="开服天数" dataDxfId="189"/>
    <tableColumn id="3" name="目标区服" dataDxfId="190"/>
    <tableColumn id="4" name="目标国家（映射）" dataDxfId="191"/>
    <tableColumn id="5" name="补偿Coin" dataDxfId="192"/>
    <tableColumn id="6" name="共计补偿Coin" dataDxfId="193"/>
    <tableColumn id="7" name="补偿辎重" dataDxfId="194"/>
    <tableColumn id="8" name="原国家" dataDxfId="195"/>
    <tableColumn id="9" name="国家辅助" dataDxfId="196"/>
    <tableColumn id="10" name="都城数" dataDxfId="197"/>
    <tableColumn id="11" name="城池总数" dataDxfId="198"/>
    <tableColumn id="12" name="活跃高战玩家数" dataDxfId="199"/>
    <tableColumn id="13" name="活跃中坚玩家数" dataDxfId="200"/>
    <tableColumn id="14" name="排名积分" dataDxfId="201"/>
    <tableColumn id="15" name="活跃尖端战力" dataDxfId="202"/>
    <tableColumn id="16" name="活跃总战力" dataDxfId="203"/>
    <tableColumn id="17" name="目标国家" dataDxfId="204"/>
    <tableColumn id="18" name="目标辅助" dataDxfId="205"/>
    <tableColumn id="19" name="活跃实际充值" dataDxfId="206"/>
    <tableColumn id="20" name="活跃虚拟充值" dataDxfId="207"/>
    <tableColumn id="21" name="活跃Coin" dataDxfId="208"/>
    <tableColumn id="22" name="综合国力" dataDxfId="209"/>
    <tableColumn id="23" name="辅助导出" dataDxfId="210"/>
    <tableColumn id="24" name="导出" dataDxfId="211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4" name="表2_971115" displayName="表2_971115" ref="A31:M43" totalsRowShown="0">
  <autoFilter ref="A31:M43"/>
  <tableColumns count="13">
    <tableColumn id="1" name="合区区服" dataDxfId="212"/>
    <tableColumn id="2" name="国家" dataDxfId="213"/>
    <tableColumn id="3" name="原国家数" dataDxfId="214"/>
    <tableColumn id="4" name="原活跃高战玩家数" dataDxfId="215"/>
    <tableColumn id="5" name="原活跃中坚玩家数" dataDxfId="216"/>
    <tableColumn id="6" name="原单服最尖端战力" dataDxfId="217"/>
    <tableColumn id="7" name="活跃总战力" dataDxfId="218"/>
    <tableColumn id="8" name="活跃实际充值" dataDxfId="219"/>
    <tableColumn id="9" name="活跃虚拟充值" dataDxfId="220"/>
    <tableColumn id="10" name="活跃Coin" dataDxfId="221"/>
    <tableColumn id="11" name="共计补偿Coin" dataDxfId="222"/>
    <tableColumn id="12" name="补偿后Coin" dataDxfId="223"/>
    <tableColumn id="13" name="原综合国力" dataDxfId="224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1" name="表1_8612" displayName="表1_8612" ref="A1:X13" totalsRowShown="0">
  <autoFilter ref="A1:X13"/>
  <tableColumns count="24">
    <tableColumn id="1" name="区服" dataDxfId="225"/>
    <tableColumn id="2" name="开服天数" dataDxfId="226"/>
    <tableColumn id="3" name="目标区服" dataDxfId="227"/>
    <tableColumn id="4" name="目标国家（映射）" dataDxfId="228"/>
    <tableColumn id="5" name="补偿Coin" dataDxfId="229"/>
    <tableColumn id="6" name="共计补偿Coin" dataDxfId="230"/>
    <tableColumn id="7" name="补偿辎重" dataDxfId="231"/>
    <tableColumn id="8" name="原国家" dataDxfId="232"/>
    <tableColumn id="9" name="国家辅助" dataDxfId="233"/>
    <tableColumn id="10" name="都城数" dataDxfId="234"/>
    <tableColumn id="11" name="城池总数" dataDxfId="235"/>
    <tableColumn id="12" name="活跃高战玩家数" dataDxfId="236"/>
    <tableColumn id="13" name="活跃中坚玩家数" dataDxfId="237"/>
    <tableColumn id="14" name="排名积分" dataDxfId="238"/>
    <tableColumn id="15" name="活跃尖端战力" dataDxfId="239"/>
    <tableColumn id="16" name="活跃总战力" dataDxfId="240"/>
    <tableColumn id="17" name="目标国家" dataDxfId="241"/>
    <tableColumn id="18" name="目标辅助" dataDxfId="242"/>
    <tableColumn id="19" name="活跃实际充值" dataDxfId="243"/>
    <tableColumn id="20" name="活跃虚拟充值" dataDxfId="244"/>
    <tableColumn id="21" name="活跃Coin" dataDxfId="245"/>
    <tableColumn id="22" name="综合国力" dataDxfId="246"/>
    <tableColumn id="23" name="辅助导出" dataDxfId="247"/>
    <tableColumn id="24" name="导出" dataDxfId="248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2" name="表2_9713" displayName="表2_9713" ref="A16:M22" totalsRowShown="0">
  <autoFilter ref="A16:M22"/>
  <tableColumns count="13">
    <tableColumn id="1" name="合区区服" dataDxfId="249"/>
    <tableColumn id="2" name="国家" dataDxfId="250"/>
    <tableColumn id="3" name="原国家数" dataDxfId="251"/>
    <tableColumn id="4" name="原活跃高战玩家数" dataDxfId="252"/>
    <tableColumn id="5" name="原活跃中坚玩家数" dataDxfId="253"/>
    <tableColumn id="6" name="原单服最尖端战力" dataDxfId="254"/>
    <tableColumn id="7" name="活跃总战力" dataDxfId="255"/>
    <tableColumn id="8" name="活跃实际充值" dataDxfId="256"/>
    <tableColumn id="9" name="活跃虚拟充值" dataDxfId="257"/>
    <tableColumn id="10" name="活跃Coin" dataDxfId="258"/>
    <tableColumn id="11" name="共计补偿Coin" dataDxfId="259"/>
    <tableColumn id="12" name="补偿后Coin" dataDxfId="260"/>
    <tableColumn id="13" name="原综合国力" dataDxfId="261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7" name="表1_861218" displayName="表1_861218" ref="A1:X22" totalsRowShown="0">
  <autoFilter ref="A1:X22"/>
  <tableColumns count="24">
    <tableColumn id="1" name="区服" dataDxfId="262"/>
    <tableColumn id="2" name="开服天数" dataDxfId="263"/>
    <tableColumn id="3" name="目标区服" dataDxfId="264"/>
    <tableColumn id="4" name="目标国家（映射）" dataDxfId="265"/>
    <tableColumn id="5" name="补偿Coin" dataDxfId="266"/>
    <tableColumn id="6" name="共计补偿Coin" dataDxfId="267"/>
    <tableColumn id="7" name="补偿辎重" dataDxfId="268"/>
    <tableColumn id="8" name="原国家" dataDxfId="269"/>
    <tableColumn id="9" name="国家辅助" dataDxfId="270"/>
    <tableColumn id="10" name="都城数" dataDxfId="271"/>
    <tableColumn id="11" name="城池总数" dataDxfId="272"/>
    <tableColumn id="12" name="活跃高战玩家数" dataDxfId="273"/>
    <tableColumn id="13" name="活跃中坚玩家数" dataDxfId="274"/>
    <tableColumn id="14" name="排名积分" dataDxfId="275"/>
    <tableColumn id="15" name="活跃尖端战力" dataDxfId="276"/>
    <tableColumn id="16" name="活跃总战力" dataDxfId="277"/>
    <tableColumn id="17" name="目标国家" dataDxfId="278"/>
    <tableColumn id="18" name="目标辅助" dataDxfId="279"/>
    <tableColumn id="19" name="活跃实际充值" dataDxfId="280"/>
    <tableColumn id="20" name="活跃虚拟充值" dataDxfId="281"/>
    <tableColumn id="21" name="活跃Coin" dataDxfId="282"/>
    <tableColumn id="22" name="综合国力" dataDxfId="283"/>
    <tableColumn id="23" name="辅助导出" dataDxfId="284"/>
    <tableColumn id="24" name="导出" dataDxfId="285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8" name="表2_971319" displayName="表2_971319" ref="A25:M34" totalsRowShown="0">
  <autoFilter ref="A25:M34"/>
  <tableColumns count="13">
    <tableColumn id="1" name="合区区服" dataDxfId="286"/>
    <tableColumn id="2" name="国家" dataDxfId="287"/>
    <tableColumn id="3" name="原国家数" dataDxfId="288"/>
    <tableColumn id="4" name="原活跃高战玩家数" dataDxfId="289"/>
    <tableColumn id="5" name="原活跃中坚玩家数" dataDxfId="290"/>
    <tableColumn id="6" name="原单服最尖端战力" dataDxfId="291"/>
    <tableColumn id="7" name="活跃总战力" dataDxfId="292"/>
    <tableColumn id="8" name="活跃实际充值" dataDxfId="293"/>
    <tableColumn id="9" name="活跃虚拟充值" dataDxfId="294"/>
    <tableColumn id="10" name="活跃Coin" dataDxfId="295"/>
    <tableColumn id="11" name="共计补偿Coin" dataDxfId="296"/>
    <tableColumn id="12" name="补偿后Coin" dataDxfId="297"/>
    <tableColumn id="13" name="原综合国力" dataDxfId="298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5" name="表1_86121816" displayName="表1_86121816" ref="A1:X22" totalsRowShown="0">
  <autoFilter ref="A1:X22"/>
  <tableColumns count="24">
    <tableColumn id="1" name="区服" dataDxfId="299"/>
    <tableColumn id="2" name="开服天数" dataDxfId="300"/>
    <tableColumn id="3" name="目标区服" dataDxfId="301"/>
    <tableColumn id="4" name="目标国家（映射）" dataDxfId="302"/>
    <tableColumn id="5" name="补偿Coin" dataDxfId="303"/>
    <tableColumn id="6" name="共计补偿Coin" dataDxfId="304"/>
    <tableColumn id="7" name="补偿辎重" dataDxfId="305"/>
    <tableColumn id="8" name="原国家" dataDxfId="306"/>
    <tableColumn id="9" name="国家辅助" dataDxfId="307"/>
    <tableColumn id="10" name="都城数" dataDxfId="308"/>
    <tableColumn id="11" name="城池总数" dataDxfId="309"/>
    <tableColumn id="12" name="活跃高战玩家数" dataDxfId="310"/>
    <tableColumn id="13" name="活跃中坚玩家数" dataDxfId="311"/>
    <tableColumn id="14" name="排名积分" dataDxfId="312"/>
    <tableColumn id="15" name="活跃尖端战力" dataDxfId="313"/>
    <tableColumn id="16" name="活跃总战力" dataDxfId="314"/>
    <tableColumn id="17" name="目标国家" dataDxfId="315"/>
    <tableColumn id="18" name="目标辅助" dataDxfId="316"/>
    <tableColumn id="19" name="活跃实际充值" dataDxfId="317"/>
    <tableColumn id="20" name="活跃虚拟充值" dataDxfId="318"/>
    <tableColumn id="21" name="活跃Coin" dataDxfId="319"/>
    <tableColumn id="22" name="综合国力" dataDxfId="320"/>
    <tableColumn id="23" name="辅助导出" dataDxfId="321"/>
    <tableColumn id="24" name="导出" dataDxfId="322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6" name="表2_97131917" displayName="表2_97131917" ref="A25:M34" totalsRowShown="0">
  <autoFilter ref="A25:M34"/>
  <tableColumns count="13">
    <tableColumn id="1" name="合区区服" dataDxfId="323"/>
    <tableColumn id="2" name="国家" dataDxfId="324"/>
    <tableColumn id="3" name="原国家数" dataDxfId="325"/>
    <tableColumn id="4" name="原活跃高战玩家数" dataDxfId="326"/>
    <tableColumn id="5" name="原活跃中坚玩家数" dataDxfId="327"/>
    <tableColumn id="6" name="原单服最尖端战力" dataDxfId="328"/>
    <tableColumn id="7" name="活跃总战力" dataDxfId="329"/>
    <tableColumn id="8" name="活跃实际充值" dataDxfId="330"/>
    <tableColumn id="9" name="活跃虚拟充值" dataDxfId="331"/>
    <tableColumn id="10" name="活跃Coin" dataDxfId="332"/>
    <tableColumn id="11" name="共计补偿Coin" dataDxfId="333"/>
    <tableColumn id="12" name="补偿后Coin" dataDxfId="334"/>
    <tableColumn id="13" name="原综合国力" dataDxfId="335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表1_8612181620" displayName="表1_8612181620" ref="A1:X22" totalsRowShown="0">
  <autoFilter ref="A1:X22"/>
  <tableColumns count="24">
    <tableColumn id="1" name="区服" dataDxfId="336"/>
    <tableColumn id="2" name="开服天数" dataDxfId="337"/>
    <tableColumn id="3" name="目标区服" dataDxfId="338"/>
    <tableColumn id="4" name="目标国家（映射）" dataDxfId="339"/>
    <tableColumn id="5" name="补偿Coin" dataDxfId="340"/>
    <tableColumn id="6" name="共计补偿Coin" dataDxfId="341"/>
    <tableColumn id="7" name="补偿辎重" dataDxfId="342"/>
    <tableColumn id="8" name="原国家" dataDxfId="343"/>
    <tableColumn id="9" name="国家辅助" dataDxfId="344"/>
    <tableColumn id="10" name="都城数" dataDxfId="345"/>
    <tableColumn id="11" name="城池总数" dataDxfId="346"/>
    <tableColumn id="12" name="活跃高战玩家数" dataDxfId="347"/>
    <tableColumn id="13" name="活跃中坚玩家数" dataDxfId="348"/>
    <tableColumn id="14" name="排名积分" dataDxfId="349"/>
    <tableColumn id="15" name="活跃尖端战力" dataDxfId="350"/>
    <tableColumn id="16" name="活跃总战力" dataDxfId="351"/>
    <tableColumn id="17" name="目标国家" dataDxfId="352"/>
    <tableColumn id="18" name="目标辅助" dataDxfId="353"/>
    <tableColumn id="19" name="活跃实际充值" dataDxfId="354"/>
    <tableColumn id="20" name="活跃虚拟充值" dataDxfId="355"/>
    <tableColumn id="21" name="活跃Coin" dataDxfId="356"/>
    <tableColumn id="22" name="综合国力" dataDxfId="357"/>
    <tableColumn id="23" name="辅助导出" dataDxfId="358"/>
    <tableColumn id="24" name="导出" dataDxfId="359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表2_9713191721" displayName="表2_9713191721" ref="A25:M34" totalsRowShown="0">
  <autoFilter ref="A25:M34"/>
  <tableColumns count="13">
    <tableColumn id="1" name="合区区服" dataDxfId="360"/>
    <tableColumn id="2" name="国家" dataDxfId="361"/>
    <tableColumn id="3" name="原国家数" dataDxfId="362"/>
    <tableColumn id="4" name="原活跃高战玩家数" dataDxfId="363"/>
    <tableColumn id="5" name="原活跃中坚玩家数" dataDxfId="364"/>
    <tableColumn id="6" name="原单服最尖端战力" dataDxfId="365"/>
    <tableColumn id="7" name="活跃总战力" dataDxfId="366"/>
    <tableColumn id="8" name="活跃实际充值" dataDxfId="367"/>
    <tableColumn id="9" name="活跃虚拟充值" dataDxfId="368"/>
    <tableColumn id="10" name="活跃Coin" dataDxfId="369"/>
    <tableColumn id="11" name="共计补偿Coin" dataDxfId="370"/>
    <tableColumn id="12" name="补偿后Coin" dataDxfId="371"/>
    <tableColumn id="13" name="原综合国力" dataDxfId="372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表1_86121822" displayName="表1_86121822" ref="A1:X22" totalsRowShown="0">
  <autoFilter ref="A1:X22"/>
  <tableColumns count="24">
    <tableColumn id="1" name="区服" dataDxfId="373"/>
    <tableColumn id="2" name="开服天数" dataDxfId="374"/>
    <tableColumn id="3" name="目标区服" dataDxfId="375"/>
    <tableColumn id="4" name="目标国家（映射）" dataDxfId="376"/>
    <tableColumn id="5" name="补偿Coin" dataDxfId="377"/>
    <tableColumn id="6" name="共计补偿Coin" dataDxfId="378"/>
    <tableColumn id="7" name="补偿辎重" dataDxfId="379"/>
    <tableColumn id="8" name="原国家" dataDxfId="380"/>
    <tableColumn id="9" name="国家辅助" dataDxfId="381"/>
    <tableColumn id="10" name="都城数" dataDxfId="382"/>
    <tableColumn id="11" name="城池总数" dataDxfId="383"/>
    <tableColumn id="12" name="活跃高战玩家数" dataDxfId="384"/>
    <tableColumn id="13" name="活跃中坚玩家数" dataDxfId="385"/>
    <tableColumn id="14" name="排名积分" dataDxfId="386"/>
    <tableColumn id="15" name="活跃尖端战力" dataDxfId="387"/>
    <tableColumn id="16" name="活跃总战力" dataDxfId="388"/>
    <tableColumn id="17" name="目标国家" dataDxfId="389"/>
    <tableColumn id="18" name="目标辅助" dataDxfId="390"/>
    <tableColumn id="19" name="活跃实际充值" dataDxfId="391"/>
    <tableColumn id="20" name="活跃虚拟充值" dataDxfId="392"/>
    <tableColumn id="21" name="活跃Coin" dataDxfId="393"/>
    <tableColumn id="22" name="综合国力" dataDxfId="394"/>
    <tableColumn id="23" name="辅助导出" dataDxfId="395"/>
    <tableColumn id="24" name="导出" dataDxfId="396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表2_97131923" displayName="表2_97131923" ref="A25:M34" totalsRowShown="0">
  <autoFilter ref="A25:M34"/>
  <tableColumns count="13">
    <tableColumn id="1" name="合区区服" dataDxfId="397"/>
    <tableColumn id="2" name="国家" dataDxfId="398"/>
    <tableColumn id="3" name="原国家数" dataDxfId="399"/>
    <tableColumn id="4" name="原活跃高战玩家数" dataDxfId="400"/>
    <tableColumn id="5" name="原活跃中坚玩家数" dataDxfId="401"/>
    <tableColumn id="6" name="原单服最尖端战力" dataDxfId="402"/>
    <tableColumn id="7" name="活跃总战力" dataDxfId="403"/>
    <tableColumn id="8" name="活跃实际充值" dataDxfId="404"/>
    <tableColumn id="9" name="活跃虚拟充值" dataDxfId="405"/>
    <tableColumn id="10" name="活跃Coin" dataDxfId="406"/>
    <tableColumn id="11" name="共计补偿Coin" dataDxfId="407"/>
    <tableColumn id="12" name="补偿后Coin" dataDxfId="408"/>
    <tableColumn id="13" name="原综合国力" dataDxfId="409"/>
  </tableColumns>
  <tableStyleInfo name="TableStyleLight10" showFirstColumn="0" showLastColumn="0" showRowStripes="1" showColumnStripes="0"/>
</table>
</file>

<file path=xl/tables/table23.xml><?xml version="1.0" encoding="utf-8"?>
<table xmlns="http://schemas.openxmlformats.org/spreadsheetml/2006/main" id="23" name="表1_8612182224" displayName="表1_8612182224" ref="A1:X22" totalsRowShown="0">
  <autoFilter ref="A1:X22"/>
  <tableColumns count="24">
    <tableColumn id="1" name="区服" dataDxfId="410"/>
    <tableColumn id="2" name="开服天数" dataDxfId="411"/>
    <tableColumn id="3" name="目标区服" dataDxfId="412"/>
    <tableColumn id="4" name="目标国家（映射）" dataDxfId="413"/>
    <tableColumn id="5" name="补偿Coin" dataDxfId="414"/>
    <tableColumn id="6" name="共计补偿Coin" dataDxfId="415"/>
    <tableColumn id="7" name="补偿辎重" dataDxfId="416"/>
    <tableColumn id="8" name="原国家" dataDxfId="417"/>
    <tableColumn id="9" name="国家辅助" dataDxfId="418"/>
    <tableColumn id="10" name="都城数" dataDxfId="419"/>
    <tableColumn id="11" name="城池总数" dataDxfId="420"/>
    <tableColumn id="12" name="活跃高战玩家数" dataDxfId="421"/>
    <tableColumn id="13" name="活跃中坚玩家数" dataDxfId="422"/>
    <tableColumn id="14" name="排名积分" dataDxfId="423"/>
    <tableColumn id="15" name="活跃尖端战力" dataDxfId="424"/>
    <tableColumn id="16" name="活跃总战力" dataDxfId="425"/>
    <tableColumn id="17" name="目标国家" dataDxfId="426"/>
    <tableColumn id="18" name="目标辅助" dataDxfId="427"/>
    <tableColumn id="19" name="活跃实际充值" dataDxfId="428"/>
    <tableColumn id="20" name="活跃虚拟充值" dataDxfId="429"/>
    <tableColumn id="21" name="活跃Coin" dataDxfId="430"/>
    <tableColumn id="22" name="综合国力" dataDxfId="431"/>
    <tableColumn id="23" name="辅助导出" dataDxfId="432"/>
    <tableColumn id="24" name="导出" dataDxfId="433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表2_9713192325" displayName="表2_9713192325" ref="A25:M34" totalsRowShown="0">
  <autoFilter ref="A25:M34"/>
  <tableColumns count="13">
    <tableColumn id="1" name="合区区服" dataDxfId="434"/>
    <tableColumn id="2" name="国家" dataDxfId="435"/>
    <tableColumn id="3" name="原国家数" dataDxfId="436"/>
    <tableColumn id="4" name="原活跃高战玩家数" dataDxfId="437"/>
    <tableColumn id="5" name="原活跃中坚玩家数" dataDxfId="438"/>
    <tableColumn id="6" name="原单服最尖端战力" dataDxfId="439"/>
    <tableColumn id="7" name="活跃总战力" dataDxfId="440"/>
    <tableColumn id="8" name="活跃实际充值" dataDxfId="441"/>
    <tableColumn id="9" name="活跃虚拟充值" dataDxfId="442"/>
    <tableColumn id="10" name="活跃Coin" dataDxfId="443"/>
    <tableColumn id="11" name="共计补偿Coin" dataDxfId="444"/>
    <tableColumn id="12" name="补偿后Coin" dataDxfId="445"/>
    <tableColumn id="13" name="原综合国力" dataDxfId="446"/>
  </tableColumns>
  <tableStyleInfo name="TableStyleLight10" showFirstColumn="0" showLastColumn="0" showRowStripes="1" showColumnStripes="0"/>
</table>
</file>

<file path=xl/tables/table25.xml><?xml version="1.0" encoding="utf-8"?>
<table xmlns="http://schemas.openxmlformats.org/spreadsheetml/2006/main" id="27" name="表1_86121822242628" displayName="表1_86121822242628" ref="A1:X22" totalsRowShown="0">
  <autoFilter ref="A1:X22"/>
  <tableColumns count="24">
    <tableColumn id="1" name="区服" dataDxfId="447"/>
    <tableColumn id="2" name="开服天数" dataDxfId="448"/>
    <tableColumn id="3" name="目标区服" dataDxfId="449"/>
    <tableColumn id="4" name="目标国家（映射）" dataDxfId="450"/>
    <tableColumn id="5" name="补偿Coin" dataDxfId="451"/>
    <tableColumn id="6" name="共计补偿Coin" dataDxfId="452"/>
    <tableColumn id="7" name="补偿辎重" dataDxfId="453"/>
    <tableColumn id="8" name="原国家" dataDxfId="454"/>
    <tableColumn id="9" name="国家辅助" dataDxfId="455"/>
    <tableColumn id="10" name="都城数" dataDxfId="456"/>
    <tableColumn id="11" name="城池总数" dataDxfId="457"/>
    <tableColumn id="12" name="活跃高战玩家数" dataDxfId="458"/>
    <tableColumn id="13" name="活跃中坚玩家数" dataDxfId="459"/>
    <tableColumn id="14" name="排名积分" dataDxfId="460"/>
    <tableColumn id="15" name="活跃尖端战力" dataDxfId="461"/>
    <tableColumn id="16" name="活跃总战力" dataDxfId="462"/>
    <tableColumn id="17" name="目标国家" dataDxfId="463"/>
    <tableColumn id="18" name="目标辅助" dataDxfId="464"/>
    <tableColumn id="19" name="活跃实际充值" dataDxfId="465"/>
    <tableColumn id="20" name="活跃虚拟充值" dataDxfId="466"/>
    <tableColumn id="21" name="活跃Coin" dataDxfId="467"/>
    <tableColumn id="22" name="综合国力" dataDxfId="468"/>
    <tableColumn id="23" name="辅助导出" dataDxfId="469"/>
    <tableColumn id="24" name="导出" dataDxfId="470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8" name="表2_97131923252729" displayName="表2_97131923252729" ref="A25:M34" totalsRowShown="0">
  <autoFilter ref="A25:M34"/>
  <tableColumns count="13">
    <tableColumn id="1" name="合区区服" dataDxfId="471"/>
    <tableColumn id="2" name="国家" dataDxfId="472"/>
    <tableColumn id="3" name="原国家数" dataDxfId="473"/>
    <tableColumn id="4" name="原活跃高战玩家数" dataDxfId="474"/>
    <tableColumn id="5" name="原活跃中坚玩家数" dataDxfId="475"/>
    <tableColumn id="6" name="原单服最尖端战力" dataDxfId="476"/>
    <tableColumn id="7" name="活跃总战力" dataDxfId="477"/>
    <tableColumn id="8" name="活跃实际充值" dataDxfId="478"/>
    <tableColumn id="9" name="活跃虚拟充值" dataDxfId="479"/>
    <tableColumn id="10" name="活跃Coin" dataDxfId="480"/>
    <tableColumn id="11" name="共计补偿Coin" dataDxfId="481"/>
    <tableColumn id="12" name="补偿后Coin" dataDxfId="482"/>
    <tableColumn id="13" name="原综合国力" dataDxfId="483"/>
  </tableColumns>
  <tableStyleInfo name="TableStyleLight10" showFirstColumn="0" showLastColumn="0" showRowStripes="1" showColumnStripes="0"/>
</table>
</file>

<file path=xl/tables/table27.xml><?xml version="1.0" encoding="utf-8"?>
<table xmlns="http://schemas.openxmlformats.org/spreadsheetml/2006/main" id="29" name="表1_86121822242630" displayName="表1_86121822242630" ref="A1:X22" totalsRowShown="0">
  <autoFilter ref="A1:X22"/>
  <tableColumns count="24">
    <tableColumn id="1" name="区服" dataDxfId="484"/>
    <tableColumn id="2" name="开服天数" dataDxfId="485"/>
    <tableColumn id="3" name="目标区服" dataDxfId="486"/>
    <tableColumn id="4" name="目标国家（映射）" dataDxfId="487"/>
    <tableColumn id="5" name="补偿Coin" dataDxfId="488"/>
    <tableColumn id="6" name="共计补偿Coin" dataDxfId="489"/>
    <tableColumn id="7" name="补偿辎重" dataDxfId="490"/>
    <tableColumn id="8" name="原国家" dataDxfId="491"/>
    <tableColumn id="9" name="国家辅助" dataDxfId="492"/>
    <tableColumn id="10" name="都城数" dataDxfId="493"/>
    <tableColumn id="11" name="城池总数" dataDxfId="494"/>
    <tableColumn id="12" name="活跃高战玩家数" dataDxfId="495"/>
    <tableColumn id="13" name="活跃中坚玩家数" dataDxfId="496"/>
    <tableColumn id="14" name="排名积分" dataDxfId="497"/>
    <tableColumn id="15" name="活跃尖端战力" dataDxfId="498"/>
    <tableColumn id="16" name="活跃总战力" dataDxfId="499"/>
    <tableColumn id="17" name="目标国家" dataDxfId="500"/>
    <tableColumn id="18" name="目标辅助" dataDxfId="501"/>
    <tableColumn id="19" name="活跃实际充值" dataDxfId="502"/>
    <tableColumn id="20" name="活跃虚拟充值" dataDxfId="503"/>
    <tableColumn id="21" name="活跃Coin" dataDxfId="504"/>
    <tableColumn id="22" name="综合国力" dataDxfId="505"/>
    <tableColumn id="23" name="辅助导出" dataDxfId="506"/>
    <tableColumn id="24" name="导出" dataDxfId="507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30" name="表2_97131923252731" displayName="表2_97131923252731" ref="A25:M34" totalsRowShown="0">
  <autoFilter ref="A25:M34"/>
  <tableColumns count="13">
    <tableColumn id="1" name="合区区服" dataDxfId="508"/>
    <tableColumn id="2" name="国家" dataDxfId="509"/>
    <tableColumn id="3" name="原国家数" dataDxfId="510"/>
    <tableColumn id="4" name="原活跃高战玩家数" dataDxfId="511"/>
    <tableColumn id="5" name="原活跃中坚玩家数" dataDxfId="512"/>
    <tableColumn id="6" name="原单服最尖端战力" dataDxfId="513"/>
    <tableColumn id="7" name="活跃总战力" dataDxfId="514"/>
    <tableColumn id="8" name="活跃实际充值" dataDxfId="515"/>
    <tableColumn id="9" name="活跃虚拟充值" dataDxfId="516"/>
    <tableColumn id="10" name="活跃Coin" dataDxfId="517"/>
    <tableColumn id="11" name="共计补偿Coin" dataDxfId="518"/>
    <tableColumn id="12" name="补偿后Coin" dataDxfId="519"/>
    <tableColumn id="13" name="原综合国力" dataDxfId="520"/>
  </tableColumns>
  <tableStyleInfo name="TableStyleLight10" showFirstColumn="0" showLastColumn="0" showRowStripes="1" showColumnStripes="0"/>
</table>
</file>

<file path=xl/tables/table29.xml><?xml version="1.0" encoding="utf-8"?>
<table xmlns="http://schemas.openxmlformats.org/spreadsheetml/2006/main" id="31" name="表1_86121822242632" displayName="表1_86121822242632" ref="A1:X22" totalsRowShown="0">
  <autoFilter ref="A1:X22"/>
  <tableColumns count="24">
    <tableColumn id="1" name="区服" dataDxfId="521"/>
    <tableColumn id="2" name="开服天数" dataDxfId="522"/>
    <tableColumn id="3" name="目标区服" dataDxfId="523"/>
    <tableColumn id="4" name="目标国家（映射）" dataDxfId="524"/>
    <tableColumn id="5" name="补偿Coin" dataDxfId="525"/>
    <tableColumn id="6" name="共计补偿Coin" dataDxfId="526"/>
    <tableColumn id="7" name="补偿辎重" dataDxfId="527"/>
    <tableColumn id="8" name="原国家" dataDxfId="528"/>
    <tableColumn id="9" name="国家辅助" dataDxfId="529"/>
    <tableColumn id="10" name="都城数" dataDxfId="530"/>
    <tableColumn id="11" name="城池总数" dataDxfId="531"/>
    <tableColumn id="12" name="活跃高战玩家数" dataDxfId="532"/>
    <tableColumn id="13" name="活跃中坚玩家数" dataDxfId="533"/>
    <tableColumn id="14" name="排名积分" dataDxfId="534"/>
    <tableColumn id="15" name="活跃尖端战力" dataDxfId="535"/>
    <tableColumn id="16" name="活跃总战力" dataDxfId="536"/>
    <tableColumn id="17" name="目标国家" dataDxfId="537"/>
    <tableColumn id="18" name="目标辅助" dataDxfId="538"/>
    <tableColumn id="19" name="活跃实际充值" dataDxfId="539"/>
    <tableColumn id="20" name="活跃虚拟充值" dataDxfId="540"/>
    <tableColumn id="21" name="活跃Coin" dataDxfId="541"/>
    <tableColumn id="22" name="综合国力" dataDxfId="542"/>
    <tableColumn id="23" name="辅助导出" dataDxfId="543"/>
    <tableColumn id="24" name="导出" dataDxfId="544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2" name="表2_97131923252733" displayName="表2_97131923252733" ref="A25:M34" totalsRowShown="0">
  <autoFilter ref="A25:M34"/>
  <tableColumns count="13">
    <tableColumn id="1" name="合区区服" dataDxfId="545"/>
    <tableColumn id="2" name="国家" dataDxfId="546"/>
    <tableColumn id="3" name="原国家数" dataDxfId="547"/>
    <tableColumn id="4" name="原活跃高战玩家数" dataDxfId="548"/>
    <tableColumn id="5" name="原活跃中坚玩家数" dataDxfId="549"/>
    <tableColumn id="6" name="原单服最尖端战力" dataDxfId="550"/>
    <tableColumn id="7" name="活跃总战力" dataDxfId="551"/>
    <tableColumn id="8" name="活跃实际充值" dataDxfId="552"/>
    <tableColumn id="9" name="活跃虚拟充值" dataDxfId="553"/>
    <tableColumn id="10" name="活跃Coin" dataDxfId="554"/>
    <tableColumn id="11" name="共计补偿Coin" dataDxfId="555"/>
    <tableColumn id="12" name="补偿后Coin" dataDxfId="556"/>
    <tableColumn id="13" name="原综合国力" dataDxfId="557"/>
  </tableColumns>
  <tableStyleInfo name="TableStyleLight10" showFirstColumn="0" showLastColumn="0" showRowStripes="1" showColumnStripes="0"/>
</table>
</file>

<file path=xl/tables/table31.xml><?xml version="1.0" encoding="utf-8"?>
<table xmlns="http://schemas.openxmlformats.org/spreadsheetml/2006/main" id="33" name="表1_86121822242634" displayName="表1_86121822242634" ref="A1:X34" totalsRowShown="0">
  <autoFilter ref="A1:X34"/>
  <tableColumns count="24">
    <tableColumn id="1" name="区服" dataDxfId="558"/>
    <tableColumn id="2" name="开服天数" dataDxfId="559"/>
    <tableColumn id="3" name="目标区服" dataDxfId="560"/>
    <tableColumn id="4" name="目标国家（映射）" dataDxfId="561"/>
    <tableColumn id="5" name="补偿Coin" dataDxfId="562"/>
    <tableColumn id="6" name="共计补偿Coin" dataDxfId="563"/>
    <tableColumn id="7" name="补偿辎重" dataDxfId="564"/>
    <tableColumn id="8" name="原国家" dataDxfId="565"/>
    <tableColumn id="9" name="国家辅助" dataDxfId="566"/>
    <tableColumn id="10" name="都城数" dataDxfId="567"/>
    <tableColumn id="11" name="城池总数" dataDxfId="568"/>
    <tableColumn id="12" name="活跃高战玩家数" dataDxfId="569"/>
    <tableColumn id="13" name="活跃中坚玩家数" dataDxfId="570"/>
    <tableColumn id="14" name="排名积分" dataDxfId="571"/>
    <tableColumn id="15" name="活跃尖端战力" dataDxfId="572"/>
    <tableColumn id="16" name="活跃总战力" dataDxfId="573"/>
    <tableColumn id="17" name="目标国家" dataDxfId="574"/>
    <tableColumn id="18" name="目标辅助" dataDxfId="575"/>
    <tableColumn id="19" name="活跃实际充值" dataDxfId="576"/>
    <tableColumn id="20" name="活跃虚拟充值" dataDxfId="577"/>
    <tableColumn id="21" name="活跃Coin" dataDxfId="578"/>
    <tableColumn id="22" name="综合国力" dataDxfId="579"/>
    <tableColumn id="23" name="辅助导出" dataDxfId="580"/>
    <tableColumn id="24" name="导出" dataDxfId="581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4" name="表2_97131923252735" displayName="表2_97131923252735" ref="A37:M49" totalsRowShown="0">
  <autoFilter ref="A37:M49"/>
  <tableColumns count="13">
    <tableColumn id="1" name="合区区服" dataDxfId="582"/>
    <tableColumn id="2" name="国家" dataDxfId="583"/>
    <tableColumn id="3" name="原国家数" dataDxfId="584"/>
    <tableColumn id="4" name="原活跃高战玩家数" dataDxfId="585"/>
    <tableColumn id="5" name="原活跃中坚玩家数" dataDxfId="586"/>
    <tableColumn id="6" name="原单服最尖端战力" dataDxfId="587"/>
    <tableColumn id="7" name="活跃总战力" dataDxfId="588"/>
    <tableColumn id="8" name="活跃实际充值" dataDxfId="589"/>
    <tableColumn id="9" name="活跃虚拟充值" dataDxfId="590"/>
    <tableColumn id="10" name="活跃Coin" dataDxfId="591"/>
    <tableColumn id="11" name="共计补偿Coin" dataDxfId="592"/>
    <tableColumn id="12" name="补偿后Coin" dataDxfId="593"/>
    <tableColumn id="13" name="原综合国力" dataDxfId="594"/>
  </tableColumns>
  <tableStyleInfo name="TableStyleLight10" showFirstColumn="0" showLastColumn="0" showRowStripes="1" showColumnStripes="0"/>
</table>
</file>

<file path=xl/tables/table33.xml><?xml version="1.0" encoding="utf-8"?>
<table xmlns="http://schemas.openxmlformats.org/spreadsheetml/2006/main" id="35" name="表1_86121822242636" displayName="表1_86121822242636" ref="A1:X22" totalsRowShown="0">
  <autoFilter ref="A1:X22"/>
  <tableColumns count="24">
    <tableColumn id="1" name="区服" dataDxfId="595"/>
    <tableColumn id="2" name="开服天数" dataDxfId="596"/>
    <tableColumn id="3" name="目标区服" dataDxfId="597"/>
    <tableColumn id="4" name="目标国家（映射）" dataDxfId="598"/>
    <tableColumn id="5" name="补偿Coin" dataDxfId="599"/>
    <tableColumn id="6" name="共计补偿Coin" dataDxfId="600"/>
    <tableColumn id="7" name="补偿辎重" dataDxfId="601"/>
    <tableColumn id="8" name="原国家" dataDxfId="602"/>
    <tableColumn id="9" name="国家辅助" dataDxfId="603"/>
    <tableColumn id="10" name="都城数" dataDxfId="604"/>
    <tableColumn id="11" name="城池总数" dataDxfId="605"/>
    <tableColumn id="12" name="活跃高战玩家数" dataDxfId="606"/>
    <tableColumn id="13" name="活跃中坚玩家数" dataDxfId="607"/>
    <tableColumn id="14" name="排名积分" dataDxfId="608"/>
    <tableColumn id="15" name="活跃尖端战力" dataDxfId="609"/>
    <tableColumn id="16" name="活跃总战力" dataDxfId="610"/>
    <tableColumn id="17" name="目标国家" dataDxfId="611"/>
    <tableColumn id="18" name="目标辅助" dataDxfId="612"/>
    <tableColumn id="19" name="活跃实际充值" dataDxfId="613"/>
    <tableColumn id="20" name="活跃虚拟充值" dataDxfId="614"/>
    <tableColumn id="21" name="活跃Coin" dataDxfId="615"/>
    <tableColumn id="22" name="综合国力" dataDxfId="616"/>
    <tableColumn id="23" name="辅助导出" dataDxfId="617"/>
    <tableColumn id="24" name="导出" dataDxfId="618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id="36" name="表2_97131923252737" displayName="表2_97131923252737" ref="A25:M34" totalsRowShown="0">
  <autoFilter ref="A25:M34"/>
  <tableColumns count="13">
    <tableColumn id="1" name="合区区服" dataDxfId="619"/>
    <tableColumn id="2" name="国家" dataDxfId="620"/>
    <tableColumn id="3" name="原国家数" dataDxfId="621"/>
    <tableColumn id="4" name="原活跃高战玩家数" dataDxfId="622"/>
    <tableColumn id="5" name="原活跃中坚玩家数" dataDxfId="623"/>
    <tableColumn id="6" name="原单服最尖端战力" dataDxfId="624"/>
    <tableColumn id="7" name="活跃总战力" dataDxfId="625"/>
    <tableColumn id="8" name="活跃实际充值" dataDxfId="626"/>
    <tableColumn id="9" name="活跃虚拟充值" dataDxfId="627"/>
    <tableColumn id="10" name="活跃Coin" dataDxfId="628"/>
    <tableColumn id="11" name="共计补偿Coin" dataDxfId="629"/>
    <tableColumn id="12" name="补偿后Coin" dataDxfId="630"/>
    <tableColumn id="13" name="原综合国力" dataDxfId="631"/>
  </tableColumns>
  <tableStyleInfo name="TableStyleLight10" showFirstColumn="0" showLastColumn="0" showRowStripes="1" showColumnStripes="0"/>
</table>
</file>

<file path=xl/tables/table35.xml><?xml version="1.0" encoding="utf-8"?>
<table xmlns="http://schemas.openxmlformats.org/spreadsheetml/2006/main" id="37" name="表1_86121822242638" displayName="表1_86121822242638" ref="A1:X22" totalsRowShown="0">
  <autoFilter ref="A1:X22"/>
  <tableColumns count="24">
    <tableColumn id="1" name="区服" dataDxfId="632"/>
    <tableColumn id="2" name="开服天数" dataDxfId="633"/>
    <tableColumn id="3" name="目标区服" dataDxfId="634"/>
    <tableColumn id="4" name="目标国家（映射）" dataDxfId="635"/>
    <tableColumn id="5" name="补偿Coin" dataDxfId="636"/>
    <tableColumn id="6" name="共计补偿Coin" dataDxfId="637"/>
    <tableColumn id="7" name="补偿辎重" dataDxfId="638"/>
    <tableColumn id="8" name="原国家" dataDxfId="639"/>
    <tableColumn id="9" name="国家辅助" dataDxfId="640"/>
    <tableColumn id="10" name="都城数" dataDxfId="641"/>
    <tableColumn id="11" name="城池总数" dataDxfId="642"/>
    <tableColumn id="12" name="活跃高战玩家数" dataDxfId="643"/>
    <tableColumn id="13" name="活跃中坚玩家数" dataDxfId="644"/>
    <tableColumn id="14" name="排名积分" dataDxfId="645"/>
    <tableColumn id="15" name="活跃尖端战力" dataDxfId="646"/>
    <tableColumn id="16" name="活跃总战力" dataDxfId="647"/>
    <tableColumn id="17" name="目标国家" dataDxfId="648"/>
    <tableColumn id="18" name="目标辅助" dataDxfId="649"/>
    <tableColumn id="19" name="活跃实际充值" dataDxfId="650"/>
    <tableColumn id="20" name="活跃虚拟充值" dataDxfId="651"/>
    <tableColumn id="21" name="活跃Coin" dataDxfId="652"/>
    <tableColumn id="22" name="综合国力" dataDxfId="653"/>
    <tableColumn id="23" name="辅助导出" dataDxfId="654"/>
    <tableColumn id="24" name="导出" dataDxfId="655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id="38" name="表2_97131923252739" displayName="表2_97131923252739" ref="A25:M34" totalsRowShown="0">
  <autoFilter ref="A25:M34"/>
  <tableColumns count="13">
    <tableColumn id="1" name="合区区服" dataDxfId="656"/>
    <tableColumn id="2" name="国家" dataDxfId="657"/>
    <tableColumn id="3" name="原国家数" dataDxfId="658"/>
    <tableColumn id="4" name="原活跃高战玩家数" dataDxfId="659"/>
    <tableColumn id="5" name="原活跃中坚玩家数" dataDxfId="660"/>
    <tableColumn id="6" name="原单服最尖端战力" dataDxfId="661"/>
    <tableColumn id="7" name="活跃总战力" dataDxfId="662"/>
    <tableColumn id="8" name="活跃实际充值" dataDxfId="663"/>
    <tableColumn id="9" name="活跃虚拟充值" dataDxfId="664"/>
    <tableColumn id="10" name="活跃Coin" dataDxfId="665"/>
    <tableColumn id="11" name="共计补偿Coin" dataDxfId="666"/>
    <tableColumn id="12" name="补偿后Coin" dataDxfId="667"/>
    <tableColumn id="13" name="原综合国力" dataDxfId="668"/>
  </tableColumns>
  <tableStyleInfo name="TableStyleLight10" showFirstColumn="0" showLastColumn="0" showRowStripes="1" showColumnStripes="0"/>
</table>
</file>

<file path=xl/tables/table37.xml><?xml version="1.0" encoding="utf-8"?>
<table xmlns="http://schemas.openxmlformats.org/spreadsheetml/2006/main" id="39" name="表1_86121822242640" displayName="表1_86121822242640" ref="A1:X22" totalsRowShown="0">
  <autoFilter ref="A1:X22"/>
  <tableColumns count="24">
    <tableColumn id="1" name="区服" dataDxfId="669"/>
    <tableColumn id="2" name="开服天数" dataDxfId="670"/>
    <tableColumn id="3" name="目标区服" dataDxfId="671"/>
    <tableColumn id="4" name="目标国家（映射）" dataDxfId="672"/>
    <tableColumn id="5" name="补偿Coin" dataDxfId="673"/>
    <tableColumn id="6" name="共计补偿Coin" dataDxfId="674"/>
    <tableColumn id="7" name="补偿辎重" dataDxfId="675"/>
    <tableColumn id="8" name="原国家" dataDxfId="676"/>
    <tableColumn id="9" name="国家辅助" dataDxfId="677"/>
    <tableColumn id="10" name="都城数" dataDxfId="678"/>
    <tableColumn id="11" name="城池总数" dataDxfId="679"/>
    <tableColumn id="12" name="活跃高战玩家数" dataDxfId="680"/>
    <tableColumn id="13" name="活跃中坚玩家数" dataDxfId="681"/>
    <tableColumn id="14" name="排名积分" dataDxfId="682"/>
    <tableColumn id="15" name="活跃尖端战力" dataDxfId="683"/>
    <tableColumn id="16" name="活跃总战力" dataDxfId="684"/>
    <tableColumn id="17" name="目标国家" dataDxfId="685"/>
    <tableColumn id="18" name="目标辅助" dataDxfId="686"/>
    <tableColumn id="19" name="活跃实际充值" dataDxfId="687"/>
    <tableColumn id="20" name="活跃虚拟充值" dataDxfId="688"/>
    <tableColumn id="21" name="活跃Coin" dataDxfId="689"/>
    <tableColumn id="22" name="综合国力" dataDxfId="690"/>
    <tableColumn id="23" name="辅助导出" dataDxfId="691"/>
    <tableColumn id="24" name="导出" dataDxfId="692"/>
  </tableColumns>
  <tableStyleInfo name="TableStyleLight9" showFirstColumn="0" showLastColumn="0" showRowStripes="1" showColumnStripes="0"/>
</table>
</file>

<file path=xl/tables/table38.xml><?xml version="1.0" encoding="utf-8"?>
<table xmlns="http://schemas.openxmlformats.org/spreadsheetml/2006/main" id="40" name="表2_97131923252741" displayName="表2_97131923252741" ref="A25:M34" totalsRowShown="0">
  <autoFilter ref="A25:M34"/>
  <tableColumns count="13">
    <tableColumn id="1" name="合区区服" dataDxfId="693"/>
    <tableColumn id="2" name="国家" dataDxfId="694"/>
    <tableColumn id="3" name="原国家数" dataDxfId="695"/>
    <tableColumn id="4" name="原活跃高战玩家数" dataDxfId="696"/>
    <tableColumn id="5" name="原活跃中坚玩家数" dataDxfId="697"/>
    <tableColumn id="6" name="原单服最尖端战力" dataDxfId="698"/>
    <tableColumn id="7" name="活跃总战力" dataDxfId="699"/>
    <tableColumn id="8" name="活跃实际充值" dataDxfId="700"/>
    <tableColumn id="9" name="活跃虚拟充值" dataDxfId="701"/>
    <tableColumn id="10" name="活跃Coin" dataDxfId="702"/>
    <tableColumn id="11" name="共计补偿Coin" dataDxfId="703"/>
    <tableColumn id="12" name="补偿后Coin" dataDxfId="704"/>
    <tableColumn id="13" name="原综合国力" dataDxfId="705"/>
  </tableColumns>
  <tableStyleInfo name="TableStyleLight10" showFirstColumn="0" showLastColumn="0" showRowStripes="1" showColumnStripes="0"/>
</table>
</file>

<file path=xl/tables/table39.xml><?xml version="1.0" encoding="utf-8"?>
<table xmlns="http://schemas.openxmlformats.org/spreadsheetml/2006/main" id="41" name="表1_86121822242642" displayName="表1_86121822242642" ref="A1:X22" totalsRowShown="0">
  <autoFilter ref="A1:X22"/>
  <tableColumns count="24">
    <tableColumn id="1" name="区服" dataDxfId="706"/>
    <tableColumn id="2" name="开服天数" dataDxfId="707"/>
    <tableColumn id="3" name="目标区服" dataDxfId="708"/>
    <tableColumn id="4" name="目标国家（映射）" dataDxfId="709"/>
    <tableColumn id="5" name="补偿Coin" dataDxfId="710"/>
    <tableColumn id="6" name="共计补偿Coin" dataDxfId="711"/>
    <tableColumn id="7" name="补偿辎重" dataDxfId="712"/>
    <tableColumn id="8" name="原国家" dataDxfId="713"/>
    <tableColumn id="9" name="国家辅助" dataDxfId="714"/>
    <tableColumn id="10" name="都城数" dataDxfId="715"/>
    <tableColumn id="11" name="城池总数" dataDxfId="716"/>
    <tableColumn id="12" name="活跃高战玩家数" dataDxfId="717"/>
    <tableColumn id="13" name="活跃中坚玩家数" dataDxfId="718"/>
    <tableColumn id="14" name="排名积分" dataDxfId="719"/>
    <tableColumn id="15" name="活跃尖端战力" dataDxfId="720"/>
    <tableColumn id="16" name="活跃总战力" dataDxfId="721"/>
    <tableColumn id="17" name="目标国家" dataDxfId="722"/>
    <tableColumn id="18" name="目标辅助" dataDxfId="723"/>
    <tableColumn id="19" name="活跃实际充值" dataDxfId="724"/>
    <tableColumn id="20" name="活跃虚拟充值" dataDxfId="725"/>
    <tableColumn id="21" name="活跃Coin" dataDxfId="726"/>
    <tableColumn id="22" name="综合国力" dataDxfId="727"/>
    <tableColumn id="23" name="辅助导出" dataDxfId="728"/>
    <tableColumn id="24" name="导出" dataDxfId="729"/>
  </tableColumns>
  <tableStyleInfo name="TableStyleLight9" showFirstColumn="0" showLastColumn="0" showRowStripes="1" showColumnStripes="0"/>
</table>
</file>

<file path=xl/tables/table40.xml><?xml version="1.0" encoding="utf-8"?>
<table xmlns="http://schemas.openxmlformats.org/spreadsheetml/2006/main" id="42" name="表2_97131923252743" displayName="表2_97131923252743" ref="A25:M34" totalsRowShown="0">
  <autoFilter ref="A25:M34"/>
  <tableColumns count="13">
    <tableColumn id="1" name="合区区服" dataDxfId="730"/>
    <tableColumn id="2" name="国家" dataDxfId="731"/>
    <tableColumn id="3" name="原国家数" dataDxfId="732"/>
    <tableColumn id="4" name="原活跃高战玩家数" dataDxfId="733"/>
    <tableColumn id="5" name="原活跃中坚玩家数" dataDxfId="734"/>
    <tableColumn id="6" name="原单服最尖端战力" dataDxfId="735"/>
    <tableColumn id="7" name="活跃总战力" dataDxfId="736"/>
    <tableColumn id="8" name="活跃实际充值" dataDxfId="737"/>
    <tableColumn id="9" name="活跃虚拟充值" dataDxfId="738"/>
    <tableColumn id="10" name="活跃Coin" dataDxfId="739"/>
    <tableColumn id="11" name="共计补偿Coin" dataDxfId="740"/>
    <tableColumn id="12" name="补偿后Coin" dataDxfId="741"/>
    <tableColumn id="13" name="原综合国力" dataDxfId="742"/>
  </tableColumns>
  <tableStyleInfo name="TableStyleLight10" showFirstColumn="0" showLastColumn="0" showRowStripes="1" showColumnStripes="0"/>
</table>
</file>

<file path=xl/tables/table41.xml><?xml version="1.0" encoding="utf-8"?>
<table xmlns="http://schemas.openxmlformats.org/spreadsheetml/2006/main" id="43" name="表1_86121822242644" displayName="表1_86121822242644" ref="A1:Y22" totalsRowShown="0">
  <autoFilter ref="A1:Y22"/>
  <tableColumns count="25">
    <tableColumn id="1" name="区服" dataDxfId="743"/>
    <tableColumn id="2" name="开服天数" dataDxfId="744"/>
    <tableColumn id="3" name="目标区服" dataDxfId="745"/>
    <tableColumn id="4" name="目标国家（映射）" dataDxfId="746"/>
    <tableColumn id="5" name="补偿Coin" dataDxfId="747"/>
    <tableColumn id="6" name="共计补偿Coin" dataDxfId="748"/>
    <tableColumn id="7" name="补偿辎重" dataDxfId="749"/>
    <tableColumn id="8" name="原国家" dataDxfId="750"/>
    <tableColumn id="9" name="国家辅助" dataDxfId="751"/>
    <tableColumn id="10" name="都城数" dataDxfId="752"/>
    <tableColumn id="11" name="城池总数" dataDxfId="753"/>
    <tableColumn id="12" name="活跃高战玩家数" dataDxfId="754"/>
    <tableColumn id="13" name="活跃中坚玩家数" dataDxfId="755"/>
    <tableColumn id="14" name="排名积分" dataDxfId="756"/>
    <tableColumn id="15" name="活跃尖端战力" dataDxfId="757"/>
    <tableColumn id="16" name="活跃总战力" dataDxfId="758"/>
    <tableColumn id="17" name="目标国家" dataDxfId="759"/>
    <tableColumn id="18" name="目标辅助" dataDxfId="760"/>
    <tableColumn id="19" name="活跃实际充值" dataDxfId="761"/>
    <tableColumn id="20" name="活跃虚拟充值" dataDxfId="762"/>
    <tableColumn id="21" name="活跃Coin" dataDxfId="763"/>
    <tableColumn id="22" name="综合国力" dataDxfId="764"/>
    <tableColumn id="23" name="单将最高战力" dataDxfId="765"/>
    <tableColumn id="24" name="辅助导出" dataDxfId="766"/>
    <tableColumn id="25" name="导出" dataDxfId="767"/>
  </tableColumns>
  <tableStyleInfo name="TableStyleLight9" showFirstColumn="0" showLastColumn="0" showRowStripes="1" showColumnStripes="0"/>
</table>
</file>

<file path=xl/tables/table42.xml><?xml version="1.0" encoding="utf-8"?>
<table xmlns="http://schemas.openxmlformats.org/spreadsheetml/2006/main" id="44" name="表2_97131923252745" displayName="表2_97131923252745" ref="A25:N34" totalsRowShown="0">
  <autoFilter ref="A25:N34"/>
  <tableColumns count="14">
    <tableColumn id="1" name="合区区服" dataDxfId="768"/>
    <tableColumn id="2" name="国家" dataDxfId="769"/>
    <tableColumn id="3" name="原国家数" dataDxfId="770"/>
    <tableColumn id="4" name="原活跃高战玩家数" dataDxfId="771"/>
    <tableColumn id="5" name="原活跃中坚玩家数" dataDxfId="772"/>
    <tableColumn id="6" name="原单服最尖端战力" dataDxfId="773"/>
    <tableColumn id="7" name="活跃总战力" dataDxfId="774"/>
    <tableColumn id="8" name="活跃实际充值" dataDxfId="775"/>
    <tableColumn id="9" name="活跃虚拟充值" dataDxfId="776"/>
    <tableColumn id="10" name="活跃Coin" dataDxfId="777"/>
    <tableColumn id="11" name="共计补偿Coin" dataDxfId="778"/>
    <tableColumn id="12" name="补偿后Coin" dataDxfId="779"/>
    <tableColumn id="13" name="原综合国力" dataDxfId="780"/>
    <tableColumn id="14" name="原最高战力" dataDxfId="781"/>
  </tableColumns>
  <tableStyleInfo name="TableStyleLight10" showFirstColumn="0" showLastColumn="0" showRowStripes="1" showColumnStripes="0"/>
</table>
</file>

<file path=xl/tables/table43.xml><?xml version="1.0" encoding="utf-8"?>
<table xmlns="http://schemas.openxmlformats.org/spreadsheetml/2006/main" id="45" name="表1_86121822242646" displayName="表1_86121822242646" ref="A1:Y13" totalsRowShown="0">
  <autoFilter ref="A1:Y13"/>
  <tableColumns count="25">
    <tableColumn id="1" name="区服" dataDxfId="782"/>
    <tableColumn id="2" name="开服天数" dataDxfId="783"/>
    <tableColumn id="3" name="目标区服" dataDxfId="784"/>
    <tableColumn id="4" name="目标国家（映射）" dataDxfId="785"/>
    <tableColumn id="5" name="补偿Coin" dataDxfId="786"/>
    <tableColumn id="6" name="共计补偿Coin" dataDxfId="787"/>
    <tableColumn id="7" name="补偿辎重" dataDxfId="788"/>
    <tableColumn id="8" name="原国家" dataDxfId="789"/>
    <tableColumn id="9" name="国家辅助" dataDxfId="790"/>
    <tableColumn id="10" name="都城数" dataDxfId="791"/>
    <tableColumn id="11" name="城池总数" dataDxfId="792"/>
    <tableColumn id="12" name="活跃高战玩家数" dataDxfId="793"/>
    <tableColumn id="13" name="活跃中坚玩家数" dataDxfId="794"/>
    <tableColumn id="14" name="排名积分" dataDxfId="795"/>
    <tableColumn id="15" name="活跃尖端战力" dataDxfId="796"/>
    <tableColumn id="16" name="活跃总战力" dataDxfId="797"/>
    <tableColumn id="17" name="目标国家" dataDxfId="798"/>
    <tableColumn id="18" name="目标辅助" dataDxfId="799"/>
    <tableColumn id="19" name="活跃实际充值" dataDxfId="800"/>
    <tableColumn id="20" name="活跃虚拟充值" dataDxfId="801"/>
    <tableColumn id="21" name="活跃Coin" dataDxfId="802"/>
    <tableColumn id="22" name="综合国力" dataDxfId="803"/>
    <tableColumn id="23" name="单将最高战力" dataDxfId="804"/>
    <tableColumn id="24" name="辅助导出" dataDxfId="805"/>
    <tableColumn id="25" name="导出" dataDxfId="806"/>
  </tableColumns>
  <tableStyleInfo name="TableStyleLight9" showFirstColumn="0" showLastColumn="0" showRowStripes="1" showColumnStripes="0"/>
</table>
</file>

<file path=xl/tables/table44.xml><?xml version="1.0" encoding="utf-8"?>
<table xmlns="http://schemas.openxmlformats.org/spreadsheetml/2006/main" id="46" name="表2_97131923252747" displayName="表2_97131923252747" ref="A16:N22" totalsRowShown="0">
  <autoFilter ref="A16:N22"/>
  <tableColumns count="14">
    <tableColumn id="1" name="合区区服" dataDxfId="807"/>
    <tableColumn id="2" name="国家" dataDxfId="808"/>
    <tableColumn id="3" name="原国家数" dataDxfId="809"/>
    <tableColumn id="4" name="原活跃高战玩家数" dataDxfId="810"/>
    <tableColumn id="5" name="原活跃中坚玩家数" dataDxfId="811"/>
    <tableColumn id="6" name="原单服最尖端战力" dataDxfId="812"/>
    <tableColumn id="7" name="活跃总战力" dataDxfId="813"/>
    <tableColumn id="8" name="活跃实际充值" dataDxfId="814"/>
    <tableColumn id="9" name="活跃虚拟充值" dataDxfId="815"/>
    <tableColumn id="10" name="活跃Coin" dataDxfId="816"/>
    <tableColumn id="11" name="共计补偿Coin" dataDxfId="817"/>
    <tableColumn id="12" name="补偿后Coin" dataDxfId="818"/>
    <tableColumn id="13" name="原综合国力" dataDxfId="819"/>
    <tableColumn id="14" name="原最高战力" dataDxfId="820"/>
  </tableColumns>
  <tableStyleInfo name="TableStyleLight10" showFirstColumn="0" showLastColumn="0" showRowStripes="1" showColumnStripes="0"/>
</table>
</file>

<file path=xl/tables/table45.xml><?xml version="1.0" encoding="utf-8"?>
<table xmlns="http://schemas.openxmlformats.org/spreadsheetml/2006/main" id="47" name="表1_86121822242648" displayName="表1_86121822242648" ref="A1:Y25" totalsRowShown="0">
  <autoFilter ref="A1:Y25"/>
  <tableColumns count="25">
    <tableColumn id="1" name="区服" dataDxfId="821"/>
    <tableColumn id="2" name="开服天数" dataDxfId="822"/>
    <tableColumn id="3" name="目标区服" dataDxfId="823"/>
    <tableColumn id="4" name="目标国家（映射）" dataDxfId="824"/>
    <tableColumn id="5" name="补偿Coin" dataDxfId="825"/>
    <tableColumn id="6" name="共计补偿Coin" dataDxfId="826"/>
    <tableColumn id="7" name="补偿辎重" dataDxfId="827"/>
    <tableColumn id="8" name="原国家" dataDxfId="828"/>
    <tableColumn id="9" name="国家辅助" dataDxfId="829"/>
    <tableColumn id="10" name="都城数" dataDxfId="830"/>
    <tableColumn id="11" name="城池总数" dataDxfId="831"/>
    <tableColumn id="12" name="活跃高战玩家数" dataDxfId="832"/>
    <tableColumn id="13" name="活跃中坚玩家数" dataDxfId="833"/>
    <tableColumn id="14" name="排名积分" dataDxfId="834"/>
    <tableColumn id="15" name="活跃尖端战力" dataDxfId="835"/>
    <tableColumn id="16" name="活跃总战力" dataDxfId="836"/>
    <tableColumn id="17" name="目标国家" dataDxfId="837"/>
    <tableColumn id="18" name="目标辅助" dataDxfId="838"/>
    <tableColumn id="19" name="活跃实际充值" dataDxfId="839"/>
    <tableColumn id="20" name="活跃虚拟充值" dataDxfId="840"/>
    <tableColumn id="21" name="活跃Coin" dataDxfId="841"/>
    <tableColumn id="22" name="综合国力" dataDxfId="842"/>
    <tableColumn id="23" name="单将最高战力" dataDxfId="843"/>
    <tableColumn id="24" name="辅助导出" dataDxfId="844"/>
    <tableColumn id="25" name="导出" dataDxfId="845"/>
  </tableColumns>
  <tableStyleInfo name="TableStyleLight9" showFirstColumn="0" showLastColumn="0" showRowStripes="1" showColumnStripes="0"/>
</table>
</file>

<file path=xl/tables/table46.xml><?xml version="1.0" encoding="utf-8"?>
<table xmlns="http://schemas.openxmlformats.org/spreadsheetml/2006/main" id="48" name="表2_97131923252749" displayName="表2_97131923252749" ref="A28:N40" totalsRowShown="0">
  <autoFilter ref="A28:N40"/>
  <tableColumns count="14">
    <tableColumn id="1" name="合区区服" dataDxfId="846"/>
    <tableColumn id="2" name="国家" dataDxfId="847"/>
    <tableColumn id="3" name="原国家数" dataDxfId="848"/>
    <tableColumn id="4" name="原活跃高战玩家数" dataDxfId="849"/>
    <tableColumn id="5" name="原活跃中坚玩家数" dataDxfId="850"/>
    <tableColumn id="6" name="原单服最尖端战力" dataDxfId="851"/>
    <tableColumn id="7" name="活跃总战力" dataDxfId="852"/>
    <tableColumn id="8" name="活跃实际充值" dataDxfId="853"/>
    <tableColumn id="9" name="活跃虚拟充值" dataDxfId="854"/>
    <tableColumn id="10" name="活跃Coin" dataDxfId="855"/>
    <tableColumn id="11" name="共计补偿Coin" dataDxfId="856"/>
    <tableColumn id="12" name="补偿后Coin" dataDxfId="857"/>
    <tableColumn id="13" name="原综合国力" dataDxfId="858"/>
    <tableColumn id="14" name="原最高战力" dataDxfId="859"/>
  </tableColumns>
  <tableStyleInfo name="TableStyleLight10" showFirstColumn="0" showLastColumn="0" showRowStripes="1" showColumnStripes="0"/>
</table>
</file>

<file path=xl/tables/table47.xml><?xml version="1.0" encoding="utf-8"?>
<table xmlns="http://schemas.openxmlformats.org/spreadsheetml/2006/main" id="49" name="表1_86121822242650" displayName="表1_86121822242650" ref="A1:Y22" totalsRowShown="0">
  <autoFilter ref="A1:Y22"/>
  <tableColumns count="25">
    <tableColumn id="1" name="区服" dataDxfId="860"/>
    <tableColumn id="2" name="开服天数" dataDxfId="861"/>
    <tableColumn id="3" name="目标区服" dataDxfId="862"/>
    <tableColumn id="4" name="目标国家（映射）" dataDxfId="863"/>
    <tableColumn id="5" name="补偿Coin" dataDxfId="864"/>
    <tableColumn id="6" name="共计补偿Coin" dataDxfId="865"/>
    <tableColumn id="7" name="补偿辎重" dataDxfId="866"/>
    <tableColumn id="8" name="原国家" dataDxfId="867"/>
    <tableColumn id="9" name="国家辅助" dataDxfId="868"/>
    <tableColumn id="10" name="都城数" dataDxfId="869"/>
    <tableColumn id="11" name="城池总数" dataDxfId="870"/>
    <tableColumn id="12" name="活跃高战玩家数" dataDxfId="871"/>
    <tableColumn id="13" name="活跃中坚玩家数" dataDxfId="872"/>
    <tableColumn id="14" name="排名积分" dataDxfId="873"/>
    <tableColumn id="15" name="活跃尖端战力" dataDxfId="874"/>
    <tableColumn id="16" name="活跃总战力" dataDxfId="875"/>
    <tableColumn id="17" name="目标国家" dataDxfId="876"/>
    <tableColumn id="18" name="目标辅助" dataDxfId="877"/>
    <tableColumn id="19" name="活跃实际充值" dataDxfId="878"/>
    <tableColumn id="20" name="活跃虚拟充值" dataDxfId="879"/>
    <tableColumn id="21" name="活跃Coin" dataDxfId="880"/>
    <tableColumn id="22" name="综合国力" dataDxfId="881"/>
    <tableColumn id="23" name="单将最高战力" dataDxfId="882"/>
    <tableColumn id="24" name="辅助导出" dataDxfId="883"/>
    <tableColumn id="25" name="导出" dataDxfId="884"/>
  </tableColumns>
  <tableStyleInfo name="TableStyleLight9" showFirstColumn="0" showLastColumn="0" showRowStripes="1" showColumnStripes="0"/>
</table>
</file>

<file path=xl/tables/table48.xml><?xml version="1.0" encoding="utf-8"?>
<table xmlns="http://schemas.openxmlformats.org/spreadsheetml/2006/main" id="50" name="表2_97131923252751" displayName="表2_97131923252751" ref="A25:N34" totalsRowShown="0">
  <autoFilter ref="A25:N34"/>
  <tableColumns count="14">
    <tableColumn id="1" name="合区区服" dataDxfId="885"/>
    <tableColumn id="2" name="国家" dataDxfId="886"/>
    <tableColumn id="3" name="原国家数" dataDxfId="887"/>
    <tableColumn id="4" name="原活跃高战玩家数" dataDxfId="888"/>
    <tableColumn id="5" name="原活跃中坚玩家数" dataDxfId="889"/>
    <tableColumn id="6" name="原单服最尖端战力" dataDxfId="890"/>
    <tableColumn id="7" name="活跃总战力" dataDxfId="891"/>
    <tableColumn id="8" name="活跃实际充值" dataDxfId="892"/>
    <tableColumn id="9" name="活跃虚拟充值" dataDxfId="893"/>
    <tableColumn id="10" name="活跃Coin" dataDxfId="894"/>
    <tableColumn id="11" name="共计补偿Coin" dataDxfId="895"/>
    <tableColumn id="12" name="补偿后Coin" dataDxfId="896"/>
    <tableColumn id="13" name="原综合国力" dataDxfId="897"/>
    <tableColumn id="14" name="原最高战力" dataDxfId="898"/>
  </tableColumns>
  <tableStyleInfo name="TableStyleLight10" showFirstColumn="0" showLastColumn="0" showRowStripes="1" showColumnStripes="0"/>
</table>
</file>

<file path=xl/tables/table49.xml><?xml version="1.0" encoding="utf-8"?>
<table xmlns="http://schemas.openxmlformats.org/spreadsheetml/2006/main" id="51" name="表1_86121822242652" displayName="表1_86121822242652" ref="A1:Y25" totalsRowShown="0">
  <autoFilter ref="A1:Y25"/>
  <tableColumns count="25">
    <tableColumn id="1" name="区服" dataDxfId="899"/>
    <tableColumn id="2" name="开服天数" dataDxfId="900"/>
    <tableColumn id="3" name="目标区服" dataDxfId="901"/>
    <tableColumn id="4" name="目标国家（映射）" dataDxfId="902"/>
    <tableColumn id="5" name="补偿Coin" dataDxfId="903"/>
    <tableColumn id="6" name="共计补偿Coin" dataDxfId="904"/>
    <tableColumn id="7" name="补偿辎重" dataDxfId="905"/>
    <tableColumn id="8" name="原国家" dataDxfId="906"/>
    <tableColumn id="9" name="国家辅助" dataDxfId="907"/>
    <tableColumn id="10" name="都城数" dataDxfId="908"/>
    <tableColumn id="11" name="城池总数" dataDxfId="909"/>
    <tableColumn id="12" name="活跃高战玩家数" dataDxfId="910"/>
    <tableColumn id="13" name="活跃中坚玩家数" dataDxfId="911"/>
    <tableColumn id="14" name="排名积分" dataDxfId="912"/>
    <tableColumn id="15" name="活跃尖端战力" dataDxfId="913"/>
    <tableColumn id="16" name="活跃总战力" dataDxfId="914"/>
    <tableColumn id="17" name="目标国家" dataDxfId="915"/>
    <tableColumn id="18" name="目标辅助" dataDxfId="916"/>
    <tableColumn id="19" name="活跃实际充值" dataDxfId="917"/>
    <tableColumn id="20" name="活跃虚拟充值" dataDxfId="918"/>
    <tableColumn id="21" name="活跃Coin" dataDxfId="919"/>
    <tableColumn id="22" name="综合国力" dataDxfId="920"/>
    <tableColumn id="23" name="单将最高战力" dataDxfId="921"/>
    <tableColumn id="24" name="辅助导出" dataDxfId="922"/>
    <tableColumn id="25" name="导出" dataDxfId="923"/>
  </tableColumns>
  <tableStyleInfo name="TableStyleLight9" showFirstColumn="0" showLastColumn="0" showRowStripes="1" showColumnStripes="0"/>
</table>
</file>

<file path=xl/tables/table50.xml><?xml version="1.0" encoding="utf-8"?>
<table xmlns="http://schemas.openxmlformats.org/spreadsheetml/2006/main" id="52" name="表2_97131923252753" displayName="表2_97131923252753" ref="A28:N40" totalsRowShown="0">
  <autoFilter ref="A28:N40"/>
  <tableColumns count="14">
    <tableColumn id="1" name="合区区服" dataDxfId="924"/>
    <tableColumn id="2" name="国家" dataDxfId="925"/>
    <tableColumn id="3" name="原国家数" dataDxfId="926"/>
    <tableColumn id="4" name="原活跃高战玩家数" dataDxfId="927"/>
    <tableColumn id="5" name="原活跃中坚玩家数" dataDxfId="928"/>
    <tableColumn id="6" name="原单服最尖端战力" dataDxfId="929"/>
    <tableColumn id="7" name="活跃总战力" dataDxfId="930"/>
    <tableColumn id="8" name="活跃实际充值" dataDxfId="931"/>
    <tableColumn id="9" name="活跃虚拟充值" dataDxfId="932"/>
    <tableColumn id="10" name="活跃Coin" dataDxfId="933"/>
    <tableColumn id="11" name="共计补偿Coin" dataDxfId="934"/>
    <tableColumn id="12" name="补偿后Coin" dataDxfId="935"/>
    <tableColumn id="13" name="原综合国力" dataDxfId="936"/>
    <tableColumn id="14" name="原最高战力" dataDxfId="937"/>
  </tableColumns>
  <tableStyleInfo name="TableStyleLight10" showFirstColumn="0" showLastColumn="0" showRowStripes="1" showColumnStripes="0"/>
</table>
</file>

<file path=xl/tables/table51.xml><?xml version="1.0" encoding="utf-8"?>
<table xmlns="http://schemas.openxmlformats.org/spreadsheetml/2006/main" id="53" name="表1_86121822242654" displayName="表1_86121822242654" ref="A1:Y28" totalsRowShown="0">
  <autoFilter ref="A1:Y28"/>
  <tableColumns count="25">
    <tableColumn id="1" name="区服" dataDxfId="938"/>
    <tableColumn id="2" name="开服天数" dataDxfId="939"/>
    <tableColumn id="3" name="目标区服" dataDxfId="940"/>
    <tableColumn id="4" name="目标国家（映射）" dataDxfId="941"/>
    <tableColumn id="5" name="补偿Coin" dataDxfId="942"/>
    <tableColumn id="6" name="共计补偿Coin" dataDxfId="943"/>
    <tableColumn id="7" name="补偿辎重" dataDxfId="944"/>
    <tableColumn id="8" name="原国家" dataDxfId="945"/>
    <tableColumn id="9" name="国家辅助" dataDxfId="946"/>
    <tableColumn id="10" name="都城数" dataDxfId="947"/>
    <tableColumn id="11" name="城池总数" dataDxfId="948"/>
    <tableColumn id="12" name="活跃高战玩家数" dataDxfId="949"/>
    <tableColumn id="13" name="活跃中坚玩家数" dataDxfId="950"/>
    <tableColumn id="14" name="排名积分" dataDxfId="951"/>
    <tableColumn id="15" name="活跃尖端战力" dataDxfId="952"/>
    <tableColumn id="16" name="活跃总战力" dataDxfId="953"/>
    <tableColumn id="17" name="目标国家" dataDxfId="954"/>
    <tableColumn id="18" name="目标辅助" dataDxfId="955"/>
    <tableColumn id="19" name="活跃实际充值" dataDxfId="956"/>
    <tableColumn id="20" name="活跃虚拟充值" dataDxfId="957"/>
    <tableColumn id="21" name="活跃Coin" dataDxfId="958"/>
    <tableColumn id="22" name="综合国力" dataDxfId="959"/>
    <tableColumn id="23" name="单将最高战力" dataDxfId="960"/>
    <tableColumn id="24" name="辅助导出" dataDxfId="961"/>
    <tableColumn id="25" name="导出" dataDxfId="962"/>
  </tableColumns>
  <tableStyleInfo name="TableStyleLight9" showFirstColumn="0" showLastColumn="0" showRowStripes="1" showColumnStripes="0"/>
</table>
</file>

<file path=xl/tables/table52.xml><?xml version="1.0" encoding="utf-8"?>
<table xmlns="http://schemas.openxmlformats.org/spreadsheetml/2006/main" id="54" name="表2_97131923252755" displayName="表2_97131923252755" ref="A31:N43" totalsRowShown="0">
  <autoFilter ref="A31:N43"/>
  <tableColumns count="14">
    <tableColumn id="1" name="合区区服" dataDxfId="963"/>
    <tableColumn id="2" name="国家" dataDxfId="964"/>
    <tableColumn id="3" name="原国家数" dataDxfId="965"/>
    <tableColumn id="4" name="原活跃高战玩家数" dataDxfId="966"/>
    <tableColumn id="5" name="原活跃中坚玩家数" dataDxfId="967"/>
    <tableColumn id="6" name="原单服最尖端战力" dataDxfId="968"/>
    <tableColumn id="7" name="活跃总战力" dataDxfId="969"/>
    <tableColumn id="8" name="活跃实际充值" dataDxfId="970"/>
    <tableColumn id="9" name="活跃虚拟充值" dataDxfId="971"/>
    <tableColumn id="10" name="活跃Coin" dataDxfId="972"/>
    <tableColumn id="11" name="共计补偿Coin" dataDxfId="973"/>
    <tableColumn id="12" name="补偿后Coin" dataDxfId="974"/>
    <tableColumn id="13" name="原综合国力" dataDxfId="975"/>
    <tableColumn id="14" name="原最高战力" dataDxfId="976"/>
  </tableColumns>
  <tableStyleInfo name="TableStyleLight10" showFirstColumn="0" showLastColumn="0" showRowStripes="1" showColumnStripes="0"/>
</table>
</file>

<file path=xl/tables/table53.xml><?xml version="1.0" encoding="utf-8"?>
<table xmlns="http://schemas.openxmlformats.org/spreadsheetml/2006/main" id="55" name="表1_86121822242656" displayName="表1_86121822242656" ref="A1:Y22" totalsRowShown="0">
  <autoFilter ref="A1:Y22"/>
  <tableColumns count="25">
    <tableColumn id="1" name="区服" dataDxfId="977"/>
    <tableColumn id="2" name="开服天数" dataDxfId="978"/>
    <tableColumn id="3" name="目标区服" dataDxfId="979"/>
    <tableColumn id="4" name="目标国家（映射）" dataDxfId="980"/>
    <tableColumn id="5" name="补偿Coin" dataDxfId="981"/>
    <tableColumn id="6" name="共计补偿Coin" dataDxfId="982"/>
    <tableColumn id="7" name="补偿辎重" dataDxfId="983"/>
    <tableColumn id="8" name="原国家" dataDxfId="984"/>
    <tableColumn id="9" name="国家辅助" dataDxfId="985"/>
    <tableColumn id="10" name="都城数" dataDxfId="986"/>
    <tableColumn id="11" name="城池总数" dataDxfId="987"/>
    <tableColumn id="12" name="活跃高战玩家数" dataDxfId="988"/>
    <tableColumn id="13" name="活跃中坚玩家数" dataDxfId="989"/>
    <tableColumn id="14" name="排名积分" dataDxfId="990"/>
    <tableColumn id="15" name="活跃尖端战力" dataDxfId="991"/>
    <tableColumn id="16" name="活跃总战力" dataDxfId="992"/>
    <tableColumn id="17" name="目标国家" dataDxfId="993"/>
    <tableColumn id="18" name="目标辅助" dataDxfId="994"/>
    <tableColumn id="19" name="活跃实际充值" dataDxfId="995"/>
    <tableColumn id="20" name="活跃虚拟充值" dataDxfId="996"/>
    <tableColumn id="21" name="活跃Coin" dataDxfId="997"/>
    <tableColumn id="22" name="综合国力" dataDxfId="998"/>
    <tableColumn id="23" name="单将最高战力" dataDxfId="999"/>
    <tableColumn id="24" name="辅助导出" dataDxfId="1000"/>
    <tableColumn id="25" name="导出" dataDxfId="1001"/>
  </tableColumns>
  <tableStyleInfo name="TableStyleLight9" showFirstColumn="0" showLastColumn="0" showRowStripes="1" showColumnStripes="0"/>
</table>
</file>

<file path=xl/tables/table54.xml><?xml version="1.0" encoding="utf-8"?>
<table xmlns="http://schemas.openxmlformats.org/spreadsheetml/2006/main" id="56" name="表2_97131923252757" displayName="表2_97131923252757" ref="A25:N34" totalsRowShown="0">
  <autoFilter ref="A25:N34"/>
  <tableColumns count="14">
    <tableColumn id="1" name="合区区服" dataDxfId="1002"/>
    <tableColumn id="2" name="国家" dataDxfId="1003"/>
    <tableColumn id="3" name="原国家数" dataDxfId="1004"/>
    <tableColumn id="4" name="原活跃高战玩家数" dataDxfId="1005"/>
    <tableColumn id="5" name="原活跃中坚玩家数" dataDxfId="1006"/>
    <tableColumn id="6" name="原单服最尖端战力" dataDxfId="1007"/>
    <tableColumn id="7" name="活跃总战力" dataDxfId="1008"/>
    <tableColumn id="8" name="活跃实际充值" dataDxfId="1009"/>
    <tableColumn id="9" name="活跃虚拟充值" dataDxfId="1010"/>
    <tableColumn id="10" name="活跃Coin" dataDxfId="1011"/>
    <tableColumn id="11" name="共计补偿Coin" dataDxfId="1012"/>
    <tableColumn id="12" name="补偿后Coin" dataDxfId="1013"/>
    <tableColumn id="13" name="原综合国力" dataDxfId="1014"/>
    <tableColumn id="14" name="原最高战力" dataDxfId="1015"/>
  </tableColumns>
  <tableStyleInfo name="TableStyleLight10" showFirstColumn="0" showLastColumn="0" showRowStripes="1" showColumnStripes="0"/>
</table>
</file>

<file path=xl/tables/table55.xml><?xml version="1.0" encoding="utf-8"?>
<table xmlns="http://schemas.openxmlformats.org/spreadsheetml/2006/main" id="57" name="表1_86121822242658" displayName="表1_86121822242658" ref="A1:Y28" totalsRowShown="0">
  <autoFilter ref="A1:Y28"/>
  <tableColumns count="25">
    <tableColumn id="1" name="区服" dataDxfId="1016"/>
    <tableColumn id="2" name="开服天数" dataDxfId="1017"/>
    <tableColumn id="3" name="目标区服" dataDxfId="1018"/>
    <tableColumn id="4" name="目标国家（映射）" dataDxfId="1019"/>
    <tableColumn id="5" name="补偿Coin" dataDxfId="1020"/>
    <tableColumn id="6" name="共计补偿Coin" dataDxfId="1021"/>
    <tableColumn id="7" name="补偿辎重" dataDxfId="1022"/>
    <tableColumn id="8" name="原国家" dataDxfId="1023"/>
    <tableColumn id="9" name="国家辅助" dataDxfId="1024"/>
    <tableColumn id="10" name="都城数" dataDxfId="1025"/>
    <tableColumn id="11" name="城池总数" dataDxfId="1026"/>
    <tableColumn id="12" name="活跃高战玩家数" dataDxfId="1027"/>
    <tableColumn id="13" name="活跃中坚玩家数" dataDxfId="1028"/>
    <tableColumn id="14" name="排名积分" dataDxfId="1029"/>
    <tableColumn id="15" name="活跃尖端战力" dataDxfId="1030"/>
    <tableColumn id="16" name="活跃总战力" dataDxfId="1031"/>
    <tableColumn id="17" name="目标国家" dataDxfId="1032"/>
    <tableColumn id="18" name="目标辅助" dataDxfId="1033"/>
    <tableColumn id="19" name="活跃实际充值" dataDxfId="1034"/>
    <tableColumn id="20" name="活跃虚拟充值" dataDxfId="1035"/>
    <tableColumn id="21" name="活跃Coin" dataDxfId="1036"/>
    <tableColumn id="22" name="综合国力" dataDxfId="1037"/>
    <tableColumn id="23" name="单将最高战力" dataDxfId="1038"/>
    <tableColumn id="24" name="辅助导出" dataDxfId="1039"/>
    <tableColumn id="25" name="导出" dataDxfId="1040"/>
  </tableColumns>
  <tableStyleInfo name="TableStyleLight9" showFirstColumn="0" showLastColumn="0" showRowStripes="1" showColumnStripes="0"/>
</table>
</file>

<file path=xl/tables/table56.xml><?xml version="1.0" encoding="utf-8"?>
<table xmlns="http://schemas.openxmlformats.org/spreadsheetml/2006/main" id="58" name="表2_97131923252759" displayName="表2_97131923252759" ref="A31:N43" totalsRowShown="0">
  <autoFilter ref="A31:N43"/>
  <tableColumns count="14">
    <tableColumn id="1" name="合区区服" dataDxfId="1041"/>
    <tableColumn id="2" name="国家" dataDxfId="1042"/>
    <tableColumn id="3" name="原国家数" dataDxfId="1043"/>
    <tableColumn id="4" name="原活跃高战玩家数" dataDxfId="1044"/>
    <tableColumn id="5" name="原活跃中坚玩家数" dataDxfId="1045"/>
    <tableColumn id="6" name="原单服最尖端战力" dataDxfId="1046"/>
    <tableColumn id="7" name="活跃总战力" dataDxfId="1047"/>
    <tableColumn id="8" name="活跃实际充值" dataDxfId="1048"/>
    <tableColumn id="9" name="活跃虚拟充值" dataDxfId="1049"/>
    <tableColumn id="10" name="活跃Coin" dataDxfId="1050"/>
    <tableColumn id="11" name="共计补偿Coin" dataDxfId="1051"/>
    <tableColumn id="12" name="补偿后Coin" dataDxfId="1052"/>
    <tableColumn id="13" name="原综合国力" dataDxfId="1053"/>
    <tableColumn id="14" name="原最高战力" dataDxfId="1054"/>
  </tableColumns>
  <tableStyleInfo name="TableStyleLight10" showFirstColumn="0" showLastColumn="0" showRowStripes="1" showColumnStripes="0"/>
</table>
</file>

<file path=xl/tables/table57.xml><?xml version="1.0" encoding="utf-8"?>
<table xmlns="http://schemas.openxmlformats.org/spreadsheetml/2006/main" id="59" name="表1_86121822242660" displayName="表1_86121822242660" ref="A1:Y22" totalsRowShown="0">
  <autoFilter ref="A1:Y22"/>
  <tableColumns count="25">
    <tableColumn id="1" name="区服" dataDxfId="1055"/>
    <tableColumn id="2" name="开服天数" dataDxfId="1056"/>
    <tableColumn id="3" name="目标区服" dataDxfId="1057"/>
    <tableColumn id="4" name="目标国家（映射）" dataDxfId="1058"/>
    <tableColumn id="5" name="补偿Coin" dataDxfId="1059"/>
    <tableColumn id="6" name="共计补偿Coin" dataDxfId="1060"/>
    <tableColumn id="7" name="补偿辎重" dataDxfId="1061"/>
    <tableColumn id="8" name="原国家" dataDxfId="1062"/>
    <tableColumn id="9" name="国家辅助" dataDxfId="1063"/>
    <tableColumn id="10" name="都城数" dataDxfId="1064"/>
    <tableColumn id="11" name="城池总数" dataDxfId="1065"/>
    <tableColumn id="12" name="活跃高战玩家数" dataDxfId="1066"/>
    <tableColumn id="13" name="活跃中坚玩家数" dataDxfId="1067"/>
    <tableColumn id="14" name="排名积分" dataDxfId="1068"/>
    <tableColumn id="15" name="活跃尖端战力" dataDxfId="1069"/>
    <tableColumn id="16" name="活跃总战力" dataDxfId="1070"/>
    <tableColumn id="17" name="目标国家" dataDxfId="1071"/>
    <tableColumn id="18" name="目标辅助" dataDxfId="1072"/>
    <tableColumn id="19" name="活跃实际充值" dataDxfId="1073"/>
    <tableColumn id="20" name="活跃虚拟充值" dataDxfId="1074"/>
    <tableColumn id="21" name="活跃Coin" dataDxfId="1075"/>
    <tableColumn id="22" name="综合国力" dataDxfId="1076"/>
    <tableColumn id="23" name="单将最高战力" dataDxfId="1077"/>
    <tableColumn id="24" name="辅助导出" dataDxfId="1078"/>
    <tableColumn id="25" name="导出" dataDxfId="1079"/>
  </tableColumns>
  <tableStyleInfo name="TableStyleLight9" showFirstColumn="0" showLastColumn="0" showRowStripes="1" showColumnStripes="0"/>
</table>
</file>

<file path=xl/tables/table58.xml><?xml version="1.0" encoding="utf-8"?>
<table xmlns="http://schemas.openxmlformats.org/spreadsheetml/2006/main" id="60" name="表2_97131923252761" displayName="表2_97131923252761" ref="A25:N34" totalsRowShown="0">
  <autoFilter ref="A25:N34"/>
  <tableColumns count="14">
    <tableColumn id="1" name="合区区服" dataDxfId="1080"/>
    <tableColumn id="2" name="国家" dataDxfId="1081"/>
    <tableColumn id="3" name="原国家数" dataDxfId="1082"/>
    <tableColumn id="4" name="原活跃高战玩家数" dataDxfId="1083"/>
    <tableColumn id="5" name="原活跃中坚玩家数" dataDxfId="1084"/>
    <tableColumn id="6" name="原单服最尖端战力" dataDxfId="1085"/>
    <tableColumn id="7" name="活跃总战力" dataDxfId="1086"/>
    <tableColumn id="8" name="活跃实际充值" dataDxfId="1087"/>
    <tableColumn id="9" name="活跃虚拟充值" dataDxfId="1088"/>
    <tableColumn id="10" name="活跃Coin" dataDxfId="1089"/>
    <tableColumn id="11" name="共计补偿Coin" dataDxfId="1090"/>
    <tableColumn id="12" name="补偿后Coin" dataDxfId="1091"/>
    <tableColumn id="13" name="原综合国力" dataDxfId="1092"/>
    <tableColumn id="14" name="原最高战力" dataDxfId="1093"/>
  </tableColumns>
  <tableStyleInfo name="TableStyleLight10" showFirstColumn="0" showLastColumn="0" showRowStripes="1" showColumnStripes="0"/>
</table>
</file>

<file path=xl/tables/table59.xml><?xml version="1.0" encoding="utf-8"?>
<table xmlns="http://schemas.openxmlformats.org/spreadsheetml/2006/main" id="61" name="表1_86121822242662" displayName="表1_86121822242662" ref="A1:Y31" totalsRowShown="0">
  <autoFilter ref="A1:Y31"/>
  <tableColumns count="25">
    <tableColumn id="1" name="区服" dataDxfId="1094"/>
    <tableColumn id="2" name="开服天数" dataDxfId="1095"/>
    <tableColumn id="3" name="目标区服" dataDxfId="1096"/>
    <tableColumn id="4" name="目标国家（映射）" dataDxfId="1097"/>
    <tableColumn id="5" name="补偿Coin" dataDxfId="1098"/>
    <tableColumn id="6" name="共计补偿Coin" dataDxfId="1099"/>
    <tableColumn id="7" name="补偿辎重" dataDxfId="1100"/>
    <tableColumn id="8" name="原国家" dataDxfId="1101"/>
    <tableColumn id="9" name="国家辅助" dataDxfId="1102"/>
    <tableColumn id="10" name="都城数" dataDxfId="1103"/>
    <tableColumn id="11" name="城池总数" dataDxfId="1104"/>
    <tableColumn id="12" name="活跃高战玩家数" dataDxfId="1105"/>
    <tableColumn id="13" name="活跃中坚玩家数" dataDxfId="1106"/>
    <tableColumn id="14" name="排名积分" dataDxfId="1107"/>
    <tableColumn id="15" name="活跃尖端战力" dataDxfId="1108"/>
    <tableColumn id="16" name="活跃总战力" dataDxfId="1109"/>
    <tableColumn id="17" name="目标国家" dataDxfId="1110"/>
    <tableColumn id="18" name="目标辅助" dataDxfId="1111"/>
    <tableColumn id="19" name="活跃实际充值" dataDxfId="1112"/>
    <tableColumn id="20" name="活跃虚拟充值" dataDxfId="1113"/>
    <tableColumn id="21" name="活跃Coin" dataDxfId="1114"/>
    <tableColumn id="22" name="综合国力" dataDxfId="1115"/>
    <tableColumn id="23" name="单将最高战力" dataDxfId="1116"/>
    <tableColumn id="24" name="辅助导出" dataDxfId="1117"/>
    <tableColumn id="25" name="导出" dataDxfId="1118"/>
  </tableColumns>
  <tableStyleInfo name="TableStyleLight9" showFirstColumn="0" showLastColumn="0" showRowStripes="1" showColumnStripes="0"/>
</table>
</file>

<file path=xl/tables/table60.xml><?xml version="1.0" encoding="utf-8"?>
<table xmlns="http://schemas.openxmlformats.org/spreadsheetml/2006/main" id="62" name="表2_97131923252763" displayName="表2_97131923252763" ref="A34:N49" totalsRowShown="0">
  <autoFilter ref="A34:N49"/>
  <tableColumns count="14">
    <tableColumn id="1" name="合区区服" dataDxfId="1119"/>
    <tableColumn id="2" name="国家" dataDxfId="1120"/>
    <tableColumn id="3" name="原国家数" dataDxfId="1121"/>
    <tableColumn id="4" name="原活跃高战玩家数" dataDxfId="1122"/>
    <tableColumn id="5" name="原活跃中坚玩家数" dataDxfId="1123"/>
    <tableColumn id="6" name="原单服最尖端战力" dataDxfId="1124"/>
    <tableColumn id="7" name="活跃总战力" dataDxfId="1125"/>
    <tableColumn id="8" name="活跃实际充值" dataDxfId="1126"/>
    <tableColumn id="9" name="活跃虚拟充值" dataDxfId="1127"/>
    <tableColumn id="10" name="活跃Coin" dataDxfId="1128"/>
    <tableColumn id="11" name="共计补偿Coin" dataDxfId="1129"/>
    <tableColumn id="12" name="补偿后Coin" dataDxfId="1130"/>
    <tableColumn id="13" name="原综合国力" dataDxfId="1131"/>
    <tableColumn id="14" name="原最高战力" dataDxfId="1132"/>
  </tableColumns>
  <tableStyleInfo name="TableStyleLight10" showFirstColumn="0" showLastColumn="0" showRowStripes="1" showColumnStripes="0"/>
</table>
</file>

<file path=xl/tables/table61.xml><?xml version="1.0" encoding="utf-8"?>
<table xmlns="http://schemas.openxmlformats.org/spreadsheetml/2006/main" id="63" name="表1_86121822242664" displayName="表1_86121822242664" ref="A1:Y25" totalsRowShown="0">
  <autoFilter ref="A1:Y25"/>
  <tableColumns count="25">
    <tableColumn id="1" name="区服" dataDxfId="1133"/>
    <tableColumn id="2" name="开服天数" dataDxfId="1134"/>
    <tableColumn id="3" name="目标区服" dataDxfId="1135"/>
    <tableColumn id="4" name="目标国家（映射）" dataDxfId="1136"/>
    <tableColumn id="5" name="补偿Coin" dataDxfId="1137"/>
    <tableColumn id="6" name="共计补偿Coin" dataDxfId="1138"/>
    <tableColumn id="7" name="补偿辎重" dataDxfId="1139"/>
    <tableColumn id="8" name="原国家" dataDxfId="1140"/>
    <tableColumn id="9" name="国家辅助" dataDxfId="1141"/>
    <tableColumn id="10" name="都城数" dataDxfId="1142"/>
    <tableColumn id="11" name="城池总数" dataDxfId="1143"/>
    <tableColumn id="12" name="活跃高战玩家数" dataDxfId="1144"/>
    <tableColumn id="13" name="活跃中坚玩家数" dataDxfId="1145"/>
    <tableColumn id="14" name="排名积分" dataDxfId="1146"/>
    <tableColumn id="15" name="活跃尖端战力" dataDxfId="1147"/>
    <tableColumn id="16" name="活跃总战力" dataDxfId="1148"/>
    <tableColumn id="17" name="目标国家" dataDxfId="1149"/>
    <tableColumn id="18" name="目标辅助" dataDxfId="1150"/>
    <tableColumn id="19" name="活跃实际充值" dataDxfId="1151"/>
    <tableColumn id="20" name="活跃虚拟充值" dataDxfId="1152"/>
    <tableColumn id="21" name="活跃Coin" dataDxfId="1153"/>
    <tableColumn id="22" name="综合国力" dataDxfId="1154"/>
    <tableColumn id="23" name="单将最高战力" dataDxfId="1155"/>
    <tableColumn id="24" name="辅助导出" dataDxfId="1156"/>
    <tableColumn id="25" name="导出" dataDxfId="1157"/>
  </tableColumns>
  <tableStyleInfo name="TableStyleLight9" showFirstColumn="0" showLastColumn="0" showRowStripes="1" showColumnStripes="0"/>
</table>
</file>

<file path=xl/tables/table62.xml><?xml version="1.0" encoding="utf-8"?>
<table xmlns="http://schemas.openxmlformats.org/spreadsheetml/2006/main" id="64" name="表2_97131923252765" displayName="表2_97131923252765" ref="A28:N40" totalsRowShown="0">
  <autoFilter ref="A28:N40"/>
  <tableColumns count="14">
    <tableColumn id="1" name="合区区服" dataDxfId="1158"/>
    <tableColumn id="2" name="国家" dataDxfId="1159"/>
    <tableColumn id="3" name="原国家数" dataDxfId="1160"/>
    <tableColumn id="4" name="原活跃高战玩家数" dataDxfId="1161"/>
    <tableColumn id="5" name="原活跃中坚玩家数" dataDxfId="1162"/>
    <tableColumn id="6" name="原单服最尖端战力" dataDxfId="1163"/>
    <tableColumn id="7" name="活跃总战力" dataDxfId="1164"/>
    <tableColumn id="8" name="活跃实际充值" dataDxfId="1165"/>
    <tableColumn id="9" name="活跃虚拟充值" dataDxfId="1166"/>
    <tableColumn id="10" name="活跃Coin" dataDxfId="1167"/>
    <tableColumn id="11" name="共计补偿Coin" dataDxfId="1168"/>
    <tableColumn id="12" name="补偿后Coin" dataDxfId="1169"/>
    <tableColumn id="13" name="原综合国力" dataDxfId="1170"/>
    <tableColumn id="14" name="原最高战力" dataDxfId="1171"/>
  </tableColumns>
  <tableStyleInfo name="TableStyleLight10" showFirstColumn="0" showLastColumn="0" showRowStripes="1" showColumnStripes="0"/>
</table>
</file>

<file path=xl/tables/table63.xml><?xml version="1.0" encoding="utf-8"?>
<table xmlns="http://schemas.openxmlformats.org/spreadsheetml/2006/main" id="65" name="表1_8612182224266466" displayName="表1_8612182224266466" ref="A1:Y25" totalsRowShown="0">
  <autoFilter ref="A1:Y25"/>
  <tableColumns count="25">
    <tableColumn id="1" name="区服" dataDxfId="1172"/>
    <tableColumn id="2" name="开服天数" dataDxfId="1173"/>
    <tableColumn id="3" name="目标区服" dataDxfId="1174"/>
    <tableColumn id="4" name="目标国家（映射）" dataDxfId="1175"/>
    <tableColumn id="5" name="补偿Coin" dataDxfId="1176"/>
    <tableColumn id="6" name="共计补偿Coin" dataDxfId="1177"/>
    <tableColumn id="7" name="补偿辎重" dataDxfId="1178"/>
    <tableColumn id="8" name="原国家" dataDxfId="1179"/>
    <tableColumn id="9" name="国家辅助" dataDxfId="1180"/>
    <tableColumn id="10" name="都城数" dataDxfId="1181"/>
    <tableColumn id="11" name="城池总数" dataDxfId="1182"/>
    <tableColumn id="12" name="活跃高战玩家数" dataDxfId="1183"/>
    <tableColumn id="13" name="活跃中坚玩家数" dataDxfId="1184"/>
    <tableColumn id="14" name="排名积分" dataDxfId="1185"/>
    <tableColumn id="15" name="活跃尖端战力" dataDxfId="1186"/>
    <tableColumn id="16" name="活跃总战力" dataDxfId="1187"/>
    <tableColumn id="17" name="目标国家" dataDxfId="1188"/>
    <tableColumn id="18" name="目标辅助" dataDxfId="1189"/>
    <tableColumn id="19" name="活跃实际充值" dataDxfId="1190"/>
    <tableColumn id="20" name="活跃虚拟充值" dataDxfId="1191"/>
    <tableColumn id="21" name="活跃Coin" dataDxfId="1192"/>
    <tableColumn id="22" name="综合国力" dataDxfId="1193"/>
    <tableColumn id="23" name="单将最高战力" dataDxfId="1194"/>
    <tableColumn id="24" name="辅助导出" dataDxfId="1195"/>
    <tableColumn id="25" name="导出" dataDxfId="1196"/>
  </tableColumns>
  <tableStyleInfo name="TableStyleLight9" showFirstColumn="0" showLastColumn="0" showRowStripes="1" showColumnStripes="0"/>
</table>
</file>

<file path=xl/tables/table64.xml><?xml version="1.0" encoding="utf-8"?>
<table xmlns="http://schemas.openxmlformats.org/spreadsheetml/2006/main" id="66" name="表2_9713192325276567" displayName="表2_9713192325276567" ref="A28:N40" totalsRowShown="0">
  <autoFilter ref="A28:N40"/>
  <tableColumns count="14">
    <tableColumn id="1" name="合区区服" dataDxfId="1197"/>
    <tableColumn id="2" name="国家" dataDxfId="1198"/>
    <tableColumn id="3" name="原国家数" dataDxfId="1199"/>
    <tableColumn id="4" name="原活跃高战玩家数" dataDxfId="1200"/>
    <tableColumn id="5" name="原活跃中坚玩家数" dataDxfId="1201"/>
    <tableColumn id="6" name="原单服最尖端战力" dataDxfId="1202"/>
    <tableColumn id="7" name="活跃总战力" dataDxfId="1203"/>
    <tableColumn id="8" name="活跃实际充值" dataDxfId="1204"/>
    <tableColumn id="9" name="活跃虚拟充值" dataDxfId="1205"/>
    <tableColumn id="10" name="活跃Coin" dataDxfId="1206"/>
    <tableColumn id="11" name="共计补偿Coin" dataDxfId="1207"/>
    <tableColumn id="12" name="补偿后Coin" dataDxfId="1208"/>
    <tableColumn id="13" name="原综合国力" dataDxfId="1209"/>
    <tableColumn id="14" name="原最高战力" dataDxfId="1210"/>
  </tableColumns>
  <tableStyleInfo name="TableStyleLight10" showFirstColumn="0" showLastColumn="0" showRowStripes="1" showColumnStripes="0"/>
</table>
</file>

<file path=xl/tables/table65.xml><?xml version="1.0" encoding="utf-8"?>
<table xmlns="http://schemas.openxmlformats.org/spreadsheetml/2006/main" id="67" name="表1_86121822242668" displayName="表1_86121822242668" ref="A1:Y34" totalsRowShown="0">
  <autoFilter ref="A1:Y34"/>
  <tableColumns count="25">
    <tableColumn id="1" name="区服" dataDxfId="1211"/>
    <tableColumn id="2" name="开服天数" dataDxfId="1212"/>
    <tableColumn id="3" name="目标区服" dataDxfId="1213"/>
    <tableColumn id="4" name="目标国家（映射）" dataDxfId="1214"/>
    <tableColumn id="5" name="补偿Coin" dataDxfId="1215"/>
    <tableColumn id="6" name="共计补偿Coin" dataDxfId="1216"/>
    <tableColumn id="7" name="补偿辎重" dataDxfId="1217"/>
    <tableColumn id="8" name="原国家" dataDxfId="1218"/>
    <tableColumn id="9" name="国家辅助" dataDxfId="1219"/>
    <tableColumn id="10" name="都城数" dataDxfId="1220"/>
    <tableColumn id="11" name="城池总数" dataDxfId="1221"/>
    <tableColumn id="12" name="活跃高战玩家数" dataDxfId="1222"/>
    <tableColumn id="13" name="活跃中坚玩家数" dataDxfId="1223"/>
    <tableColumn id="14" name="排名积分" dataDxfId="1224"/>
    <tableColumn id="15" name="活跃尖端战力" dataDxfId="1225"/>
    <tableColumn id="16" name="活跃总战力" dataDxfId="1226"/>
    <tableColumn id="17" name="目标国家" dataDxfId="1227"/>
    <tableColumn id="18" name="目标辅助" dataDxfId="1228"/>
    <tableColumn id="19" name="活跃实际充值" dataDxfId="1229"/>
    <tableColumn id="20" name="活跃虚拟充值" dataDxfId="1230"/>
    <tableColumn id="21" name="活跃Coin" dataDxfId="1231"/>
    <tableColumn id="22" name="综合国力" dataDxfId="1232"/>
    <tableColumn id="23" name="单将最高战力" dataDxfId="1233"/>
    <tableColumn id="24" name="辅助导出" dataDxfId="1234"/>
    <tableColumn id="25" name="导出" dataDxfId="1235"/>
  </tableColumns>
  <tableStyleInfo name="TableStyleLight9" showFirstColumn="0" showLastColumn="0" showRowStripes="1" showColumnStripes="0"/>
</table>
</file>

<file path=xl/tables/table66.xml><?xml version="1.0" encoding="utf-8"?>
<table xmlns="http://schemas.openxmlformats.org/spreadsheetml/2006/main" id="68" name="表2_97131923252769" displayName="表2_97131923252769" ref="A37:N52" totalsRowShown="0">
  <autoFilter ref="A37:N52"/>
  <tableColumns count="14">
    <tableColumn id="1" name="合区区服" dataDxfId="1236"/>
    <tableColumn id="2" name="国家" dataDxfId="1237"/>
    <tableColumn id="3" name="原国家数" dataDxfId="1238"/>
    <tableColumn id="4" name="原活跃高战玩家数" dataDxfId="1239"/>
    <tableColumn id="5" name="原活跃中坚玩家数" dataDxfId="1240"/>
    <tableColumn id="6" name="原单服最尖端战力" dataDxfId="1241"/>
    <tableColumn id="7" name="活跃总战力" dataDxfId="1242"/>
    <tableColumn id="8" name="活跃实际充值" dataDxfId="1243"/>
    <tableColumn id="9" name="活跃虚拟充值" dataDxfId="1244"/>
    <tableColumn id="10" name="活跃Coin" dataDxfId="1245"/>
    <tableColumn id="11" name="共计补偿Coin" dataDxfId="1246"/>
    <tableColumn id="12" name="补偿后Coin" dataDxfId="1247"/>
    <tableColumn id="13" name="原综合国力" dataDxfId="1248"/>
    <tableColumn id="14" name="原最高战力" dataDxfId="1249"/>
  </tableColumns>
  <tableStyleInfo name="TableStyleLight10" showFirstColumn="0" showLastColumn="0" showRowStripes="1" showColumnStripes="0"/>
</table>
</file>

<file path=xl/tables/table67.xml><?xml version="1.0" encoding="utf-8"?>
<table xmlns="http://schemas.openxmlformats.org/spreadsheetml/2006/main" id="69" name="表1_86121822242670" displayName="表1_86121822242670" ref="A1:Y28" totalsRowShown="0">
  <autoFilter ref="A1:Y28"/>
  <tableColumns count="25">
    <tableColumn id="1" name="区服" dataDxfId="1250"/>
    <tableColumn id="2" name="开服天数" dataDxfId="1251"/>
    <tableColumn id="3" name="目标区服" dataDxfId="1252"/>
    <tableColumn id="4" name="目标国家（映射）" dataDxfId="1253"/>
    <tableColumn id="5" name="补偿Coin" dataDxfId="1254"/>
    <tableColumn id="6" name="共计补偿Coin" dataDxfId="1255"/>
    <tableColumn id="7" name="补偿辎重" dataDxfId="1256"/>
    <tableColumn id="8" name="原国家" dataDxfId="1257"/>
    <tableColumn id="9" name="国家辅助" dataDxfId="1258"/>
    <tableColumn id="10" name="都城数" dataDxfId="1259"/>
    <tableColumn id="11" name="城池总数" dataDxfId="1260"/>
    <tableColumn id="12" name="活跃高战玩家数" dataDxfId="1261"/>
    <tableColumn id="13" name="活跃中坚玩家数" dataDxfId="1262"/>
    <tableColumn id="14" name="排名积分" dataDxfId="1263"/>
    <tableColumn id="15" name="活跃尖端战力" dataDxfId="1264"/>
    <tableColumn id="16" name="活跃总战力" dataDxfId="1265"/>
    <tableColumn id="17" name="目标国家" dataDxfId="1266"/>
    <tableColumn id="18" name="目标辅助" dataDxfId="1267"/>
    <tableColumn id="19" name="活跃实际充值" dataDxfId="1268"/>
    <tableColumn id="20" name="活跃虚拟充值" dataDxfId="1269"/>
    <tableColumn id="21" name="活跃Coin" dataDxfId="1270"/>
    <tableColumn id="22" name="综合国力" dataDxfId="1271"/>
    <tableColumn id="23" name="单将最高战力" dataDxfId="1272"/>
    <tableColumn id="24" name="辅助导出" dataDxfId="1273"/>
    <tableColumn id="25" name="导出" dataDxfId="1274"/>
  </tableColumns>
  <tableStyleInfo name="TableStyleLight9" showFirstColumn="0" showLastColumn="0" showRowStripes="1" showColumnStripes="0"/>
</table>
</file>

<file path=xl/tables/table68.xml><?xml version="1.0" encoding="utf-8"?>
<table xmlns="http://schemas.openxmlformats.org/spreadsheetml/2006/main" id="70" name="表2_97131923252771" displayName="表2_97131923252771" ref="A31:N43" totalsRowShown="0">
  <autoFilter ref="A31:N43"/>
  <tableColumns count="14">
    <tableColumn id="1" name="合区区服" dataDxfId="1275"/>
    <tableColumn id="2" name="国家" dataDxfId="1276"/>
    <tableColumn id="3" name="原国家数" dataDxfId="1277"/>
    <tableColumn id="4" name="原活跃高战玩家数" dataDxfId="1278"/>
    <tableColumn id="5" name="原活跃中坚玩家数" dataDxfId="1279"/>
    <tableColumn id="6" name="原单服最尖端战力" dataDxfId="1280"/>
    <tableColumn id="7" name="活跃总战力" dataDxfId="1281"/>
    <tableColumn id="8" name="活跃实际充值" dataDxfId="1282"/>
    <tableColumn id="9" name="活跃虚拟充值" dataDxfId="1283"/>
    <tableColumn id="10" name="活跃Coin" dataDxfId="1284"/>
    <tableColumn id="11" name="共计补偿Coin" dataDxfId="1285"/>
    <tableColumn id="12" name="补偿后Coin" dataDxfId="1286"/>
    <tableColumn id="13" name="原综合国力" dataDxfId="1287"/>
    <tableColumn id="14" name="原最高战力" dataDxfId="1288"/>
  </tableColumns>
  <tableStyleInfo name="TableStyleLight10" showFirstColumn="0" showLastColumn="0" showRowStripes="1" showColumnStripes="0"/>
</table>
</file>

<file path=xl/tables/table69.xml><?xml version="1.0" encoding="utf-8"?>
<table xmlns="http://schemas.openxmlformats.org/spreadsheetml/2006/main" id="25" name="表1_861218222426" displayName="表1_861218222426" ref="A1:Y22" totalsRowShown="0">
  <autoFilter ref="A1:Y22"/>
  <tableColumns count="25">
    <tableColumn id="1" name="区服" dataDxfId="1289"/>
    <tableColumn id="2" name="开服天数" dataDxfId="1290"/>
    <tableColumn id="3" name="目标区服" dataDxfId="1291"/>
    <tableColumn id="4" name="目标国家（映射）" dataDxfId="1292"/>
    <tableColumn id="5" name="补偿Coin" dataDxfId="1293"/>
    <tableColumn id="6" name="共计补偿Coin" dataDxfId="1294"/>
    <tableColumn id="7" name="补偿辎重" dataDxfId="1295"/>
    <tableColumn id="8" name="原国家" dataDxfId="1296"/>
    <tableColumn id="9" name="国家辅助" dataDxfId="1297"/>
    <tableColumn id="10" name="都城数" dataDxfId="1298"/>
    <tableColumn id="11" name="城池总数" dataDxfId="1299"/>
    <tableColumn id="12" name="活跃高战玩家数" dataDxfId="1300"/>
    <tableColumn id="13" name="活跃中坚玩家数" dataDxfId="1301"/>
    <tableColumn id="14" name="排名积分" dataDxfId="1302"/>
    <tableColumn id="15" name="活跃尖端战力" dataDxfId="1303"/>
    <tableColumn id="16" name="活跃总战力" dataDxfId="1304"/>
    <tableColumn id="17" name="目标国家" dataDxfId="1305"/>
    <tableColumn id="18" name="目标辅助" dataDxfId="1306"/>
    <tableColumn id="19" name="活跃实际充值" dataDxfId="1307"/>
    <tableColumn id="20" name="活跃虚拟充值" dataDxfId="1308"/>
    <tableColumn id="21" name="活跃Coin" dataDxfId="1309"/>
    <tableColumn id="22" name="综合国力" dataDxfId="1310"/>
    <tableColumn id="23" name="单将最高战力" dataDxfId="1311"/>
    <tableColumn id="24" name="辅助导出" dataDxfId="1312"/>
    <tableColumn id="25" name="导出" dataDxfId="1313"/>
  </tableColumns>
  <tableStyleInfo name="TableStyleLight9" showFirstColumn="0" showLastColumn="0" showRowStripes="1" showColumnStripes="0"/>
</table>
</file>

<file path=xl/tables/table70.xml><?xml version="1.0" encoding="utf-8"?>
<table xmlns="http://schemas.openxmlformats.org/spreadsheetml/2006/main" id="26" name="表2_971319232527" displayName="表2_971319232527" ref="A25:N34" totalsRowShown="0">
  <autoFilter ref="A25:N34"/>
  <tableColumns count="14">
    <tableColumn id="1" name="合区区服" dataDxfId="1314"/>
    <tableColumn id="2" name="国家" dataDxfId="1315"/>
    <tableColumn id="3" name="原国家数" dataDxfId="1316"/>
    <tableColumn id="4" name="原活跃高战玩家数" dataDxfId="1317"/>
    <tableColumn id="5" name="原活跃中坚玩家数" dataDxfId="1318"/>
    <tableColumn id="6" name="原单服最尖端战力" dataDxfId="1319"/>
    <tableColumn id="7" name="活跃总战力" dataDxfId="1320"/>
    <tableColumn id="8" name="活跃实际充值" dataDxfId="1321"/>
    <tableColumn id="9" name="活跃虚拟充值" dataDxfId="1322"/>
    <tableColumn id="10" name="活跃Coin" dataDxfId="1323"/>
    <tableColumn id="11" name="共计补偿Coin" dataDxfId="1324"/>
    <tableColumn id="12" name="补偿后Coin" dataDxfId="1325"/>
    <tableColumn id="13" name="原综合国力" dataDxfId="1326"/>
    <tableColumn id="14" name="原最高战力" dataDxfId="1327"/>
  </tableColumns>
  <tableStyleInfo name="TableStyleLight10" showFirstColumn="0" showLastColumn="0" showRowStripes="1" showColumnStripes="0"/>
</table>
</file>

<file path=xl/tables/table71.xml><?xml version="1.0" encoding="utf-8"?>
<table xmlns="http://schemas.openxmlformats.org/spreadsheetml/2006/main" id="74" name="表1_8612182224267275" displayName="表1_8612182224267275" ref="A1:Y37" totalsRowShown="0">
  <autoFilter ref="A1:Y37"/>
  <tableColumns count="25">
    <tableColumn id="1" name="区服" dataDxfId="1328"/>
    <tableColumn id="2" name="开服天数" dataDxfId="1329"/>
    <tableColumn id="3" name="目标区服" dataDxfId="1330"/>
    <tableColumn id="4" name="目标国家（映射）" dataDxfId="1331"/>
    <tableColumn id="5" name="补偿Coin" dataDxfId="1332"/>
    <tableColumn id="6" name="共计补偿Coin" dataDxfId="1333"/>
    <tableColumn id="7" name="补偿辎重" dataDxfId="1334"/>
    <tableColumn id="8" name="原国家" dataDxfId="1335"/>
    <tableColumn id="9" name="国家辅助" dataDxfId="1336"/>
    <tableColumn id="10" name="都城数" dataDxfId="1337"/>
    <tableColumn id="11" name="城池总数" dataDxfId="1338"/>
    <tableColumn id="12" name="活跃高战玩家数" dataDxfId="1339"/>
    <tableColumn id="13" name="活跃中坚玩家数" dataDxfId="1340"/>
    <tableColumn id="14" name="排名积分" dataDxfId="1341"/>
    <tableColumn id="15" name="活跃尖端战力" dataDxfId="1342"/>
    <tableColumn id="16" name="活跃总战力" dataDxfId="1343"/>
    <tableColumn id="17" name="目标国家" dataDxfId="1344"/>
    <tableColumn id="18" name="目标辅助" dataDxfId="1345"/>
    <tableColumn id="19" name="活跃实际充值" dataDxfId="1346"/>
    <tableColumn id="20" name="活跃虚拟充值" dataDxfId="1347"/>
    <tableColumn id="21" name="活跃Coin" dataDxfId="1348"/>
    <tableColumn id="22" name="综合国力" dataDxfId="1349"/>
    <tableColumn id="23" name="单将最高战力" dataDxfId="1350"/>
    <tableColumn id="24" name="辅助导出" dataDxfId="1351"/>
    <tableColumn id="25" name="导出" dataDxfId="1352"/>
  </tableColumns>
  <tableStyleInfo name="TableStyleLight9" showFirstColumn="0" showLastColumn="0" showRowStripes="1" showColumnStripes="0"/>
</table>
</file>

<file path=xl/tables/table72.xml><?xml version="1.0" encoding="utf-8"?>
<table xmlns="http://schemas.openxmlformats.org/spreadsheetml/2006/main" id="75" name="表2_9713192325277376" displayName="表2_9713192325277376" ref="A40:N55" totalsRowShown="0">
  <autoFilter ref="A40:N55"/>
  <tableColumns count="14">
    <tableColumn id="1" name="合区区服" dataDxfId="1353"/>
    <tableColumn id="2" name="国家" dataDxfId="1354"/>
    <tableColumn id="3" name="原国家数" dataDxfId="1355"/>
    <tableColumn id="4" name="原活跃高战玩家数" dataDxfId="1356"/>
    <tableColumn id="5" name="原活跃中坚玩家数" dataDxfId="1357"/>
    <tableColumn id="6" name="原单服最尖端战力" dataDxfId="1358"/>
    <tableColumn id="7" name="活跃总战力" dataDxfId="1359"/>
    <tableColumn id="8" name="活跃实际充值" dataDxfId="1360"/>
    <tableColumn id="9" name="活跃虚拟充值" dataDxfId="1361"/>
    <tableColumn id="10" name="活跃Coin" dataDxfId="1362"/>
    <tableColumn id="11" name="共计补偿Coin" dataDxfId="1363"/>
    <tableColumn id="12" name="补偿后Coin" dataDxfId="1364"/>
    <tableColumn id="13" name="原综合国力" dataDxfId="1365"/>
    <tableColumn id="14" name="原最高战力" dataDxfId="1366"/>
  </tableColumns>
  <tableStyleInfo name="TableStyleLight10" showFirstColumn="0" showLastColumn="0" showRowStripes="1" showColumnStripes="0"/>
</table>
</file>

<file path=xl/tables/table73.xml><?xml version="1.0" encoding="utf-8"?>
<table xmlns="http://schemas.openxmlformats.org/spreadsheetml/2006/main" id="76" name="表1_8612182224267277" displayName="表1_8612182224267277" ref="A1:Y40" totalsRowShown="0">
  <autoFilter ref="A1:Y40"/>
  <tableColumns count="25">
    <tableColumn id="1" name="区服" dataDxfId="1367"/>
    <tableColumn id="2" name="开服天数" dataDxfId="1368"/>
    <tableColumn id="3" name="目标区服" dataDxfId="1369"/>
    <tableColumn id="4" name="目标国家（映射）" dataDxfId="1370"/>
    <tableColumn id="5" name="补偿Coin" dataDxfId="1371"/>
    <tableColumn id="6" name="共计补偿Coin" dataDxfId="1372"/>
    <tableColumn id="7" name="补偿辎重" dataDxfId="1373"/>
    <tableColumn id="8" name="原国家" dataDxfId="1374"/>
    <tableColumn id="9" name="国家辅助" dataDxfId="1375"/>
    <tableColumn id="10" name="都城数" dataDxfId="1376"/>
    <tableColumn id="11" name="城池总数" dataDxfId="1377"/>
    <tableColumn id="12" name="活跃高战玩家数" dataDxfId="1378"/>
    <tableColumn id="13" name="活跃中坚玩家数" dataDxfId="1379"/>
    <tableColumn id="14" name="排名积分" dataDxfId="1380"/>
    <tableColumn id="15" name="活跃尖端战力" dataDxfId="1381"/>
    <tableColumn id="16" name="活跃总战力" dataDxfId="1382"/>
    <tableColumn id="17" name="目标国家" dataDxfId="1383"/>
    <tableColumn id="18" name="目标辅助" dataDxfId="1384"/>
    <tableColumn id="19" name="活跃实际充值" dataDxfId="1385"/>
    <tableColumn id="20" name="活跃虚拟充值" dataDxfId="1386"/>
    <tableColumn id="21" name="活跃Coin" dataDxfId="1387"/>
    <tableColumn id="22" name="综合国力" dataDxfId="1388"/>
    <tableColumn id="23" name="单将最高战力" dataDxfId="1389"/>
    <tableColumn id="24" name="辅助导出" dataDxfId="1390"/>
    <tableColumn id="25" name="导出" dataDxfId="1391"/>
  </tableColumns>
  <tableStyleInfo name="TableStyleLight9" showFirstColumn="0" showLastColumn="0" showRowStripes="1" showColumnStripes="0"/>
</table>
</file>

<file path=xl/tables/table74.xml><?xml version="1.0" encoding="utf-8"?>
<table xmlns="http://schemas.openxmlformats.org/spreadsheetml/2006/main" id="77" name="表2_9713192325277378" displayName="表2_9713192325277378" ref="A43:N61" totalsRowShown="0">
  <autoFilter ref="A43:N61"/>
  <tableColumns count="14">
    <tableColumn id="1" name="合区区服" dataDxfId="1392"/>
    <tableColumn id="2" name="国家" dataDxfId="1393"/>
    <tableColumn id="3" name="原国家数" dataDxfId="1394"/>
    <tableColumn id="4" name="原活跃高战玩家数" dataDxfId="1395"/>
    <tableColumn id="5" name="原活跃中坚玩家数" dataDxfId="1396"/>
    <tableColumn id="6" name="原单服最尖端战力" dataDxfId="1397"/>
    <tableColumn id="7" name="活跃总战力" dataDxfId="1398"/>
    <tableColumn id="8" name="活跃实际充值" dataDxfId="1399"/>
    <tableColumn id="9" name="活跃虚拟充值" dataDxfId="1400"/>
    <tableColumn id="10" name="活跃Coin" dataDxfId="1401"/>
    <tableColumn id="11" name="共计补偿Coin" dataDxfId="1402"/>
    <tableColumn id="12" name="补偿后Coin" dataDxfId="1403"/>
    <tableColumn id="13" name="原综合国力" dataDxfId="1404"/>
    <tableColumn id="14" name="原最高战力" dataDxfId="1405"/>
  </tableColumns>
  <tableStyleInfo name="TableStyleLight10" showFirstColumn="0" showLastColumn="0" showRowStripes="1" showColumnStripes="0"/>
</table>
</file>

<file path=xl/tables/table75.xml><?xml version="1.0" encoding="utf-8"?>
<table xmlns="http://schemas.openxmlformats.org/spreadsheetml/2006/main" id="73" name="表1_8612182224267274" displayName="表1_8612182224267274" ref="A1:Y22" totalsRowShown="0">
  <autoFilter ref="A1:Y22"/>
  <tableColumns count="25">
    <tableColumn id="1" name="区服" dataDxfId="1406"/>
    <tableColumn id="2" name="开服天数" dataDxfId="1407"/>
    <tableColumn id="3" name="目标区服" dataDxfId="1408"/>
    <tableColumn id="4" name="目标国家（映射）" dataDxfId="1409"/>
    <tableColumn id="5" name="补偿Coin" dataDxfId="1410"/>
    <tableColumn id="6" name="共计补偿Coin" dataDxfId="1411"/>
    <tableColumn id="7" name="补偿辎重" dataDxfId="1412"/>
    <tableColumn id="8" name="原国家" dataDxfId="1413"/>
    <tableColumn id="9" name="国家辅助" dataDxfId="1414"/>
    <tableColumn id="10" name="都城数" dataDxfId="1415"/>
    <tableColumn id="11" name="城池总数" dataDxfId="1416"/>
    <tableColumn id="12" name="活跃高战玩家数" dataDxfId="1417"/>
    <tableColumn id="13" name="活跃中坚玩家数" dataDxfId="1418"/>
    <tableColumn id="14" name="排名积分" dataDxfId="1419"/>
    <tableColumn id="15" name="活跃尖端战力" dataDxfId="1420"/>
    <tableColumn id="16" name="活跃总战力" dataDxfId="1421"/>
    <tableColumn id="17" name="目标国家" dataDxfId="1422"/>
    <tableColumn id="18" name="目标辅助" dataDxfId="1423"/>
    <tableColumn id="19" name="活跃实际充值" dataDxfId="1424"/>
    <tableColumn id="20" name="活跃虚拟充值" dataDxfId="1425"/>
    <tableColumn id="21" name="活跃Coin" dataDxfId="1426"/>
    <tableColumn id="22" name="综合国力" dataDxfId="1427"/>
    <tableColumn id="23" name="单将最高战力" dataDxfId="1428"/>
    <tableColumn id="24" name="辅助导出" dataDxfId="1429"/>
    <tableColumn id="25" name="导出" dataDxfId="1430"/>
  </tableColumns>
  <tableStyleInfo name="TableStyleLight9" showFirstColumn="0" showLastColumn="0" showRowStripes="1" showColumnStripes="0"/>
</table>
</file>

<file path=xl/tables/table76.xml><?xml version="1.0" encoding="utf-8"?>
<table xmlns="http://schemas.openxmlformats.org/spreadsheetml/2006/main" id="78" name="表2_9713192325277379" displayName="表2_9713192325277379" ref="A25:N34" totalsRowShown="0">
  <autoFilter ref="A25:N34"/>
  <tableColumns count="14">
    <tableColumn id="1" name="合区区服" dataDxfId="1431"/>
    <tableColumn id="2" name="国家" dataDxfId="1432"/>
    <tableColumn id="3" name="原国家数" dataDxfId="1433"/>
    <tableColumn id="4" name="原活跃高战玩家数" dataDxfId="1434"/>
    <tableColumn id="5" name="原活跃中坚玩家数" dataDxfId="1435"/>
    <tableColumn id="6" name="原单服最尖端战力" dataDxfId="1436"/>
    <tableColumn id="7" name="活跃总战力" dataDxfId="1437"/>
    <tableColumn id="8" name="活跃实际充值" dataDxfId="1438"/>
    <tableColumn id="9" name="活跃虚拟充值" dataDxfId="1439"/>
    <tableColumn id="10" name="活跃Coin" dataDxfId="1440"/>
    <tableColumn id="11" name="共计补偿Coin" dataDxfId="1441"/>
    <tableColumn id="12" name="补偿后Coin" dataDxfId="1442"/>
    <tableColumn id="13" name="原综合国力" dataDxfId="1443"/>
    <tableColumn id="14" name="原最高战力" dataDxfId="1444"/>
  </tableColumns>
  <tableStyleInfo name="TableStyleLight10" showFirstColumn="0" showLastColumn="0" showRowStripes="1" showColumnStripes="0"/>
</table>
</file>

<file path=xl/tables/table77.xml><?xml version="1.0" encoding="utf-8"?>
<table xmlns="http://schemas.openxmlformats.org/spreadsheetml/2006/main" id="79" name="表1_8612182224267280" displayName="表1_8612182224267280" ref="A1:Y31" totalsRowShown="0">
  <autoFilter ref="A1:Y31"/>
  <tableColumns count="25">
    <tableColumn id="1" name="区服" dataDxfId="1445"/>
    <tableColumn id="2" name="开服天数" dataDxfId="1446"/>
    <tableColumn id="3" name="目标区服" dataDxfId="1447"/>
    <tableColumn id="4" name="目标国家（映射）" dataDxfId="1448"/>
    <tableColumn id="5" name="补偿Coin" dataDxfId="1449"/>
    <tableColumn id="6" name="共计补偿Coin" dataDxfId="1450"/>
    <tableColumn id="7" name="补偿辎重" dataDxfId="1451"/>
    <tableColumn id="8" name="原国家" dataDxfId="1452"/>
    <tableColumn id="9" name="国家辅助" dataDxfId="1453"/>
    <tableColumn id="10" name="都城数" dataDxfId="1454"/>
    <tableColumn id="11" name="城池总数" dataDxfId="1455"/>
    <tableColumn id="12" name="活跃高战玩家数" dataDxfId="1456"/>
    <tableColumn id="13" name="活跃中坚玩家数" dataDxfId="1457"/>
    <tableColumn id="14" name="排名积分" dataDxfId="1458"/>
    <tableColumn id="15" name="活跃尖端战力" dataDxfId="1459"/>
    <tableColumn id="16" name="活跃总战力" dataDxfId="1460"/>
    <tableColumn id="17" name="目标国家" dataDxfId="1461"/>
    <tableColumn id="18" name="目标辅助" dataDxfId="1462"/>
    <tableColumn id="19" name="活跃实际充值" dataDxfId="1463"/>
    <tableColumn id="20" name="活跃虚拟充值" dataDxfId="1464"/>
    <tableColumn id="21" name="活跃Coin" dataDxfId="1465"/>
    <tableColumn id="22" name="综合国力" dataDxfId="1466"/>
    <tableColumn id="23" name="单将最高战力" dataDxfId="1467"/>
    <tableColumn id="24" name="辅助导出" dataDxfId="1468"/>
    <tableColumn id="25" name="导出" dataDxfId="1469"/>
  </tableColumns>
  <tableStyleInfo name="TableStyleLight9" showFirstColumn="0" showLastColumn="0" showRowStripes="1" showColumnStripes="0"/>
</table>
</file>

<file path=xl/tables/table78.xml><?xml version="1.0" encoding="utf-8"?>
<table xmlns="http://schemas.openxmlformats.org/spreadsheetml/2006/main" id="80" name="表2_9713192325277381" displayName="表2_9713192325277381" ref="A34:N49" totalsRowShown="0">
  <autoFilter ref="A34:N49"/>
  <tableColumns count="14">
    <tableColumn id="1" name="合区区服" dataDxfId="1470"/>
    <tableColumn id="2" name="国家" dataDxfId="1471"/>
    <tableColumn id="3" name="原国家数" dataDxfId="1472"/>
    <tableColumn id="4" name="原活跃高战玩家数" dataDxfId="1473"/>
    <tableColumn id="5" name="原活跃中坚玩家数" dataDxfId="1474"/>
    <tableColumn id="6" name="原单服最尖端战力" dataDxfId="1475"/>
    <tableColumn id="7" name="活跃总战力" dataDxfId="1476"/>
    <tableColumn id="8" name="活跃实际充值" dataDxfId="1477"/>
    <tableColumn id="9" name="活跃虚拟充值" dataDxfId="1478"/>
    <tableColumn id="10" name="活跃Coin" dataDxfId="1479"/>
    <tableColumn id="11" name="共计补偿Coin" dataDxfId="1480"/>
    <tableColumn id="12" name="补偿后Coin" dataDxfId="1481"/>
    <tableColumn id="13" name="原综合国力" dataDxfId="1482"/>
    <tableColumn id="14" name="原最高战力" dataDxfId="1483"/>
  </tableColumns>
  <tableStyleInfo name="TableStyleLight10" showFirstColumn="0" showLastColumn="0" showRowStripes="1" showColumnStripes="0"/>
</table>
</file>

<file path=xl/tables/table79.xml><?xml version="1.0" encoding="utf-8"?>
<table xmlns="http://schemas.openxmlformats.org/spreadsheetml/2006/main" id="81" name="表1_8612182224267282" displayName="表1_8612182224267282" ref="A1:Y55" totalsRowShown="0">
  <autoFilter ref="A1:Y55"/>
  <tableColumns count="25">
    <tableColumn id="1" name="区服" dataDxfId="1484"/>
    <tableColumn id="2" name="开服天数" dataDxfId="1485"/>
    <tableColumn id="3" name="目标区服" dataDxfId="1486"/>
    <tableColumn id="4" name="目标国家（映射）" dataDxfId="1487"/>
    <tableColumn id="5" name="补偿Coin" dataDxfId="1488"/>
    <tableColumn id="6" name="共计补偿Coin" dataDxfId="1489"/>
    <tableColumn id="7" name="补偿辎重" dataDxfId="1490"/>
    <tableColumn id="8" name="原国家" dataDxfId="1491"/>
    <tableColumn id="9" name="国家辅助" dataDxfId="1492"/>
    <tableColumn id="10" name="都城数" dataDxfId="1493"/>
    <tableColumn id="11" name="城池总数" dataDxfId="1494"/>
    <tableColumn id="12" name="活跃高战玩家数" dataDxfId="1495"/>
    <tableColumn id="13" name="活跃中坚玩家数" dataDxfId="1496"/>
    <tableColumn id="14" name="排名积分" dataDxfId="1497"/>
    <tableColumn id="15" name="活跃尖端战力" dataDxfId="1498"/>
    <tableColumn id="16" name="活跃总战力" dataDxfId="1499"/>
    <tableColumn id="17" name="目标国家" dataDxfId="1500"/>
    <tableColumn id="18" name="目标辅助" dataDxfId="1501"/>
    <tableColumn id="19" name="活跃实际充值" dataDxfId="1502"/>
    <tableColumn id="20" name="活跃虚拟充值" dataDxfId="1503"/>
    <tableColumn id="21" name="活跃Coin" dataDxfId="1504"/>
    <tableColumn id="22" name="综合国力" dataDxfId="1505"/>
    <tableColumn id="23" name="单将最高战力" dataDxfId="1506"/>
    <tableColumn id="24" name="辅助导出" dataDxfId="1507"/>
    <tableColumn id="25" name="导出" dataDxfId="1508"/>
  </tableColumns>
  <tableStyleInfo name="TableStyleLight9" showFirstColumn="0" showLastColumn="0" showRowStripes="1" showColumnStripes="0"/>
</table>
</file>

<file path=xl/tables/table80.xml><?xml version="1.0" encoding="utf-8"?>
<table xmlns="http://schemas.openxmlformats.org/spreadsheetml/2006/main" id="82" name="表2_9713192325277383" displayName="表2_9713192325277383" ref="A58:N82" totalsRowShown="0">
  <autoFilter ref="A58:N82"/>
  <tableColumns count="14">
    <tableColumn id="1" name="合区区服" dataDxfId="1509"/>
    <tableColumn id="2" name="国家" dataDxfId="1510"/>
    <tableColumn id="3" name="原国家数" dataDxfId="1511"/>
    <tableColumn id="4" name="原活跃高战玩家数" dataDxfId="1512"/>
    <tableColumn id="5" name="原活跃中坚玩家数" dataDxfId="1513"/>
    <tableColumn id="6" name="原单服最尖端战力" dataDxfId="1514"/>
    <tableColumn id="7" name="活跃总战力" dataDxfId="1515"/>
    <tableColumn id="8" name="活跃实际充值" dataDxfId="1516"/>
    <tableColumn id="9" name="活跃虚拟充值" dataDxfId="1517"/>
    <tableColumn id="10" name="活跃Coin" dataDxfId="1518"/>
    <tableColumn id="11" name="共计补偿Coin" dataDxfId="1519"/>
    <tableColumn id="12" name="补偿后Coin" dataDxfId="1520"/>
    <tableColumn id="13" name="原综合国力" dataDxfId="1521"/>
    <tableColumn id="14" name="原最高战力" dataDxfId="1522"/>
  </tableColumns>
  <tableStyleInfo name="TableStyleLight10" showFirstColumn="0" showLastColumn="0" showRowStripes="1" showColumnStripes="0"/>
</table>
</file>

<file path=xl/tables/table81.xml><?xml version="1.0" encoding="utf-8"?>
<table xmlns="http://schemas.openxmlformats.org/spreadsheetml/2006/main" id="83" name="表1_8612182224267284" displayName="表1_8612182224267284" ref="A1:Y22" totalsRowShown="0">
  <autoFilter ref="A1:Y22"/>
  <tableColumns count="25">
    <tableColumn id="1" name="区服" dataDxfId="1523"/>
    <tableColumn id="2" name="开服天数" dataDxfId="1524"/>
    <tableColumn id="3" name="目标区服" dataDxfId="1525"/>
    <tableColumn id="4" name="目标国家（映射）" dataDxfId="1526"/>
    <tableColumn id="5" name="补偿Coin" dataDxfId="1527"/>
    <tableColumn id="6" name="共计补偿Coin" dataDxfId="1528"/>
    <tableColumn id="7" name="补偿辎重" dataDxfId="1529"/>
    <tableColumn id="8" name="原国家" dataDxfId="1530"/>
    <tableColumn id="9" name="国家辅助" dataDxfId="1531"/>
    <tableColumn id="10" name="都城数" dataDxfId="1532"/>
    <tableColumn id="11" name="城池总数" dataDxfId="1533"/>
    <tableColumn id="12" name="活跃高战玩家数" dataDxfId="1534"/>
    <tableColumn id="13" name="活跃中坚玩家数" dataDxfId="1535"/>
    <tableColumn id="14" name="排名积分" dataDxfId="1536"/>
    <tableColumn id="15" name="活跃尖端战力" dataDxfId="1537"/>
    <tableColumn id="16" name="活跃总战力" dataDxfId="1538"/>
    <tableColumn id="17" name="目标国家" dataDxfId="1539"/>
    <tableColumn id="18" name="目标辅助" dataDxfId="1540"/>
    <tableColumn id="19" name="活跃实际充值" dataDxfId="1541"/>
    <tableColumn id="20" name="活跃虚拟充值" dataDxfId="1542"/>
    <tableColumn id="21" name="活跃Coin" dataDxfId="1543"/>
    <tableColumn id="22" name="综合国力" dataDxfId="1544"/>
    <tableColumn id="23" name="单将最高战力" dataDxfId="1545"/>
    <tableColumn id="24" name="辅助导出" dataDxfId="1546"/>
    <tableColumn id="25" name="导出" dataDxfId="1547"/>
  </tableColumns>
  <tableStyleInfo name="TableStyleLight9" showFirstColumn="0" showLastColumn="0" showRowStripes="1" showColumnStripes="0"/>
</table>
</file>

<file path=xl/tables/table82.xml><?xml version="1.0" encoding="utf-8"?>
<table xmlns="http://schemas.openxmlformats.org/spreadsheetml/2006/main" id="84" name="表2_9713192325277385" displayName="表2_9713192325277385" ref="A25:N34" totalsRowShown="0">
  <autoFilter ref="A25:N34"/>
  <tableColumns count="14">
    <tableColumn id="1" name="合区区服" dataDxfId="1548"/>
    <tableColumn id="2" name="国家" dataDxfId="1549"/>
    <tableColumn id="3" name="原国家数" dataDxfId="1550"/>
    <tableColumn id="4" name="原活跃高战玩家数" dataDxfId="1551"/>
    <tableColumn id="5" name="原活跃中坚玩家数" dataDxfId="1552"/>
    <tableColumn id="6" name="原单服最尖端战力" dataDxfId="1553"/>
    <tableColumn id="7" name="活跃总战力" dataDxfId="1554"/>
    <tableColumn id="8" name="活跃实际充值" dataDxfId="1555"/>
    <tableColumn id="9" name="活跃虚拟充值" dataDxfId="1556"/>
    <tableColumn id="10" name="活跃Coin" dataDxfId="1557"/>
    <tableColumn id="11" name="共计补偿Coin" dataDxfId="1558"/>
    <tableColumn id="12" name="补偿后Coin" dataDxfId="1559"/>
    <tableColumn id="13" name="原综合国力" dataDxfId="1560"/>
    <tableColumn id="14" name="原最高战力" dataDxfId="1561"/>
  </tableColumns>
  <tableStyleInfo name="TableStyleLight10" showFirstColumn="0" showLastColumn="0" showRowStripes="1" showColumnStripes="0"/>
</table>
</file>

<file path=xl/tables/table83.xml><?xml version="1.0" encoding="utf-8"?>
<table xmlns="http://schemas.openxmlformats.org/spreadsheetml/2006/main" id="85" name="表1_8612182224267286" displayName="表1_8612182224267286" ref="A1:Y31" totalsRowShown="0">
  <autoFilter ref="A1:Y31"/>
  <tableColumns count="25">
    <tableColumn id="1" name="区服" dataDxfId="1562"/>
    <tableColumn id="2" name="开服天数" dataDxfId="1563"/>
    <tableColumn id="3" name="目标区服" dataDxfId="1564"/>
    <tableColumn id="4" name="目标国家（映射）" dataDxfId="1565"/>
    <tableColumn id="5" name="补偿Coin" dataDxfId="1566"/>
    <tableColumn id="6" name="共计补偿Coin" dataDxfId="1567"/>
    <tableColumn id="7" name="补偿辎重" dataDxfId="1568"/>
    <tableColumn id="8" name="原国家" dataDxfId="1569"/>
    <tableColumn id="9" name="国家辅助" dataDxfId="1570"/>
    <tableColumn id="10" name="都城数" dataDxfId="1571"/>
    <tableColumn id="11" name="城池总数" dataDxfId="1572"/>
    <tableColumn id="12" name="活跃高战玩家数" dataDxfId="1573"/>
    <tableColumn id="13" name="活跃中坚玩家数" dataDxfId="1574"/>
    <tableColumn id="14" name="排名积分" dataDxfId="1575"/>
    <tableColumn id="15" name="活跃尖端战力" dataDxfId="1576"/>
    <tableColumn id="16" name="活跃总战力" dataDxfId="1577"/>
    <tableColumn id="17" name="目标国家" dataDxfId="1578"/>
    <tableColumn id="18" name="目标辅助" dataDxfId="1579"/>
    <tableColumn id="19" name="活跃实际充值" dataDxfId="1580"/>
    <tableColumn id="20" name="活跃虚拟充值" dataDxfId="1581"/>
    <tableColumn id="21" name="活跃Coin" dataDxfId="1582"/>
    <tableColumn id="22" name="综合国力" dataDxfId="1583"/>
    <tableColumn id="23" name="单将最高战力" dataDxfId="1584"/>
    <tableColumn id="24" name="辅助导出" dataDxfId="1585"/>
    <tableColumn id="25" name="导出" dataDxfId="1586"/>
  </tableColumns>
  <tableStyleInfo name="TableStyleLight9" showFirstColumn="0" showLastColumn="0" showRowStripes="1" showColumnStripes="0"/>
</table>
</file>

<file path=xl/tables/table84.xml><?xml version="1.0" encoding="utf-8"?>
<table xmlns="http://schemas.openxmlformats.org/spreadsheetml/2006/main" id="86" name="表2_9713192325277387" displayName="表2_9713192325277387" ref="A34:N46" totalsRowShown="0">
  <autoFilter ref="A34:N46"/>
  <tableColumns count="14">
    <tableColumn id="1" name="合区区服" dataDxfId="1587"/>
    <tableColumn id="2" name="国家" dataDxfId="1588"/>
    <tableColumn id="3" name="原国家数" dataDxfId="1589"/>
    <tableColumn id="4" name="原活跃高战玩家数" dataDxfId="1590"/>
    <tableColumn id="5" name="原活跃中坚玩家数" dataDxfId="1591"/>
    <tableColumn id="6" name="原单服最尖端战力" dataDxfId="1592"/>
    <tableColumn id="7" name="活跃总战力" dataDxfId="1593"/>
    <tableColumn id="8" name="活跃实际充值" dataDxfId="1594"/>
    <tableColumn id="9" name="活跃虚拟充值" dataDxfId="1595"/>
    <tableColumn id="10" name="活跃Coin" dataDxfId="1596"/>
    <tableColumn id="11" name="共计补偿Coin" dataDxfId="1597"/>
    <tableColumn id="12" name="补偿后Coin" dataDxfId="1598"/>
    <tableColumn id="13" name="原综合国力" dataDxfId="1599"/>
    <tableColumn id="14" name="原最高战力" dataDxfId="1600"/>
  </tableColumns>
  <tableStyleInfo name="TableStyleLight10" showFirstColumn="0" showLastColumn="0" showRowStripes="1" showColumnStripes="0"/>
</table>
</file>

<file path=xl/tables/table85.xml><?xml version="1.0" encoding="utf-8"?>
<table xmlns="http://schemas.openxmlformats.org/spreadsheetml/2006/main" id="87" name="表1_8612182224267288" displayName="表1_8612182224267288" ref="A1:Y82" totalsRowShown="0">
  <autoFilter ref="A1:Y82"/>
  <tableColumns count="25">
    <tableColumn id="1" name="区服" dataDxfId="1601"/>
    <tableColumn id="2" name="开服天数" dataDxfId="1602"/>
    <tableColumn id="3" name="目标区服" dataDxfId="1603"/>
    <tableColumn id="4" name="目标国家（映射）" dataDxfId="1604"/>
    <tableColumn id="5" name="补偿Coin" dataDxfId="1605"/>
    <tableColumn id="6" name="共计补偿Coin" dataDxfId="1606"/>
    <tableColumn id="7" name="补偿辎重" dataDxfId="1607"/>
    <tableColumn id="8" name="原国家" dataDxfId="1608"/>
    <tableColumn id="9" name="国家辅助" dataDxfId="1609"/>
    <tableColumn id="10" name="都城数" dataDxfId="1610"/>
    <tableColumn id="11" name="城池总数" dataDxfId="1611"/>
    <tableColumn id="12" name="活跃高战玩家数" dataDxfId="1612"/>
    <tableColumn id="13" name="活跃中坚玩家数" dataDxfId="1613"/>
    <tableColumn id="14" name="排名积分" dataDxfId="1614"/>
    <tableColumn id="15" name="活跃尖端战力" dataDxfId="1615"/>
    <tableColumn id="16" name="活跃总战力" dataDxfId="1616"/>
    <tableColumn id="17" name="目标国家" dataDxfId="1617"/>
    <tableColumn id="18" name="目标辅助" dataDxfId="1618"/>
    <tableColumn id="19" name="活跃实际充值" dataDxfId="1619"/>
    <tableColumn id="20" name="活跃虚拟充值" dataDxfId="1620"/>
    <tableColumn id="21" name="活跃Coin" dataDxfId="1621"/>
    <tableColumn id="22" name="综合国力" dataDxfId="1622"/>
    <tableColumn id="23" name="单将最高战力" dataDxfId="1623"/>
    <tableColumn id="24" name="辅助导出" dataDxfId="1624"/>
    <tableColumn id="25" name="导出" dataDxfId="1625"/>
  </tableColumns>
  <tableStyleInfo name="TableStyleLight9" showFirstColumn="0" showLastColumn="0" showRowStripes="1" showColumnStripes="0"/>
</table>
</file>

<file path=xl/tables/table86.xml><?xml version="1.0" encoding="utf-8"?>
<table xmlns="http://schemas.openxmlformats.org/spreadsheetml/2006/main" id="88" name="表2_9713192325277389" displayName="表2_9713192325277389" ref="A85:N124" totalsRowShown="0">
  <autoFilter ref="A85:N124"/>
  <tableColumns count="14">
    <tableColumn id="1" name="合区区服" dataDxfId="1626"/>
    <tableColumn id="2" name="国家" dataDxfId="1627"/>
    <tableColumn id="3" name="原国家数" dataDxfId="1628"/>
    <tableColumn id="4" name="原活跃高战玩家数" dataDxfId="1629"/>
    <tableColumn id="5" name="原活跃中坚玩家数" dataDxfId="1630"/>
    <tableColumn id="6" name="原单服最尖端战力" dataDxfId="1631"/>
    <tableColumn id="7" name="活跃总战力" dataDxfId="1632"/>
    <tableColumn id="8" name="活跃实际充值" dataDxfId="1633"/>
    <tableColumn id="9" name="活跃虚拟充值" dataDxfId="1634"/>
    <tableColumn id="10" name="活跃Coin" dataDxfId="1635"/>
    <tableColumn id="11" name="共计补偿Coin" dataDxfId="1636"/>
    <tableColumn id="12" name="补偿后Coin" dataDxfId="1637"/>
    <tableColumn id="13" name="原综合国力" dataDxfId="1638"/>
    <tableColumn id="14" name="原最高战力" dataDxfId="1639"/>
  </tableColumns>
  <tableStyleInfo name="TableStyleLight10" showFirstColumn="0" showLastColumn="0" showRowStripes="1" showColumnStripes="0"/>
</table>
</file>

<file path=xl/tables/table87.xml><?xml version="1.0" encoding="utf-8"?>
<table xmlns="http://schemas.openxmlformats.org/spreadsheetml/2006/main" id="89" name="表1_8612182224267290" displayName="表1_8612182224267290" ref="A1:Y22" totalsRowShown="0">
  <autoFilter ref="A1:Y22"/>
  <tableColumns count="25">
    <tableColumn id="1" name="区服" dataDxfId="1640"/>
    <tableColumn id="2" name="开服天数" dataDxfId="1641"/>
    <tableColumn id="3" name="目标区服" dataDxfId="1642"/>
    <tableColumn id="4" name="目标国家（映射）" dataDxfId="1643"/>
    <tableColumn id="5" name="补偿Coin" dataDxfId="1644"/>
    <tableColumn id="6" name="共计补偿Coin" dataDxfId="1645"/>
    <tableColumn id="7" name="补偿辎重" dataDxfId="1646"/>
    <tableColumn id="8" name="原国家" dataDxfId="1647"/>
    <tableColumn id="9" name="国家辅助" dataDxfId="1648"/>
    <tableColumn id="10" name="都城数" dataDxfId="1649"/>
    <tableColumn id="11" name="城池总数" dataDxfId="1650"/>
    <tableColumn id="12" name="活跃高战玩家数" dataDxfId="1651"/>
    <tableColumn id="13" name="活跃中坚玩家数" dataDxfId="1652"/>
    <tableColumn id="14" name="排名积分" dataDxfId="1653"/>
    <tableColumn id="15" name="活跃尖端战力" dataDxfId="1654"/>
    <tableColumn id="16" name="活跃总战力" dataDxfId="1655"/>
    <tableColumn id="17" name="目标国家" dataDxfId="1656"/>
    <tableColumn id="18" name="目标辅助" dataDxfId="1657"/>
    <tableColumn id="19" name="活跃实际充值" dataDxfId="1658"/>
    <tableColumn id="20" name="活跃虚拟充值" dataDxfId="1659"/>
    <tableColumn id="21" name="活跃Coin" dataDxfId="1660"/>
    <tableColumn id="22" name="综合国力" dataDxfId="1661"/>
    <tableColumn id="23" name="单将最高战力" dataDxfId="1662"/>
    <tableColumn id="24" name="辅助导出" dataDxfId="1663"/>
    <tableColumn id="25" name="导出" dataDxfId="1664"/>
  </tableColumns>
  <tableStyleInfo name="TableStyleLight9" showFirstColumn="0" showLastColumn="0" showRowStripes="1" showColumnStripes="0"/>
</table>
</file>

<file path=xl/tables/table88.xml><?xml version="1.0" encoding="utf-8"?>
<table xmlns="http://schemas.openxmlformats.org/spreadsheetml/2006/main" id="90" name="表2_9713192325277391" displayName="表2_9713192325277391" ref="A25:N34" totalsRowShown="0">
  <autoFilter ref="A25:N34"/>
  <tableColumns count="14">
    <tableColumn id="1" name="合区区服" dataDxfId="1665"/>
    <tableColumn id="2" name="国家" dataDxfId="1666"/>
    <tableColumn id="3" name="原国家数" dataDxfId="1667"/>
    <tableColumn id="4" name="原活跃高战玩家数" dataDxfId="1668"/>
    <tableColumn id="5" name="原活跃中坚玩家数" dataDxfId="1669"/>
    <tableColumn id="6" name="原单服最尖端战力" dataDxfId="1670"/>
    <tableColumn id="7" name="活跃总战力" dataDxfId="1671"/>
    <tableColumn id="8" name="活跃实际充值" dataDxfId="1672"/>
    <tableColumn id="9" name="活跃虚拟充值" dataDxfId="1673"/>
    <tableColumn id="10" name="活跃Coin" dataDxfId="1674"/>
    <tableColumn id="11" name="共计补偿Coin" dataDxfId="1675"/>
    <tableColumn id="12" name="补偿后Coin" dataDxfId="1676"/>
    <tableColumn id="13" name="原综合国力" dataDxfId="1677"/>
    <tableColumn id="14" name="原最高战力" dataDxfId="1678"/>
  </tableColumns>
  <tableStyleInfo name="TableStyleLight10" showFirstColumn="0" showLastColumn="0" showRowStripes="1" showColumnStripes="0"/>
</table>
</file>

<file path=xl/tables/table89.xml><?xml version="1.0" encoding="utf-8"?>
<table xmlns="http://schemas.openxmlformats.org/spreadsheetml/2006/main" id="91" name="表1_8612182224267292" displayName="表1_8612182224267292" ref="A1:Y31" totalsRowShown="0">
  <autoFilter ref="A1:Y31"/>
  <tableColumns count="25">
    <tableColumn id="1" name="区服" dataDxfId="1679"/>
    <tableColumn id="2" name="开服天数" dataDxfId="1680"/>
    <tableColumn id="3" name="目标区服" dataDxfId="1681"/>
    <tableColumn id="4" name="目标国家（映射）" dataDxfId="1682"/>
    <tableColumn id="5" name="补偿Coin" dataDxfId="1683"/>
    <tableColumn id="6" name="共计补偿Coin" dataDxfId="1684"/>
    <tableColumn id="7" name="补偿辎重" dataDxfId="1685"/>
    <tableColumn id="8" name="原国家" dataDxfId="1686"/>
    <tableColumn id="9" name="国家辅助" dataDxfId="1687"/>
    <tableColumn id="10" name="都城数" dataDxfId="1688"/>
    <tableColumn id="11" name="城池总数" dataDxfId="1689"/>
    <tableColumn id="12" name="活跃高战玩家数" dataDxfId="1690"/>
    <tableColumn id="13" name="活跃中坚玩家数" dataDxfId="1691"/>
    <tableColumn id="14" name="排名积分" dataDxfId="1692"/>
    <tableColumn id="15" name="活跃尖端战力" dataDxfId="1693"/>
    <tableColumn id="16" name="活跃总战力" dataDxfId="1694"/>
    <tableColumn id="17" name="目标国家" dataDxfId="1695"/>
    <tableColumn id="18" name="目标辅助" dataDxfId="1696"/>
    <tableColumn id="19" name="活跃实际充值" dataDxfId="1697"/>
    <tableColumn id="20" name="活跃虚拟充值" dataDxfId="1698"/>
    <tableColumn id="21" name="活跃Coin" dataDxfId="1699"/>
    <tableColumn id="22" name="综合国力" dataDxfId="1700"/>
    <tableColumn id="23" name="单将最高战力" dataDxfId="1701"/>
    <tableColumn id="24" name="辅助导出" dataDxfId="1702"/>
    <tableColumn id="25" name="导出" dataDxfId="1703"/>
  </tableColumns>
  <tableStyleInfo name="TableStyleLight9" showFirstColumn="0" showLastColumn="0" showRowStripes="1" showColumnStripes="0"/>
</table>
</file>

<file path=xl/tables/table90.xml><?xml version="1.0" encoding="utf-8"?>
<table xmlns="http://schemas.openxmlformats.org/spreadsheetml/2006/main" id="92" name="表2_9713192325277393" displayName="表2_9713192325277393" ref="A34:N49" totalsRowShown="0">
  <autoFilter ref="A34:N49"/>
  <tableColumns count="14">
    <tableColumn id="1" name="合区区服" dataDxfId="1704"/>
    <tableColumn id="2" name="国家" dataDxfId="1705"/>
    <tableColumn id="3" name="原国家数" dataDxfId="1706"/>
    <tableColumn id="4" name="原活跃高战玩家数" dataDxfId="1707"/>
    <tableColumn id="5" name="原活跃中坚玩家数" dataDxfId="1708"/>
    <tableColumn id="6" name="原单服最尖端战力" dataDxfId="1709"/>
    <tableColumn id="7" name="活跃总战力" dataDxfId="1710"/>
    <tableColumn id="8" name="活跃实际充值" dataDxfId="1711"/>
    <tableColumn id="9" name="活跃虚拟充值" dataDxfId="1712"/>
    <tableColumn id="10" name="活跃Coin" dataDxfId="1713"/>
    <tableColumn id="11" name="共计补偿Coin" dataDxfId="1714"/>
    <tableColumn id="12" name="补偿后Coin" dataDxfId="1715"/>
    <tableColumn id="13" name="原综合国力" dataDxfId="1716"/>
    <tableColumn id="14" name="原最高战力" dataDxfId="1717"/>
  </tableColumns>
  <tableStyleInfo name="TableStyleLight10" showFirstColumn="0" showLastColumn="0" showRowStripes="1" showColumnStripes="0"/>
</table>
</file>

<file path=xl/tables/table91.xml><?xml version="1.0" encoding="utf-8"?>
<table xmlns="http://schemas.openxmlformats.org/spreadsheetml/2006/main" id="93" name="表1_861218222426728894" displayName="表1_861218222426728894" ref="A1:Y145" totalsRowShown="0">
  <autoFilter ref="A1:Y145"/>
  <tableColumns count="25">
    <tableColumn id="1" name="区服" dataDxfId="1718"/>
    <tableColumn id="2" name="开服天数" dataDxfId="1719"/>
    <tableColumn id="3" name="目标区服" dataDxfId="1720"/>
    <tableColumn id="4" name="目标国家（映射）" dataDxfId="1721"/>
    <tableColumn id="5" name="补偿Coin" dataDxfId="1722"/>
    <tableColumn id="6" name="共计补偿Coin" dataDxfId="1723"/>
    <tableColumn id="7" name="补偿辎重" dataDxfId="1724"/>
    <tableColumn id="8" name="原国家" dataDxfId="1725"/>
    <tableColumn id="9" name="国家辅助" dataDxfId="1726"/>
    <tableColumn id="10" name="都城数" dataDxfId="1727"/>
    <tableColumn id="11" name="城池总数" dataDxfId="1728"/>
    <tableColumn id="12" name="活跃高战玩家数" dataDxfId="1729"/>
    <tableColumn id="13" name="活跃中坚玩家数" dataDxfId="1730"/>
    <tableColumn id="14" name="排名积分" dataDxfId="1731"/>
    <tableColumn id="15" name="活跃尖端战力" dataDxfId="1732"/>
    <tableColumn id="16" name="活跃总战力" dataDxfId="1733"/>
    <tableColumn id="17" name="目标国家" dataDxfId="1734"/>
    <tableColumn id="18" name="目标辅助" dataDxfId="1735"/>
    <tableColumn id="19" name="活跃实际充值" dataDxfId="1736"/>
    <tableColumn id="20" name="活跃虚拟充值" dataDxfId="1737"/>
    <tableColumn id="21" name="活跃Coin" dataDxfId="1738"/>
    <tableColumn id="22" name="综合国力" dataDxfId="1739"/>
    <tableColumn id="23" name="单将最高战力" dataDxfId="1740"/>
    <tableColumn id="24" name="辅助导出" dataDxfId="1741"/>
    <tableColumn id="25" name="导出" dataDxfId="1742"/>
  </tableColumns>
  <tableStyleInfo name="TableStyleLight9" showFirstColumn="0" showLastColumn="0" showRowStripes="1" showColumnStripes="0"/>
</table>
</file>

<file path=xl/tables/table92.xml><?xml version="1.0" encoding="utf-8"?>
<table xmlns="http://schemas.openxmlformats.org/spreadsheetml/2006/main" id="94" name="表2_971319232527738995" displayName="表2_971319232527738995" ref="A148:N211" totalsRowShown="0">
  <autoFilter ref="A148:N211"/>
  <tableColumns count="14">
    <tableColumn id="1" name="合区区服" dataDxfId="1743"/>
    <tableColumn id="2" name="国家" dataDxfId="1744"/>
    <tableColumn id="3" name="原国家数" dataDxfId="1745"/>
    <tableColumn id="4" name="原活跃高战玩家数" dataDxfId="1746"/>
    <tableColumn id="5" name="原活跃中坚玩家数" dataDxfId="1747"/>
    <tableColumn id="6" name="原单服最尖端战力" dataDxfId="1748"/>
    <tableColumn id="7" name="活跃总战力" dataDxfId="1749"/>
    <tableColumn id="8" name="活跃实际充值" dataDxfId="1750"/>
    <tableColumn id="9" name="活跃虚拟充值" dataDxfId="1751"/>
    <tableColumn id="10" name="活跃Coin" dataDxfId="1752"/>
    <tableColumn id="11" name="共计补偿Coin" dataDxfId="1753"/>
    <tableColumn id="12" name="补偿后Coin" dataDxfId="1754"/>
    <tableColumn id="13" name="原综合国力" dataDxfId="1755"/>
    <tableColumn id="14" name="原最高战力" dataDxfId="1756"/>
  </tableColumns>
  <tableStyleInfo name="TableStyleLight10" showFirstColumn="0" showLastColumn="0" showRowStripes="1" showColumnStripes="0"/>
</table>
</file>

<file path=xl/tables/table93.xml><?xml version="1.0" encoding="utf-8"?>
<table xmlns="http://schemas.openxmlformats.org/spreadsheetml/2006/main" id="95" name="表1_8612182224267296" displayName="表1_8612182224267296" ref="A1:Y40" totalsRowShown="0">
  <autoFilter ref="A1:Y40"/>
  <tableColumns count="25">
    <tableColumn id="1" name="区服" dataDxfId="1757"/>
    <tableColumn id="2" name="开服天数" dataDxfId="1758"/>
    <tableColumn id="3" name="目标区服" dataDxfId="1759"/>
    <tableColumn id="4" name="目标国家（映射）" dataDxfId="1760"/>
    <tableColumn id="5" name="补偿Coin" dataDxfId="1761"/>
    <tableColumn id="6" name="共计补偿Coin" dataDxfId="1762"/>
    <tableColumn id="7" name="补偿辎重" dataDxfId="1763"/>
    <tableColumn id="8" name="原国家" dataDxfId="1764"/>
    <tableColumn id="9" name="国家辅助" dataDxfId="1765"/>
    <tableColumn id="10" name="都城数" dataDxfId="1766"/>
    <tableColumn id="11" name="城池总数" dataDxfId="1767"/>
    <tableColumn id="12" name="活跃高战玩家数" dataDxfId="1768"/>
    <tableColumn id="13" name="活跃中坚玩家数" dataDxfId="1769"/>
    <tableColumn id="14" name="排名积分" dataDxfId="1770"/>
    <tableColumn id="15" name="活跃尖端战力" dataDxfId="1771"/>
    <tableColumn id="16" name="活跃总战力" dataDxfId="1772"/>
    <tableColumn id="17" name="目标国家" dataDxfId="1773"/>
    <tableColumn id="18" name="目标辅助" dataDxfId="1774"/>
    <tableColumn id="19" name="活跃实际充值" dataDxfId="1775"/>
    <tableColumn id="20" name="活跃虚拟充值" dataDxfId="1776"/>
    <tableColumn id="21" name="活跃Coin" dataDxfId="1777"/>
    <tableColumn id="22" name="综合国力" dataDxfId="1778"/>
    <tableColumn id="23" name="单将最高战力" dataDxfId="1779"/>
    <tableColumn id="24" name="辅助导出" dataDxfId="1780"/>
    <tableColumn id="25" name="导出" dataDxfId="1781"/>
  </tableColumns>
  <tableStyleInfo name="TableStyleLight9" showFirstColumn="0" showLastColumn="0" showRowStripes="1" showColumnStripes="0"/>
</table>
</file>

<file path=xl/tables/table94.xml><?xml version="1.0" encoding="utf-8"?>
<table xmlns="http://schemas.openxmlformats.org/spreadsheetml/2006/main" id="96" name="表2_9713192325277397" displayName="表2_9713192325277397" ref="A43:N61" totalsRowShown="0">
  <autoFilter ref="A43:N61"/>
  <tableColumns count="14">
    <tableColumn id="1" name="合区区服" dataDxfId="1782"/>
    <tableColumn id="2" name="国家" dataDxfId="1783"/>
    <tableColumn id="3" name="原国家数" dataDxfId="1784"/>
    <tableColumn id="4" name="原活跃高战玩家数" dataDxfId="1785"/>
    <tableColumn id="5" name="原活跃中坚玩家数" dataDxfId="1786"/>
    <tableColumn id="6" name="原单服最尖端战力" dataDxfId="1787"/>
    <tableColumn id="7" name="活跃总战力" dataDxfId="1788"/>
    <tableColumn id="8" name="活跃实际充值" dataDxfId="1789"/>
    <tableColumn id="9" name="活跃虚拟充值" dataDxfId="1790"/>
    <tableColumn id="10" name="活跃Coin" dataDxfId="1791"/>
    <tableColumn id="11" name="共计补偿Coin" dataDxfId="1792"/>
    <tableColumn id="12" name="补偿后Coin" dataDxfId="1793"/>
    <tableColumn id="13" name="原综合国力" dataDxfId="1794"/>
    <tableColumn id="14" name="原最高战力" dataDxfId="1795"/>
  </tableColumns>
  <tableStyleInfo name="TableStyleLight10" showFirstColumn="0" showLastColumn="0" showRowStripes="1" showColumnStripes="0"/>
</table>
</file>

<file path=xl/tables/table95.xml><?xml version="1.0" encoding="utf-8"?>
<table xmlns="http://schemas.openxmlformats.org/spreadsheetml/2006/main" id="97" name="表1_861218222426729298" displayName="表1_861218222426729298" ref="A1:Y43" totalsRowShown="0">
  <autoFilter ref="A1:Y43"/>
  <tableColumns count="25">
    <tableColumn id="1" name="区服" dataDxfId="1796"/>
    <tableColumn id="2" name="开服天数" dataDxfId="1797"/>
    <tableColumn id="3" name="目标区服" dataDxfId="1798"/>
    <tableColumn id="4" name="目标国家（映射）" dataDxfId="1799"/>
    <tableColumn id="5" name="补偿Coin" dataDxfId="1800"/>
    <tableColumn id="6" name="共计补偿Coin" dataDxfId="1801"/>
    <tableColumn id="7" name="补偿辎重" dataDxfId="1802"/>
    <tableColumn id="8" name="原国家" dataDxfId="1803"/>
    <tableColumn id="9" name="国家辅助" dataDxfId="1804"/>
    <tableColumn id="10" name="都城数" dataDxfId="1805"/>
    <tableColumn id="11" name="城池总数" dataDxfId="1806"/>
    <tableColumn id="12" name="活跃高战玩家数" dataDxfId="1807"/>
    <tableColumn id="13" name="活跃中坚玩家数" dataDxfId="1808"/>
    <tableColumn id="14" name="排名积分" dataDxfId="1809"/>
    <tableColumn id="15" name="活跃尖端战力" dataDxfId="1810"/>
    <tableColumn id="16" name="活跃总战力" dataDxfId="1811"/>
    <tableColumn id="17" name="目标国家" dataDxfId="1812"/>
    <tableColumn id="18" name="目标辅助" dataDxfId="1813"/>
    <tableColumn id="19" name="活跃实际充值" dataDxfId="1814"/>
    <tableColumn id="20" name="活跃虚拟充值" dataDxfId="1815"/>
    <tableColumn id="21" name="活跃Coin" dataDxfId="1816"/>
    <tableColumn id="22" name="综合国力" dataDxfId="1817"/>
    <tableColumn id="23" name="单将最高战力" dataDxfId="1818"/>
    <tableColumn id="24" name="辅助导出" dataDxfId="1819"/>
    <tableColumn id="25" name="导出" dataDxfId="1820"/>
  </tableColumns>
  <tableStyleInfo name="TableStyleLight9" showFirstColumn="0" showLastColumn="0" showRowStripes="1" showColumnStripes="0"/>
</table>
</file>

<file path=xl/tables/table96.xml><?xml version="1.0" encoding="utf-8"?>
<table xmlns="http://schemas.openxmlformats.org/spreadsheetml/2006/main" id="98" name="表2_971319232527739399" displayName="表2_971319232527739399" ref="A46:N67" totalsRowShown="0">
  <autoFilter ref="A46:N67"/>
  <tableColumns count="14">
    <tableColumn id="1" name="合区区服" dataDxfId="1821"/>
    <tableColumn id="2" name="国家" dataDxfId="1822"/>
    <tableColumn id="3" name="原国家数" dataDxfId="1823"/>
    <tableColumn id="4" name="原活跃高战玩家数" dataDxfId="1824"/>
    <tableColumn id="5" name="原活跃中坚玩家数" dataDxfId="1825"/>
    <tableColumn id="6" name="原单服最尖端战力" dataDxfId="1826"/>
    <tableColumn id="7" name="活跃总战力" dataDxfId="1827"/>
    <tableColumn id="8" name="活跃实际充值" dataDxfId="1828"/>
    <tableColumn id="9" name="活跃虚拟充值" dataDxfId="1829"/>
    <tableColumn id="10" name="活跃Coin" dataDxfId="1830"/>
    <tableColumn id="11" name="共计补偿Coin" dataDxfId="1831"/>
    <tableColumn id="12" name="补偿后Coin" dataDxfId="1832"/>
    <tableColumn id="13" name="原综合国力" dataDxfId="1833"/>
    <tableColumn id="14" name="原最高战力" dataDxfId="1834"/>
  </tableColumns>
  <tableStyleInfo name="TableStyleLight10" showFirstColumn="0" showLastColumn="0" showRowStripes="1" showColumnStripes="0"/>
</table>
</file>

<file path=xl/tables/table97.xml><?xml version="1.0" encoding="utf-8"?>
<table xmlns="http://schemas.openxmlformats.org/spreadsheetml/2006/main" id="99" name="表1_861218222426728894100" displayName="表1_861218222426728894100" ref="A1:Y139" totalsRowShown="0">
  <autoFilter ref="A1:Y139"/>
  <tableColumns count="25">
    <tableColumn id="1" name="区服" dataDxfId="1835"/>
    <tableColumn id="2" name="开服天数" dataDxfId="1836"/>
    <tableColumn id="3" name="目标区服" dataDxfId="1837"/>
    <tableColumn id="4" name="目标国家（映射）" dataDxfId="1838"/>
    <tableColumn id="5" name="补偿Coin" dataDxfId="1839"/>
    <tableColumn id="6" name="共计补偿Coin" dataDxfId="1840"/>
    <tableColumn id="7" name="补偿辎重" dataDxfId="1841"/>
    <tableColumn id="8" name="原国家" dataDxfId="1842"/>
    <tableColumn id="9" name="国家辅助" dataDxfId="1843"/>
    <tableColumn id="10" name="都城数" dataDxfId="1844"/>
    <tableColumn id="11" name="城池总数" dataDxfId="1845"/>
    <tableColumn id="12" name="活跃高战玩家数" dataDxfId="1846"/>
    <tableColumn id="13" name="活跃中坚玩家数" dataDxfId="1847"/>
    <tableColumn id="14" name="排名积分" dataDxfId="1848"/>
    <tableColumn id="15" name="活跃尖端战力" dataDxfId="1849"/>
    <tableColumn id="16" name="活跃总战力" dataDxfId="1850"/>
    <tableColumn id="17" name="目标国家" dataDxfId="1851"/>
    <tableColumn id="18" name="目标辅助" dataDxfId="1852"/>
    <tableColumn id="19" name="活跃实际充值" dataDxfId="1853"/>
    <tableColumn id="20" name="活跃虚拟充值" dataDxfId="1854"/>
    <tableColumn id="21" name="活跃Coin" dataDxfId="1855"/>
    <tableColumn id="22" name="综合国力" dataDxfId="1856"/>
    <tableColumn id="23" name="单将最高战力" dataDxfId="1857"/>
    <tableColumn id="24" name="辅助导出" dataDxfId="1858"/>
    <tableColumn id="25" name="导出" dataDxfId="1859"/>
  </tableColumns>
  <tableStyleInfo name="TableStyleLight9" showFirstColumn="0" showLastColumn="0" showRowStripes="1" showColumnStripes="0"/>
</table>
</file>

<file path=xl/tables/table98.xml><?xml version="1.0" encoding="utf-8"?>
<table xmlns="http://schemas.openxmlformats.org/spreadsheetml/2006/main" id="100" name="表2_971319232527738995101" displayName="表2_971319232527738995101" ref="A142:N202" totalsRowShown="0">
  <autoFilter ref="A142:N202"/>
  <tableColumns count="14">
    <tableColumn id="1" name="合区区服" dataDxfId="1860"/>
    <tableColumn id="2" name="国家" dataDxfId="1861"/>
    <tableColumn id="3" name="原国家数" dataDxfId="1862"/>
    <tableColumn id="4" name="原活跃高战玩家数" dataDxfId="1863"/>
    <tableColumn id="5" name="原活跃中坚玩家数" dataDxfId="1864"/>
    <tableColumn id="6" name="原单服最尖端战力" dataDxfId="1865"/>
    <tableColumn id="7" name="活跃总战力" dataDxfId="1866"/>
    <tableColumn id="8" name="活跃实际充值" dataDxfId="1867"/>
    <tableColumn id="9" name="活跃虚拟充值" dataDxfId="1868"/>
    <tableColumn id="10" name="活跃Coin" dataDxfId="1869"/>
    <tableColumn id="11" name="共计补偿Coin" dataDxfId="1870"/>
    <tableColumn id="12" name="补偿后Coin" dataDxfId="1871"/>
    <tableColumn id="13" name="原综合国力" dataDxfId="1872"/>
    <tableColumn id="14" name="原最高战力" dataDxfId="1873"/>
  </tableColumns>
  <tableStyleInfo name="TableStyleLight10" showFirstColumn="0" showLastColumn="0" showRowStripes="1" showColumnStripes="0"/>
</table>
</file>

<file path=xl/tables/table99.xml><?xml version="1.0" encoding="utf-8"?>
<table xmlns="http://schemas.openxmlformats.org/spreadsheetml/2006/main" id="101" name="表2_97131923252773102" displayName="表2_97131923252773102" ref="A28:N37" totalsRowShown="0">
  <autoFilter ref="A28:N37"/>
  <tableColumns count="14">
    <tableColumn id="1" name="合区区服" dataDxfId="1874"/>
    <tableColumn id="2" name="国家" dataDxfId="1875"/>
    <tableColumn id="3" name="原国家数" dataDxfId="1876"/>
    <tableColumn id="4" name="原活跃高战玩家数" dataDxfId="1877"/>
    <tableColumn id="5" name="原活跃中坚玩家数" dataDxfId="1878"/>
    <tableColumn id="6" name="原单服最尖端战力" dataDxfId="1879"/>
    <tableColumn id="7" name="活跃总战力" dataDxfId="1880"/>
    <tableColumn id="8" name="活跃实际充值" dataDxfId="1881"/>
    <tableColumn id="9" name="活跃虚拟充值" dataDxfId="1882"/>
    <tableColumn id="10" name="活跃Coin" dataDxfId="1883"/>
    <tableColumn id="11" name="共计补偿Coin" dataDxfId="1884"/>
    <tableColumn id="12" name="补偿后Coin" dataDxfId="1885"/>
    <tableColumn id="13" name="原综合国力" dataDxfId="1886"/>
    <tableColumn id="14" name="原最高战力" dataDxfId="1887"/>
  </tableColumns>
  <tableStyleInfo name="TableStyleLight10" showFirstColumn="0" showLastColumn="0" showRowStripes="1" showColumnStripes="0"/>
</table>
</file>

<file path=xl/tables/table100.xml><?xml version="1.0" encoding="utf-8"?>
<table xmlns="http://schemas.openxmlformats.org/spreadsheetml/2006/main" id="102" name="表1_86121822242672103" displayName="表1_86121822242672103" ref="A1:Y25" totalsRowShown="0">
  <autoFilter ref="A1:Y25"/>
  <tableColumns count="25">
    <tableColumn id="1" name="区服" dataDxfId="1888"/>
    <tableColumn id="2" name="开服天数" dataDxfId="1889"/>
    <tableColumn id="3" name="目标区服" dataDxfId="1890"/>
    <tableColumn id="4" name="目标国家（映射）" dataDxfId="1891"/>
    <tableColumn id="5" name="补偿Coin" dataDxfId="1892"/>
    <tableColumn id="6" name="共计补偿Coin" dataDxfId="1893"/>
    <tableColumn id="7" name="补偿辎重" dataDxfId="1894"/>
    <tableColumn id="8" name="原国家" dataDxfId="1895"/>
    <tableColumn id="9" name="国家辅助" dataDxfId="1896"/>
    <tableColumn id="10" name="都城数" dataDxfId="1897"/>
    <tableColumn id="11" name="城池总数" dataDxfId="1898"/>
    <tableColumn id="12" name="活跃高战玩家数" dataDxfId="1899"/>
    <tableColumn id="13" name="活跃中坚玩家数" dataDxfId="1900"/>
    <tableColumn id="14" name="排名积分" dataDxfId="1901"/>
    <tableColumn id="15" name="活跃尖端战力" dataDxfId="1902"/>
    <tableColumn id="16" name="活跃总战力" dataDxfId="1903"/>
    <tableColumn id="17" name="目标国家" dataDxfId="1904"/>
    <tableColumn id="18" name="目标辅助" dataDxfId="1905"/>
    <tableColumn id="19" name="活跃实际充值" dataDxfId="1906"/>
    <tableColumn id="20" name="活跃虚拟充值" dataDxfId="1907"/>
    <tableColumn id="21" name="活跃Coin" dataDxfId="1908"/>
    <tableColumn id="22" name="综合国力" dataDxfId="1909"/>
    <tableColumn id="23" name="单将最高战力" dataDxfId="1910"/>
    <tableColumn id="24" name="辅助导出" dataDxfId="1911"/>
    <tableColumn id="25" name="导出" dataDxfId="1912"/>
  </tableColumns>
  <tableStyleInfo name="TableStyleLight9" showFirstColumn="0" showLastColumn="0" showRowStripes="1" showColumnStripes="0"/>
</table>
</file>

<file path=xl/tables/table101.xml><?xml version="1.0" encoding="utf-8"?>
<table xmlns="http://schemas.openxmlformats.org/spreadsheetml/2006/main" id="103" name="表1_86121822242672104" displayName="表1_86121822242672104" ref="A1:Y43" totalsRowShown="0">
  <autoFilter ref="A1:Y43"/>
  <tableColumns count="25">
    <tableColumn id="1" name="区服" dataDxfId="1913"/>
    <tableColumn id="2" name="开服天数" dataDxfId="1914"/>
    <tableColumn id="3" name="目标区服" dataDxfId="1915"/>
    <tableColumn id="4" name="目标国家（映射）" dataDxfId="1916"/>
    <tableColumn id="5" name="补偿Coin" dataDxfId="1917"/>
    <tableColumn id="6" name="共计补偿Coin" dataDxfId="1918"/>
    <tableColumn id="7" name="补偿辎重" dataDxfId="1919"/>
    <tableColumn id="8" name="原国家" dataDxfId="1920"/>
    <tableColumn id="9" name="国家辅助" dataDxfId="1921"/>
    <tableColumn id="10" name="都城数" dataDxfId="1922"/>
    <tableColumn id="11" name="城池总数" dataDxfId="1923"/>
    <tableColumn id="12" name="活跃高战玩家数" dataDxfId="1924"/>
    <tableColumn id="13" name="活跃中坚玩家数" dataDxfId="1925"/>
    <tableColumn id="14" name="排名积分" dataDxfId="1926"/>
    <tableColumn id="15" name="活跃尖端战力" dataDxfId="1927"/>
    <tableColumn id="16" name="活跃总战力" dataDxfId="1928"/>
    <tableColumn id="17" name="目标国家" dataDxfId="1929"/>
    <tableColumn id="18" name="目标辅助" dataDxfId="1930"/>
    <tableColumn id="19" name="活跃实际充值" dataDxfId="1931"/>
    <tableColumn id="20" name="活跃虚拟充值" dataDxfId="1932"/>
    <tableColumn id="21" name="活跃Coin" dataDxfId="1933"/>
    <tableColumn id="22" name="综合国力" dataDxfId="1934"/>
    <tableColumn id="23" name="单将最高战力" dataDxfId="1935"/>
    <tableColumn id="24" name="辅助导出" dataDxfId="1936"/>
    <tableColumn id="25" name="导出" dataDxfId="1937"/>
  </tableColumns>
  <tableStyleInfo name="TableStyleLight9" showFirstColumn="0" showLastColumn="0" showRowStripes="1" showColumnStripes="0"/>
</table>
</file>

<file path=xl/tables/table102.xml><?xml version="1.0" encoding="utf-8"?>
<table xmlns="http://schemas.openxmlformats.org/spreadsheetml/2006/main" id="104" name="表2_97131923252773105" displayName="表2_97131923252773105" ref="A46:N67" totalsRowShown="0">
  <autoFilter ref="A46:N67"/>
  <tableColumns count="14">
    <tableColumn id="1" name="合区区服" dataDxfId="1938"/>
    <tableColumn id="2" name="国家" dataDxfId="1939"/>
    <tableColumn id="3" name="原国家数" dataDxfId="1940"/>
    <tableColumn id="4" name="原活跃高战玩家数" dataDxfId="1941"/>
    <tableColumn id="5" name="原活跃中坚玩家数" dataDxfId="1942"/>
    <tableColumn id="6" name="原单服最尖端战力" dataDxfId="1943"/>
    <tableColumn id="7" name="活跃总战力" dataDxfId="1944"/>
    <tableColumn id="8" name="活跃实际充值" dataDxfId="1945"/>
    <tableColumn id="9" name="活跃虚拟充值" dataDxfId="1946"/>
    <tableColumn id="10" name="活跃Coin" dataDxfId="1947"/>
    <tableColumn id="11" name="共计补偿Coin" dataDxfId="1948"/>
    <tableColumn id="12" name="补偿后Coin" dataDxfId="1949"/>
    <tableColumn id="13" name="原综合国力" dataDxfId="1950"/>
    <tableColumn id="14" name="原最高战力" dataDxfId="1951"/>
  </tableColumns>
  <tableStyleInfo name="TableStyleLight10" showFirstColumn="0" showLastColumn="0" showRowStripes="1" showColumnStripes="0"/>
</table>
</file>

<file path=xl/tables/table103.xml><?xml version="1.0" encoding="utf-8"?>
<table xmlns="http://schemas.openxmlformats.org/spreadsheetml/2006/main" id="111" name="表1_86121822242672112" displayName="表1_86121822242672112" ref="A1:Y109" totalsRowShown="0">
  <autoFilter ref="A1:Y109"/>
  <tableColumns count="25">
    <tableColumn id="1" name="区服" dataDxfId="1952"/>
    <tableColumn id="2" name="开服天数" dataDxfId="1953"/>
    <tableColumn id="3" name="目标区服" dataDxfId="1954"/>
    <tableColumn id="4" name="目标国家（映射）" dataDxfId="1955"/>
    <tableColumn id="5" name="补偿Coin" dataDxfId="1956"/>
    <tableColumn id="6" name="共计补偿Coin" dataDxfId="1957"/>
    <tableColumn id="7" name="补偿辎重" dataDxfId="1958"/>
    <tableColumn id="8" name="原国家" dataDxfId="1959"/>
    <tableColumn id="9" name="国家辅助" dataDxfId="1960"/>
    <tableColumn id="10" name="都城数" dataDxfId="1961"/>
    <tableColumn id="11" name="城池总数" dataDxfId="1962"/>
    <tableColumn id="12" name="活跃高战玩家数" dataDxfId="1963"/>
    <tableColumn id="13" name="活跃中坚玩家数" dataDxfId="1964"/>
    <tableColumn id="14" name="排名积分" dataDxfId="1965"/>
    <tableColumn id="15" name="活跃尖端战力" dataDxfId="1966"/>
    <tableColumn id="16" name="活跃总战力" dataDxfId="1967"/>
    <tableColumn id="17" name="目标国家" dataDxfId="1968"/>
    <tableColumn id="18" name="目标辅助" dataDxfId="1969"/>
    <tableColumn id="19" name="活跃实际充值" dataDxfId="1970"/>
    <tableColumn id="20" name="活跃虚拟充值" dataDxfId="1971"/>
    <tableColumn id="21" name="活跃Coin" dataDxfId="1972"/>
    <tableColumn id="22" name="综合国力" dataDxfId="1973"/>
    <tableColumn id="23" name="单将最高战力" dataDxfId="1974"/>
    <tableColumn id="24" name="辅助导出" dataDxfId="1975"/>
    <tableColumn id="25" name="导出" dataDxfId="1976"/>
  </tableColumns>
  <tableStyleInfo name="TableStyleLight9" showFirstColumn="0" showLastColumn="0" showRowStripes="1" showColumnStripes="0"/>
</table>
</file>

<file path=xl/tables/table104.xml><?xml version="1.0" encoding="utf-8"?>
<table xmlns="http://schemas.openxmlformats.org/spreadsheetml/2006/main" id="112" name="表2_97131923252773113" displayName="表2_97131923252773113" ref="A112:N148" totalsRowShown="0">
  <autoFilter ref="A112:N148"/>
  <tableColumns count="14">
    <tableColumn id="1" name="合区区服" dataDxfId="1977"/>
    <tableColumn id="2" name="国家" dataDxfId="1978"/>
    <tableColumn id="3" name="原国家数" dataDxfId="1979"/>
    <tableColumn id="4" name="原活跃高战玩家数" dataDxfId="1980"/>
    <tableColumn id="5" name="原活跃中坚玩家数" dataDxfId="1981"/>
    <tableColumn id="6" name="原单服最尖端战力" dataDxfId="1982"/>
    <tableColumn id="7" name="活跃总战力" dataDxfId="1983"/>
    <tableColumn id="8" name="活跃实际充值" dataDxfId="1984"/>
    <tableColumn id="9" name="活跃虚拟充值" dataDxfId="1985"/>
    <tableColumn id="10" name="活跃Coin" dataDxfId="1986"/>
    <tableColumn id="11" name="共计补偿Coin" dataDxfId="1987"/>
    <tableColumn id="12" name="补偿后Coin" dataDxfId="1988"/>
    <tableColumn id="13" name="原综合国力" dataDxfId="1989"/>
    <tableColumn id="14" name="原最高战力" dataDxfId="1990"/>
  </tableColumns>
  <tableStyleInfo name="TableStyleLight10" showFirstColumn="0" showLastColumn="0" showRowStripes="1" showColumnStripes="0"/>
</table>
</file>

<file path=xl/tables/table105.xml><?xml version="1.0" encoding="utf-8"?>
<table xmlns="http://schemas.openxmlformats.org/spreadsheetml/2006/main" id="107" name="表1_86121822242672108" displayName="表1_86121822242672108" ref="A1:Y28" totalsRowShown="0">
  <autoFilter ref="A1:Y28"/>
  <tableColumns count="25">
    <tableColumn id="1" name="区服" dataDxfId="1991"/>
    <tableColumn id="2" name="开服天数" dataDxfId="1992"/>
    <tableColumn id="3" name="目标区服" dataDxfId="1993"/>
    <tableColumn id="4" name="目标国家（映射）" dataDxfId="1994"/>
    <tableColumn id="5" name="补偿Coin" dataDxfId="1995"/>
    <tableColumn id="6" name="共计补偿Coin" dataDxfId="1996"/>
    <tableColumn id="7" name="补偿辎重" dataDxfId="1997"/>
    <tableColumn id="8" name="原国家" dataDxfId="1998"/>
    <tableColumn id="9" name="国家辅助" dataDxfId="1999"/>
    <tableColumn id="10" name="都城数" dataDxfId="2000"/>
    <tableColumn id="11" name="城池总数" dataDxfId="2001"/>
    <tableColumn id="12" name="活跃高战玩家数" dataDxfId="2002"/>
    <tableColumn id="13" name="活跃中坚玩家数" dataDxfId="2003"/>
    <tableColumn id="14" name="排名积分" dataDxfId="2004"/>
    <tableColumn id="15" name="活跃尖端战力" dataDxfId="2005"/>
    <tableColumn id="16" name="活跃总战力" dataDxfId="2006"/>
    <tableColumn id="17" name="目标国家" dataDxfId="2007"/>
    <tableColumn id="18" name="目标辅助" dataDxfId="2008"/>
    <tableColumn id="19" name="活跃实际充值" dataDxfId="2009"/>
    <tableColumn id="20" name="活跃虚拟充值" dataDxfId="2010"/>
    <tableColumn id="21" name="活跃Coin" dataDxfId="2011"/>
    <tableColumn id="22" name="综合国力" dataDxfId="2012"/>
    <tableColumn id="23" name="单将最高战力" dataDxfId="2013"/>
    <tableColumn id="24" name="辅助导出" dataDxfId="2014"/>
    <tableColumn id="25" name="导出" dataDxfId="2015"/>
  </tableColumns>
  <tableStyleInfo name="TableStyleLight9" showFirstColumn="0" showLastColumn="0" showRowStripes="1" showColumnStripes="0"/>
</table>
</file>

<file path=xl/tables/table106.xml><?xml version="1.0" encoding="utf-8"?>
<table xmlns="http://schemas.openxmlformats.org/spreadsheetml/2006/main" id="108" name="表2_97131923252773109" displayName="表2_97131923252773109" ref="A31:N40" totalsRowShown="0">
  <autoFilter ref="A31:N40"/>
  <tableColumns count="14">
    <tableColumn id="1" name="合区区服" dataDxfId="2016"/>
    <tableColumn id="2" name="国家" dataDxfId="2017"/>
    <tableColumn id="3" name="原国家数" dataDxfId="2018"/>
    <tableColumn id="4" name="原活跃高战玩家数" dataDxfId="2019"/>
    <tableColumn id="5" name="原活跃中坚玩家数" dataDxfId="2020"/>
    <tableColumn id="6" name="原单服最尖端战力" dataDxfId="2021"/>
    <tableColumn id="7" name="活跃总战力" dataDxfId="2022"/>
    <tableColumn id="8" name="活跃实际充值" dataDxfId="2023"/>
    <tableColumn id="9" name="活跃虚拟充值" dataDxfId="2024"/>
    <tableColumn id="10" name="活跃Coin" dataDxfId="2025"/>
    <tableColumn id="11" name="共计补偿Coin" dataDxfId="2026"/>
    <tableColumn id="12" name="补偿后Coin" dataDxfId="2027"/>
    <tableColumn id="13" name="原综合国力" dataDxfId="2028"/>
    <tableColumn id="14" name="原最高战力" dataDxfId="2029"/>
  </tableColumns>
  <tableStyleInfo name="TableStyleLight10" showFirstColumn="0" showLastColumn="0" showRowStripes="1" showColumnStripes="0"/>
</table>
</file>

<file path=xl/tables/table107.xml><?xml version="1.0" encoding="utf-8"?>
<table xmlns="http://schemas.openxmlformats.org/spreadsheetml/2006/main" id="109" name="表1_86121822242672112110" displayName="表1_86121822242672112110" ref="A1:Y58" totalsRowShown="0">
  <autoFilter ref="A1:Y58"/>
  <tableColumns count="25">
    <tableColumn id="1" name="区服" dataDxfId="2030"/>
    <tableColumn id="2" name="开服天数" dataDxfId="2031"/>
    <tableColumn id="3" name="目标区服" dataDxfId="2032"/>
    <tableColumn id="4" name="目标国家（映射）" dataDxfId="2033"/>
    <tableColumn id="5" name="补偿Coin" dataDxfId="2034"/>
    <tableColumn id="6" name="共计补偿Coin" dataDxfId="2035"/>
    <tableColumn id="7" name="补偿辎重" dataDxfId="2036"/>
    <tableColumn id="8" name="原国家" dataDxfId="2037"/>
    <tableColumn id="9" name="国家辅助" dataDxfId="2038"/>
    <tableColumn id="10" name="都城数" dataDxfId="2039"/>
    <tableColumn id="11" name="城池总数" dataDxfId="2040"/>
    <tableColumn id="12" name="活跃高战玩家数" dataDxfId="2041"/>
    <tableColumn id="13" name="活跃中坚玩家数" dataDxfId="2042"/>
    <tableColumn id="14" name="排名积分" dataDxfId="2043"/>
    <tableColumn id="15" name="活跃尖端战力" dataDxfId="2044"/>
    <tableColumn id="16" name="活跃总战力" dataDxfId="2045"/>
    <tableColumn id="17" name="目标国家" dataDxfId="2046"/>
    <tableColumn id="18" name="目标辅助" dataDxfId="2047"/>
    <tableColumn id="19" name="活跃实际充值" dataDxfId="2048"/>
    <tableColumn id="20" name="活跃虚拟充值" dataDxfId="2049"/>
    <tableColumn id="21" name="活跃Coin" dataDxfId="2050"/>
    <tableColumn id="22" name="综合国力" dataDxfId="2051"/>
    <tableColumn id="23" name="单将最高战力" dataDxfId="2052"/>
    <tableColumn id="24" name="辅助导出" dataDxfId="2053"/>
    <tableColumn id="25" name="导出" dataDxfId="2054"/>
  </tableColumns>
  <tableStyleInfo name="TableStyleLight9" showFirstColumn="0" showLastColumn="0" showRowStripes="1" showColumnStripes="0"/>
</table>
</file>

<file path=xl/tables/table108.xml><?xml version="1.0" encoding="utf-8"?>
<table xmlns="http://schemas.openxmlformats.org/spreadsheetml/2006/main" id="110" name="表2_97131923252773113111" displayName="表2_97131923252773113111" ref="A61:N82" totalsRowShown="0">
  <autoFilter ref="A61:N82"/>
  <tableColumns count="14">
    <tableColumn id="1" name="合区区服" dataDxfId="2055"/>
    <tableColumn id="2" name="国家" dataDxfId="2056"/>
    <tableColumn id="3" name="原国家数" dataDxfId="2057"/>
    <tableColumn id="4" name="原活跃高战玩家数" dataDxfId="2058"/>
    <tableColumn id="5" name="原活跃中坚玩家数" dataDxfId="2059"/>
    <tableColumn id="6" name="原单服最尖端战力" dataDxfId="2060"/>
    <tableColumn id="7" name="活跃总战力" dataDxfId="2061"/>
    <tableColumn id="8" name="活跃实际充值" dataDxfId="2062"/>
    <tableColumn id="9" name="活跃虚拟充值" dataDxfId="2063"/>
    <tableColumn id="10" name="活跃Coin" dataDxfId="2064"/>
    <tableColumn id="11" name="共计补偿Coin" dataDxfId="2065"/>
    <tableColumn id="12" name="补偿后Coin" dataDxfId="2066"/>
    <tableColumn id="13" name="原综合国力" dataDxfId="2067"/>
    <tableColumn id="14" name="原最高战力" dataDxfId="2068"/>
  </tableColumns>
  <tableStyleInfo name="TableStyleLight10" showFirstColumn="0" showLastColumn="0" showRowStripes="1" showColumnStripes="0"/>
</table>
</file>

<file path=xl/tables/table109.xml><?xml version="1.0" encoding="utf-8"?>
<table xmlns="http://schemas.openxmlformats.org/spreadsheetml/2006/main" id="105" name="表1_86121822242672112110106" displayName="表1_86121822242672112110106" ref="A1:Y31" totalsRowShown="0">
  <autoFilter ref="A1:Y31"/>
  <tableColumns count="25">
    <tableColumn id="1" name="区服" dataDxfId="2069"/>
    <tableColumn id="2" name="开服天数" dataDxfId="2070"/>
    <tableColumn id="3" name="目标区服" dataDxfId="2071"/>
    <tableColumn id="4" name="目标国家（映射）" dataDxfId="2072"/>
    <tableColumn id="5" name="补偿Coin" dataDxfId="2073"/>
    <tableColumn id="6" name="共计补偿Coin" dataDxfId="2074"/>
    <tableColumn id="7" name="补偿辎重" dataDxfId="2075"/>
    <tableColumn id="8" name="原国家" dataDxfId="2076"/>
    <tableColumn id="9" name="国家辅助" dataDxfId="2077"/>
    <tableColumn id="10" name="都城数" dataDxfId="2078"/>
    <tableColumn id="11" name="城池总数" dataDxfId="2079"/>
    <tableColumn id="12" name="活跃高战玩家数" dataDxfId="2080"/>
    <tableColumn id="13" name="活跃中坚玩家数" dataDxfId="2081"/>
    <tableColumn id="14" name="排名积分" dataDxfId="2082"/>
    <tableColumn id="15" name="活跃尖端战力" dataDxfId="2083"/>
    <tableColumn id="16" name="活跃总战力" dataDxfId="2084"/>
    <tableColumn id="17" name="目标国家" dataDxfId="2085"/>
    <tableColumn id="18" name="目标辅助" dataDxfId="2086"/>
    <tableColumn id="19" name="活跃实际充值" dataDxfId="2087"/>
    <tableColumn id="20" name="活跃虚拟充值" dataDxfId="2088"/>
    <tableColumn id="21" name="活跃Coin" dataDxfId="2089"/>
    <tableColumn id="22" name="综合国力" dataDxfId="2090"/>
    <tableColumn id="23" name="单将最高战力" dataDxfId="2091"/>
    <tableColumn id="24" name="辅助导出" dataDxfId="2092"/>
    <tableColumn id="25" name="导出" dataDxfId="2093"/>
  </tableColumns>
  <tableStyleInfo name="TableStyleLight9" showFirstColumn="0" showLastColumn="0" showRowStripes="1" showColumnStripes="0"/>
</table>
</file>

<file path=xl/tables/table110.xml><?xml version="1.0" encoding="utf-8"?>
<table xmlns="http://schemas.openxmlformats.org/spreadsheetml/2006/main" id="106" name="表2_97131923252773113111107" displayName="表2_97131923252773113111107" ref="A34:N49" totalsRowShown="0">
  <autoFilter ref="A34:N49"/>
  <tableColumns count="14">
    <tableColumn id="1" name="合区区服" dataDxfId="2094"/>
    <tableColumn id="2" name="国家" dataDxfId="2095"/>
    <tableColumn id="3" name="原国家数" dataDxfId="2096"/>
    <tableColumn id="4" name="原活跃高战玩家数" dataDxfId="2097"/>
    <tableColumn id="5" name="原活跃中坚玩家数" dataDxfId="2098"/>
    <tableColumn id="6" name="原单服最尖端战力" dataDxfId="2099"/>
    <tableColumn id="7" name="活跃总战力" dataDxfId="2100"/>
    <tableColumn id="8" name="活跃实际充值" dataDxfId="2101"/>
    <tableColumn id="9" name="活跃虚拟充值" dataDxfId="2102"/>
    <tableColumn id="10" name="活跃Coin" dataDxfId="2103"/>
    <tableColumn id="11" name="共计补偿Coin" dataDxfId="2104"/>
    <tableColumn id="12" name="补偿后Coin" dataDxfId="2105"/>
    <tableColumn id="13" name="原综合国力" dataDxfId="2106"/>
    <tableColumn id="14" name="原最高战力" dataDxfId="2107"/>
  </tableColumns>
  <tableStyleInfo name="TableStyleLight10" showFirstColumn="0" showLastColumn="0" showRowStripes="1" showColumnStripes="0"/>
</table>
</file>

<file path=xl/tables/table111.xml><?xml version="1.0" encoding="utf-8"?>
<table xmlns="http://schemas.openxmlformats.org/spreadsheetml/2006/main" id="113" name="表1_86121822242672112110114" displayName="表1_86121822242672112110114" ref="A1:Y37" totalsRowShown="0">
  <autoFilter ref="A1:Y37"/>
  <tableColumns count="25">
    <tableColumn id="1" name="区服" dataDxfId="2108"/>
    <tableColumn id="2" name="开服天数" dataDxfId="2109"/>
    <tableColumn id="3" name="目标区服" dataDxfId="2110"/>
    <tableColumn id="4" name="目标国家（映射）" dataDxfId="2111"/>
    <tableColumn id="5" name="补偿Coin" dataDxfId="2112"/>
    <tableColumn id="6" name="共计补偿Coin" dataDxfId="2113"/>
    <tableColumn id="7" name="补偿辎重" dataDxfId="2114"/>
    <tableColumn id="8" name="原国家" dataDxfId="2115"/>
    <tableColumn id="9" name="国家辅助" dataDxfId="2116"/>
    <tableColumn id="10" name="都城数" dataDxfId="2117"/>
    <tableColumn id="11" name="城池总数" dataDxfId="2118"/>
    <tableColumn id="12" name="活跃高战玩家数" dataDxfId="2119"/>
    <tableColumn id="13" name="活跃中坚玩家数" dataDxfId="2120"/>
    <tableColumn id="14" name="排名积分" dataDxfId="2121"/>
    <tableColumn id="15" name="活跃尖端战力" dataDxfId="2122"/>
    <tableColumn id="16" name="活跃总战力" dataDxfId="2123"/>
    <tableColumn id="17" name="目标国家" dataDxfId="2124"/>
    <tableColumn id="18" name="目标辅助" dataDxfId="2125"/>
    <tableColumn id="19" name="活跃实际充值" dataDxfId="2126"/>
    <tableColumn id="20" name="活跃虚拟充值" dataDxfId="2127"/>
    <tableColumn id="21" name="活跃Coin" dataDxfId="2128"/>
    <tableColumn id="22" name="综合国力" dataDxfId="2129"/>
    <tableColumn id="23" name="单将最高战力" dataDxfId="2130"/>
    <tableColumn id="24" name="辅助导出" dataDxfId="2131"/>
    <tableColumn id="25" name="导出" dataDxfId="2132"/>
  </tableColumns>
  <tableStyleInfo name="TableStyleLight9" showFirstColumn="0" showLastColumn="0" showRowStripes="1" showColumnStripes="0"/>
</table>
</file>

<file path=xl/tables/table112.xml><?xml version="1.0" encoding="utf-8"?>
<table xmlns="http://schemas.openxmlformats.org/spreadsheetml/2006/main" id="114" name="表2_97131923252773113111115" displayName="表2_97131923252773113111115" ref="A40:N58" totalsRowShown="0">
  <autoFilter ref="A40:N58"/>
  <tableColumns count="14">
    <tableColumn id="1" name="合区区服" dataDxfId="2133"/>
    <tableColumn id="2" name="国家" dataDxfId="2134"/>
    <tableColumn id="3" name="原国家数" dataDxfId="2135"/>
    <tableColumn id="4" name="原活跃高战玩家数" dataDxfId="2136"/>
    <tableColumn id="5" name="原活跃中坚玩家数" dataDxfId="2137"/>
    <tableColumn id="6" name="原单服最尖端战力" dataDxfId="2138"/>
    <tableColumn id="7" name="活跃总战力" dataDxfId="2139"/>
    <tableColumn id="8" name="活跃实际充值" dataDxfId="2140"/>
    <tableColumn id="9" name="活跃虚拟充值" dataDxfId="2141"/>
    <tableColumn id="10" name="活跃Coin" dataDxfId="2142"/>
    <tableColumn id="11" name="共计补偿Coin" dataDxfId="2143"/>
    <tableColumn id="12" name="补偿后Coin" dataDxfId="2144"/>
    <tableColumn id="13" name="原综合国力" dataDxfId="2145"/>
    <tableColumn id="14" name="原最高战力" dataDxfId="2146"/>
  </tableColumns>
  <tableStyleInfo name="TableStyleLight10" showFirstColumn="0" showLastColumn="0" showRowStripes="1" showColumnStripes="0"/>
</table>
</file>

<file path=xl/tables/table113.xml><?xml version="1.0" encoding="utf-8"?>
<table xmlns="http://schemas.openxmlformats.org/spreadsheetml/2006/main" id="115" name="表1_86121822242672112110116" displayName="表1_86121822242672112110116" ref="A1:Y43" totalsRowShown="0">
  <autoFilter ref="A1:Y43"/>
  <tableColumns count="25">
    <tableColumn id="1" name="区服" dataDxfId="2147"/>
    <tableColumn id="2" name="开服天数" dataDxfId="2148"/>
    <tableColumn id="3" name="目标区服" dataDxfId="2149"/>
    <tableColumn id="4" name="目标国家（映射）" dataDxfId="2150"/>
    <tableColumn id="5" name="补偿Coin" dataDxfId="2151"/>
    <tableColumn id="6" name="共计补偿Coin" dataDxfId="2152"/>
    <tableColumn id="7" name="补偿辎重" dataDxfId="2153"/>
    <tableColumn id="8" name="原国家" dataDxfId="2154"/>
    <tableColumn id="9" name="国家辅助" dataDxfId="2155"/>
    <tableColumn id="10" name="都城数" dataDxfId="2156"/>
    <tableColumn id="11" name="城池总数" dataDxfId="2157"/>
    <tableColumn id="12" name="活跃高战玩家数" dataDxfId="2158"/>
    <tableColumn id="13" name="活跃中坚玩家数" dataDxfId="2159"/>
    <tableColumn id="14" name="排名积分" dataDxfId="2160"/>
    <tableColumn id="15" name="活跃尖端战力" dataDxfId="2161"/>
    <tableColumn id="16" name="活跃总战力" dataDxfId="2162"/>
    <tableColumn id="17" name="目标国家" dataDxfId="2163"/>
    <tableColumn id="18" name="目标辅助" dataDxfId="2164"/>
    <tableColumn id="19" name="活跃实际充值" dataDxfId="2165"/>
    <tableColumn id="20" name="活跃虚拟充值" dataDxfId="2166"/>
    <tableColumn id="21" name="活跃Coin" dataDxfId="2167"/>
    <tableColumn id="22" name="综合国力" dataDxfId="2168"/>
    <tableColumn id="23" name="单将最高战力" dataDxfId="2169"/>
    <tableColumn id="24" name="辅助导出" dataDxfId="2170"/>
    <tableColumn id="25" name="导出" dataDxfId="2171"/>
  </tableColumns>
  <tableStyleInfo name="TableStyleLight9" showFirstColumn="0" showLastColumn="0" showRowStripes="1" showColumnStripes="0"/>
</table>
</file>

<file path=xl/tables/table114.xml><?xml version="1.0" encoding="utf-8"?>
<table xmlns="http://schemas.openxmlformats.org/spreadsheetml/2006/main" id="116" name="表2_97131923252773113111117" displayName="表2_97131923252773113111117" ref="A46:N64" totalsRowShown="0">
  <autoFilter ref="A46:N64"/>
  <tableColumns count="14">
    <tableColumn id="1" name="合区区服" dataDxfId="2172"/>
    <tableColumn id="2" name="国家" dataDxfId="2173"/>
    <tableColumn id="3" name="原国家数" dataDxfId="2174"/>
    <tableColumn id="4" name="原活跃高战玩家数" dataDxfId="2175"/>
    <tableColumn id="5" name="原活跃中坚玩家数" dataDxfId="2176"/>
    <tableColumn id="6" name="原单服最尖端战力" dataDxfId="2177"/>
    <tableColumn id="7" name="活跃总战力" dataDxfId="2178"/>
    <tableColumn id="8" name="活跃实际充值" dataDxfId="2179"/>
    <tableColumn id="9" name="活跃虚拟充值" dataDxfId="2180"/>
    <tableColumn id="10" name="活跃Coin" dataDxfId="2181"/>
    <tableColumn id="11" name="共计补偿Coin" dataDxfId="2182"/>
    <tableColumn id="12" name="补偿后Coin" dataDxfId="2183"/>
    <tableColumn id="13" name="原综合国力" dataDxfId="2184"/>
    <tableColumn id="14" name="原最高战力" dataDxfId="2185"/>
  </tableColumns>
  <tableStyleInfo name="TableStyleLight10" showFirstColumn="0" showLastColumn="0" showRowStripes="1" showColumnStripes="0"/>
</table>
</file>

<file path=xl/tables/table115.xml><?xml version="1.0" encoding="utf-8"?>
<table xmlns="http://schemas.openxmlformats.org/spreadsheetml/2006/main" id="117" name="表1_86121822242672118" displayName="表1_86121822242672118" ref="A1:Y67" totalsRowShown="0">
  <autoFilter ref="A1:Y67"/>
  <tableColumns count="25">
    <tableColumn id="1" name="区服" dataDxfId="2186"/>
    <tableColumn id="2" name="开服天数" dataDxfId="2187"/>
    <tableColumn id="3" name="目标区服" dataDxfId="2188"/>
    <tableColumn id="4" name="目标国家（映射）" dataDxfId="2189"/>
    <tableColumn id="5" name="补偿Coin" dataDxfId="2190"/>
    <tableColumn id="6" name="共计补偿Coin" dataDxfId="2191"/>
    <tableColumn id="7" name="补偿辎重" dataDxfId="2192"/>
    <tableColumn id="8" name="原国家" dataDxfId="2193"/>
    <tableColumn id="9" name="国家辅助" dataDxfId="2194"/>
    <tableColumn id="10" name="都城数" dataDxfId="2195"/>
    <tableColumn id="11" name="城池总数" dataDxfId="2196"/>
    <tableColumn id="12" name="活跃高战玩家数" dataDxfId="2197"/>
    <tableColumn id="13" name="活跃中坚玩家数" dataDxfId="2198"/>
    <tableColumn id="14" name="排名积分" dataDxfId="2199"/>
    <tableColumn id="15" name="活跃尖端战力" dataDxfId="2200"/>
    <tableColumn id="16" name="活跃总战力" dataDxfId="2201"/>
    <tableColumn id="17" name="目标国家" dataDxfId="2202"/>
    <tableColumn id="18" name="目标辅助" dataDxfId="2203"/>
    <tableColumn id="19" name="活跃实际充值" dataDxfId="2204"/>
    <tableColumn id="20" name="活跃虚拟充值" dataDxfId="2205"/>
    <tableColumn id="21" name="活跃Coin" dataDxfId="2206"/>
    <tableColumn id="22" name="综合国力" dataDxfId="2207"/>
    <tableColumn id="23" name="单将最高战力" dataDxfId="2208"/>
    <tableColumn id="24" name="辅助导出" dataDxfId="2209"/>
    <tableColumn id="25" name="导出" dataDxfId="2210"/>
  </tableColumns>
  <tableStyleInfo name="TableStyleLight9" showFirstColumn="0" showLastColumn="0" showRowStripes="1" showColumnStripes="0"/>
</table>
</file>

<file path=xl/tables/table116.xml><?xml version="1.0" encoding="utf-8"?>
<table xmlns="http://schemas.openxmlformats.org/spreadsheetml/2006/main" id="118" name="表2_97131923252773119" displayName="表2_97131923252773119" ref="A70:N106" totalsRowShown="0">
  <autoFilter ref="A70:N106"/>
  <tableColumns count="14">
    <tableColumn id="1" name="合区区服" dataDxfId="2211"/>
    <tableColumn id="2" name="国家" dataDxfId="2212"/>
    <tableColumn id="3" name="原国家数" dataDxfId="2213"/>
    <tableColumn id="4" name="原活跃高战玩家数" dataDxfId="2214"/>
    <tableColumn id="5" name="原活跃中坚玩家数" dataDxfId="2215"/>
    <tableColumn id="6" name="原单服最尖端战力" dataDxfId="2216"/>
    <tableColumn id="7" name="活跃总战力" dataDxfId="2217"/>
    <tableColumn id="8" name="活跃实际充值" dataDxfId="2218"/>
    <tableColumn id="9" name="活跃虚拟充值" dataDxfId="2219"/>
    <tableColumn id="10" name="活跃Coin" dataDxfId="2220"/>
    <tableColumn id="11" name="共计补偿Coin" dataDxfId="2221"/>
    <tableColumn id="12" name="补偿后Coin" dataDxfId="2222"/>
    <tableColumn id="13" name="原综合国力" dataDxfId="2223"/>
    <tableColumn id="14" name="原最高战力" dataDxfId="2224"/>
  </tableColumns>
  <tableStyleInfo name="TableStyleLight10" showFirstColumn="0" showLastColumn="0" showRowStripes="1" showColumnStripes="0"/>
</table>
</file>

<file path=xl/tables/table117.xml><?xml version="1.0" encoding="utf-8"?>
<table xmlns="http://schemas.openxmlformats.org/spreadsheetml/2006/main" id="123" name="表1_86121822242672124" displayName="表1_86121822242672124" ref="A1:Y22" totalsRowShown="0">
  <autoFilter ref="A1:Y22"/>
  <tableColumns count="25">
    <tableColumn id="1" name="区服" dataDxfId="2225"/>
    <tableColumn id="2" name="开服天数" dataDxfId="2226"/>
    <tableColumn id="3" name="目标区服" dataDxfId="2227"/>
    <tableColumn id="4" name="目标国家（映射）" dataDxfId="2228"/>
    <tableColumn id="5" name="补偿Coin" dataDxfId="2229"/>
    <tableColumn id="6" name="共计补偿Coin" dataDxfId="2230"/>
    <tableColumn id="7" name="补偿辎重" dataDxfId="2231"/>
    <tableColumn id="8" name="原国家" dataDxfId="2232"/>
    <tableColumn id="9" name="国家辅助" dataDxfId="2233"/>
    <tableColumn id="10" name="都城数" dataDxfId="2234"/>
    <tableColumn id="11" name="城池总数" dataDxfId="2235"/>
    <tableColumn id="12" name="活跃高战玩家数" dataDxfId="2236"/>
    <tableColumn id="13" name="活跃中坚玩家数" dataDxfId="2237"/>
    <tableColumn id="14" name="排名积分" dataDxfId="2238"/>
    <tableColumn id="15" name="活跃尖端战力" dataDxfId="2239"/>
    <tableColumn id="16" name="活跃总战力" dataDxfId="2240"/>
    <tableColumn id="17" name="目标国家" dataDxfId="2241"/>
    <tableColumn id="18" name="目标辅助" dataDxfId="2242"/>
    <tableColumn id="19" name="活跃实际充值" dataDxfId="2243"/>
    <tableColumn id="20" name="活跃虚拟充值" dataDxfId="2244"/>
    <tableColumn id="21" name="活跃Coin" dataDxfId="2245"/>
    <tableColumn id="22" name="综合国力" dataDxfId="2246"/>
    <tableColumn id="23" name="单将最高战力" dataDxfId="2247"/>
    <tableColumn id="24" name="辅助导出" dataDxfId="2248"/>
    <tableColumn id="25" name="导出" dataDxfId="2249"/>
  </tableColumns>
  <tableStyleInfo name="TableStyleLight9" showFirstColumn="0" showLastColumn="0" showRowStripes="1" showColumnStripes="0"/>
</table>
</file>

<file path=xl/tables/table118.xml><?xml version="1.0" encoding="utf-8"?>
<table xmlns="http://schemas.openxmlformats.org/spreadsheetml/2006/main" id="124" name="表2_97131923252773125" displayName="表2_97131923252773125" ref="A25:N34" totalsRowShown="0">
  <autoFilter ref="A25:N34"/>
  <tableColumns count="14">
    <tableColumn id="1" name="合区区服" dataDxfId="2250"/>
    <tableColumn id="2" name="国家" dataDxfId="2251"/>
    <tableColumn id="3" name="原国家数" dataDxfId="2252"/>
    <tableColumn id="4" name="原活跃高战玩家数" dataDxfId="2253"/>
    <tableColumn id="5" name="原活跃中坚玩家数" dataDxfId="2254"/>
    <tableColumn id="6" name="原单服最尖端战力" dataDxfId="2255"/>
    <tableColumn id="7" name="活跃总战力" dataDxfId="2256"/>
    <tableColumn id="8" name="活跃实际充值" dataDxfId="2257"/>
    <tableColumn id="9" name="活跃虚拟充值" dataDxfId="2258"/>
    <tableColumn id="10" name="活跃Coin" dataDxfId="2259"/>
    <tableColumn id="11" name="共计补偿Coin" dataDxfId="2260"/>
    <tableColumn id="12" name="补偿后Coin" dataDxfId="2261"/>
    <tableColumn id="13" name="原综合国力" dataDxfId="2262"/>
    <tableColumn id="14" name="原最高战力" dataDxfId="2263"/>
  </tableColumns>
  <tableStyleInfo name="TableStyleLight10" showFirstColumn="0" showLastColumn="0" showRowStripes="1" showColumnStripes="0"/>
</table>
</file>

<file path=xl/tables/table119.xml><?xml version="1.0" encoding="utf-8"?>
<table xmlns="http://schemas.openxmlformats.org/spreadsheetml/2006/main" id="119" name="表1_86121822242672120" displayName="表1_86121822242672120" ref="A1:Y28" totalsRowShown="0">
  <autoFilter ref="A1:Y28"/>
  <tableColumns count="25">
    <tableColumn id="1" name="区服" dataDxfId="2264"/>
    <tableColumn id="2" name="开服天数" dataDxfId="2265"/>
    <tableColumn id="3" name="目标区服" dataDxfId="2266"/>
    <tableColumn id="4" name="目标国家（映射）" dataDxfId="2267"/>
    <tableColumn id="5" name="补偿Coin" dataDxfId="2268"/>
    <tableColumn id="6" name="共计补偿Coin" dataDxfId="2269"/>
    <tableColumn id="7" name="补偿辎重" dataDxfId="2270"/>
    <tableColumn id="8" name="原国家" dataDxfId="2271"/>
    <tableColumn id="9" name="国家辅助" dataDxfId="2272"/>
    <tableColumn id="10" name="都城数" dataDxfId="2273"/>
    <tableColumn id="11" name="城池总数" dataDxfId="2274"/>
    <tableColumn id="12" name="活跃高战玩家数" dataDxfId="2275"/>
    <tableColumn id="13" name="活跃中坚玩家数" dataDxfId="2276"/>
    <tableColumn id="14" name="排名积分" dataDxfId="2277"/>
    <tableColumn id="15" name="活跃尖端战力" dataDxfId="2278"/>
    <tableColumn id="16" name="活跃总战力" dataDxfId="2279"/>
    <tableColumn id="17" name="目标国家" dataDxfId="2280"/>
    <tableColumn id="18" name="目标辅助" dataDxfId="2281"/>
    <tableColumn id="19" name="活跃实际充值" dataDxfId="2282"/>
    <tableColumn id="20" name="活跃虚拟充值" dataDxfId="2283"/>
    <tableColumn id="21" name="活跃Coin" dataDxfId="2284"/>
    <tableColumn id="22" name="综合国力" dataDxfId="2285"/>
    <tableColumn id="23" name="单将最高战力" dataDxfId="2286"/>
    <tableColumn id="24" name="辅助导出" dataDxfId="2287"/>
    <tableColumn id="25" name="导出" dataDxfId="2288"/>
  </tableColumns>
  <tableStyleInfo name="TableStyleLight9" showFirstColumn="0" showLastColumn="0" showRowStripes="1" showColumnStripes="0"/>
</table>
</file>

<file path=xl/tables/table120.xml><?xml version="1.0" encoding="utf-8"?>
<table xmlns="http://schemas.openxmlformats.org/spreadsheetml/2006/main" id="120" name="表2_97131923252773121" displayName="表2_97131923252773121" ref="A31:N43" totalsRowShown="0">
  <autoFilter ref="A31:N43"/>
  <tableColumns count="14">
    <tableColumn id="1" name="合区区服" dataDxfId="2289"/>
    <tableColumn id="2" name="国家" dataDxfId="2290"/>
    <tableColumn id="3" name="原国家数" dataDxfId="2291"/>
    <tableColumn id="4" name="原活跃高战玩家数" dataDxfId="2292"/>
    <tableColumn id="5" name="原活跃中坚玩家数" dataDxfId="2293"/>
    <tableColumn id="6" name="原单服最尖端战力" dataDxfId="2294"/>
    <tableColumn id="7" name="活跃总战力" dataDxfId="2295"/>
    <tableColumn id="8" name="活跃实际充值" dataDxfId="2296"/>
    <tableColumn id="9" name="活跃虚拟充值" dataDxfId="2297"/>
    <tableColumn id="10" name="活跃Coin" dataDxfId="2298"/>
    <tableColumn id="11" name="共计补偿Coin" dataDxfId="2299"/>
    <tableColumn id="12" name="补偿后Coin" dataDxfId="2300"/>
    <tableColumn id="13" name="原综合国力" dataDxfId="2301"/>
    <tableColumn id="14" name="原最高战力" dataDxfId="2302"/>
  </tableColumns>
  <tableStyleInfo name="TableStyleLight10" showFirstColumn="0" showLastColumn="0" showRowStripes="1" showColumnStripes="0"/>
</table>
</file>

<file path=xl/tables/table121.xml><?xml version="1.0" encoding="utf-8"?>
<table xmlns="http://schemas.openxmlformats.org/spreadsheetml/2006/main" id="121" name="表1_86121822242672122" displayName="表1_86121822242672122" ref="A1:Y76" totalsRowShown="0">
  <autoFilter ref="A1:Y76"/>
  <tableColumns count="25">
    <tableColumn id="1" name="区服" dataDxfId="2303"/>
    <tableColumn id="2" name="开服天数" dataDxfId="2304"/>
    <tableColumn id="3" name="目标区服" dataDxfId="2305"/>
    <tableColumn id="4" name="目标国家（映射）" dataDxfId="2306"/>
    <tableColumn id="5" name="补偿Coin" dataDxfId="2307"/>
    <tableColumn id="6" name="共计补偿Coin" dataDxfId="2308"/>
    <tableColumn id="7" name="补偿辎重" dataDxfId="2309"/>
    <tableColumn id="8" name="原国家" dataDxfId="2310"/>
    <tableColumn id="9" name="国家辅助" dataDxfId="2311"/>
    <tableColumn id="10" name="都城数" dataDxfId="2312"/>
    <tableColumn id="11" name="城池总数" dataDxfId="2313"/>
    <tableColumn id="12" name="活跃高战玩家数" dataDxfId="2314"/>
    <tableColumn id="13" name="活跃中坚玩家数" dataDxfId="2315"/>
    <tableColumn id="14" name="排名积分" dataDxfId="2316"/>
    <tableColumn id="15" name="活跃尖端战力" dataDxfId="2317"/>
    <tableColumn id="16" name="活跃总战力" dataDxfId="2318"/>
    <tableColumn id="17" name="目标国家" dataDxfId="2319"/>
    <tableColumn id="18" name="目标辅助" dataDxfId="2320"/>
    <tableColumn id="19" name="活跃实际充值" dataDxfId="2321"/>
    <tableColumn id="20" name="活跃虚拟充值" dataDxfId="2322"/>
    <tableColumn id="21" name="活跃Coin" dataDxfId="2323"/>
    <tableColumn id="22" name="综合国力" dataDxfId="2324"/>
    <tableColumn id="23" name="单将最高战力" dataDxfId="2325"/>
    <tableColumn id="24" name="辅助导出" dataDxfId="2326"/>
    <tableColumn id="25" name="导出" dataDxfId="2327"/>
  </tableColumns>
  <tableStyleInfo name="TableStyleLight9" showFirstColumn="0" showLastColumn="0" showRowStripes="1" showColumnStripes="0"/>
</table>
</file>

<file path=xl/tables/table122.xml><?xml version="1.0" encoding="utf-8"?>
<table xmlns="http://schemas.openxmlformats.org/spreadsheetml/2006/main" id="122" name="表2_97131923252773123" displayName="表2_97131923252773123" ref="A79:N106" totalsRowShown="0">
  <autoFilter ref="A79:N106"/>
  <tableColumns count="14">
    <tableColumn id="1" name="合区区服" dataDxfId="2328"/>
    <tableColumn id="2" name="国家" dataDxfId="2329"/>
    <tableColumn id="3" name="原国家数" dataDxfId="2330"/>
    <tableColumn id="4" name="原活跃高战玩家数" dataDxfId="2331"/>
    <tableColumn id="5" name="原活跃中坚玩家数" dataDxfId="2332"/>
    <tableColumn id="6" name="原单服最尖端战力" dataDxfId="2333"/>
    <tableColumn id="7" name="活跃总战力" dataDxfId="2334"/>
    <tableColumn id="8" name="活跃实际充值" dataDxfId="2335"/>
    <tableColumn id="9" name="活跃虚拟充值" dataDxfId="2336"/>
    <tableColumn id="10" name="活跃Coin" dataDxfId="2337"/>
    <tableColumn id="11" name="共计补偿Coin" dataDxfId="2338"/>
    <tableColumn id="12" name="补偿后Coin" dataDxfId="2339"/>
    <tableColumn id="13" name="原综合国力" dataDxfId="2340"/>
    <tableColumn id="14" name="原最高战力" dataDxfId="2341"/>
  </tableColumns>
  <tableStyleInfo name="TableStyleLight10" showFirstColumn="0" showLastColumn="0" showRowStripes="1" showColumnStripes="0"/>
</table>
</file>

<file path=xl/tables/table123.xml><?xml version="1.0" encoding="utf-8"?>
<table xmlns="http://schemas.openxmlformats.org/spreadsheetml/2006/main" id="71" name="表1_86121822242672" displayName="表1_86121822242672" ref="A1:Y76" totalsRowShown="0">
  <autoFilter ref="A1:Y76"/>
  <tableColumns count="25">
    <tableColumn id="1" name="区服" dataDxfId="2342"/>
    <tableColumn id="2" name="开服天数" dataDxfId="2343"/>
    <tableColumn id="3" name="目标区服" dataDxfId="2344"/>
    <tableColumn id="4" name="目标国家（映射）" dataDxfId="2345"/>
    <tableColumn id="5" name="补偿Coin" dataDxfId="2346"/>
    <tableColumn id="6" name="共计补偿Coin" dataDxfId="2347"/>
    <tableColumn id="7" name="补偿辎重" dataDxfId="2348"/>
    <tableColumn id="8" name="原国家" dataDxfId="2349"/>
    <tableColumn id="9" name="国家辅助" dataDxfId="2350"/>
    <tableColumn id="10" name="都城数" dataDxfId="2351"/>
    <tableColumn id="11" name="城池总数" dataDxfId="2352"/>
    <tableColumn id="12" name="活跃高战玩家数" dataDxfId="2353"/>
    <tableColumn id="13" name="活跃中坚玩家数" dataDxfId="2354"/>
    <tableColumn id="14" name="排名积分" dataDxfId="2355"/>
    <tableColumn id="15" name="活跃尖端战力" dataDxfId="2356"/>
    <tableColumn id="16" name="活跃总战力" dataDxfId="2357"/>
    <tableColumn id="17" name="目标国家" dataDxfId="2358"/>
    <tableColumn id="18" name="目标辅助" dataDxfId="2359"/>
    <tableColumn id="19" name="活跃实际充值" dataDxfId="2360"/>
    <tableColumn id="20" name="活跃虚拟充值" dataDxfId="2361"/>
    <tableColumn id="21" name="活跃Coin" dataDxfId="2362"/>
    <tableColumn id="22" name="综合国力" dataDxfId="2363"/>
    <tableColumn id="23" name="单将最高战力" dataDxfId="2364"/>
    <tableColumn id="24" name="辅助导出" dataDxfId="2365"/>
    <tableColumn id="25" name="导出" dataDxfId="2366"/>
  </tableColumns>
  <tableStyleInfo name="TableStyleLight9" showFirstColumn="0" showLastColumn="0" showRowStripes="1" showColumnStripes="0"/>
</table>
</file>

<file path=xl/tables/table124.xml><?xml version="1.0" encoding="utf-8"?>
<table xmlns="http://schemas.openxmlformats.org/spreadsheetml/2006/main" id="72" name="表2_97131923252773" displayName="表2_97131923252773" ref="A79:N115" totalsRowShown="0">
  <autoFilter ref="A79:N115"/>
  <tableColumns count="14">
    <tableColumn id="1" name="合区区服" dataDxfId="2367"/>
    <tableColumn id="2" name="国家" dataDxfId="2368"/>
    <tableColumn id="3" name="原国家数" dataDxfId="2369"/>
    <tableColumn id="4" name="原活跃高战玩家数" dataDxfId="2370"/>
    <tableColumn id="5" name="原活跃中坚玩家数" dataDxfId="2371"/>
    <tableColumn id="6" name="原单服最尖端战力" dataDxfId="2372"/>
    <tableColumn id="7" name="活跃总战力" dataDxfId="2373"/>
    <tableColumn id="8" name="活跃实际充值" dataDxfId="2374"/>
    <tableColumn id="9" name="活跃虚拟充值" dataDxfId="2375"/>
    <tableColumn id="10" name="活跃Coin" dataDxfId="2376"/>
    <tableColumn id="11" name="共计补偿Coin" dataDxfId="2377"/>
    <tableColumn id="12" name="补偿后Coin" dataDxfId="2378"/>
    <tableColumn id="13" name="原综合国力" dataDxfId="2379"/>
    <tableColumn id="14" name="原最高战力" dataDxfId="2380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table" Target="../tables/table1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table" Target="../tables/table1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table" Target="../tables/table1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table" Target="../tables/table2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table" Target="../tables/table2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table" Target="../tables/table2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table" Target="../tables/table2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table" Target="../tables/table2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table" Target="../tables/table31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table" Target="../tables/table3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table" Target="../tables/table3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table" Target="../tables/table37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table" Target="../tables/table3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table" Target="../tables/table4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table" Target="../tables/table4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table" Target="../tables/table4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table" Target="../tables/table47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table" Target="../tables/table49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table" Target="../tables/table51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table" Target="../tables/table53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table" Target="../tables/table5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8.xml"/><Relationship Id="rId1" Type="http://schemas.openxmlformats.org/officeDocument/2006/relationships/table" Target="../tables/table57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0.xml"/><Relationship Id="rId1" Type="http://schemas.openxmlformats.org/officeDocument/2006/relationships/table" Target="../tables/table5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2.xml"/><Relationship Id="rId1" Type="http://schemas.openxmlformats.org/officeDocument/2006/relationships/table" Target="../tables/table6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4.xml"/><Relationship Id="rId1" Type="http://schemas.openxmlformats.org/officeDocument/2006/relationships/table" Target="../tables/table6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6.xml"/><Relationship Id="rId1" Type="http://schemas.openxmlformats.org/officeDocument/2006/relationships/table" Target="../tables/table6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8.xml"/><Relationship Id="rId1" Type="http://schemas.openxmlformats.org/officeDocument/2006/relationships/table" Target="../tables/table67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0.xml"/><Relationship Id="rId1" Type="http://schemas.openxmlformats.org/officeDocument/2006/relationships/table" Target="../tables/table69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table" Target="../tables/table71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4.xml"/><Relationship Id="rId1" Type="http://schemas.openxmlformats.org/officeDocument/2006/relationships/table" Target="../tables/table73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6.xml"/><Relationship Id="rId1" Type="http://schemas.openxmlformats.org/officeDocument/2006/relationships/table" Target="../tables/table7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8.xml"/><Relationship Id="rId1" Type="http://schemas.openxmlformats.org/officeDocument/2006/relationships/table" Target="../tables/table77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0.xml"/><Relationship Id="rId1" Type="http://schemas.openxmlformats.org/officeDocument/2006/relationships/table" Target="../tables/table79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2.xml"/><Relationship Id="rId1" Type="http://schemas.openxmlformats.org/officeDocument/2006/relationships/table" Target="../tables/table8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4.xml"/><Relationship Id="rId1" Type="http://schemas.openxmlformats.org/officeDocument/2006/relationships/table" Target="../tables/table83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6.xml"/><Relationship Id="rId1" Type="http://schemas.openxmlformats.org/officeDocument/2006/relationships/table" Target="../tables/table85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8.xml"/><Relationship Id="rId1" Type="http://schemas.openxmlformats.org/officeDocument/2006/relationships/table" Target="../tables/table8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0.xml"/><Relationship Id="rId1" Type="http://schemas.openxmlformats.org/officeDocument/2006/relationships/table" Target="../tables/table8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2.xml"/><Relationship Id="rId1" Type="http://schemas.openxmlformats.org/officeDocument/2006/relationships/table" Target="../tables/table91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4.xml"/><Relationship Id="rId1" Type="http://schemas.openxmlformats.org/officeDocument/2006/relationships/table" Target="../tables/table93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6.xml"/><Relationship Id="rId1" Type="http://schemas.openxmlformats.org/officeDocument/2006/relationships/table" Target="../tables/table95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8.xml"/><Relationship Id="rId1" Type="http://schemas.openxmlformats.org/officeDocument/2006/relationships/table" Target="../tables/table97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0.xml"/><Relationship Id="rId1" Type="http://schemas.openxmlformats.org/officeDocument/2006/relationships/table" Target="../tables/table99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2.xml"/><Relationship Id="rId1" Type="http://schemas.openxmlformats.org/officeDocument/2006/relationships/table" Target="../tables/table101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4.xml"/><Relationship Id="rId1" Type="http://schemas.openxmlformats.org/officeDocument/2006/relationships/table" Target="../tables/table103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6.xml"/><Relationship Id="rId1" Type="http://schemas.openxmlformats.org/officeDocument/2006/relationships/table" Target="../tables/table105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8.xml"/><Relationship Id="rId1" Type="http://schemas.openxmlformats.org/officeDocument/2006/relationships/table" Target="../tables/table10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0.xml"/><Relationship Id="rId1" Type="http://schemas.openxmlformats.org/officeDocument/2006/relationships/table" Target="../tables/table10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2.xml"/><Relationship Id="rId1" Type="http://schemas.openxmlformats.org/officeDocument/2006/relationships/table" Target="../tables/table111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4.xml"/><Relationship Id="rId1" Type="http://schemas.openxmlformats.org/officeDocument/2006/relationships/table" Target="../tables/table113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6.xml"/><Relationship Id="rId1" Type="http://schemas.openxmlformats.org/officeDocument/2006/relationships/table" Target="../tables/table115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8.xml"/><Relationship Id="rId1" Type="http://schemas.openxmlformats.org/officeDocument/2006/relationships/table" Target="../tables/table117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0.xml"/><Relationship Id="rId1" Type="http://schemas.openxmlformats.org/officeDocument/2006/relationships/table" Target="../tables/table119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2.xml"/><Relationship Id="rId1" Type="http://schemas.openxmlformats.org/officeDocument/2006/relationships/table" Target="../tables/table121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4.xml"/><Relationship Id="rId1" Type="http://schemas.openxmlformats.org/officeDocument/2006/relationships/table" Target="../tables/table12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X36"/>
  <sheetViews>
    <sheetView workbookViewId="0">
      <selection activeCell="Q2" sqref="Q2:Q25"/>
    </sheetView>
  </sheetViews>
  <sheetFormatPr defaultColWidth="9" defaultRowHeight="13.5"/>
  <cols>
    <col min="1" max="1" width="5.75" customWidth="1"/>
    <col min="2" max="2" width="6.625" customWidth="1"/>
    <col min="3" max="3" width="5.25" customWidth="1"/>
    <col min="5" max="5" width="10.25" customWidth="1"/>
    <col min="6" max="6" width="9.625" customWidth="1"/>
    <col min="7" max="7" width="10.125" customWidth="1"/>
    <col min="8" max="8" width="6.25" customWidth="1"/>
    <col min="9" max="9" width="6.125" customWidth="1"/>
    <col min="10" max="10" width="5.625" customWidth="1"/>
    <col min="11" max="11" width="5.75" customWidth="1"/>
    <col min="12" max="13" width="8.375" customWidth="1"/>
    <col min="14" max="14" width="8.25" customWidth="1"/>
    <col min="15" max="15" width="10.5" customWidth="1"/>
    <col min="16" max="16" width="8.75" customWidth="1"/>
    <col min="17" max="17" width="8.375" customWidth="1"/>
    <col min="18" max="18" width="5.125" customWidth="1"/>
    <col min="20" max="20" width="8.5" customWidth="1"/>
    <col min="21" max="21" width="7.75" customWidth="1"/>
    <col min="22" max="22" width="8.75" customWidth="1"/>
    <col min="23" max="23" width="32.25" customWidth="1"/>
    <col min="24" max="24" width="33.125" customWidth="1"/>
  </cols>
  <sheetData>
    <row r="1" s="1" customFormat="1" ht="27.75" spans="1:24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22</v>
      </c>
      <c r="X1" s="22" t="s">
        <v>23</v>
      </c>
    </row>
    <row r="2" ht="14.25" customHeight="1" spans="1:24">
      <c r="A2" s="700">
        <v>1</v>
      </c>
      <c r="B2" s="700">
        <f>VLOOKUP(表1[[#This Row],[区服]],$O$29:$P$36,2,FALSE)</f>
        <v>159</v>
      </c>
      <c r="C2" s="701" t="s">
        <v>24</v>
      </c>
      <c r="D2" s="745" t="str">
        <f>表1[[#This Row],[目标国家]]</f>
        <v>魏</v>
      </c>
      <c r="E2" s="746">
        <f>(VLOOKUP(表1[[#This Row],[目标区服]],$Q$29:$R$30,2,FALSE)-表1[[#This Row],[开服天数]])*配置!$B$1</f>
        <v>3000</v>
      </c>
      <c r="F2" s="746">
        <f>表1[[#This Row],[补偿Coin]]*(表1[[#This Row],[活跃高战玩家数]]+表1[[#This Row],[活跃中坚玩家数]])</f>
        <v>27000</v>
      </c>
      <c r="G2" s="746">
        <f>(VLOOKUP(表1[[#This Row],[目标区服]],$Q$29:$R$30,2,FALSE)-表1[[#This Row],[开服天数]])*配置!$B$2</f>
        <v>30</v>
      </c>
      <c r="H2" s="702" t="s">
        <v>25</v>
      </c>
      <c r="I2" s="702">
        <f>IF(表1[[#This Row],[原国家]]="魏",0,IF(表1[[#This Row],[原国家]]="蜀",1,2))</f>
        <v>0</v>
      </c>
      <c r="J2" s="703">
        <v>0</v>
      </c>
      <c r="K2" s="703">
        <v>38</v>
      </c>
      <c r="L2" s="703">
        <v>2</v>
      </c>
      <c r="M2" s="703">
        <v>7</v>
      </c>
      <c r="N2" s="703">
        <v>53453</v>
      </c>
      <c r="O2" s="703">
        <v>2787242</v>
      </c>
      <c r="P2" s="706">
        <v>14323740</v>
      </c>
      <c r="Q2" s="742" t="s">
        <v>25</v>
      </c>
      <c r="R2" s="702">
        <f>IF(表1[[#This Row],[目标国家]]="魏",0,IF(表1[[#This Row],[目标国家]]="蜀",1,2))</f>
        <v>0</v>
      </c>
      <c r="S2" s="703">
        <v>38318</v>
      </c>
      <c r="T2" s="703">
        <v>63400</v>
      </c>
      <c r="U2" s="703">
        <v>157622</v>
      </c>
      <c r="V2" s="703">
        <v>6808</v>
      </c>
      <c r="W2" s="707" t="str">
        <f>"{"&amp;"'coin':"&amp;表1[[#This Row],[补偿Coin]]&amp;",'"&amp;配置!$A$2&amp;"':"&amp;表1[[#This Row],[补偿辎重]]&amp;"},"</f>
        <v>{'coin':3000,'item036':30},</v>
      </c>
      <c r="X2" s="708" t="str">
        <f>"      '"&amp;表1[[#This Row],[区服]]&amp;"':{"</f>
        <v>      '1':{</v>
      </c>
    </row>
    <row r="3" ht="14.25" customHeight="1" spans="1:24">
      <c r="A3" s="747">
        <v>1</v>
      </c>
      <c r="B3" s="700">
        <f>VLOOKUP(表1[[#This Row],[区服]],$O$29:$P$36,2,FALSE)</f>
        <v>159</v>
      </c>
      <c r="C3" s="701" t="s">
        <v>24</v>
      </c>
      <c r="D3" s="702" t="str">
        <f>表1[[#This Row],[目标国家]]</f>
        <v>蜀</v>
      </c>
      <c r="E3" s="703">
        <f>(VLOOKUP(表1[[#This Row],[目标区服]],$Q$29:$R$30,2,FALSE)-表1[[#This Row],[开服天数]])*配置!$B$1</f>
        <v>3000</v>
      </c>
      <c r="F3" s="703">
        <f>表1[[#This Row],[补偿Coin]]*(表1[[#This Row],[活跃高战玩家数]]+表1[[#This Row],[活跃中坚玩家数]])</f>
        <v>66000</v>
      </c>
      <c r="G3" s="703">
        <f>(VLOOKUP(表1[[#This Row],[目标区服]],$Q$29:$R$30,2,FALSE)-表1[[#This Row],[开服天数]])*配置!$B$2</f>
        <v>30</v>
      </c>
      <c r="H3" s="702" t="s">
        <v>26</v>
      </c>
      <c r="I3" s="702">
        <f>IF(表1[[#This Row],[原国家]]="魏",0,IF(表1[[#This Row],[原国家]]="蜀",1,2))</f>
        <v>1</v>
      </c>
      <c r="J3" s="703">
        <v>9</v>
      </c>
      <c r="K3" s="703">
        <v>336</v>
      </c>
      <c r="L3" s="703">
        <v>7</v>
      </c>
      <c r="M3" s="703">
        <v>15</v>
      </c>
      <c r="N3" s="703">
        <v>148674</v>
      </c>
      <c r="O3" s="703">
        <v>4189042</v>
      </c>
      <c r="P3" s="706">
        <v>40598250</v>
      </c>
      <c r="Q3" s="743" t="s">
        <v>26</v>
      </c>
      <c r="R3" s="702">
        <f>IF(表1[[#This Row],[目标国家]]="魏",0,IF(表1[[#This Row],[目标国家]]="蜀",1,2))</f>
        <v>1</v>
      </c>
      <c r="S3" s="703">
        <v>139066</v>
      </c>
      <c r="T3" s="703">
        <v>255528</v>
      </c>
      <c r="U3" s="703">
        <v>1447090</v>
      </c>
      <c r="V3" s="703">
        <v>21426</v>
      </c>
      <c r="W3" s="707" t="str">
        <f>"{"&amp;"'coin':"&amp;表1[[#This Row],[补偿Coin]]&amp;",'"&amp;配置!$A$2&amp;"':"&amp;表1[[#This Row],[补偿辎重]]&amp;"},"</f>
        <v>{'coin':3000,'item036':30},</v>
      </c>
      <c r="X3" s="708" t="str">
        <f>"            'reward':"&amp;表1[[#This Row],[辅助导出]]&amp;"
            'country':["&amp;R2&amp;","&amp;R3&amp;","&amp;R4&amp;"],"</f>
        <v>            'reward':{'coin':3000,'item036':30},
            'country':[0,1,2],</v>
      </c>
    </row>
    <row r="4" ht="14.25" customHeight="1" spans="1:24">
      <c r="A4" s="747">
        <v>1</v>
      </c>
      <c r="B4" s="700">
        <f>VLOOKUP(表1[[#This Row],[区服]],$O$29:$P$36,2,FALSE)</f>
        <v>159</v>
      </c>
      <c r="C4" s="701" t="s">
        <v>24</v>
      </c>
      <c r="D4" s="702" t="str">
        <f>表1[[#This Row],[目标国家]]</f>
        <v>吴</v>
      </c>
      <c r="E4" s="703">
        <f>(VLOOKUP(表1[[#This Row],[目标区服]],$Q$29:$R$30,2,FALSE)-表1[[#This Row],[开服天数]])*配置!$B$1</f>
        <v>3000</v>
      </c>
      <c r="F4" s="703">
        <f>表1[[#This Row],[补偿Coin]]*(表1[[#This Row],[活跃高战玩家数]]+表1[[#This Row],[活跃中坚玩家数]])</f>
        <v>18000</v>
      </c>
      <c r="G4" s="703">
        <f>(VLOOKUP(表1[[#This Row],[目标区服]],$Q$29:$R$30,2,FALSE)-表1[[#This Row],[开服天数]])*配置!$B$2</f>
        <v>30</v>
      </c>
      <c r="H4" s="702" t="s">
        <v>27</v>
      </c>
      <c r="I4" s="702">
        <f>IF(表1[[#This Row],[原国家]]="魏",0,IF(表1[[#This Row],[原国家]]="蜀",1,2))</f>
        <v>2</v>
      </c>
      <c r="J4" s="703">
        <v>0</v>
      </c>
      <c r="K4" s="703">
        <v>21</v>
      </c>
      <c r="L4" s="703">
        <v>0</v>
      </c>
      <c r="M4" s="703">
        <v>6</v>
      </c>
      <c r="N4" s="703">
        <v>21710</v>
      </c>
      <c r="O4" s="703">
        <v>1617012</v>
      </c>
      <c r="P4" s="706">
        <v>6340545</v>
      </c>
      <c r="Q4" s="743" t="s">
        <v>27</v>
      </c>
      <c r="R4" s="702">
        <f>IF(表1[[#This Row],[目标国家]]="魏",0,IF(表1[[#This Row],[目标国家]]="蜀",1,2))</f>
        <v>2</v>
      </c>
      <c r="S4" s="703">
        <v>170</v>
      </c>
      <c r="T4" s="703">
        <v>0</v>
      </c>
      <c r="U4" s="703">
        <v>82179</v>
      </c>
      <c r="V4" s="703">
        <v>2656</v>
      </c>
      <c r="W4" s="707" t="str">
        <f>"{"&amp;"'coin':"&amp;表1[[#This Row],[补偿Coin]]&amp;",'"&amp;配置!$A$2&amp;"':"&amp;表1[[#This Row],[补偿辎重]]&amp;"},"</f>
        <v>{'coin':3000,'item036':30},</v>
      </c>
      <c r="X4" s="708" t="str">
        <f>"      },"</f>
        <v>      },</v>
      </c>
    </row>
    <row r="5" ht="14.25" customHeight="1" spans="1:24">
      <c r="A5" s="747">
        <v>2</v>
      </c>
      <c r="B5" s="700">
        <f>VLOOKUP(表1[[#This Row],[区服]],$O$29:$P$36,2,FALSE)</f>
        <v>144</v>
      </c>
      <c r="C5" s="701" t="s">
        <v>24</v>
      </c>
      <c r="D5" s="702" t="str">
        <f>表1[[#This Row],[目标国家]]</f>
        <v>蜀</v>
      </c>
      <c r="E5" s="703">
        <f>(VLOOKUP(表1[[#This Row],[目标区服]],$Q$29:$R$30,2,FALSE)-表1[[#This Row],[开服天数]])*配置!$B$1</f>
        <v>10500</v>
      </c>
      <c r="F5" s="703">
        <f>表1[[#This Row],[补偿Coin]]*(表1[[#This Row],[活跃高战玩家数]]+表1[[#This Row],[活跃中坚玩家数]])</f>
        <v>31500</v>
      </c>
      <c r="G5" s="703">
        <f>(VLOOKUP(表1[[#This Row],[目标区服]],$Q$29:$R$30,2,FALSE)-表1[[#This Row],[开服天数]])*配置!$B$2</f>
        <v>105</v>
      </c>
      <c r="H5" s="702" t="s">
        <v>25</v>
      </c>
      <c r="I5" s="702">
        <f>IF(表1[[#This Row],[原国家]]="魏",0,IF(表1[[#This Row],[原国家]]="蜀",1,2))</f>
        <v>0</v>
      </c>
      <c r="J5" s="703">
        <v>0</v>
      </c>
      <c r="K5" s="703">
        <v>30</v>
      </c>
      <c r="L5" s="703">
        <v>0</v>
      </c>
      <c r="M5" s="703">
        <v>3</v>
      </c>
      <c r="N5" s="703">
        <v>16820</v>
      </c>
      <c r="O5" s="703">
        <v>1522687</v>
      </c>
      <c r="P5" s="706">
        <v>3855865</v>
      </c>
      <c r="Q5" s="743" t="s">
        <v>26</v>
      </c>
      <c r="R5" s="702">
        <f>IF(表1[[#This Row],[目标国家]]="魏",0,IF(表1[[#This Row],[目标国家]]="蜀",1,2))</f>
        <v>1</v>
      </c>
      <c r="S5" s="703">
        <v>2946</v>
      </c>
      <c r="T5" s="703">
        <v>0</v>
      </c>
      <c r="U5" s="703">
        <v>4809</v>
      </c>
      <c r="V5" s="703">
        <v>2385</v>
      </c>
      <c r="W5" s="707" t="str">
        <f>"{"&amp;"'coin':"&amp;表1[[#This Row],[补偿Coin]]&amp;",'"&amp;配置!$A$2&amp;"':"&amp;表1[[#This Row],[补偿辎重]]&amp;"},"</f>
        <v>{'coin':10500,'item036':105},</v>
      </c>
      <c r="X5" s="708" t="str">
        <f>"      '"&amp;表1[[#This Row],[区服]]&amp;"':{"</f>
        <v>      '2':{</v>
      </c>
    </row>
    <row r="6" ht="14.25" customHeight="1" spans="1:24">
      <c r="A6" s="700">
        <v>2</v>
      </c>
      <c r="B6" s="700">
        <f>VLOOKUP(表1[[#This Row],[区服]],$O$29:$P$36,2,FALSE)</f>
        <v>144</v>
      </c>
      <c r="C6" s="701" t="s">
        <v>24</v>
      </c>
      <c r="D6" s="702" t="str">
        <f>表1[[#This Row],[目标国家]]</f>
        <v>魏</v>
      </c>
      <c r="E6" s="703">
        <f>(VLOOKUP(表1[[#This Row],[目标区服]],$Q$29:$R$30,2,FALSE)-表1[[#This Row],[开服天数]])*配置!$B$1</f>
        <v>10500</v>
      </c>
      <c r="F6" s="703">
        <f>表1[[#This Row],[补偿Coin]]*(表1[[#This Row],[活跃高战玩家数]]+表1[[#This Row],[活跃中坚玩家数]])</f>
        <v>126000</v>
      </c>
      <c r="G6" s="703">
        <f>(VLOOKUP(表1[[#This Row],[目标区服]],$Q$29:$R$30,2,FALSE)-表1[[#This Row],[开服天数]])*配置!$B$2</f>
        <v>105</v>
      </c>
      <c r="H6" s="702" t="s">
        <v>26</v>
      </c>
      <c r="I6" s="702">
        <f>IF(表1[[#This Row],[原国家]]="魏",0,IF(表1[[#This Row],[原国家]]="蜀",1,2))</f>
        <v>1</v>
      </c>
      <c r="J6" s="703">
        <v>5</v>
      </c>
      <c r="K6" s="703">
        <v>210</v>
      </c>
      <c r="L6" s="703">
        <v>3</v>
      </c>
      <c r="M6" s="703">
        <v>9</v>
      </c>
      <c r="N6" s="703">
        <v>83535</v>
      </c>
      <c r="O6" s="703">
        <v>3910152</v>
      </c>
      <c r="P6" s="706">
        <v>21703528</v>
      </c>
      <c r="Q6" s="743" t="s">
        <v>25</v>
      </c>
      <c r="R6" s="702">
        <f>IF(表1[[#This Row],[目标国家]]="魏",0,IF(表1[[#This Row],[目标国家]]="蜀",1,2))</f>
        <v>0</v>
      </c>
      <c r="S6" s="703">
        <v>58992</v>
      </c>
      <c r="T6" s="703">
        <v>70570</v>
      </c>
      <c r="U6" s="703">
        <v>267572</v>
      </c>
      <c r="V6" s="703">
        <v>11841</v>
      </c>
      <c r="W6" s="707" t="str">
        <f>"{"&amp;"'coin':"&amp;表1[[#This Row],[补偿Coin]]&amp;",'"&amp;配置!$A$2&amp;"':"&amp;表1[[#This Row],[补偿辎重]]&amp;"},"</f>
        <v>{'coin':10500,'item036':105},</v>
      </c>
      <c r="X6" s="708" t="str">
        <f>"            'reward':"&amp;表1[[#This Row],[辅助导出]]&amp;"
            'country':["&amp;R5&amp;","&amp;R6&amp;","&amp;R7&amp;"],"</f>
        <v>            'reward':{'coin':10500,'item036':105},
            'country':[1,0,2],</v>
      </c>
    </row>
    <row r="7" ht="14.25" customHeight="1" spans="1:24">
      <c r="A7" s="700">
        <v>2</v>
      </c>
      <c r="B7" s="700">
        <f>VLOOKUP(表1[[#This Row],[区服]],$O$29:$P$36,2,FALSE)</f>
        <v>144</v>
      </c>
      <c r="C7" s="701" t="s">
        <v>24</v>
      </c>
      <c r="D7" s="702" t="str">
        <f>表1[[#This Row],[目标国家]]</f>
        <v>吴</v>
      </c>
      <c r="E7" s="703">
        <f>(VLOOKUP(表1[[#This Row],[目标区服]],$Q$29:$R$30,2,FALSE)-表1[[#This Row],[开服天数]])*配置!$B$1</f>
        <v>10500</v>
      </c>
      <c r="F7" s="703">
        <f>表1[[#This Row],[补偿Coin]]*(表1[[#This Row],[活跃高战玩家数]]+表1[[#This Row],[活跃中坚玩家数]])</f>
        <v>126000</v>
      </c>
      <c r="G7" s="703">
        <f>(VLOOKUP(表1[[#This Row],[目标区服]],$Q$29:$R$30,2,FALSE)-表1[[#This Row],[开服天数]])*配置!$B$2</f>
        <v>105</v>
      </c>
      <c r="H7" s="702" t="s">
        <v>27</v>
      </c>
      <c r="I7" s="702">
        <f>IF(表1[[#This Row],[原国家]]="魏",0,IF(表1[[#This Row],[原国家]]="蜀",1,2))</f>
        <v>2</v>
      </c>
      <c r="J7" s="703">
        <v>4</v>
      </c>
      <c r="K7" s="703">
        <v>155</v>
      </c>
      <c r="L7" s="703">
        <v>6</v>
      </c>
      <c r="M7" s="703">
        <v>6</v>
      </c>
      <c r="N7" s="703">
        <v>87600</v>
      </c>
      <c r="O7" s="703">
        <v>3638307</v>
      </c>
      <c r="P7" s="706">
        <v>22705134</v>
      </c>
      <c r="Q7" s="743" t="s">
        <v>27</v>
      </c>
      <c r="R7" s="702">
        <f>IF(表1[[#This Row],[目标国家]]="魏",0,IF(表1[[#This Row],[目标国家]]="蜀",1,2))</f>
        <v>2</v>
      </c>
      <c r="S7" s="703">
        <v>30768</v>
      </c>
      <c r="T7" s="703">
        <v>76528</v>
      </c>
      <c r="U7" s="703">
        <v>349770</v>
      </c>
      <c r="V7" s="703">
        <v>10334</v>
      </c>
      <c r="W7" s="707" t="str">
        <f>"{"&amp;"'coin':"&amp;表1[[#This Row],[补偿Coin]]&amp;",'"&amp;配置!$A$2&amp;"':"&amp;表1[[#This Row],[补偿辎重]]&amp;"},"</f>
        <v>{'coin':10500,'item036':105},</v>
      </c>
      <c r="X7" s="708" t="str">
        <f t="shared" ref="X7" si="0">"      },"</f>
        <v>      },</v>
      </c>
    </row>
    <row r="8" ht="14.25" customHeight="1" spans="1:24">
      <c r="A8" s="700">
        <v>3</v>
      </c>
      <c r="B8" s="700">
        <f>VLOOKUP(表1[[#This Row],[区服]],$O$29:$P$36,2,FALSE)</f>
        <v>123</v>
      </c>
      <c r="C8" s="701" t="s">
        <v>24</v>
      </c>
      <c r="D8" s="702" t="str">
        <f>表1[[#This Row],[目标国家]]</f>
        <v>吴</v>
      </c>
      <c r="E8" s="703">
        <f>(VLOOKUP(表1[[#This Row],[目标区服]],$Q$29:$R$30,2,FALSE)-表1[[#This Row],[开服天数]])*配置!$B$1</f>
        <v>21000</v>
      </c>
      <c r="F8" s="703">
        <f>表1[[#This Row],[补偿Coin]]*(表1[[#This Row],[活跃高战玩家数]]+表1[[#This Row],[活跃中坚玩家数]])</f>
        <v>378000</v>
      </c>
      <c r="G8" s="703">
        <f>(VLOOKUP(表1[[#This Row],[目标区服]],$Q$29:$R$30,2,FALSE)-表1[[#This Row],[开服天数]])*配置!$B$2</f>
        <v>210</v>
      </c>
      <c r="H8" s="702" t="s">
        <v>25</v>
      </c>
      <c r="I8" s="702">
        <f>IF(表1[[#This Row],[原国家]]="魏",0,IF(表1[[#This Row],[原国家]]="蜀",1,2))</f>
        <v>0</v>
      </c>
      <c r="J8" s="703">
        <v>9</v>
      </c>
      <c r="K8" s="703">
        <v>345</v>
      </c>
      <c r="L8" s="703">
        <v>8</v>
      </c>
      <c r="M8" s="703">
        <v>10</v>
      </c>
      <c r="N8" s="703">
        <v>130178</v>
      </c>
      <c r="O8" s="703">
        <v>3089205</v>
      </c>
      <c r="P8" s="706">
        <v>32151630</v>
      </c>
      <c r="Q8" s="743" t="s">
        <v>27</v>
      </c>
      <c r="R8" s="702">
        <f>IF(表1[[#This Row],[目标国家]]="魏",0,IF(表1[[#This Row],[目标国家]]="蜀",1,2))</f>
        <v>2</v>
      </c>
      <c r="S8" s="703">
        <v>59066</v>
      </c>
      <c r="T8" s="703">
        <v>10176</v>
      </c>
      <c r="U8" s="703">
        <v>723671</v>
      </c>
      <c r="V8" s="703">
        <v>13902</v>
      </c>
      <c r="W8" s="707" t="str">
        <f>"{"&amp;"'coin':"&amp;表1[[#This Row],[补偿Coin]]&amp;",'"&amp;配置!$A$2&amp;"':"&amp;表1[[#This Row],[补偿辎重]]&amp;"},"</f>
        <v>{'coin':21000,'item036':210},</v>
      </c>
      <c r="X8" s="708" t="str">
        <f>"      '"&amp;表1[[#This Row],[区服]]&amp;"':{"</f>
        <v>      '3':{</v>
      </c>
    </row>
    <row r="9" ht="14.25" customHeight="1" spans="1:24">
      <c r="A9" s="700">
        <v>3</v>
      </c>
      <c r="B9" s="700">
        <f>VLOOKUP(表1[[#This Row],[区服]],$O$29:$P$36,2,FALSE)</f>
        <v>123</v>
      </c>
      <c r="C9" s="701" t="s">
        <v>24</v>
      </c>
      <c r="D9" s="702" t="str">
        <f>表1[[#This Row],[目标国家]]</f>
        <v>魏</v>
      </c>
      <c r="E9" s="703">
        <f>(VLOOKUP(表1[[#This Row],[目标区服]],$Q$29:$R$30,2,FALSE)-表1[[#This Row],[开服天数]])*配置!$B$1</f>
        <v>21000</v>
      </c>
      <c r="F9" s="703">
        <f>表1[[#This Row],[补偿Coin]]*(表1[[#This Row],[活跃高战玩家数]]+表1[[#This Row],[活跃中坚玩家数]])</f>
        <v>63000</v>
      </c>
      <c r="G9" s="703">
        <f>(VLOOKUP(表1[[#This Row],[目标区服]],$Q$29:$R$30,2,FALSE)-表1[[#This Row],[开服天数]])*配置!$B$2</f>
        <v>210</v>
      </c>
      <c r="H9" s="702" t="s">
        <v>26</v>
      </c>
      <c r="I9" s="702">
        <f>IF(表1[[#This Row],[原国家]]="魏",0,IF(表1[[#This Row],[原国家]]="蜀",1,2))</f>
        <v>1</v>
      </c>
      <c r="J9" s="703">
        <v>0</v>
      </c>
      <c r="K9" s="703">
        <v>39</v>
      </c>
      <c r="L9" s="703">
        <v>0</v>
      </c>
      <c r="M9" s="703">
        <v>3</v>
      </c>
      <c r="N9" s="703">
        <v>14594</v>
      </c>
      <c r="O9" s="703">
        <v>1554181</v>
      </c>
      <c r="P9" s="706">
        <v>3563622</v>
      </c>
      <c r="Q9" s="743" t="s">
        <v>25</v>
      </c>
      <c r="R9" s="702">
        <f>IF(表1[[#This Row],[目标国家]]="魏",0,IF(表1[[#This Row],[目标国家]]="蜀",1,2))</f>
        <v>0</v>
      </c>
      <c r="S9" s="703">
        <v>132</v>
      </c>
      <c r="T9" s="703">
        <v>120</v>
      </c>
      <c r="U9" s="703">
        <v>24222</v>
      </c>
      <c r="V9" s="703">
        <v>2402</v>
      </c>
      <c r="W9" s="707" t="str">
        <f>"{"&amp;"'coin':"&amp;表1[[#This Row],[补偿Coin]]&amp;",'"&amp;配置!$A$2&amp;"':"&amp;表1[[#This Row],[补偿辎重]]&amp;"},"</f>
        <v>{'coin':21000,'item036':210},</v>
      </c>
      <c r="X9" s="708" t="str">
        <f>"            'reward':"&amp;表1[[#This Row],[辅助导出]]&amp;"
            'country':["&amp;R8&amp;","&amp;R9&amp;","&amp;R10&amp;"],"</f>
        <v>            'reward':{'coin':21000,'item036':210},
            'country':[2,0,1],</v>
      </c>
    </row>
    <row r="10" ht="14.25" customHeight="1" spans="1:24">
      <c r="A10" s="700">
        <v>3</v>
      </c>
      <c r="B10" s="700">
        <f>VLOOKUP(表1[[#This Row],[区服]],$O$29:$P$36,2,FALSE)</f>
        <v>123</v>
      </c>
      <c r="C10" s="701" t="s">
        <v>24</v>
      </c>
      <c r="D10" s="702" t="str">
        <f>表1[[#This Row],[目标国家]]</f>
        <v>蜀</v>
      </c>
      <c r="E10" s="703">
        <f>(VLOOKUP(表1[[#This Row],[目标区服]],$Q$29:$R$30,2,FALSE)-表1[[#This Row],[开服天数]])*配置!$B$1</f>
        <v>21000</v>
      </c>
      <c r="F10" s="703">
        <f>表1[[#This Row],[补偿Coin]]*(表1[[#This Row],[活跃高战玩家数]]+表1[[#This Row],[活跃中坚玩家数]])</f>
        <v>168000</v>
      </c>
      <c r="G10" s="703">
        <f>(VLOOKUP(表1[[#This Row],[目标区服]],$Q$29:$R$30,2,FALSE)-表1[[#This Row],[开服天数]])*配置!$B$2</f>
        <v>210</v>
      </c>
      <c r="H10" s="702" t="s">
        <v>27</v>
      </c>
      <c r="I10" s="702">
        <f>IF(表1[[#This Row],[原国家]]="魏",0,IF(表1[[#This Row],[原国家]]="蜀",1,2))</f>
        <v>2</v>
      </c>
      <c r="J10" s="703">
        <v>0</v>
      </c>
      <c r="K10" s="703">
        <v>11</v>
      </c>
      <c r="L10" s="703">
        <v>1</v>
      </c>
      <c r="M10" s="703">
        <v>7</v>
      </c>
      <c r="N10" s="703">
        <v>40424</v>
      </c>
      <c r="O10" s="703">
        <v>2731876</v>
      </c>
      <c r="P10" s="706">
        <v>11179686</v>
      </c>
      <c r="Q10" s="743" t="s">
        <v>26</v>
      </c>
      <c r="R10" s="702">
        <f>IF(表1[[#This Row],[目标国家]]="魏",0,IF(表1[[#This Row],[目标国家]]="蜀",1,2))</f>
        <v>1</v>
      </c>
      <c r="S10" s="703">
        <v>1136</v>
      </c>
      <c r="T10" s="703">
        <v>60920</v>
      </c>
      <c r="U10" s="703">
        <v>115858</v>
      </c>
      <c r="V10" s="703">
        <v>4921</v>
      </c>
      <c r="W10" s="707" t="str">
        <f>"{"&amp;"'coin':"&amp;表1[[#This Row],[补偿Coin]]&amp;",'"&amp;配置!$A$2&amp;"':"&amp;表1[[#This Row],[补偿辎重]]&amp;"},"</f>
        <v>{'coin':21000,'item036':210},</v>
      </c>
      <c r="X10" s="708" t="str">
        <f t="shared" ref="X10" si="1">"      },"</f>
        <v>      },</v>
      </c>
    </row>
    <row r="11" ht="14.25" customHeight="1" spans="1:24">
      <c r="A11" s="700">
        <v>4</v>
      </c>
      <c r="B11" s="700">
        <f>VLOOKUP(表1[[#This Row],[区服]],$O$29:$P$36,2,FALSE)</f>
        <v>116</v>
      </c>
      <c r="C11" s="701" t="s">
        <v>24</v>
      </c>
      <c r="D11" s="702" t="str">
        <f>表1[[#This Row],[目标国家]]</f>
        <v>蜀</v>
      </c>
      <c r="E11" s="703">
        <f>(VLOOKUP(表1[[#This Row],[目标区服]],$Q$29:$R$30,2,FALSE)-表1[[#This Row],[开服天数]])*配置!$B$1</f>
        <v>24500</v>
      </c>
      <c r="F11" s="703">
        <f>表1[[#This Row],[补偿Coin]]*(表1[[#This Row],[活跃高战玩家数]]+表1[[#This Row],[活跃中坚玩家数]])</f>
        <v>171500</v>
      </c>
      <c r="G11" s="703">
        <f>(VLOOKUP(表1[[#This Row],[目标区服]],$Q$29:$R$30,2,FALSE)-表1[[#This Row],[开服天数]])*配置!$B$2</f>
        <v>245</v>
      </c>
      <c r="H11" s="702" t="s">
        <v>25</v>
      </c>
      <c r="I11" s="702">
        <f>IF(表1[[#This Row],[原国家]]="魏",0,IF(表1[[#This Row],[原国家]]="蜀",1,2))</f>
        <v>0</v>
      </c>
      <c r="J11" s="703">
        <v>0</v>
      </c>
      <c r="K11" s="703">
        <v>16</v>
      </c>
      <c r="L11" s="703">
        <v>0</v>
      </c>
      <c r="M11" s="703">
        <v>7</v>
      </c>
      <c r="N11" s="703">
        <v>38600</v>
      </c>
      <c r="O11" s="703">
        <v>1734595</v>
      </c>
      <c r="P11" s="706">
        <v>7663785</v>
      </c>
      <c r="Q11" s="743" t="s">
        <v>26</v>
      </c>
      <c r="R11" s="702">
        <f>IF(表1[[#This Row],[目标国家]]="魏",0,IF(表1[[#This Row],[目标国家]]="蜀",1,2))</f>
        <v>1</v>
      </c>
      <c r="S11" s="703">
        <v>4754</v>
      </c>
      <c r="T11" s="703">
        <v>0</v>
      </c>
      <c r="U11" s="703">
        <v>23063</v>
      </c>
      <c r="V11" s="703">
        <v>3019</v>
      </c>
      <c r="W11" s="707" t="str">
        <f>"{"&amp;"'coin':"&amp;表1[[#This Row],[补偿Coin]]&amp;",'"&amp;配置!$A$2&amp;"':"&amp;表1[[#This Row],[补偿辎重]]&amp;"},"</f>
        <v>{'coin':24500,'item036':245},</v>
      </c>
      <c r="X11" s="708" t="str">
        <f>"      '"&amp;表1[[#This Row],[区服]]&amp;"':{"</f>
        <v>      '4':{</v>
      </c>
    </row>
    <row r="12" ht="14.25" customHeight="1" spans="1:24">
      <c r="A12" s="700">
        <v>4</v>
      </c>
      <c r="B12" s="700">
        <f>VLOOKUP(表1[[#This Row],[区服]],$O$29:$P$36,2,FALSE)</f>
        <v>116</v>
      </c>
      <c r="C12" s="701" t="s">
        <v>24</v>
      </c>
      <c r="D12" s="702" t="str">
        <f>表1[[#This Row],[目标国家]]</f>
        <v>魏</v>
      </c>
      <c r="E12" s="703">
        <f>(VLOOKUP(表1[[#This Row],[目标区服]],$Q$29:$R$30,2,FALSE)-表1[[#This Row],[开服天数]])*配置!$B$1</f>
        <v>24500</v>
      </c>
      <c r="F12" s="703">
        <f>表1[[#This Row],[补偿Coin]]*(表1[[#This Row],[活跃高战玩家数]]+表1[[#This Row],[活跃中坚玩家数]])</f>
        <v>392000</v>
      </c>
      <c r="G12" s="703">
        <f>(VLOOKUP(表1[[#This Row],[目标区服]],$Q$29:$R$30,2,FALSE)-表1[[#This Row],[开服天数]])*配置!$B$2</f>
        <v>245</v>
      </c>
      <c r="H12" s="702" t="s">
        <v>26</v>
      </c>
      <c r="I12" s="702">
        <f>IF(表1[[#This Row],[原国家]]="魏",0,IF(表1[[#This Row],[原国家]]="蜀",1,2))</f>
        <v>1</v>
      </c>
      <c r="J12" s="703">
        <v>9</v>
      </c>
      <c r="K12" s="703">
        <v>364</v>
      </c>
      <c r="L12" s="703">
        <v>8</v>
      </c>
      <c r="M12" s="703">
        <v>8</v>
      </c>
      <c r="N12" s="703">
        <v>119705</v>
      </c>
      <c r="O12" s="703">
        <v>2675462</v>
      </c>
      <c r="P12" s="706">
        <v>25438761</v>
      </c>
      <c r="Q12" s="743" t="s">
        <v>25</v>
      </c>
      <c r="R12" s="702">
        <f>IF(表1[[#This Row],[目标国家]]="魏",0,IF(表1[[#This Row],[目标国家]]="蜀",1,2))</f>
        <v>0</v>
      </c>
      <c r="S12" s="703">
        <v>69068</v>
      </c>
      <c r="T12" s="703">
        <v>0</v>
      </c>
      <c r="U12" s="703">
        <v>928063</v>
      </c>
      <c r="V12" s="703">
        <v>13357</v>
      </c>
      <c r="W12" s="707" t="str">
        <f>"{"&amp;"'coin':"&amp;表1[[#This Row],[补偿Coin]]&amp;",'"&amp;配置!$A$2&amp;"':"&amp;表1[[#This Row],[补偿辎重]]&amp;"},"</f>
        <v>{'coin':24500,'item036':245},</v>
      </c>
      <c r="X12" s="708" t="str">
        <f>"            'reward':"&amp;表1[[#This Row],[辅助导出]]&amp;"
            'country':["&amp;R11&amp;","&amp;R12&amp;","&amp;R13&amp;"],"</f>
        <v>            'reward':{'coin':24500,'item036':245},
            'country':[1,0,2],</v>
      </c>
    </row>
    <row r="13" ht="14.25" customHeight="1" spans="1:24">
      <c r="A13" s="700">
        <v>4</v>
      </c>
      <c r="B13" s="700">
        <f>VLOOKUP(表1[[#This Row],[区服]],$O$29:$P$36,2,FALSE)</f>
        <v>116</v>
      </c>
      <c r="C13" s="701" t="s">
        <v>24</v>
      </c>
      <c r="D13" s="702" t="str">
        <f>表1[[#This Row],[目标国家]]</f>
        <v>吴</v>
      </c>
      <c r="E13" s="703">
        <f>(VLOOKUP(表1[[#This Row],[目标区服]],$Q$29:$R$30,2,FALSE)-表1[[#This Row],[开服天数]])*配置!$B$1</f>
        <v>24500</v>
      </c>
      <c r="F13" s="703">
        <f>表1[[#This Row],[补偿Coin]]*(表1[[#This Row],[活跃高战玩家数]]+表1[[#This Row],[活跃中坚玩家数]])</f>
        <v>147000</v>
      </c>
      <c r="G13" s="703">
        <f>(VLOOKUP(表1[[#This Row],[目标区服]],$Q$29:$R$30,2,FALSE)-表1[[#This Row],[开服天数]])*配置!$B$2</f>
        <v>245</v>
      </c>
      <c r="H13" s="702" t="s">
        <v>27</v>
      </c>
      <c r="I13" s="702">
        <f>IF(表1[[#This Row],[原国家]]="魏",0,IF(表1[[#This Row],[原国家]]="蜀",1,2))</f>
        <v>2</v>
      </c>
      <c r="J13" s="703">
        <v>0</v>
      </c>
      <c r="K13" s="703">
        <v>15</v>
      </c>
      <c r="L13" s="703">
        <v>1</v>
      </c>
      <c r="M13" s="703">
        <v>5</v>
      </c>
      <c r="N13" s="703">
        <v>34134</v>
      </c>
      <c r="O13" s="703">
        <v>2126539</v>
      </c>
      <c r="P13" s="706">
        <v>7248411</v>
      </c>
      <c r="Q13" s="743" t="s">
        <v>27</v>
      </c>
      <c r="R13" s="702">
        <f>IF(表1[[#This Row],[目标国家]]="魏",0,IF(表1[[#This Row],[目标国家]]="蜀",1,2))</f>
        <v>2</v>
      </c>
      <c r="S13" s="703">
        <v>4970</v>
      </c>
      <c r="T13" s="703">
        <v>0</v>
      </c>
      <c r="U13" s="703">
        <v>115241</v>
      </c>
      <c r="V13" s="703">
        <v>3436</v>
      </c>
      <c r="W13" s="707" t="str">
        <f>"{"&amp;"'coin':"&amp;表1[[#This Row],[补偿Coin]]&amp;",'"&amp;配置!$A$2&amp;"':"&amp;表1[[#This Row],[补偿辎重]]&amp;"},"</f>
        <v>{'coin':24500,'item036':245},</v>
      </c>
      <c r="X13" s="708" t="str">
        <f t="shared" ref="X13" si="2">"      },"</f>
        <v>      },</v>
      </c>
    </row>
    <row r="14" ht="14.25" customHeight="1" spans="1:24">
      <c r="A14" s="667">
        <v>5</v>
      </c>
      <c r="B14" s="667">
        <f>VLOOKUP(表1[[#This Row],[区服]],$O$29:$P$36,2,FALSE)</f>
        <v>103</v>
      </c>
      <c r="C14" s="668" t="s">
        <v>24</v>
      </c>
      <c r="D14" s="669" t="str">
        <f>表1[[#This Row],[目标国家]]</f>
        <v>吴</v>
      </c>
      <c r="E14" s="670">
        <f>(VLOOKUP(表1[[#This Row],[目标区服]],$Q$29:$R$30,2,FALSE)-表1[[#This Row],[开服天数]])*配置!$B$1</f>
        <v>31000</v>
      </c>
      <c r="F14" s="670">
        <f>表1[[#This Row],[补偿Coin]]*(表1[[#This Row],[活跃高战玩家数]]+表1[[#This Row],[活跃中坚玩家数]])</f>
        <v>341000</v>
      </c>
      <c r="G14" s="670">
        <f>(VLOOKUP(表1[[#This Row],[目标区服]],$Q$29:$R$30,2,FALSE)-表1[[#This Row],[开服天数]])*配置!$B$2</f>
        <v>310</v>
      </c>
      <c r="H14" s="669" t="s">
        <v>25</v>
      </c>
      <c r="I14" s="669">
        <f>IF(表1[[#This Row],[原国家]]="魏",0,IF(表1[[#This Row],[原国家]]="蜀",1,2))</f>
        <v>0</v>
      </c>
      <c r="J14" s="670">
        <v>0</v>
      </c>
      <c r="K14" s="670">
        <v>6</v>
      </c>
      <c r="L14" s="670">
        <v>3</v>
      </c>
      <c r="M14" s="670">
        <v>8</v>
      </c>
      <c r="N14" s="670">
        <v>77556</v>
      </c>
      <c r="O14" s="670">
        <v>2738183</v>
      </c>
      <c r="P14" s="678">
        <v>15275931</v>
      </c>
      <c r="Q14" s="679" t="s">
        <v>27</v>
      </c>
      <c r="R14" s="702">
        <f>IF(表1[[#This Row],[目标国家]]="魏",0,IF(表1[[#This Row],[目标国家]]="蜀",1,2))</f>
        <v>2</v>
      </c>
      <c r="S14" s="670">
        <v>30918</v>
      </c>
      <c r="T14" s="670">
        <v>0</v>
      </c>
      <c r="U14" s="670">
        <v>114196</v>
      </c>
      <c r="V14" s="670">
        <v>5755</v>
      </c>
      <c r="W14" s="682" t="str">
        <f>"{"&amp;"'coin':"&amp;表1[[#This Row],[补偿Coin]]&amp;",'"&amp;配置!$A$2&amp;"':"&amp;表1[[#This Row],[补偿辎重]]&amp;"},"</f>
        <v>{'coin':31000,'item036':310},</v>
      </c>
      <c r="X14" s="254" t="str">
        <f>"      '"&amp;表1[[#This Row],[区服]]&amp;"':{"</f>
        <v>      '5':{</v>
      </c>
    </row>
    <row r="15" ht="14.25" customHeight="1" spans="1:24">
      <c r="A15" s="667">
        <v>5</v>
      </c>
      <c r="B15" s="667">
        <f>VLOOKUP(表1[[#This Row],[区服]],$O$29:$P$36,2,FALSE)</f>
        <v>103</v>
      </c>
      <c r="C15" s="668" t="s">
        <v>24</v>
      </c>
      <c r="D15" s="669" t="str">
        <f>表1[[#This Row],[目标国家]]</f>
        <v>蜀</v>
      </c>
      <c r="E15" s="670">
        <f>(VLOOKUP(表1[[#This Row],[目标区服]],$Q$29:$R$30,2,FALSE)-表1[[#This Row],[开服天数]])*配置!$B$1</f>
        <v>31000</v>
      </c>
      <c r="F15" s="670">
        <f>表1[[#This Row],[补偿Coin]]*(表1[[#This Row],[活跃高战玩家数]]+表1[[#This Row],[活跃中坚玩家数]])</f>
        <v>62000</v>
      </c>
      <c r="G15" s="670">
        <f>(VLOOKUP(表1[[#This Row],[目标区服]],$Q$29:$R$30,2,FALSE)-表1[[#This Row],[开服天数]])*配置!$B$2</f>
        <v>310</v>
      </c>
      <c r="H15" s="669" t="s">
        <v>26</v>
      </c>
      <c r="I15" s="669">
        <f>IF(表1[[#This Row],[原国家]]="魏",0,IF(表1[[#This Row],[原国家]]="蜀",1,2))</f>
        <v>1</v>
      </c>
      <c r="J15" s="670">
        <v>0</v>
      </c>
      <c r="K15" s="670">
        <v>7</v>
      </c>
      <c r="L15" s="670">
        <v>0</v>
      </c>
      <c r="M15" s="670">
        <v>2</v>
      </c>
      <c r="N15" s="670">
        <v>10418</v>
      </c>
      <c r="O15" s="670">
        <v>727897</v>
      </c>
      <c r="P15" s="678">
        <v>1767649</v>
      </c>
      <c r="Q15" s="679" t="s">
        <v>26</v>
      </c>
      <c r="R15" s="702">
        <f>IF(表1[[#This Row],[目标国家]]="魏",0,IF(表1[[#This Row],[目标国家]]="蜀",1,2))</f>
        <v>1</v>
      </c>
      <c r="S15" s="670">
        <v>6000</v>
      </c>
      <c r="T15" s="670">
        <v>0</v>
      </c>
      <c r="U15" s="670">
        <v>5454</v>
      </c>
      <c r="V15" s="670">
        <v>1212</v>
      </c>
      <c r="W15" s="682" t="str">
        <f>"{"&amp;"'coin':"&amp;表1[[#This Row],[补偿Coin]]&amp;",'"&amp;配置!$A$2&amp;"':"&amp;表1[[#This Row],[补偿辎重]]&amp;"},"</f>
        <v>{'coin':31000,'item036':310},</v>
      </c>
      <c r="X15" s="254" t="str">
        <f>"            'reward':"&amp;表1[[#This Row],[辅助导出]]&amp;"
            'country':["&amp;R14&amp;","&amp;R15&amp;","&amp;R16&amp;"],"</f>
        <v>            'reward':{'coin':31000,'item036':310},
            'country':[2,1,0],</v>
      </c>
    </row>
    <row r="16" ht="14.25" customHeight="1" spans="1:24">
      <c r="A16" s="667">
        <v>5</v>
      </c>
      <c r="B16" s="667">
        <f>VLOOKUP(表1[[#This Row],[区服]],$O$29:$P$36,2,FALSE)</f>
        <v>103</v>
      </c>
      <c r="C16" s="668" t="s">
        <v>24</v>
      </c>
      <c r="D16" s="669" t="str">
        <f>表1[[#This Row],[目标国家]]</f>
        <v>魏</v>
      </c>
      <c r="E16" s="670">
        <f>(VLOOKUP(表1[[#This Row],[目标区服]],$Q$29:$R$30,2,FALSE)-表1[[#This Row],[开服天数]])*配置!$B$1</f>
        <v>31000</v>
      </c>
      <c r="F16" s="670">
        <f>表1[[#This Row],[补偿Coin]]*(表1[[#This Row],[活跃高战玩家数]]+表1[[#This Row],[活跃中坚玩家数]])</f>
        <v>465000</v>
      </c>
      <c r="G16" s="670">
        <f>(VLOOKUP(表1[[#This Row],[目标区服]],$Q$29:$R$30,2,FALSE)-表1[[#This Row],[开服天数]])*配置!$B$2</f>
        <v>310</v>
      </c>
      <c r="H16" s="669" t="s">
        <v>27</v>
      </c>
      <c r="I16" s="669">
        <f>IF(表1[[#This Row],[原国家]]="魏",0,IF(表1[[#This Row],[原国家]]="蜀",1,2))</f>
        <v>2</v>
      </c>
      <c r="J16" s="670">
        <v>9</v>
      </c>
      <c r="K16" s="670">
        <v>382</v>
      </c>
      <c r="L16" s="670">
        <v>5</v>
      </c>
      <c r="M16" s="670">
        <v>10</v>
      </c>
      <c r="N16" s="670">
        <v>97647</v>
      </c>
      <c r="O16" s="670">
        <v>3666662</v>
      </c>
      <c r="P16" s="678">
        <v>21613851</v>
      </c>
      <c r="Q16" s="679" t="s">
        <v>25</v>
      </c>
      <c r="R16" s="702">
        <f>IF(表1[[#This Row],[目标国家]]="魏",0,IF(表1[[#This Row],[目标国家]]="蜀",1,2))</f>
        <v>0</v>
      </c>
      <c r="S16" s="670">
        <v>5036</v>
      </c>
      <c r="T16" s="670">
        <v>104702</v>
      </c>
      <c r="U16" s="670">
        <v>431262</v>
      </c>
      <c r="V16" s="670">
        <v>12665</v>
      </c>
      <c r="W16" s="682" t="str">
        <f>"{"&amp;"'coin':"&amp;表1[[#This Row],[补偿Coin]]&amp;",'"&amp;配置!$A$2&amp;"':"&amp;表1[[#This Row],[补偿辎重]]&amp;"},"</f>
        <v>{'coin':31000,'item036':310},</v>
      </c>
      <c r="X16" s="254" t="str">
        <f>"      },"</f>
        <v>      },</v>
      </c>
    </row>
    <row r="17" ht="14.25" customHeight="1" spans="1:24">
      <c r="A17" s="667">
        <v>6</v>
      </c>
      <c r="B17" s="667">
        <f>VLOOKUP(表1[[#This Row],[区服]],$O$29:$P$36,2,FALSE)</f>
        <v>91</v>
      </c>
      <c r="C17" s="668" t="s">
        <v>24</v>
      </c>
      <c r="D17" s="669" t="str">
        <f>表1[[#This Row],[目标国家]]</f>
        <v>蜀</v>
      </c>
      <c r="E17" s="670">
        <f>(VLOOKUP(表1[[#This Row],[目标区服]],$Q$29:$R$30,2,FALSE)-表1[[#This Row],[开服天数]])*配置!$B$1</f>
        <v>37000</v>
      </c>
      <c r="F17" s="670">
        <f>表1[[#This Row],[补偿Coin]]*(表1[[#This Row],[活跃高战玩家数]]+表1[[#This Row],[活跃中坚玩家数]])</f>
        <v>1184000</v>
      </c>
      <c r="G17" s="670">
        <f>(VLOOKUP(表1[[#This Row],[目标区服]],$Q$29:$R$30,2,FALSE)-表1[[#This Row],[开服天数]])*配置!$B$2</f>
        <v>370</v>
      </c>
      <c r="H17" s="669" t="s">
        <v>25</v>
      </c>
      <c r="I17" s="669">
        <f>IF(表1[[#This Row],[原国家]]="魏",0,IF(表1[[#This Row],[原国家]]="蜀",1,2))</f>
        <v>0</v>
      </c>
      <c r="J17" s="670">
        <v>7</v>
      </c>
      <c r="K17" s="670">
        <v>267</v>
      </c>
      <c r="L17" s="670">
        <v>6</v>
      </c>
      <c r="M17" s="670">
        <v>26</v>
      </c>
      <c r="N17" s="670">
        <v>153705</v>
      </c>
      <c r="O17" s="670">
        <v>2222751</v>
      </c>
      <c r="P17" s="678">
        <v>29703293</v>
      </c>
      <c r="Q17" s="679" t="s">
        <v>26</v>
      </c>
      <c r="R17" s="702">
        <f>IF(表1[[#This Row],[目标国家]]="魏",0,IF(表1[[#This Row],[目标国家]]="蜀",1,2))</f>
        <v>1</v>
      </c>
      <c r="S17" s="670">
        <v>19278</v>
      </c>
      <c r="T17" s="670">
        <v>7428</v>
      </c>
      <c r="U17" s="670">
        <v>568472</v>
      </c>
      <c r="V17" s="670">
        <v>10552</v>
      </c>
      <c r="W17" s="682" t="str">
        <f>"{"&amp;"'coin':"&amp;表1[[#This Row],[补偿Coin]]&amp;",'"&amp;配置!$A$2&amp;"':"&amp;表1[[#This Row],[补偿辎重]]&amp;"},"</f>
        <v>{'coin':37000,'item036':370},</v>
      </c>
      <c r="X17" s="254" t="str">
        <f>"      '"&amp;表1[[#This Row],[区服]]&amp;"':{"</f>
        <v>      '6':{</v>
      </c>
    </row>
    <row r="18" ht="14.25" customHeight="1" spans="1:24">
      <c r="A18" s="667">
        <v>6</v>
      </c>
      <c r="B18" s="667">
        <f>VLOOKUP(表1[[#This Row],[区服]],$O$29:$P$36,2,FALSE)</f>
        <v>91</v>
      </c>
      <c r="C18" s="668" t="s">
        <v>24</v>
      </c>
      <c r="D18" s="669" t="str">
        <f>表1[[#This Row],[目标国家]]</f>
        <v>吴</v>
      </c>
      <c r="E18" s="670">
        <f>(VLOOKUP(表1[[#This Row],[目标区服]],$Q$29:$R$30,2,FALSE)-表1[[#This Row],[开服天数]])*配置!$B$1</f>
        <v>37000</v>
      </c>
      <c r="F18" s="670">
        <f>表1[[#This Row],[补偿Coin]]*(表1[[#This Row],[活跃高战玩家数]]+表1[[#This Row],[活跃中坚玩家数]])</f>
        <v>666000</v>
      </c>
      <c r="G18" s="670">
        <f>(VLOOKUP(表1[[#This Row],[目标区服]],$Q$29:$R$30,2,FALSE)-表1[[#This Row],[开服天数]])*配置!$B$2</f>
        <v>370</v>
      </c>
      <c r="H18" s="669" t="s">
        <v>26</v>
      </c>
      <c r="I18" s="669">
        <f>IF(表1[[#This Row],[原国家]]="魏",0,IF(表1[[#This Row],[原国家]]="蜀",1,2))</f>
        <v>1</v>
      </c>
      <c r="J18" s="670">
        <v>1</v>
      </c>
      <c r="K18" s="670">
        <v>80</v>
      </c>
      <c r="L18" s="670">
        <v>4</v>
      </c>
      <c r="M18" s="670">
        <v>14</v>
      </c>
      <c r="N18" s="670">
        <v>79772</v>
      </c>
      <c r="O18" s="670">
        <v>2805605</v>
      </c>
      <c r="P18" s="678">
        <v>16909378</v>
      </c>
      <c r="Q18" s="679" t="s">
        <v>27</v>
      </c>
      <c r="R18" s="702">
        <f>IF(表1[[#This Row],[目标国家]]="魏",0,IF(表1[[#This Row],[目标国家]]="蜀",1,2))</f>
        <v>2</v>
      </c>
      <c r="S18" s="670">
        <v>44650</v>
      </c>
      <c r="T18" s="670">
        <v>0</v>
      </c>
      <c r="U18" s="670">
        <v>237799</v>
      </c>
      <c r="V18" s="670">
        <v>7372</v>
      </c>
      <c r="W18" s="682" t="str">
        <f>"{"&amp;"'coin':"&amp;表1[[#This Row],[补偿Coin]]&amp;",'"&amp;配置!$A$2&amp;"':"&amp;表1[[#This Row],[补偿辎重]]&amp;"},"</f>
        <v>{'coin':37000,'item036':370},</v>
      </c>
      <c r="X18" s="254" t="str">
        <f>"            'reward':"&amp;表1[[#This Row],[辅助导出]]&amp;"
            'country':["&amp;R17&amp;","&amp;R18&amp;","&amp;R19&amp;"],"</f>
        <v>            'reward':{'coin':37000,'item036':370},
            'country':[1,2,0],</v>
      </c>
    </row>
    <row r="19" ht="14.25" customHeight="1" spans="1:24">
      <c r="A19" s="667">
        <v>6</v>
      </c>
      <c r="B19" s="667">
        <f>VLOOKUP(表1[[#This Row],[区服]],$O$29:$P$36,2,FALSE)</f>
        <v>91</v>
      </c>
      <c r="C19" s="668" t="s">
        <v>24</v>
      </c>
      <c r="D19" s="669" t="str">
        <f>表1[[#This Row],[目标国家]]</f>
        <v>魏</v>
      </c>
      <c r="E19" s="670">
        <f>(VLOOKUP(表1[[#This Row],[目标区服]],$Q$29:$R$30,2,FALSE)-表1[[#This Row],[开服天数]])*配置!$B$1</f>
        <v>37000</v>
      </c>
      <c r="F19" s="670">
        <f>表1[[#This Row],[补偿Coin]]*(表1[[#This Row],[活跃高战玩家数]]+表1[[#This Row],[活跃中坚玩家数]])</f>
        <v>222000</v>
      </c>
      <c r="G19" s="670">
        <f>(VLOOKUP(表1[[#This Row],[目标区服]],$Q$29:$R$30,2,FALSE)-表1[[#This Row],[开服天数]])*配置!$B$2</f>
        <v>370</v>
      </c>
      <c r="H19" s="669" t="s">
        <v>27</v>
      </c>
      <c r="I19" s="669">
        <f>IF(表1[[#This Row],[原国家]]="魏",0,IF(表1[[#This Row],[原国家]]="蜀",1,2))</f>
        <v>2</v>
      </c>
      <c r="J19" s="670">
        <v>1</v>
      </c>
      <c r="K19" s="670">
        <v>48</v>
      </c>
      <c r="L19" s="670">
        <v>0</v>
      </c>
      <c r="M19" s="670">
        <v>6</v>
      </c>
      <c r="N19" s="670">
        <v>21737</v>
      </c>
      <c r="O19" s="670">
        <v>1193934</v>
      </c>
      <c r="P19" s="678">
        <v>4336517</v>
      </c>
      <c r="Q19" s="679" t="s">
        <v>25</v>
      </c>
      <c r="R19" s="702">
        <f>IF(表1[[#This Row],[目标国家]]="魏",0,IF(表1[[#This Row],[目标国家]]="蜀",1,2))</f>
        <v>0</v>
      </c>
      <c r="S19" s="670">
        <v>1076</v>
      </c>
      <c r="T19" s="670">
        <v>0</v>
      </c>
      <c r="U19" s="670">
        <v>18275</v>
      </c>
      <c r="V19" s="670">
        <v>2366</v>
      </c>
      <c r="W19" s="682" t="str">
        <f>"{"&amp;"'coin':"&amp;表1[[#This Row],[补偿Coin]]&amp;",'"&amp;配置!$A$2&amp;"':"&amp;表1[[#This Row],[补偿辎重]]&amp;"},"</f>
        <v>{'coin':37000,'item036':370},</v>
      </c>
      <c r="X19" s="254" t="str">
        <f t="shared" ref="X19" si="3">"      },"</f>
        <v>      },</v>
      </c>
    </row>
    <row r="20" ht="14.25" customHeight="1" spans="1:24">
      <c r="A20" s="667">
        <v>7</v>
      </c>
      <c r="B20" s="667">
        <f>VLOOKUP(表1[[#This Row],[区服]],$O$29:$P$36,2,FALSE)</f>
        <v>88</v>
      </c>
      <c r="C20" s="668" t="s">
        <v>24</v>
      </c>
      <c r="D20" s="669" t="str">
        <f>表1[[#This Row],[目标国家]]</f>
        <v>吴</v>
      </c>
      <c r="E20" s="670">
        <f>(VLOOKUP(表1[[#This Row],[目标区服]],$Q$29:$R$30,2,FALSE)-表1[[#This Row],[开服天数]])*配置!$B$1</f>
        <v>38500</v>
      </c>
      <c r="F20" s="670">
        <f>表1[[#This Row],[补偿Coin]]*(表1[[#This Row],[活跃高战玩家数]]+表1[[#This Row],[活跃中坚玩家数]])</f>
        <v>385000</v>
      </c>
      <c r="G20" s="670">
        <f>(VLOOKUP(表1[[#This Row],[目标区服]],$Q$29:$R$30,2,FALSE)-表1[[#This Row],[开服天数]])*配置!$B$2</f>
        <v>385</v>
      </c>
      <c r="H20" s="669" t="s">
        <v>25</v>
      </c>
      <c r="I20" s="669">
        <f>IF(表1[[#This Row],[原国家]]="魏",0,IF(表1[[#This Row],[原国家]]="蜀",1,2))</f>
        <v>0</v>
      </c>
      <c r="J20" s="670">
        <v>0</v>
      </c>
      <c r="K20" s="670">
        <v>19</v>
      </c>
      <c r="L20" s="670">
        <v>0</v>
      </c>
      <c r="M20" s="670">
        <v>10</v>
      </c>
      <c r="N20" s="670">
        <v>47649</v>
      </c>
      <c r="O20" s="670">
        <v>1088135</v>
      </c>
      <c r="P20" s="678">
        <v>5700428</v>
      </c>
      <c r="Q20" s="679" t="s">
        <v>27</v>
      </c>
      <c r="R20" s="702">
        <f>IF(表1[[#This Row],[目标国家]]="魏",0,IF(表1[[#This Row],[目标国家]]="蜀",1,2))</f>
        <v>2</v>
      </c>
      <c r="S20" s="670">
        <v>1978</v>
      </c>
      <c r="T20" s="670">
        <v>0</v>
      </c>
      <c r="U20" s="670">
        <v>50149</v>
      </c>
      <c r="V20" s="670">
        <v>2195</v>
      </c>
      <c r="W20" s="682" t="str">
        <f>"{"&amp;"'coin':"&amp;表1[[#This Row],[补偿Coin]]&amp;",'"&amp;配置!$A$2&amp;"':"&amp;表1[[#This Row],[补偿辎重]]&amp;"},"</f>
        <v>{'coin':38500,'item036':385},</v>
      </c>
      <c r="X20" s="254" t="str">
        <f>"      '"&amp;表1[[#This Row],[区服]]&amp;"':{"</f>
        <v>      '7':{</v>
      </c>
    </row>
    <row r="21" ht="14.25" customHeight="1" spans="1:24">
      <c r="A21" s="667">
        <v>7</v>
      </c>
      <c r="B21" s="667">
        <f>VLOOKUP(表1[[#This Row],[区服]],$O$29:$P$36,2,FALSE)</f>
        <v>88</v>
      </c>
      <c r="C21" s="668" t="s">
        <v>24</v>
      </c>
      <c r="D21" s="669" t="str">
        <f>表1[[#This Row],[目标国家]]</f>
        <v>魏</v>
      </c>
      <c r="E21" s="670">
        <f>(VLOOKUP(表1[[#This Row],[目标区服]],$Q$29:$R$30,2,FALSE)-表1[[#This Row],[开服天数]])*配置!$B$1</f>
        <v>38500</v>
      </c>
      <c r="F21" s="670">
        <f>表1[[#This Row],[补偿Coin]]*(表1[[#This Row],[活跃高战玩家数]]+表1[[#This Row],[活跃中坚玩家数]])</f>
        <v>770000</v>
      </c>
      <c r="G21" s="670">
        <f>(VLOOKUP(表1[[#This Row],[目标区服]],$Q$29:$R$30,2,FALSE)-表1[[#This Row],[开服天数]])*配置!$B$2</f>
        <v>385</v>
      </c>
      <c r="H21" s="669" t="s">
        <v>26</v>
      </c>
      <c r="I21" s="669">
        <f>IF(表1[[#This Row],[原国家]]="魏",0,IF(表1[[#This Row],[原国家]]="蜀",1,2))</f>
        <v>1</v>
      </c>
      <c r="J21" s="670">
        <v>9</v>
      </c>
      <c r="K21" s="670">
        <v>359</v>
      </c>
      <c r="L21" s="670">
        <v>6</v>
      </c>
      <c r="M21" s="670">
        <v>14</v>
      </c>
      <c r="N21" s="670">
        <v>100994</v>
      </c>
      <c r="O21" s="670">
        <v>2526343</v>
      </c>
      <c r="P21" s="678">
        <v>15544494</v>
      </c>
      <c r="Q21" s="679" t="s">
        <v>25</v>
      </c>
      <c r="R21" s="702">
        <f>IF(表1[[#This Row],[目标国家]]="魏",0,IF(表1[[#This Row],[目标国家]]="蜀",1,2))</f>
        <v>0</v>
      </c>
      <c r="S21" s="670">
        <v>8076</v>
      </c>
      <c r="T21" s="670">
        <v>328</v>
      </c>
      <c r="U21" s="670">
        <v>482742</v>
      </c>
      <c r="V21" s="670">
        <v>9804</v>
      </c>
      <c r="W21" s="682" t="str">
        <f>"{"&amp;"'coin':"&amp;表1[[#This Row],[补偿Coin]]&amp;",'"&amp;配置!$A$2&amp;"':"&amp;表1[[#This Row],[补偿辎重]]&amp;"},"</f>
        <v>{'coin':38500,'item036':385},</v>
      </c>
      <c r="X21" s="254" t="str">
        <f>"            'reward':"&amp;表1[[#This Row],[辅助导出]]&amp;"
            'country':["&amp;R20&amp;","&amp;R21&amp;","&amp;R22&amp;"],"</f>
        <v>            'reward':{'coin':38500,'item036':385},
            'country':[2,0,1],</v>
      </c>
    </row>
    <row r="22" ht="14.25" customHeight="1" spans="1:24">
      <c r="A22" s="667">
        <v>7</v>
      </c>
      <c r="B22" s="667">
        <f>VLOOKUP(表1[[#This Row],[区服]],$O$29:$P$36,2,FALSE)</f>
        <v>88</v>
      </c>
      <c r="C22" s="668" t="s">
        <v>24</v>
      </c>
      <c r="D22" s="669" t="str">
        <f>表1[[#This Row],[目标国家]]</f>
        <v>蜀</v>
      </c>
      <c r="E22" s="670">
        <f>(VLOOKUP(表1[[#This Row],[目标区服]],$Q$29:$R$30,2,FALSE)-表1[[#This Row],[开服天数]])*配置!$B$1</f>
        <v>38500</v>
      </c>
      <c r="F22" s="670">
        <f>表1[[#This Row],[补偿Coin]]*(表1[[#This Row],[活跃高战玩家数]]+表1[[#This Row],[活跃中坚玩家数]])</f>
        <v>423500</v>
      </c>
      <c r="G22" s="670">
        <f>(VLOOKUP(表1[[#This Row],[目标区服]],$Q$29:$R$30,2,FALSE)-表1[[#This Row],[开服天数]])*配置!$B$2</f>
        <v>385</v>
      </c>
      <c r="H22" s="669" t="s">
        <v>27</v>
      </c>
      <c r="I22" s="669">
        <f>IF(表1[[#This Row],[原国家]]="魏",0,IF(表1[[#This Row],[原国家]]="蜀",1,2))</f>
        <v>2</v>
      </c>
      <c r="J22" s="670">
        <v>0</v>
      </c>
      <c r="K22" s="670">
        <v>17</v>
      </c>
      <c r="L22" s="670">
        <v>2</v>
      </c>
      <c r="M22" s="670">
        <v>9</v>
      </c>
      <c r="N22" s="670">
        <v>57139</v>
      </c>
      <c r="O22" s="670">
        <v>1337622</v>
      </c>
      <c r="P22" s="678">
        <v>6996810</v>
      </c>
      <c r="Q22" s="679" t="s">
        <v>26</v>
      </c>
      <c r="R22" s="702">
        <f>IF(表1[[#This Row],[目标国家]]="魏",0,IF(表1[[#This Row],[目标国家]]="蜀",1,2))</f>
        <v>1</v>
      </c>
      <c r="S22" s="670">
        <v>2726</v>
      </c>
      <c r="T22" s="670">
        <v>0</v>
      </c>
      <c r="U22" s="670">
        <v>42501</v>
      </c>
      <c r="V22" s="670">
        <v>2617</v>
      </c>
      <c r="W22" s="682" t="str">
        <f>"{"&amp;"'coin':"&amp;表1[[#This Row],[补偿Coin]]&amp;",'"&amp;配置!$A$2&amp;"':"&amp;表1[[#This Row],[补偿辎重]]&amp;"},"</f>
        <v>{'coin':38500,'item036':385},</v>
      </c>
      <c r="X22" s="254" t="str">
        <f t="shared" ref="X22" si="4">"      },"</f>
        <v>      },</v>
      </c>
    </row>
    <row r="23" ht="14.25" customHeight="1" spans="1:24">
      <c r="A23" s="667">
        <v>8</v>
      </c>
      <c r="B23" s="667">
        <f>VLOOKUP(表1[[#This Row],[区服]],$O$29:$P$36,2,FALSE)</f>
        <v>86</v>
      </c>
      <c r="C23" s="668" t="s">
        <v>24</v>
      </c>
      <c r="D23" s="669" t="str">
        <f>表1[[#This Row],[目标国家]]</f>
        <v>蜀</v>
      </c>
      <c r="E23" s="670">
        <f>(VLOOKUP(表1[[#This Row],[目标区服]],$Q$29:$R$30,2,FALSE)-表1[[#This Row],[开服天数]])*配置!$B$1</f>
        <v>39500</v>
      </c>
      <c r="F23" s="670">
        <f>表1[[#This Row],[补偿Coin]]*(表1[[#This Row],[活跃高战玩家数]]+表1[[#This Row],[活跃中坚玩家数]])</f>
        <v>434500</v>
      </c>
      <c r="G23" s="670">
        <f>(VLOOKUP(表1[[#This Row],[目标区服]],$Q$29:$R$30,2,FALSE)-表1[[#This Row],[开服天数]])*配置!$B$2</f>
        <v>395</v>
      </c>
      <c r="H23" s="669" t="s">
        <v>25</v>
      </c>
      <c r="I23" s="669">
        <f>IF(表1[[#This Row],[原国家]]="魏",0,IF(表1[[#This Row],[原国家]]="蜀",1,2))</f>
        <v>0</v>
      </c>
      <c r="J23" s="670">
        <v>0</v>
      </c>
      <c r="K23" s="670">
        <v>33</v>
      </c>
      <c r="L23" s="670">
        <v>0</v>
      </c>
      <c r="M23" s="670">
        <v>11</v>
      </c>
      <c r="N23" s="670">
        <v>40283</v>
      </c>
      <c r="O23" s="670">
        <v>1814561</v>
      </c>
      <c r="P23" s="678">
        <v>9049028</v>
      </c>
      <c r="Q23" s="679" t="s">
        <v>26</v>
      </c>
      <c r="R23" s="702">
        <f>IF(表1[[#This Row],[目标国家]]="魏",0,IF(表1[[#This Row],[目标国家]]="蜀",1,2))</f>
        <v>1</v>
      </c>
      <c r="S23" s="670">
        <v>3852</v>
      </c>
      <c r="T23" s="670">
        <v>0</v>
      </c>
      <c r="U23" s="670">
        <v>147846</v>
      </c>
      <c r="V23" s="670">
        <v>3514</v>
      </c>
      <c r="W23" s="682" t="str">
        <f>"{"&amp;"'coin':"&amp;表1[[#This Row],[补偿Coin]]&amp;",'"&amp;配置!$A$2&amp;"':"&amp;表1[[#This Row],[补偿辎重]]&amp;"},"</f>
        <v>{'coin':39500,'item036':395},</v>
      </c>
      <c r="X23" s="254" t="str">
        <f>"      '"&amp;表1[[#This Row],[区服]]&amp;"':{"</f>
        <v>      '8':{</v>
      </c>
    </row>
    <row r="24" ht="14.25" customHeight="1" spans="1:24">
      <c r="A24" s="667">
        <v>8</v>
      </c>
      <c r="B24" s="667">
        <f>VLOOKUP(表1[[#This Row],[区服]],$O$29:$P$36,2,FALSE)</f>
        <v>86</v>
      </c>
      <c r="C24" s="668" t="s">
        <v>24</v>
      </c>
      <c r="D24" s="669" t="str">
        <f>表1[[#This Row],[目标国家]]</f>
        <v>魏</v>
      </c>
      <c r="E24" s="670">
        <f>(VLOOKUP(表1[[#This Row],[目标区服]],$Q$29:$R$30,2,FALSE)-表1[[#This Row],[开服天数]])*配置!$B$1</f>
        <v>39500</v>
      </c>
      <c r="F24" s="670">
        <f>表1[[#This Row],[补偿Coin]]*(表1[[#This Row],[活跃高战玩家数]]+表1[[#This Row],[活跃中坚玩家数]])</f>
        <v>750500</v>
      </c>
      <c r="G24" s="670">
        <f>(VLOOKUP(表1[[#This Row],[目标区服]],$Q$29:$R$30,2,FALSE)-表1[[#This Row],[开服天数]])*配置!$B$2</f>
        <v>395</v>
      </c>
      <c r="H24" s="669" t="s">
        <v>26</v>
      </c>
      <c r="I24" s="669">
        <f>IF(表1[[#This Row],[原国家]]="魏",0,IF(表1[[#This Row],[原国家]]="蜀",1,2))</f>
        <v>1</v>
      </c>
      <c r="J24" s="670">
        <v>2</v>
      </c>
      <c r="K24" s="670">
        <v>127</v>
      </c>
      <c r="L24" s="670">
        <v>5</v>
      </c>
      <c r="M24" s="670">
        <v>14</v>
      </c>
      <c r="N24" s="670">
        <v>93369</v>
      </c>
      <c r="O24" s="670">
        <v>2999850</v>
      </c>
      <c r="P24" s="678">
        <v>22414171</v>
      </c>
      <c r="Q24" s="679" t="s">
        <v>25</v>
      </c>
      <c r="R24" s="702">
        <f>IF(表1[[#This Row],[目标国家]]="魏",0,IF(表1[[#This Row],[目标国家]]="蜀",1,2))</f>
        <v>0</v>
      </c>
      <c r="S24" s="670">
        <v>90848</v>
      </c>
      <c r="T24" s="670">
        <v>0</v>
      </c>
      <c r="U24" s="670">
        <v>281607</v>
      </c>
      <c r="V24" s="670">
        <v>10185</v>
      </c>
      <c r="W24" s="682" t="str">
        <f>"{"&amp;"'coin':"&amp;表1[[#This Row],[补偿Coin]]&amp;",'"&amp;配置!$A$2&amp;"':"&amp;表1[[#This Row],[补偿辎重]]&amp;"},"</f>
        <v>{'coin':39500,'item036':395},</v>
      </c>
      <c r="X24" s="254" t="str">
        <f>"            'reward':"&amp;表1[[#This Row],[辅助导出]]&amp;"
            'country':["&amp;R23&amp;","&amp;R24&amp;","&amp;R25&amp;"],"</f>
        <v>            'reward':{'coin':39500,'item036':395},
            'country':[1,0,2],</v>
      </c>
    </row>
    <row r="25" ht="14.25" customHeight="1" spans="1:24">
      <c r="A25" s="748">
        <v>8</v>
      </c>
      <c r="B25" s="748">
        <f>VLOOKUP(表1[[#This Row],[区服]],$O$29:$P$36,2,FALSE)</f>
        <v>86</v>
      </c>
      <c r="C25" s="668" t="s">
        <v>24</v>
      </c>
      <c r="D25" s="749" t="str">
        <f>表1[[#This Row],[目标国家]]</f>
        <v>吴</v>
      </c>
      <c r="E25" s="670">
        <f>(VLOOKUP(表1[[#This Row],[目标区服]],$Q$29:$R$30,2,FALSE)-表1[[#This Row],[开服天数]])*配置!$B$1</f>
        <v>39500</v>
      </c>
      <c r="F25" s="750">
        <f>表1[[#This Row],[补偿Coin]]*(表1[[#This Row],[活跃高战玩家数]]+表1[[#This Row],[活跃中坚玩家数]])</f>
        <v>750500</v>
      </c>
      <c r="G25" s="750">
        <f>(VLOOKUP(表1[[#This Row],[目标区服]],$Q$29:$R$30,2,FALSE)-表1[[#This Row],[开服天数]])*配置!$B$2</f>
        <v>395</v>
      </c>
      <c r="H25" s="749" t="s">
        <v>27</v>
      </c>
      <c r="I25" s="749">
        <f>IF(表1[[#This Row],[原国家]]="魏",0,IF(表1[[#This Row],[原国家]]="蜀",1,2))</f>
        <v>2</v>
      </c>
      <c r="J25" s="750">
        <v>7</v>
      </c>
      <c r="K25" s="750">
        <v>234</v>
      </c>
      <c r="L25" s="750">
        <v>4</v>
      </c>
      <c r="M25" s="750">
        <v>15</v>
      </c>
      <c r="N25" s="750">
        <v>110419</v>
      </c>
      <c r="O25" s="750">
        <v>3383675</v>
      </c>
      <c r="P25" s="751">
        <v>25690757</v>
      </c>
      <c r="Q25" s="752" t="s">
        <v>27</v>
      </c>
      <c r="R25" s="702">
        <f>IF(表1[[#This Row],[目标国家]]="魏",0,IF(表1[[#This Row],[目标国家]]="蜀",1,2))</f>
        <v>2</v>
      </c>
      <c r="S25" s="750">
        <v>102120</v>
      </c>
      <c r="T25" s="750">
        <v>24572</v>
      </c>
      <c r="U25" s="750">
        <v>562893</v>
      </c>
      <c r="V25" s="750">
        <v>13417</v>
      </c>
      <c r="W25" s="753" t="str">
        <f>"{"&amp;"'coin':"&amp;表1[[#This Row],[补偿Coin]]&amp;",'"&amp;配置!$A$2&amp;"':"&amp;表1[[#This Row],[补偿辎重]]&amp;"},"</f>
        <v>{'coin':39500,'item036':395},</v>
      </c>
      <c r="X25" s="254" t="str">
        <f t="shared" ref="X25" si="5">"      },"</f>
        <v>      },</v>
      </c>
    </row>
    <row r="28" ht="37.5" customHeight="1" spans="1:18">
      <c r="A28" s="36" t="s">
        <v>28</v>
      </c>
      <c r="B28" s="37" t="s">
        <v>29</v>
      </c>
      <c r="C28" s="38" t="s">
        <v>30</v>
      </c>
      <c r="D28" s="38" t="s">
        <v>31</v>
      </c>
      <c r="E28" s="38" t="s">
        <v>32</v>
      </c>
      <c r="F28" s="38" t="s">
        <v>33</v>
      </c>
      <c r="G28" s="38" t="s">
        <v>15</v>
      </c>
      <c r="H28" s="37" t="s">
        <v>18</v>
      </c>
      <c r="I28" s="37" t="s">
        <v>19</v>
      </c>
      <c r="J28" s="37" t="s">
        <v>34</v>
      </c>
      <c r="K28" s="38" t="s">
        <v>35</v>
      </c>
      <c r="L28" s="38" t="s">
        <v>36</v>
      </c>
      <c r="M28" s="38" t="s">
        <v>37</v>
      </c>
      <c r="O28" s="51" t="s">
        <v>0</v>
      </c>
      <c r="P28" s="51" t="s">
        <v>1</v>
      </c>
      <c r="Q28" s="51"/>
      <c r="R28" s="51" t="s">
        <v>38</v>
      </c>
    </row>
    <row r="29" ht="15" spans="1:18">
      <c r="A29" s="704" t="s">
        <v>24</v>
      </c>
      <c r="B29" s="704" t="s">
        <v>25</v>
      </c>
      <c r="C29" s="704">
        <f>COUNTIFS(表1[目标区服],表2[[#This Row],[合区区服]],表1[目标国家（映射）],表2[[#This Row],[国家]])</f>
        <v>8</v>
      </c>
      <c r="D29" s="704">
        <f>SUMIFS(表1[活跃高战玩家数],表1[目标区服],表2[[#This Row],[合区区服]],表1[目标国家（映射）],表2[[#This Row],[国家]])</f>
        <v>29</v>
      </c>
      <c r="E29" s="704">
        <f>SUMIFS(表1[活跃中坚玩家数],表1[目标区服],表2[[#This Row],[合区区服]],表1[目标国家（映射）],表2[[#This Row],[国家]])</f>
        <v>71</v>
      </c>
      <c r="F29" s="704">
        <f t="array" ref="F29">MAX((表1[目标区服]=表2[[#This Row],[合区区服]])*(表1[目标国家（映射）]=表2[[#This Row],[国家]])*表1[活跃尖端战力])</f>
        <v>3910152</v>
      </c>
      <c r="G29" s="705">
        <f>SUMIFS(表1[活跃总战力],表1[目标区服],表2[[#This Row],[合区区服]],表1[目标国家（映射）],表2[[#This Row],[国家]])</f>
        <v>128938684</v>
      </c>
      <c r="H29" s="704">
        <f>SUMIFS(表1[活跃实际充值],表1[目标区服],表2[[#This Row],[合区区服]],表1[目标国家（映射）],表2[[#This Row],[国家]])</f>
        <v>271546</v>
      </c>
      <c r="I29" s="704">
        <f>SUMIFS(表1[活跃虚拟充值],表1[目标区服],表2[[#This Row],[合区区服]],表1[目标国家（映射）],表2[[#This Row],[国家]])</f>
        <v>239120</v>
      </c>
      <c r="J29" s="704">
        <f>SUMIFS(表1[活跃Coin],表1[目标区服],表2[[#This Row],[合区区服]],表1[目标国家（映射）],表2[[#This Row],[国家]])</f>
        <v>2591365</v>
      </c>
      <c r="K29" s="704">
        <f>SUMIFS(表1[共计补偿Coin],表1[目标区服],表2[[#This Row],[合区区服]],表1[目标国家（映射）],表2[[#This Row],[国家]])</f>
        <v>2815500</v>
      </c>
      <c r="L29" s="704">
        <f>表2[[#This Row],[活跃Coin]]+表2[[#This Row],[共计补偿Coin]]</f>
        <v>5406865</v>
      </c>
      <c r="M29" s="704">
        <f>SUMIFS(表1[综合国力],表1[目标区服],表2[[#This Row],[合区区服]],表1[目标国家（映射）],表2[[#This Row],[国家]])</f>
        <v>69428</v>
      </c>
      <c r="O29" s="51">
        <v>1</v>
      </c>
      <c r="P29" s="51">
        <v>159</v>
      </c>
      <c r="Q29" s="51" t="s">
        <v>24</v>
      </c>
      <c r="R29" s="51">
        <v>165</v>
      </c>
    </row>
    <row r="30" ht="15" spans="1:18">
      <c r="A30" s="704" t="s">
        <v>24</v>
      </c>
      <c r="B30" s="704" t="s">
        <v>26</v>
      </c>
      <c r="C30" s="704">
        <f>COUNTIFS(表1[目标区服],表2[[#This Row],[合区区服]],表1[目标国家（映射）],表2[[#This Row],[国家]])</f>
        <v>8</v>
      </c>
      <c r="D30" s="704">
        <f>SUMIFS(表1[活跃高战玩家数],表1[目标区服],表2[[#This Row],[合区区服]],表1[目标国家（映射）],表2[[#This Row],[国家]])</f>
        <v>16</v>
      </c>
      <c r="E30" s="704">
        <f>SUMIFS(表1[活跃中坚玩家数],表1[目标区服],表2[[#This Row],[合区区服]],表1[目标国家（映射）],表2[[#This Row],[国家]])</f>
        <v>80</v>
      </c>
      <c r="F30" s="704">
        <f t="array" ref="F30">MAX((表1[目标区服]=表2[[#This Row],[合区区服]])*(表1[目标国家（映射）]=表2[[#This Row],[国家]])*表1[活跃尖端战力])</f>
        <v>4189042</v>
      </c>
      <c r="G30" s="705">
        <f>SUMIFS(表1[活跃总战力],表1[目标区服],表2[[#This Row],[合区区服]],表1[目标国家（映射）],表2[[#This Row],[国家]])</f>
        <v>110814366</v>
      </c>
      <c r="H30" s="704">
        <f>SUMIFS(表1[活跃实际充值],表1[目标区服],表2[[#This Row],[合区区服]],表1[目标国家（映射）],表2[[#This Row],[国家]])</f>
        <v>179758</v>
      </c>
      <c r="I30" s="704">
        <f>SUMIFS(表1[活跃虚拟充值],表1[目标区服],表2[[#This Row],[合区区服]],表1[目标国家（映射）],表2[[#This Row],[国家]])</f>
        <v>323876</v>
      </c>
      <c r="J30" s="704">
        <f>SUMIFS(表1[活跃Coin],表1[目标区服],表2[[#This Row],[合区区服]],表1[目标国家（映射）],表2[[#This Row],[国家]])</f>
        <v>2355093</v>
      </c>
      <c r="K30" s="704">
        <f>SUMIFS(表1[共计补偿Coin],表1[目标区服],表2[[#This Row],[合区区服]],表1[目标国家（映射）],表2[[#This Row],[国家]])</f>
        <v>2541000</v>
      </c>
      <c r="L30" s="704">
        <f>表2[[#This Row],[活跃Coin]]+表2[[#This Row],[共计补偿Coin]]</f>
        <v>4896093</v>
      </c>
      <c r="M30" s="704">
        <f>SUMIFS(表1[综合国力],表1[目标区服],表2[[#This Row],[合区区服]],表1[目标国家（映射）],表2[[#This Row],[国家]])</f>
        <v>49646</v>
      </c>
      <c r="O30" s="51">
        <v>2</v>
      </c>
      <c r="P30" s="51">
        <v>144</v>
      </c>
      <c r="Q30" s="51" t="s">
        <v>39</v>
      </c>
      <c r="R30" s="51">
        <v>110</v>
      </c>
    </row>
    <row r="31" ht="15" spans="1:16">
      <c r="A31" s="704" t="s">
        <v>24</v>
      </c>
      <c r="B31" s="704" t="s">
        <v>27</v>
      </c>
      <c r="C31" s="704">
        <f>COUNTIFS(表1[目标区服],表2[[#This Row],[合区区服]],表1[目标国家（映射）],表2[[#This Row],[国家]])</f>
        <v>8</v>
      </c>
      <c r="D31" s="704">
        <f>SUMIFS(表1[活跃高战玩家数],表1[目标区服],表2[[#This Row],[合区区服]],表1[目标国家（映射）],表2[[#This Row],[国家]])</f>
        <v>26</v>
      </c>
      <c r="E31" s="704">
        <f>SUMIFS(表1[活跃中坚玩家数],表1[目标区服],表2[[#This Row],[合区区服]],表1[目标国家（映射）],表2[[#This Row],[国家]])</f>
        <v>74</v>
      </c>
      <c r="F31" s="704">
        <f t="array" ref="F31">MAX((表1[目标区服]=表2[[#This Row],[合区区服]])*(表1[目标国家（映射）]=表2[[#This Row],[国家]])*表1[活跃尖端战力])</f>
        <v>3638307</v>
      </c>
      <c r="G31" s="705">
        <f>SUMIFS(表1[活跃总战力],表1[目标区服],表2[[#This Row],[合区区服]],表1[目标国家（映射）],表2[[#This Row],[国家]])</f>
        <v>132022214</v>
      </c>
      <c r="H31" s="704">
        <f>SUMIFS(表1[活跃实际充值],表1[目标区服],表2[[#This Row],[合区区服]],表1[目标国家（映射）],表2[[#This Row],[国家]])</f>
        <v>274640</v>
      </c>
      <c r="I31" s="704">
        <f>SUMIFS(表1[活跃虚拟充值],表1[目标区服],表2[[#This Row],[合区区服]],表1[目标国家（映射）],表2[[#This Row],[国家]])</f>
        <v>111276</v>
      </c>
      <c r="J31" s="704">
        <f>SUMIFS(表1[活跃Coin],表1[目标区服],表2[[#This Row],[合区区服]],表1[目标国家（映射）],表2[[#This Row],[国家]])</f>
        <v>2235898</v>
      </c>
      <c r="K31" s="704">
        <f>SUMIFS(表1[共计补偿Coin],表1[目标区服],表2[[#This Row],[合区区服]],表1[目标国家（映射）],表2[[#This Row],[国家]])</f>
        <v>2811500</v>
      </c>
      <c r="L31" s="704">
        <f>表2[[#This Row],[活跃Coin]]+表2[[#This Row],[共计补偿Coin]]</f>
        <v>5047398</v>
      </c>
      <c r="M31" s="704">
        <f>SUMIFS(表1[综合国力],表1[目标区服],表2[[#This Row],[合区区服]],表1[目标国家（映射）],表2[[#This Row],[国家]])</f>
        <v>59067</v>
      </c>
      <c r="O31" s="51">
        <v>3</v>
      </c>
      <c r="P31" s="51">
        <v>123</v>
      </c>
    </row>
    <row r="32" ht="15" spans="1:16">
      <c r="A32" s="672" t="s">
        <v>39</v>
      </c>
      <c r="B32" s="672" t="s">
        <v>25</v>
      </c>
      <c r="C32" s="672">
        <f>COUNTIFS(表1[目标区服],表2[[#This Row],[合区区服]],表1[目标国家（映射）],表2[[#This Row],[国家]])</f>
        <v>0</v>
      </c>
      <c r="D32" s="672">
        <f>SUMIFS(表1[活跃高战玩家数],表1[目标区服],表2[[#This Row],[合区区服]],表1[目标国家（映射）],表2[[#This Row],[国家]])</f>
        <v>0</v>
      </c>
      <c r="E32" s="672">
        <f>SUMIFS(表1[活跃中坚玩家数],表1[目标区服],表2[[#This Row],[合区区服]],表1[目标国家（映射）],表2[[#This Row],[国家]])</f>
        <v>0</v>
      </c>
      <c r="F32" s="672">
        <f t="array" ref="F32">MAX((表1[目标区服]=表2[[#This Row],[合区区服]])*(表1[目标国家（映射）]=表2[[#This Row],[国家]])*表1[活跃尖端战力])</f>
        <v>0</v>
      </c>
      <c r="G32" s="673">
        <f>SUMIFS(表1[活跃总战力],表1[目标区服],表2[[#This Row],[合区区服]],表1[目标国家（映射）],表2[[#This Row],[国家]])</f>
        <v>0</v>
      </c>
      <c r="H32" s="672">
        <f>SUMIFS(表1[活跃实际充值],表1[目标区服],表2[[#This Row],[合区区服]],表1[目标国家（映射）],表2[[#This Row],[国家]])</f>
        <v>0</v>
      </c>
      <c r="I32" s="672">
        <f>SUMIFS(表1[活跃虚拟充值],表1[目标区服],表2[[#This Row],[合区区服]],表1[目标国家（映射）],表2[[#This Row],[国家]])</f>
        <v>0</v>
      </c>
      <c r="J32" s="672">
        <f>SUMIFS(表1[活跃Coin],表1[目标区服],表2[[#This Row],[合区区服]],表1[目标国家（映射）],表2[[#This Row],[国家]])</f>
        <v>0</v>
      </c>
      <c r="K32" s="672">
        <f>SUMIFS(表1[共计补偿Coin],表1[目标区服],表2[[#This Row],[合区区服]],表1[目标国家（映射）],表2[[#This Row],[国家]])</f>
        <v>0</v>
      </c>
      <c r="L32" s="672">
        <f>表2[[#This Row],[活跃Coin]]+表2[[#This Row],[共计补偿Coin]]</f>
        <v>0</v>
      </c>
      <c r="M32" s="672">
        <f>SUMIFS(表1[综合国力],表1[目标区服],表2[[#This Row],[合区区服]],表1[目标国家（映射）],表2[[#This Row],[国家]])</f>
        <v>0</v>
      </c>
      <c r="O32" s="51">
        <v>4</v>
      </c>
      <c r="P32" s="51">
        <v>116</v>
      </c>
    </row>
    <row r="33" ht="15" spans="1:16">
      <c r="A33" s="672" t="s">
        <v>39</v>
      </c>
      <c r="B33" s="672" t="s">
        <v>26</v>
      </c>
      <c r="C33" s="672">
        <f>COUNTIFS(表1[目标区服],表2[[#This Row],[合区区服]],表1[目标国家（映射）],表2[[#This Row],[国家]])</f>
        <v>0</v>
      </c>
      <c r="D33" s="672">
        <f>SUMIFS(表1[活跃高战玩家数],表1[目标区服],表2[[#This Row],[合区区服]],表1[目标国家（映射）],表2[[#This Row],[国家]])</f>
        <v>0</v>
      </c>
      <c r="E33" s="672">
        <f>SUMIFS(表1[活跃中坚玩家数],表1[目标区服],表2[[#This Row],[合区区服]],表1[目标国家（映射）],表2[[#This Row],[国家]])</f>
        <v>0</v>
      </c>
      <c r="F33" s="672">
        <f t="array" ref="F33">MAX((表1[目标区服]=表2[[#This Row],[合区区服]])*(表1[目标国家（映射）]=表2[[#This Row],[国家]])*表1[活跃尖端战力])</f>
        <v>0</v>
      </c>
      <c r="G33" s="673">
        <f>SUMIFS(表1[活跃总战力],表1[目标区服],表2[[#This Row],[合区区服]],表1[目标国家（映射）],表2[[#This Row],[国家]])</f>
        <v>0</v>
      </c>
      <c r="H33" s="672">
        <f>SUMIFS(表1[活跃实际充值],表1[目标区服],表2[[#This Row],[合区区服]],表1[目标国家（映射）],表2[[#This Row],[国家]])</f>
        <v>0</v>
      </c>
      <c r="I33" s="672">
        <f>SUMIFS(表1[活跃虚拟充值],表1[目标区服],表2[[#This Row],[合区区服]],表1[目标国家（映射）],表2[[#This Row],[国家]])</f>
        <v>0</v>
      </c>
      <c r="J33" s="672">
        <f>SUMIFS(表1[活跃Coin],表1[目标区服],表2[[#This Row],[合区区服]],表1[目标国家（映射）],表2[[#This Row],[国家]])</f>
        <v>0</v>
      </c>
      <c r="K33" s="672">
        <f>SUMIFS(表1[共计补偿Coin],表1[目标区服],表2[[#This Row],[合区区服]],表1[目标国家（映射）],表2[[#This Row],[国家]])</f>
        <v>0</v>
      </c>
      <c r="L33" s="672">
        <f>表2[[#This Row],[活跃Coin]]+表2[[#This Row],[共计补偿Coin]]</f>
        <v>0</v>
      </c>
      <c r="M33" s="672">
        <f>SUMIFS(表1[综合国力],表1[目标区服],表2[[#This Row],[合区区服]],表1[目标国家（映射）],表2[[#This Row],[国家]])</f>
        <v>0</v>
      </c>
      <c r="O33" s="51">
        <v>5</v>
      </c>
      <c r="P33" s="51">
        <v>103</v>
      </c>
    </row>
    <row r="34" ht="15" spans="1:16">
      <c r="A34" s="672" t="s">
        <v>39</v>
      </c>
      <c r="B34" s="674" t="s">
        <v>27</v>
      </c>
      <c r="C34" s="674">
        <f>COUNTIFS(表1[目标区服],表2[[#This Row],[合区区服]],表1[目标国家（映射）],表2[[#This Row],[国家]])</f>
        <v>0</v>
      </c>
      <c r="D34" s="674">
        <f>SUMIFS(表1[活跃高战玩家数],表1[目标区服],表2[[#This Row],[合区区服]],表1[目标国家（映射）],表2[[#This Row],[国家]])</f>
        <v>0</v>
      </c>
      <c r="E34" s="674">
        <f>SUMIFS(表1[活跃中坚玩家数],表1[目标区服],表2[[#This Row],[合区区服]],表1[目标国家（映射）],表2[[#This Row],[国家]])</f>
        <v>0</v>
      </c>
      <c r="F34" s="674">
        <f t="array" ref="F34">MAX((表1[目标区服]=表2[[#This Row],[合区区服]])*(表1[目标国家（映射）]=表2[[#This Row],[国家]])*表1[活跃尖端战力])</f>
        <v>0</v>
      </c>
      <c r="G34" s="675">
        <f>SUMIFS(表1[活跃总战力],表1[目标区服],表2[[#This Row],[合区区服]],表1[目标国家（映射）],表2[[#This Row],[国家]])</f>
        <v>0</v>
      </c>
      <c r="H34" s="674">
        <f>SUMIFS(表1[活跃实际充值],表1[目标区服],表2[[#This Row],[合区区服]],表1[目标国家（映射）],表2[[#This Row],[国家]])</f>
        <v>0</v>
      </c>
      <c r="I34" s="674">
        <f>SUMIFS(表1[活跃虚拟充值],表1[目标区服],表2[[#This Row],[合区区服]],表1[目标国家（映射）],表2[[#This Row],[国家]])</f>
        <v>0</v>
      </c>
      <c r="J34" s="674">
        <f>SUMIFS(表1[活跃Coin],表1[目标区服],表2[[#This Row],[合区区服]],表1[目标国家（映射）],表2[[#This Row],[国家]])</f>
        <v>0</v>
      </c>
      <c r="K34" s="674">
        <f>SUMIFS(表1[共计补偿Coin],表1[目标区服],表2[[#This Row],[合区区服]],表1[目标国家（映射）],表2[[#This Row],[国家]])</f>
        <v>0</v>
      </c>
      <c r="L34" s="674">
        <f>表2[[#This Row],[活跃Coin]]+表2[[#This Row],[共计补偿Coin]]</f>
        <v>0</v>
      </c>
      <c r="M34" s="674">
        <f>SUMIFS(表1[综合国力],表1[目标区服],表2[[#This Row],[合区区服]],表1[目标国家（映射）],表2[[#This Row],[国家]])</f>
        <v>0</v>
      </c>
      <c r="O34" s="51">
        <v>6</v>
      </c>
      <c r="P34" s="51">
        <v>91</v>
      </c>
    </row>
    <row r="35" spans="15:16">
      <c r="O35" s="51">
        <v>7</v>
      </c>
      <c r="P35" s="51">
        <v>88</v>
      </c>
    </row>
    <row r="36" spans="15:16">
      <c r="O36" s="51">
        <v>8</v>
      </c>
      <c r="P36" s="51">
        <v>86</v>
      </c>
    </row>
  </sheetData>
  <conditionalFormatting sqref="F29:F3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{86a9bc64-15ac-4fc8-938f-69e79e7a892c}</x14:id>
        </ext>
      </extLst>
    </cfRule>
  </conditionalFormatting>
  <conditionalFormatting sqref="F32:F34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{c6cf3b66-4105-49e4-9031-88f9cb514516}</x14:id>
        </ext>
      </extLst>
    </cfRule>
  </conditionalFormatting>
  <conditionalFormatting sqref="G29:G31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{bfdb85bb-632b-42c4-bb35-142e07401756}</x14:id>
        </ext>
      </extLst>
    </cfRule>
  </conditionalFormatting>
  <conditionalFormatting sqref="G32:G34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{9fea8f93-bef4-4406-9bcc-a8d0e1d2040e}</x14:id>
        </ext>
      </extLst>
    </cfRule>
  </conditionalFormatting>
  <conditionalFormatting sqref="O2:O13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{2b71e39c-66da-4575-824e-61cf9b92b800}</x14:id>
        </ext>
      </extLst>
    </cfRule>
  </conditionalFormatting>
  <conditionalFormatting sqref="O14:O25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{83cde211-5db5-4651-a7cd-4e7b625ff82c}</x14:id>
        </ext>
      </extLst>
    </cfRule>
  </conditionalFormatting>
  <conditionalFormatting sqref="O29:O36">
    <cfRule type="cellIs" dxfId="37" priority="1" operator="equal">
      <formula>$S$29</formula>
    </cfRule>
  </conditionalFormatting>
  <conditionalFormatting sqref="P2:P13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{faa7897f-33e3-4b09-bc15-f6fdf977db70}</x14:id>
        </ext>
      </extLst>
    </cfRule>
  </conditionalFormatting>
  <conditionalFormatting sqref="P14:P25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{13e292f8-6595-4940-bfa0-970c51de964d}</x14:id>
        </ext>
      </extLst>
    </cfRule>
  </conditionalFormatting>
  <conditionalFormatting sqref="Q2:Q25">
    <cfRule type="cellIs" dxfId="38" priority="15" operator="equal">
      <formula>配置!$D$4</formula>
    </cfRule>
    <cfRule type="cellIs" dxfId="39" priority="16" operator="equal">
      <formula>配置!$D$3</formula>
    </cfRule>
  </conditionalFormatting>
  <conditionalFormatting sqref="Q29:Q30">
    <cfRule type="cellIs" dxfId="37" priority="2" operator="equal">
      <formula>$S$29</formula>
    </cfRule>
  </conditionalFormatting>
  <conditionalFormatting sqref="O26:O27 Q1:R1 Q2:Q25 O37:O1048576">
    <cfRule type="cellIs" dxfId="37" priority="17" operator="equal">
      <formula>配置!$D$2</formula>
    </cfRule>
  </conditionalFormatting>
  <dataValidations count="1">
    <dataValidation type="list" allowBlank="1" showInputMessage="1" showErrorMessage="1" sqref="Q2:Q25">
      <formula1>配置!$D$2:$D$4</formula1>
    </dataValidation>
  </dataValidations>
  <printOptions horizontalCentered="1" verticalCentered="1"/>
  <pageMargins left="0.393700787401575" right="0.393700787401575" top="0.393700787401575" bottom="0.393700787401575" header="0.31496062992126" footer="0.31496062992126"/>
  <pageSetup paperSize="9" scale="48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6a9bc64-15ac-4fc8-938f-69e79e7a89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c6cf3b66-4105-49e4-9031-88f9cb5145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bfdb85bb-632b-42c4-bb35-142e074017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9fea8f93-bef4-4406-9bcc-a8d0e1d204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2b71e39c-66da-4575-824e-61cf9b92b8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O2:O13</xm:sqref>
        </x14:conditionalFormatting>
        <x14:conditionalFormatting xmlns:xm="http://schemas.microsoft.com/office/excel/2006/main">
          <x14:cfRule type="dataBar" id="{83cde211-5db5-4651-a7cd-4e7b625ff8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O14:O25</xm:sqref>
        </x14:conditionalFormatting>
        <x14:conditionalFormatting xmlns:xm="http://schemas.microsoft.com/office/excel/2006/main">
          <x14:cfRule type="dataBar" id="{faa7897f-33e3-4b09-bc15-f6fdf977db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P2:P13</xm:sqref>
        </x14:conditionalFormatting>
        <x14:conditionalFormatting xmlns:xm="http://schemas.microsoft.com/office/excel/2006/main">
          <x14:cfRule type="dataBar" id="{13e292f8-6595-4940-bfa0-970c51de96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P14:P25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48"/>
  <sheetViews>
    <sheetView workbookViewId="0">
      <selection activeCell="A1" sqref="$A1:$XFD1048576"/>
    </sheetView>
  </sheetViews>
  <sheetFormatPr defaultColWidth="9" defaultRowHeight="13.5"/>
  <cols>
    <col min="1" max="1" width="5.75" customWidth="1"/>
    <col min="2" max="2" width="6.625" customWidth="1"/>
    <col min="3" max="3" width="5.25" customWidth="1"/>
    <col min="5" max="5" width="10.25" customWidth="1"/>
    <col min="6" max="6" width="9.625" customWidth="1"/>
    <col min="7" max="7" width="10.125" customWidth="1"/>
    <col min="8" max="8" width="7.375" customWidth="1"/>
    <col min="9" max="9" width="6.125" customWidth="1"/>
    <col min="10" max="11" width="6.875" customWidth="1"/>
    <col min="12" max="13" width="8.375" customWidth="1"/>
    <col min="14" max="14" width="8.25" customWidth="1"/>
    <col min="15" max="15" width="10.5" customWidth="1"/>
    <col min="16" max="16" width="8.75" customWidth="1"/>
    <col min="17" max="17" width="8.375" customWidth="1"/>
    <col min="18" max="18" width="5.125" customWidth="1"/>
    <col min="20" max="20" width="8.5" customWidth="1"/>
    <col min="21" max="21" width="7.75" customWidth="1"/>
    <col min="22" max="22" width="8.75" customWidth="1"/>
    <col min="23" max="23" width="32.25" customWidth="1"/>
    <col min="24" max="24" width="33.125" customWidth="1"/>
  </cols>
  <sheetData>
    <row r="1" s="1" customFormat="1" ht="27.75" spans="1:24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22</v>
      </c>
      <c r="X1" s="22" t="s">
        <v>23</v>
      </c>
    </row>
    <row r="2" ht="14.25" customHeight="1" spans="1:24">
      <c r="A2" s="700">
        <v>9</v>
      </c>
      <c r="B2" s="700">
        <f>VLOOKUP(表1_4[[#This Row],[区服]],$O$38:$P$48,2,FALSE)</f>
        <v>74</v>
      </c>
      <c r="C2" s="701" t="s">
        <v>39</v>
      </c>
      <c r="D2" s="745" t="str">
        <f>表1_4[[#This Row],[目标国家]]</f>
        <v>魏</v>
      </c>
      <c r="E2" s="746">
        <f>(VLOOKUP(表1_4[[#This Row],[目标区服]],$Q$38:$R$40,2,FALSE)-表1_4[[#This Row],[开服天数]])*配置!$B$1</f>
        <v>3000</v>
      </c>
      <c r="F2" s="746">
        <f>表1_4[[#This Row],[补偿Coin]]*(表1_4[[#This Row],[活跃高战玩家数]]+表1_4[[#This Row],[活跃中坚玩家数]])</f>
        <v>15000</v>
      </c>
      <c r="G2" s="746">
        <f>(VLOOKUP(表1_4[[#This Row],[目标区服]],$Q$38:$R$40,2,FALSE)-表1_4[[#This Row],[开服天数]])*配置!$B$2</f>
        <v>30</v>
      </c>
      <c r="H2" s="702" t="s">
        <v>25</v>
      </c>
      <c r="I2" s="702">
        <f>IF(表1_4[[#This Row],[原国家]]="魏",0,IF(表1_4[[#This Row],[原国家]]="蜀",1,2))</f>
        <v>0</v>
      </c>
      <c r="J2" s="703">
        <v>0</v>
      </c>
      <c r="K2" s="703">
        <v>18</v>
      </c>
      <c r="L2" s="703">
        <v>1</v>
      </c>
      <c r="M2" s="703">
        <v>4</v>
      </c>
      <c r="N2" s="703">
        <v>33104</v>
      </c>
      <c r="O2" s="703">
        <v>1573015</v>
      </c>
      <c r="P2" s="706">
        <v>3953305</v>
      </c>
      <c r="Q2" s="742" t="s">
        <v>25</v>
      </c>
      <c r="R2" s="702">
        <f>IF(表1_4[[#This Row],[目标国家]]="魏",0,IF(表1_4[[#This Row],[目标国家]]="蜀",1,2))</f>
        <v>0</v>
      </c>
      <c r="S2" s="703">
        <v>8310</v>
      </c>
      <c r="T2" s="703">
        <v>0</v>
      </c>
      <c r="U2" s="703">
        <v>79444</v>
      </c>
      <c r="V2" s="703">
        <v>2642</v>
      </c>
      <c r="W2" s="707" t="str">
        <f>"{"&amp;"'coin':"&amp;表1_4[[#This Row],[补偿Coin]]&amp;",'"&amp;配置!$A$2&amp;"':"&amp;表1_4[[#This Row],[补偿辎重]]&amp;"},"</f>
        <v>{'coin':3000,'item036':30},</v>
      </c>
      <c r="X2" s="708" t="str">
        <f>"      '"&amp;表1_4[[#This Row],[区服]]&amp;"':{"</f>
        <v>      '9':{</v>
      </c>
    </row>
    <row r="3" ht="14.25" customHeight="1" spans="1:24">
      <c r="A3" s="747">
        <v>9</v>
      </c>
      <c r="B3" s="700">
        <f>VLOOKUP(表1_4[[#This Row],[区服]],$O$38:$P$48,2,FALSE)</f>
        <v>74</v>
      </c>
      <c r="C3" s="701" t="s">
        <v>39</v>
      </c>
      <c r="D3" s="702" t="str">
        <f>表1_4[[#This Row],[目标国家]]</f>
        <v>蜀</v>
      </c>
      <c r="E3" s="703">
        <f>(VLOOKUP(表1_4[[#This Row],[目标区服]],$Q$38:$R$40,2,FALSE)-表1_4[[#This Row],[开服天数]])*配置!$B$1</f>
        <v>3000</v>
      </c>
      <c r="F3" s="703">
        <f>表1_4[[#This Row],[补偿Coin]]*(表1_4[[#This Row],[活跃高战玩家数]]+表1_4[[#This Row],[活跃中坚玩家数]])</f>
        <v>42000</v>
      </c>
      <c r="G3" s="703">
        <f>(VLOOKUP(表1_4[[#This Row],[目标区服]],$Q$38:$R$40,2,FALSE)-表1_4[[#This Row],[开服天数]])*配置!$B$2</f>
        <v>30</v>
      </c>
      <c r="H3" s="702" t="s">
        <v>26</v>
      </c>
      <c r="I3" s="702">
        <f>IF(表1_4[[#This Row],[原国家]]="魏",0,IF(表1_4[[#This Row],[原国家]]="蜀",1,2))</f>
        <v>1</v>
      </c>
      <c r="J3" s="703">
        <v>9</v>
      </c>
      <c r="K3" s="703">
        <v>360</v>
      </c>
      <c r="L3" s="703">
        <v>8</v>
      </c>
      <c r="M3" s="703">
        <v>6</v>
      </c>
      <c r="N3" s="703">
        <v>112504</v>
      </c>
      <c r="O3" s="703">
        <v>2471551</v>
      </c>
      <c r="P3" s="706">
        <v>17542580</v>
      </c>
      <c r="Q3" s="743" t="s">
        <v>26</v>
      </c>
      <c r="R3" s="702">
        <f>IF(表1_4[[#This Row],[目标国家]]="魏",0,IF(表1_4[[#This Row],[目标国家]]="蜀",1,2))</f>
        <v>1</v>
      </c>
      <c r="S3" s="703">
        <v>14028</v>
      </c>
      <c r="T3" s="703">
        <v>0</v>
      </c>
      <c r="U3" s="703">
        <v>582780</v>
      </c>
      <c r="V3" s="703">
        <v>10291</v>
      </c>
      <c r="W3" s="707" t="str">
        <f>"{"&amp;"'coin':"&amp;表1_4[[#This Row],[补偿Coin]]&amp;",'"&amp;配置!$A$2&amp;"':"&amp;表1_4[[#This Row],[补偿辎重]]&amp;"},"</f>
        <v>{'coin':3000,'item036':30},</v>
      </c>
      <c r="X3" s="708" t="str">
        <f>"            'reward':"&amp;表1_4[[#This Row],[辅助导出]]&amp;"
            'country':["&amp;R2&amp;","&amp;R3&amp;","&amp;R4&amp;"],"</f>
        <v>            'reward':{'coin':3000,'item036':30},
            'country':[0,1,2],</v>
      </c>
    </row>
    <row r="4" ht="14.25" customHeight="1" spans="1:24">
      <c r="A4" s="747">
        <v>9</v>
      </c>
      <c r="B4" s="700">
        <f>VLOOKUP(表1_4[[#This Row],[区服]],$O$38:$P$48,2,FALSE)</f>
        <v>74</v>
      </c>
      <c r="C4" s="701" t="s">
        <v>39</v>
      </c>
      <c r="D4" s="702" t="str">
        <f>表1_4[[#This Row],[目标国家]]</f>
        <v>吴</v>
      </c>
      <c r="E4" s="703">
        <f>(VLOOKUP(表1_4[[#This Row],[目标区服]],$Q$38:$R$40,2,FALSE)-表1_4[[#This Row],[开服天数]])*配置!$B$1</f>
        <v>3000</v>
      </c>
      <c r="F4" s="703">
        <f>表1_4[[#This Row],[补偿Coin]]*(表1_4[[#This Row],[活跃高战玩家数]]+表1_4[[#This Row],[活跃中坚玩家数]])</f>
        <v>6000</v>
      </c>
      <c r="G4" s="703">
        <f>(VLOOKUP(表1_4[[#This Row],[目标区服]],$Q$38:$R$40,2,FALSE)-表1_4[[#This Row],[开服天数]])*配置!$B$2</f>
        <v>30</v>
      </c>
      <c r="H4" s="702" t="s">
        <v>27</v>
      </c>
      <c r="I4" s="702">
        <f>IF(表1_4[[#This Row],[原国家]]="魏",0,IF(表1_4[[#This Row],[原国家]]="蜀",1,2))</f>
        <v>2</v>
      </c>
      <c r="J4" s="703">
        <v>0</v>
      </c>
      <c r="K4" s="703">
        <v>17</v>
      </c>
      <c r="L4" s="703">
        <v>0</v>
      </c>
      <c r="M4" s="703">
        <v>2</v>
      </c>
      <c r="N4" s="703">
        <v>14661</v>
      </c>
      <c r="O4" s="703">
        <v>1010114</v>
      </c>
      <c r="P4" s="706">
        <v>1840022</v>
      </c>
      <c r="Q4" s="743" t="s">
        <v>27</v>
      </c>
      <c r="R4" s="702">
        <f>IF(表1_4[[#This Row],[目标国家]]="魏",0,IF(表1_4[[#This Row],[目标国家]]="蜀",1,2))</f>
        <v>2</v>
      </c>
      <c r="S4" s="703">
        <v>3864</v>
      </c>
      <c r="T4" s="703">
        <v>0</v>
      </c>
      <c r="U4" s="703">
        <v>47755</v>
      </c>
      <c r="V4" s="703">
        <v>1601</v>
      </c>
      <c r="W4" s="707" t="str">
        <f>"{"&amp;"'coin':"&amp;表1_4[[#This Row],[补偿Coin]]&amp;",'"&amp;配置!$A$2&amp;"':"&amp;表1_4[[#This Row],[补偿辎重]]&amp;"},"</f>
        <v>{'coin':3000,'item036':30},</v>
      </c>
      <c r="X4" s="708" t="str">
        <f>"      },"</f>
        <v>      },</v>
      </c>
    </row>
    <row r="5" ht="14.25" customHeight="1" spans="1:24">
      <c r="A5" s="747">
        <v>10</v>
      </c>
      <c r="B5" s="700">
        <f>VLOOKUP(表1_4[[#This Row],[区服]],$O$38:$P$48,2,FALSE)</f>
        <v>73</v>
      </c>
      <c r="C5" s="701" t="s">
        <v>39</v>
      </c>
      <c r="D5" s="702" t="str">
        <f>表1_4[[#This Row],[目标国家]]</f>
        <v>吴</v>
      </c>
      <c r="E5" s="703">
        <f>(VLOOKUP(表1_4[[#This Row],[目标区服]],$Q$38:$R$40,2,FALSE)-表1_4[[#This Row],[开服天数]])*配置!$B$1</f>
        <v>3500</v>
      </c>
      <c r="F5" s="703">
        <f>表1_4[[#This Row],[补偿Coin]]*(表1_4[[#This Row],[活跃高战玩家数]]+表1_4[[#This Row],[活跃中坚玩家数]])</f>
        <v>17500</v>
      </c>
      <c r="G5" s="703">
        <f>(VLOOKUP(表1_4[[#This Row],[目标区服]],$Q$38:$R$40,2,FALSE)-表1_4[[#This Row],[开服天数]])*配置!$B$2</f>
        <v>35</v>
      </c>
      <c r="H5" s="702" t="s">
        <v>25</v>
      </c>
      <c r="I5" s="702">
        <f>IF(表1_4[[#This Row],[原国家]]="魏",0,IF(表1_4[[#This Row],[原国家]]="蜀",1,2))</f>
        <v>0</v>
      </c>
      <c r="J5" s="703">
        <v>0</v>
      </c>
      <c r="K5" s="703">
        <v>50</v>
      </c>
      <c r="L5" s="703">
        <v>1</v>
      </c>
      <c r="M5" s="703">
        <v>4</v>
      </c>
      <c r="N5" s="703">
        <v>30700</v>
      </c>
      <c r="O5" s="703">
        <v>1304403</v>
      </c>
      <c r="P5" s="706">
        <v>3776786</v>
      </c>
      <c r="Q5" s="742" t="s">
        <v>27</v>
      </c>
      <c r="R5" s="702">
        <f>IF(表1_4[[#This Row],[目标国家]]="魏",0,IF(表1_4[[#This Row],[目标国家]]="蜀",1,2))</f>
        <v>2</v>
      </c>
      <c r="S5" s="703">
        <v>5854</v>
      </c>
      <c r="T5" s="703">
        <v>0</v>
      </c>
      <c r="U5" s="703">
        <v>102661</v>
      </c>
      <c r="V5" s="703">
        <v>2613</v>
      </c>
      <c r="W5" s="707" t="str">
        <f>"{"&amp;"'coin':"&amp;表1_4[[#This Row],[补偿Coin]]&amp;",'"&amp;配置!$A$2&amp;"':"&amp;表1_4[[#This Row],[补偿辎重]]&amp;"},"</f>
        <v>{'coin':3500,'item036':35},</v>
      </c>
      <c r="X5" s="708" t="str">
        <f>"      '"&amp;表1_4[[#This Row],[区服]]&amp;"':{"</f>
        <v>      '10':{</v>
      </c>
    </row>
    <row r="6" ht="14.25" customHeight="1" spans="1:24">
      <c r="A6" s="700">
        <v>10</v>
      </c>
      <c r="B6" s="700">
        <f>VLOOKUP(表1_4[[#This Row],[区服]],$O$38:$P$48,2,FALSE)</f>
        <v>73</v>
      </c>
      <c r="C6" s="701" t="s">
        <v>39</v>
      </c>
      <c r="D6" s="702" t="str">
        <f>表1_4[[#This Row],[目标国家]]</f>
        <v>魏</v>
      </c>
      <c r="E6" s="703">
        <f>(VLOOKUP(表1_4[[#This Row],[目标区服]],$Q$38:$R$40,2,FALSE)-表1_4[[#This Row],[开服天数]])*配置!$B$1</f>
        <v>3500</v>
      </c>
      <c r="F6" s="703">
        <f>表1_4[[#This Row],[补偿Coin]]*(表1_4[[#This Row],[活跃高战玩家数]]+表1_4[[#This Row],[活跃中坚玩家数]])</f>
        <v>56000</v>
      </c>
      <c r="G6" s="703">
        <f>(VLOOKUP(表1_4[[#This Row],[目标区服]],$Q$38:$R$40,2,FALSE)-表1_4[[#This Row],[开服天数]])*配置!$B$2</f>
        <v>35</v>
      </c>
      <c r="H6" s="702" t="s">
        <v>26</v>
      </c>
      <c r="I6" s="702">
        <f>IF(表1_4[[#This Row],[原国家]]="魏",0,IF(表1_4[[#This Row],[原国家]]="蜀",1,2))</f>
        <v>1</v>
      </c>
      <c r="J6" s="703">
        <v>6</v>
      </c>
      <c r="K6" s="703">
        <v>227</v>
      </c>
      <c r="L6" s="703">
        <v>7</v>
      </c>
      <c r="M6" s="703">
        <v>9</v>
      </c>
      <c r="N6" s="703">
        <v>115705</v>
      </c>
      <c r="O6" s="703">
        <v>2409253</v>
      </c>
      <c r="P6" s="706">
        <v>17092352</v>
      </c>
      <c r="Q6" s="743" t="s">
        <v>25</v>
      </c>
      <c r="R6" s="702">
        <f>IF(表1_4[[#This Row],[目标国家]]="魏",0,IF(表1_4[[#This Row],[目标国家]]="蜀",1,2))</f>
        <v>0</v>
      </c>
      <c r="S6" s="703">
        <v>24288</v>
      </c>
      <c r="T6" s="703">
        <v>0</v>
      </c>
      <c r="U6" s="703">
        <v>592068</v>
      </c>
      <c r="V6" s="703">
        <v>8887</v>
      </c>
      <c r="W6" s="707" t="str">
        <f>"{"&amp;"'coin':"&amp;表1_4[[#This Row],[补偿Coin]]&amp;",'"&amp;配置!$A$2&amp;"':"&amp;表1_4[[#This Row],[补偿辎重]]&amp;"},"</f>
        <v>{'coin':3500,'item036':35},</v>
      </c>
      <c r="X6" s="708" t="str">
        <f>"            'reward':"&amp;表1_4[[#This Row],[辅助导出]]&amp;"
            'country':["&amp;R5&amp;","&amp;R6&amp;","&amp;R7&amp;"],"</f>
        <v>            'reward':{'coin':3500,'item036':35},
            'country':[2,0,1],</v>
      </c>
    </row>
    <row r="7" ht="14.25" customHeight="1" spans="1:24">
      <c r="A7" s="700">
        <v>10</v>
      </c>
      <c r="B7" s="700">
        <f>VLOOKUP(表1_4[[#This Row],[区服]],$O$38:$P$48,2,FALSE)</f>
        <v>73</v>
      </c>
      <c r="C7" s="701" t="s">
        <v>39</v>
      </c>
      <c r="D7" s="702" t="str">
        <f>表1_4[[#This Row],[目标国家]]</f>
        <v>蜀</v>
      </c>
      <c r="E7" s="703">
        <f>(VLOOKUP(表1_4[[#This Row],[目标区服]],$Q$38:$R$40,2,FALSE)-表1_4[[#This Row],[开服天数]])*配置!$B$1</f>
        <v>3500</v>
      </c>
      <c r="F7" s="703">
        <f>表1_4[[#This Row],[补偿Coin]]*(表1_4[[#This Row],[活跃高战玩家数]]+表1_4[[#This Row],[活跃中坚玩家数]])</f>
        <v>31500</v>
      </c>
      <c r="G7" s="703">
        <f>(VLOOKUP(表1_4[[#This Row],[目标区服]],$Q$38:$R$40,2,FALSE)-表1_4[[#This Row],[开服天数]])*配置!$B$2</f>
        <v>35</v>
      </c>
      <c r="H7" s="702" t="s">
        <v>27</v>
      </c>
      <c r="I7" s="702">
        <f>IF(表1_4[[#This Row],[原国家]]="魏",0,IF(表1_4[[#This Row],[原国家]]="蜀",1,2))</f>
        <v>2</v>
      </c>
      <c r="J7" s="703">
        <v>3</v>
      </c>
      <c r="K7" s="703">
        <v>118</v>
      </c>
      <c r="L7" s="703">
        <v>2</v>
      </c>
      <c r="M7" s="703">
        <v>7</v>
      </c>
      <c r="N7" s="703">
        <v>58816</v>
      </c>
      <c r="O7" s="703">
        <v>2208651</v>
      </c>
      <c r="P7" s="706">
        <v>8347780</v>
      </c>
      <c r="Q7" s="743" t="s">
        <v>26</v>
      </c>
      <c r="R7" s="702">
        <f>IF(表1_4[[#This Row],[目标国家]]="魏",0,IF(表1_4[[#This Row],[目标国家]]="蜀",1,2))</f>
        <v>1</v>
      </c>
      <c r="S7" s="703">
        <v>23088</v>
      </c>
      <c r="T7" s="703">
        <v>0</v>
      </c>
      <c r="U7" s="703">
        <v>308780</v>
      </c>
      <c r="V7" s="703">
        <v>5818</v>
      </c>
      <c r="W7" s="707" t="str">
        <f>"{"&amp;"'coin':"&amp;表1_4[[#This Row],[补偿Coin]]&amp;",'"&amp;配置!$A$2&amp;"':"&amp;表1_4[[#This Row],[补偿辎重]]&amp;"},"</f>
        <v>{'coin':3500,'item036':35},</v>
      </c>
      <c r="X7" s="708" t="str">
        <f t="shared" ref="X7" si="0">"      },"</f>
        <v>      },</v>
      </c>
    </row>
    <row r="8" ht="14.25" customHeight="1" spans="1:24">
      <c r="A8" s="700">
        <v>11</v>
      </c>
      <c r="B8" s="700">
        <f>VLOOKUP(表1_4[[#This Row],[区服]],$O$38:$P$48,2,FALSE)</f>
        <v>70</v>
      </c>
      <c r="C8" s="701" t="s">
        <v>39</v>
      </c>
      <c r="D8" s="702" t="str">
        <f>表1_4[[#This Row],[目标国家]]</f>
        <v>魏</v>
      </c>
      <c r="E8" s="703">
        <f>(VLOOKUP(表1_4[[#This Row],[目标区服]],$Q$38:$R$40,2,FALSE)-表1_4[[#This Row],[开服天数]])*配置!$B$1</f>
        <v>5000</v>
      </c>
      <c r="F8" s="703">
        <f>表1_4[[#This Row],[补偿Coin]]*(表1_4[[#This Row],[活跃高战玩家数]]+表1_4[[#This Row],[活跃中坚玩家数]])</f>
        <v>15000</v>
      </c>
      <c r="G8" s="703">
        <f>(VLOOKUP(表1_4[[#This Row],[目标区服]],$Q$38:$R$40,2,FALSE)-表1_4[[#This Row],[开服天数]])*配置!$B$2</f>
        <v>50</v>
      </c>
      <c r="H8" s="702" t="s">
        <v>25</v>
      </c>
      <c r="I8" s="702">
        <f>IF(表1_4[[#This Row],[原国家]]="魏",0,IF(表1_4[[#This Row],[原国家]]="蜀",1,2))</f>
        <v>0</v>
      </c>
      <c r="J8" s="703">
        <v>0</v>
      </c>
      <c r="K8" s="703">
        <v>15</v>
      </c>
      <c r="L8" s="703">
        <v>0</v>
      </c>
      <c r="M8" s="703">
        <v>3</v>
      </c>
      <c r="N8" s="703">
        <v>16869</v>
      </c>
      <c r="O8" s="703">
        <v>569306</v>
      </c>
      <c r="P8" s="706">
        <v>1425659</v>
      </c>
      <c r="Q8" s="742" t="s">
        <v>25</v>
      </c>
      <c r="R8" s="702">
        <f>IF(表1_4[[#This Row],[目标国家]]="魏",0,IF(表1_4[[#This Row],[目标国家]]="蜀",1,2))</f>
        <v>0</v>
      </c>
      <c r="S8" s="703">
        <v>6</v>
      </c>
      <c r="T8" s="703">
        <v>0</v>
      </c>
      <c r="U8" s="703">
        <v>23966</v>
      </c>
      <c r="V8" s="703">
        <v>970</v>
      </c>
      <c r="W8" s="707" t="str">
        <f>"{"&amp;"'coin':"&amp;表1_4[[#This Row],[补偿Coin]]&amp;",'"&amp;配置!$A$2&amp;"':"&amp;表1_4[[#This Row],[补偿辎重]]&amp;"},"</f>
        <v>{'coin':5000,'item036':50},</v>
      </c>
      <c r="X8" s="708" t="str">
        <f>"      '"&amp;表1_4[[#This Row],[区服]]&amp;"':{"</f>
        <v>      '11':{</v>
      </c>
    </row>
    <row r="9" ht="14.25" customHeight="1" spans="1:24">
      <c r="A9" s="700">
        <v>11</v>
      </c>
      <c r="B9" s="700">
        <f>VLOOKUP(表1_4[[#This Row],[区服]],$O$38:$P$48,2,FALSE)</f>
        <v>70</v>
      </c>
      <c r="C9" s="701" t="s">
        <v>39</v>
      </c>
      <c r="D9" s="702" t="str">
        <f>表1_4[[#This Row],[目标国家]]</f>
        <v>吴</v>
      </c>
      <c r="E9" s="703">
        <f>(VLOOKUP(表1_4[[#This Row],[目标区服]],$Q$38:$R$40,2,FALSE)-表1_4[[#This Row],[开服天数]])*配置!$B$1</f>
        <v>5000</v>
      </c>
      <c r="F9" s="703">
        <f>表1_4[[#This Row],[补偿Coin]]*(表1_4[[#This Row],[活跃高战玩家数]]+表1_4[[#This Row],[活跃中坚玩家数]])</f>
        <v>90000</v>
      </c>
      <c r="G9" s="703">
        <f>(VLOOKUP(表1_4[[#This Row],[目标区服]],$Q$38:$R$40,2,FALSE)-表1_4[[#This Row],[开服天数]])*配置!$B$2</f>
        <v>50</v>
      </c>
      <c r="H9" s="702" t="s">
        <v>26</v>
      </c>
      <c r="I9" s="702">
        <f>IF(表1_4[[#This Row],[原国家]]="魏",0,IF(表1_4[[#This Row],[原国家]]="蜀",1,2))</f>
        <v>1</v>
      </c>
      <c r="J9" s="703">
        <v>9</v>
      </c>
      <c r="K9" s="703">
        <v>366</v>
      </c>
      <c r="L9" s="703">
        <v>8</v>
      </c>
      <c r="M9" s="703">
        <v>10</v>
      </c>
      <c r="N9" s="703">
        <v>124537</v>
      </c>
      <c r="O9" s="703">
        <v>2129490</v>
      </c>
      <c r="P9" s="706">
        <v>15297892</v>
      </c>
      <c r="Q9" s="743" t="s">
        <v>27</v>
      </c>
      <c r="R9" s="702">
        <f>IF(表1_4[[#This Row],[目标国家]]="魏",0,IF(表1_4[[#This Row],[目标国家]]="蜀",1,2))</f>
        <v>2</v>
      </c>
      <c r="S9" s="703">
        <v>17542</v>
      </c>
      <c r="T9" s="703">
        <v>0</v>
      </c>
      <c r="U9" s="703">
        <v>388045</v>
      </c>
      <c r="V9" s="703">
        <v>9756</v>
      </c>
      <c r="W9" s="707" t="str">
        <f>"{"&amp;"'coin':"&amp;表1_4[[#This Row],[补偿Coin]]&amp;",'"&amp;配置!$A$2&amp;"':"&amp;表1_4[[#This Row],[补偿辎重]]&amp;"},"</f>
        <v>{'coin':5000,'item036':50},</v>
      </c>
      <c r="X9" s="708" t="str">
        <f>"            'reward':"&amp;表1_4[[#This Row],[辅助导出]]&amp;"
            'country':["&amp;R8&amp;","&amp;R9&amp;","&amp;R10&amp;"],"</f>
        <v>            'reward':{'coin':5000,'item036':50},
            'country':[0,2,1],</v>
      </c>
    </row>
    <row r="10" ht="14.25" customHeight="1" spans="1:24">
      <c r="A10" s="700">
        <v>11</v>
      </c>
      <c r="B10" s="700">
        <f>VLOOKUP(表1_4[[#This Row],[区服]],$O$38:$P$48,2,FALSE)</f>
        <v>70</v>
      </c>
      <c r="C10" s="701" t="s">
        <v>39</v>
      </c>
      <c r="D10" s="702" t="str">
        <f>表1_4[[#This Row],[目标国家]]</f>
        <v>蜀</v>
      </c>
      <c r="E10" s="703">
        <f>(VLOOKUP(表1_4[[#This Row],[目标区服]],$Q$38:$R$40,2,FALSE)-表1_4[[#This Row],[开服天数]])*配置!$B$1</f>
        <v>5000</v>
      </c>
      <c r="F10" s="703">
        <f>表1_4[[#This Row],[补偿Coin]]*(表1_4[[#This Row],[活跃高战玩家数]]+表1_4[[#This Row],[活跃中坚玩家数]])</f>
        <v>40000</v>
      </c>
      <c r="G10" s="703">
        <f>(VLOOKUP(表1_4[[#This Row],[目标区服]],$Q$38:$R$40,2,FALSE)-表1_4[[#This Row],[开服天数]])*配置!$B$2</f>
        <v>50</v>
      </c>
      <c r="H10" s="702" t="s">
        <v>27</v>
      </c>
      <c r="I10" s="702">
        <f>IF(表1_4[[#This Row],[原国家]]="魏",0,IF(表1_4[[#This Row],[原国家]]="蜀",1,2))</f>
        <v>2</v>
      </c>
      <c r="J10" s="703">
        <v>0</v>
      </c>
      <c r="K10" s="703">
        <v>14</v>
      </c>
      <c r="L10" s="703">
        <v>1</v>
      </c>
      <c r="M10" s="703">
        <v>7</v>
      </c>
      <c r="N10" s="703">
        <v>48750</v>
      </c>
      <c r="O10" s="703">
        <v>1109627</v>
      </c>
      <c r="P10" s="706">
        <v>4334410</v>
      </c>
      <c r="Q10" s="743" t="s">
        <v>26</v>
      </c>
      <c r="R10" s="702">
        <f>IF(表1_4[[#This Row],[目标国家]]="魏",0,IF(表1_4[[#This Row],[目标国家]]="蜀",1,2))</f>
        <v>1</v>
      </c>
      <c r="S10" s="703">
        <v>4208</v>
      </c>
      <c r="T10" s="703">
        <v>0</v>
      </c>
      <c r="U10" s="703">
        <v>79129</v>
      </c>
      <c r="V10" s="703">
        <v>2132</v>
      </c>
      <c r="W10" s="707" t="str">
        <f>"{"&amp;"'coin':"&amp;表1_4[[#This Row],[补偿Coin]]&amp;",'"&amp;配置!$A$2&amp;"':"&amp;表1_4[[#This Row],[补偿辎重]]&amp;"},"</f>
        <v>{'coin':5000,'item036':50},</v>
      </c>
      <c r="X10" s="708" t="str">
        <f t="shared" ref="X10" si="1">"      },"</f>
        <v>      },</v>
      </c>
    </row>
    <row r="11" ht="14.25" customHeight="1" spans="1:24">
      <c r="A11" s="700">
        <v>12</v>
      </c>
      <c r="B11" s="700">
        <f>VLOOKUP(表1_4[[#This Row],[区服]],$O$38:$P$48,2,FALSE)</f>
        <v>68</v>
      </c>
      <c r="C11" s="701" t="s">
        <v>39</v>
      </c>
      <c r="D11" s="702" t="str">
        <f>表1_4[[#This Row],[目标国家]]</f>
        <v>蜀</v>
      </c>
      <c r="E11" s="703">
        <f>(VLOOKUP(表1_4[[#This Row],[目标区服]],$Q$38:$R$40,2,FALSE)-表1_4[[#This Row],[开服天数]])*配置!$B$1</f>
        <v>6000</v>
      </c>
      <c r="F11" s="703">
        <f>表1_4[[#This Row],[补偿Coin]]*(表1_4[[#This Row],[活跃高战玩家数]]+表1_4[[#This Row],[活跃中坚玩家数]])</f>
        <v>36000</v>
      </c>
      <c r="G11" s="703">
        <f>(VLOOKUP(表1_4[[#This Row],[目标区服]],$Q$38:$R$40,2,FALSE)-表1_4[[#This Row],[开服天数]])*配置!$B$2</f>
        <v>60</v>
      </c>
      <c r="H11" s="702" t="s">
        <v>25</v>
      </c>
      <c r="I11" s="702">
        <f>IF(表1_4[[#This Row],[原国家]]="魏",0,IF(表1_4[[#This Row],[原国家]]="蜀",1,2))</f>
        <v>0</v>
      </c>
      <c r="J11" s="703">
        <v>0</v>
      </c>
      <c r="K11" s="703">
        <v>7</v>
      </c>
      <c r="L11" s="703">
        <v>1</v>
      </c>
      <c r="M11" s="703">
        <v>5</v>
      </c>
      <c r="N11" s="703">
        <v>35024</v>
      </c>
      <c r="O11" s="703">
        <v>965582</v>
      </c>
      <c r="P11" s="706">
        <v>2744576</v>
      </c>
      <c r="Q11" s="742" t="s">
        <v>26</v>
      </c>
      <c r="R11" s="702">
        <f>IF(表1_4[[#This Row],[目标国家]]="魏",0,IF(表1_4[[#This Row],[目标国家]]="蜀",1,2))</f>
        <v>1</v>
      </c>
      <c r="S11" s="703">
        <v>1242</v>
      </c>
      <c r="T11" s="703">
        <v>0</v>
      </c>
      <c r="U11" s="703">
        <v>25425</v>
      </c>
      <c r="V11" s="703">
        <v>1547</v>
      </c>
      <c r="W11" s="707" t="str">
        <f>"{"&amp;"'coin':"&amp;表1_4[[#This Row],[补偿Coin]]&amp;",'"&amp;配置!$A$2&amp;"':"&amp;表1_4[[#This Row],[补偿辎重]]&amp;"},"</f>
        <v>{'coin':6000,'item036':60},</v>
      </c>
      <c r="X11" s="708" t="str">
        <f>"      '"&amp;表1_4[[#This Row],[区服]]&amp;"':{"</f>
        <v>      '12':{</v>
      </c>
    </row>
    <row r="12" ht="14.25" customHeight="1" spans="1:24">
      <c r="A12" s="700">
        <v>12</v>
      </c>
      <c r="B12" s="700">
        <f>VLOOKUP(表1_4[[#This Row],[区服]],$O$38:$P$48,2,FALSE)</f>
        <v>68</v>
      </c>
      <c r="C12" s="701" t="s">
        <v>39</v>
      </c>
      <c r="D12" s="702" t="str">
        <f>表1_4[[#This Row],[目标国家]]</f>
        <v>魏</v>
      </c>
      <c r="E12" s="703">
        <f>(VLOOKUP(表1_4[[#This Row],[目标区服]],$Q$38:$R$40,2,FALSE)-表1_4[[#This Row],[开服天数]])*配置!$B$1</f>
        <v>6000</v>
      </c>
      <c r="F12" s="703">
        <f>表1_4[[#This Row],[补偿Coin]]*(表1_4[[#This Row],[活跃高战玩家数]]+表1_4[[#This Row],[活跃中坚玩家数]])</f>
        <v>30000</v>
      </c>
      <c r="G12" s="703">
        <f>(VLOOKUP(表1_4[[#This Row],[目标区服]],$Q$38:$R$40,2,FALSE)-表1_4[[#This Row],[开服天数]])*配置!$B$2</f>
        <v>60</v>
      </c>
      <c r="H12" s="702" t="s">
        <v>26</v>
      </c>
      <c r="I12" s="702">
        <f>IF(表1_4[[#This Row],[原国家]]="魏",0,IF(表1_4[[#This Row],[原国家]]="蜀",1,2))</f>
        <v>1</v>
      </c>
      <c r="J12" s="703">
        <v>0</v>
      </c>
      <c r="K12" s="703">
        <v>26</v>
      </c>
      <c r="L12" s="703">
        <v>2</v>
      </c>
      <c r="M12" s="703">
        <v>3</v>
      </c>
      <c r="N12" s="703">
        <v>31295</v>
      </c>
      <c r="O12" s="703">
        <v>1398404</v>
      </c>
      <c r="P12" s="706">
        <v>2770249</v>
      </c>
      <c r="Q12" s="743" t="s">
        <v>25</v>
      </c>
      <c r="R12" s="702">
        <f>IF(表1_4[[#This Row],[目标国家]]="魏",0,IF(表1_4[[#This Row],[目标国家]]="蜀",1,2))</f>
        <v>0</v>
      </c>
      <c r="S12" s="703">
        <v>12</v>
      </c>
      <c r="T12" s="703">
        <v>0</v>
      </c>
      <c r="U12" s="703">
        <v>48540</v>
      </c>
      <c r="V12" s="703">
        <v>2140</v>
      </c>
      <c r="W12" s="707" t="str">
        <f>"{"&amp;"'coin':"&amp;表1_4[[#This Row],[补偿Coin]]&amp;",'"&amp;配置!$A$2&amp;"':"&amp;表1_4[[#This Row],[补偿辎重]]&amp;"},"</f>
        <v>{'coin':6000,'item036':60},</v>
      </c>
      <c r="X12" s="708" t="str">
        <f>"            'reward':"&amp;表1_4[[#This Row],[辅助导出]]&amp;"
            'country':["&amp;R11&amp;","&amp;R12&amp;","&amp;R13&amp;"],"</f>
        <v>            'reward':{'coin':6000,'item036':60},
            'country':[1,0,2],</v>
      </c>
    </row>
    <row r="13" ht="14.25" customHeight="1" spans="1:24">
      <c r="A13" s="700">
        <v>12</v>
      </c>
      <c r="B13" s="700">
        <f>VLOOKUP(表1_4[[#This Row],[区服]],$O$38:$P$48,2,FALSE)</f>
        <v>68</v>
      </c>
      <c r="C13" s="701" t="s">
        <v>39</v>
      </c>
      <c r="D13" s="702" t="str">
        <f>表1_4[[#This Row],[目标国家]]</f>
        <v>吴</v>
      </c>
      <c r="E13" s="703">
        <f>(VLOOKUP(表1_4[[#This Row],[目标区服]],$Q$38:$R$40,2,FALSE)-表1_4[[#This Row],[开服天数]])*配置!$B$1</f>
        <v>6000</v>
      </c>
      <c r="F13" s="703">
        <f>表1_4[[#This Row],[补偿Coin]]*(表1_4[[#This Row],[活跃高战玩家数]]+表1_4[[#This Row],[活跃中坚玩家数]])</f>
        <v>90000</v>
      </c>
      <c r="G13" s="703">
        <f>(VLOOKUP(表1_4[[#This Row],[目标区服]],$Q$38:$R$40,2,FALSE)-表1_4[[#This Row],[开服天数]])*配置!$B$2</f>
        <v>60</v>
      </c>
      <c r="H13" s="702" t="s">
        <v>27</v>
      </c>
      <c r="I13" s="702">
        <f>IF(表1_4[[#This Row],[原国家]]="魏",0,IF(表1_4[[#This Row],[原国家]]="蜀",1,2))</f>
        <v>2</v>
      </c>
      <c r="J13" s="703">
        <v>9</v>
      </c>
      <c r="K13" s="703">
        <v>362</v>
      </c>
      <c r="L13" s="703">
        <v>7</v>
      </c>
      <c r="M13" s="703">
        <v>8</v>
      </c>
      <c r="N13" s="703">
        <v>117469</v>
      </c>
      <c r="O13" s="703">
        <v>2196325</v>
      </c>
      <c r="P13" s="706">
        <v>12518284</v>
      </c>
      <c r="Q13" s="743" t="s">
        <v>27</v>
      </c>
      <c r="R13" s="702">
        <f>IF(表1_4[[#This Row],[目标国家]]="魏",0,IF(表1_4[[#This Row],[目标国家]]="蜀",1,2))</f>
        <v>2</v>
      </c>
      <c r="S13" s="703">
        <v>30772</v>
      </c>
      <c r="T13" s="703">
        <v>0</v>
      </c>
      <c r="U13" s="703">
        <v>260582</v>
      </c>
      <c r="V13" s="703">
        <v>9739</v>
      </c>
      <c r="W13" s="707" t="str">
        <f>"{"&amp;"'coin':"&amp;表1_4[[#This Row],[补偿Coin]]&amp;",'"&amp;配置!$A$2&amp;"':"&amp;表1_4[[#This Row],[补偿辎重]]&amp;"},"</f>
        <v>{'coin':6000,'item036':60},</v>
      </c>
      <c r="X13" s="708" t="str">
        <f t="shared" ref="X13" si="2">"      },"</f>
        <v>      },</v>
      </c>
    </row>
    <row r="14" ht="14.25" customHeight="1" spans="1:24">
      <c r="A14" s="700">
        <v>13</v>
      </c>
      <c r="B14" s="700">
        <f>VLOOKUP(表1_4[[#This Row],[区服]],$O$38:$P$48,2,FALSE)</f>
        <v>66</v>
      </c>
      <c r="C14" s="701" t="s">
        <v>39</v>
      </c>
      <c r="D14" s="702" t="str">
        <f>表1_4[[#This Row],[目标国家]]</f>
        <v>魏</v>
      </c>
      <c r="E14" s="703">
        <f>(VLOOKUP(表1_4[[#This Row],[目标区服]],$Q$38:$R$40,2,FALSE)-表1_4[[#This Row],[开服天数]])*配置!$B$1</f>
        <v>7000</v>
      </c>
      <c r="F14" s="703">
        <f>表1_4[[#This Row],[补偿Coin]]*(表1_4[[#This Row],[活跃高战玩家数]]+表1_4[[#This Row],[活跃中坚玩家数]])</f>
        <v>91000</v>
      </c>
      <c r="G14" s="703">
        <f>(VLOOKUP(表1_4[[#This Row],[目标区服]],$Q$38:$R$40,2,FALSE)-表1_4[[#This Row],[开服天数]])*配置!$B$2</f>
        <v>70</v>
      </c>
      <c r="H14" s="702" t="s">
        <v>25</v>
      </c>
      <c r="I14" s="702">
        <f>IF(表1_4[[#This Row],[原国家]]="魏",0,IF(表1_4[[#This Row],[原国家]]="蜀",1,2))</f>
        <v>0</v>
      </c>
      <c r="J14" s="703">
        <v>5</v>
      </c>
      <c r="K14" s="703">
        <v>125</v>
      </c>
      <c r="L14" s="703">
        <v>6</v>
      </c>
      <c r="M14" s="703">
        <v>7</v>
      </c>
      <c r="N14" s="703">
        <v>85762</v>
      </c>
      <c r="O14" s="703">
        <v>2210773</v>
      </c>
      <c r="P14" s="706">
        <v>11102442</v>
      </c>
      <c r="Q14" s="742" t="s">
        <v>25</v>
      </c>
      <c r="R14" s="702">
        <f>IF(表1_4[[#This Row],[目标国家]]="魏",0,IF(表1_4[[#This Row],[目标国家]]="蜀",1,2))</f>
        <v>0</v>
      </c>
      <c r="S14" s="703">
        <v>13614</v>
      </c>
      <c r="T14" s="703">
        <v>0</v>
      </c>
      <c r="U14" s="703">
        <v>152801</v>
      </c>
      <c r="V14" s="703">
        <v>6061</v>
      </c>
      <c r="W14" s="707" t="str">
        <f>"{"&amp;"'coin':"&amp;表1_4[[#This Row],[补偿Coin]]&amp;",'"&amp;配置!$A$2&amp;"':"&amp;表1_4[[#This Row],[补偿辎重]]&amp;"},"</f>
        <v>{'coin':7000,'item036':70},</v>
      </c>
      <c r="X14" s="708" t="str">
        <f>"      '"&amp;表1_4[[#This Row],[区服]]&amp;"':{"</f>
        <v>      '13':{</v>
      </c>
    </row>
    <row r="15" ht="14.25" customHeight="1" spans="1:24">
      <c r="A15" s="700">
        <v>13</v>
      </c>
      <c r="B15" s="700">
        <f>VLOOKUP(表1_4[[#This Row],[区服]],$O$38:$P$48,2,FALSE)</f>
        <v>66</v>
      </c>
      <c r="C15" s="701" t="s">
        <v>39</v>
      </c>
      <c r="D15" s="702" t="str">
        <f>表1_4[[#This Row],[目标国家]]</f>
        <v>蜀</v>
      </c>
      <c r="E15" s="703">
        <f>(VLOOKUP(表1_4[[#This Row],[目标区服]],$Q$38:$R$40,2,FALSE)-表1_4[[#This Row],[开服天数]])*配置!$B$1</f>
        <v>7000</v>
      </c>
      <c r="F15" s="703">
        <f>表1_4[[#This Row],[补偿Coin]]*(表1_4[[#This Row],[活跃高战玩家数]]+表1_4[[#This Row],[活跃中坚玩家数]])</f>
        <v>91000</v>
      </c>
      <c r="G15" s="703">
        <f>(VLOOKUP(表1_4[[#This Row],[目标区服]],$Q$38:$R$40,2,FALSE)-表1_4[[#This Row],[开服天数]])*配置!$B$2</f>
        <v>70</v>
      </c>
      <c r="H15" s="702" t="s">
        <v>26</v>
      </c>
      <c r="I15" s="702">
        <f>IF(表1_4[[#This Row],[原国家]]="魏",0,IF(表1_4[[#This Row],[原国家]]="蜀",1,2))</f>
        <v>1</v>
      </c>
      <c r="J15" s="703">
        <v>2</v>
      </c>
      <c r="K15" s="703">
        <v>173</v>
      </c>
      <c r="L15" s="703">
        <v>2</v>
      </c>
      <c r="M15" s="703">
        <v>11</v>
      </c>
      <c r="N15" s="703">
        <v>60255</v>
      </c>
      <c r="O15" s="703">
        <v>1397958</v>
      </c>
      <c r="P15" s="706">
        <v>6113332</v>
      </c>
      <c r="Q15" s="743" t="s">
        <v>26</v>
      </c>
      <c r="R15" s="702">
        <f>IF(表1_4[[#This Row],[目标国家]]="魏",0,IF(表1_4[[#This Row],[目标国家]]="蜀",1,2))</f>
        <v>1</v>
      </c>
      <c r="S15" s="703">
        <v>1056</v>
      </c>
      <c r="T15" s="703">
        <v>0</v>
      </c>
      <c r="U15" s="703">
        <v>118174</v>
      </c>
      <c r="V15" s="703">
        <v>4390</v>
      </c>
      <c r="W15" s="707" t="str">
        <f>"{"&amp;"'coin':"&amp;表1_4[[#This Row],[补偿Coin]]&amp;",'"&amp;配置!$A$2&amp;"':"&amp;表1_4[[#This Row],[补偿辎重]]&amp;"},"</f>
        <v>{'coin':7000,'item036':70},</v>
      </c>
      <c r="X15" s="708" t="str">
        <f>"            'reward':"&amp;表1_4[[#This Row],[辅助导出]]&amp;"
            'country':["&amp;R14&amp;","&amp;R15&amp;","&amp;R16&amp;"],"</f>
        <v>            'reward':{'coin':7000,'item036':70},
            'country':[0,1,2],</v>
      </c>
    </row>
    <row r="16" ht="14.25" customHeight="1" spans="1:24">
      <c r="A16" s="700">
        <v>13</v>
      </c>
      <c r="B16" s="700">
        <f>VLOOKUP(表1_4[[#This Row],[区服]],$O$38:$P$48,2,FALSE)</f>
        <v>66</v>
      </c>
      <c r="C16" s="701" t="s">
        <v>39</v>
      </c>
      <c r="D16" s="702" t="str">
        <f>表1_4[[#This Row],[目标国家]]</f>
        <v>吴</v>
      </c>
      <c r="E16" s="703">
        <f>(VLOOKUP(表1_4[[#This Row],[目标区服]],$Q$38:$R$40,2,FALSE)-表1_4[[#This Row],[开服天数]])*配置!$B$1</f>
        <v>7000</v>
      </c>
      <c r="F16" s="703">
        <f>表1_4[[#This Row],[补偿Coin]]*(表1_4[[#This Row],[活跃高战玩家数]]+表1_4[[#This Row],[活跃中坚玩家数]])</f>
        <v>70000</v>
      </c>
      <c r="G16" s="703">
        <f>(VLOOKUP(表1_4[[#This Row],[目标区服]],$Q$38:$R$40,2,FALSE)-表1_4[[#This Row],[开服天数]])*配置!$B$2</f>
        <v>70</v>
      </c>
      <c r="H16" s="702" t="s">
        <v>27</v>
      </c>
      <c r="I16" s="702">
        <f>IF(表1_4[[#This Row],[原国家]]="魏",0,IF(表1_4[[#This Row],[原国家]]="蜀",1,2))</f>
        <v>2</v>
      </c>
      <c r="J16" s="703">
        <v>2</v>
      </c>
      <c r="K16" s="703">
        <v>97</v>
      </c>
      <c r="L16" s="703">
        <v>2</v>
      </c>
      <c r="M16" s="703">
        <v>8</v>
      </c>
      <c r="N16" s="703">
        <v>57396</v>
      </c>
      <c r="O16" s="703">
        <v>1630015</v>
      </c>
      <c r="P16" s="706">
        <v>6338123</v>
      </c>
      <c r="Q16" s="743" t="s">
        <v>27</v>
      </c>
      <c r="R16" s="702">
        <f>IF(表1_4[[#This Row],[目标国家]]="魏",0,IF(表1_4[[#This Row],[目标国家]]="蜀",1,2))</f>
        <v>2</v>
      </c>
      <c r="S16" s="703">
        <v>686</v>
      </c>
      <c r="T16" s="703">
        <v>15880</v>
      </c>
      <c r="U16" s="703">
        <v>105133</v>
      </c>
      <c r="V16" s="703">
        <v>4005</v>
      </c>
      <c r="W16" s="707" t="str">
        <f>"{"&amp;"'coin':"&amp;表1_4[[#This Row],[补偿Coin]]&amp;",'"&amp;配置!$A$2&amp;"':"&amp;表1_4[[#This Row],[补偿辎重]]&amp;"},"</f>
        <v>{'coin':7000,'item036':70},</v>
      </c>
      <c r="X16" s="708" t="str">
        <f>"      },"</f>
        <v>      },</v>
      </c>
    </row>
    <row r="17" ht="14.25" customHeight="1" spans="1:24">
      <c r="A17" s="667">
        <v>14</v>
      </c>
      <c r="B17" s="667">
        <f>VLOOKUP(表1_4[[#This Row],[区服]],$O$38:$P$48,2,FALSE)</f>
        <v>63</v>
      </c>
      <c r="C17" s="701" t="s">
        <v>40</v>
      </c>
      <c r="D17" s="669" t="str">
        <f>表1_4[[#This Row],[目标国家]]</f>
        <v>蜀</v>
      </c>
      <c r="E17" s="670">
        <f>(VLOOKUP(表1_4[[#This Row],[目标区服]],$Q$38:$R$40,2,FALSE)-表1_4[[#This Row],[开服天数]])*配置!$B$1</f>
        <v>1000</v>
      </c>
      <c r="F17" s="670">
        <f>表1_4[[#This Row],[补偿Coin]]*(表1_4[[#This Row],[活跃高战玩家数]]+表1_4[[#This Row],[活跃中坚玩家数]])</f>
        <v>18000</v>
      </c>
      <c r="G17" s="670">
        <f>(VLOOKUP(表1_4[[#This Row],[目标区服]],$Q$38:$R$40,2,FALSE)-表1_4[[#This Row],[开服天数]])*配置!$B$2</f>
        <v>10</v>
      </c>
      <c r="H17" s="669" t="s">
        <v>25</v>
      </c>
      <c r="I17" s="669">
        <f>IF(表1_4[[#This Row],[原国家]]="魏",0,IF(表1_4[[#This Row],[原国家]]="蜀",1,2))</f>
        <v>0</v>
      </c>
      <c r="J17" s="670">
        <v>3</v>
      </c>
      <c r="K17" s="670">
        <v>93</v>
      </c>
      <c r="L17" s="670">
        <v>2</v>
      </c>
      <c r="M17" s="670">
        <v>16</v>
      </c>
      <c r="N17" s="670">
        <v>96461</v>
      </c>
      <c r="O17" s="670">
        <v>2243284</v>
      </c>
      <c r="P17" s="678">
        <v>14675718</v>
      </c>
      <c r="Q17" s="742" t="s">
        <v>26</v>
      </c>
      <c r="R17" s="702">
        <f>IF(表1_4[[#This Row],[目标国家]]="魏",0,IF(表1_4[[#This Row],[目标国家]]="蜀",1,2))</f>
        <v>1</v>
      </c>
      <c r="S17" s="670">
        <v>30436</v>
      </c>
      <c r="T17" s="670">
        <v>0</v>
      </c>
      <c r="U17" s="670">
        <v>505754</v>
      </c>
      <c r="V17" s="670">
        <v>6841</v>
      </c>
      <c r="W17" s="682" t="str">
        <f>"{"&amp;"'coin':"&amp;表1_4[[#This Row],[补偿Coin]]&amp;",'"&amp;配置!$A$2&amp;"':"&amp;表1_4[[#This Row],[补偿辎重]]&amp;"},"</f>
        <v>{'coin':1000,'item036':10},</v>
      </c>
      <c r="X17" s="254" t="str">
        <f>"      '"&amp;表1_4[[#This Row],[区服]]&amp;"':{"</f>
        <v>      '14':{</v>
      </c>
    </row>
    <row r="18" ht="14.25" customHeight="1" spans="1:24">
      <c r="A18" s="667">
        <v>14</v>
      </c>
      <c r="B18" s="667">
        <f>VLOOKUP(表1_4[[#This Row],[区服]],$O$38:$P$48,2,FALSE)</f>
        <v>63</v>
      </c>
      <c r="C18" s="701" t="s">
        <v>40</v>
      </c>
      <c r="D18" s="669" t="str">
        <f>表1_4[[#This Row],[目标国家]]</f>
        <v>魏</v>
      </c>
      <c r="E18" s="670">
        <f>(VLOOKUP(表1_4[[#This Row],[目标区服]],$Q$38:$R$40,2,FALSE)-表1_4[[#This Row],[开服天数]])*配置!$B$1</f>
        <v>1000</v>
      </c>
      <c r="F18" s="670">
        <f>表1_4[[#This Row],[补偿Coin]]*(表1_4[[#This Row],[活跃高战玩家数]]+表1_4[[#This Row],[活跃中坚玩家数]])</f>
        <v>17000</v>
      </c>
      <c r="G18" s="670">
        <f>(VLOOKUP(表1_4[[#This Row],[目标区服]],$Q$38:$R$40,2,FALSE)-表1_4[[#This Row],[开服天数]])*配置!$B$2</f>
        <v>10</v>
      </c>
      <c r="H18" s="669" t="s">
        <v>26</v>
      </c>
      <c r="I18" s="669">
        <f>IF(表1_4[[#This Row],[原国家]]="魏",0,IF(表1_4[[#This Row],[原国家]]="蜀",1,2))</f>
        <v>1</v>
      </c>
      <c r="J18" s="670">
        <v>2</v>
      </c>
      <c r="K18" s="670">
        <v>164</v>
      </c>
      <c r="L18" s="670">
        <v>2</v>
      </c>
      <c r="M18" s="670">
        <v>15</v>
      </c>
      <c r="N18" s="670">
        <v>67946</v>
      </c>
      <c r="O18" s="670">
        <v>2000573</v>
      </c>
      <c r="P18" s="678">
        <v>11305052</v>
      </c>
      <c r="Q18" s="743" t="s">
        <v>25</v>
      </c>
      <c r="R18" s="702">
        <f>IF(表1_4[[#This Row],[目标国家]]="魏",0,IF(表1_4[[#This Row],[目标国家]]="蜀",1,2))</f>
        <v>0</v>
      </c>
      <c r="S18" s="670">
        <v>32472</v>
      </c>
      <c r="T18" s="670">
        <v>0</v>
      </c>
      <c r="U18" s="670">
        <v>298394</v>
      </c>
      <c r="V18" s="670">
        <v>6583</v>
      </c>
      <c r="W18" s="682" t="str">
        <f>"{"&amp;"'coin':"&amp;表1_4[[#This Row],[补偿Coin]]&amp;",'"&amp;配置!$A$2&amp;"':"&amp;表1_4[[#This Row],[补偿辎重]]&amp;"},"</f>
        <v>{'coin':1000,'item036':10},</v>
      </c>
      <c r="X18" s="254" t="str">
        <f>"            'reward':"&amp;表1_4[[#This Row],[辅助导出]]&amp;"
            'country':["&amp;R17&amp;","&amp;R18&amp;","&amp;R19&amp;"],"</f>
        <v>            'reward':{'coin':1000,'item036':10},
            'country':[1,0,2],</v>
      </c>
    </row>
    <row r="19" ht="14.25" customHeight="1" spans="1:24">
      <c r="A19" s="667">
        <v>14</v>
      </c>
      <c r="B19" s="667">
        <f>VLOOKUP(表1_4[[#This Row],[区服]],$O$38:$P$48,2,FALSE)</f>
        <v>63</v>
      </c>
      <c r="C19" s="701" t="s">
        <v>40</v>
      </c>
      <c r="D19" s="669" t="str">
        <f>表1_4[[#This Row],[目标国家]]</f>
        <v>吴</v>
      </c>
      <c r="E19" s="670">
        <f>(VLOOKUP(表1_4[[#This Row],[目标区服]],$Q$38:$R$40,2,FALSE)-表1_4[[#This Row],[开服天数]])*配置!$B$1</f>
        <v>1000</v>
      </c>
      <c r="F19" s="670">
        <f>表1_4[[#This Row],[补偿Coin]]*(表1_4[[#This Row],[活跃高战玩家数]]+表1_4[[#This Row],[活跃中坚玩家数]])</f>
        <v>17000</v>
      </c>
      <c r="G19" s="670">
        <f>(VLOOKUP(表1_4[[#This Row],[目标区服]],$Q$38:$R$40,2,FALSE)-表1_4[[#This Row],[开服天数]])*配置!$B$2</f>
        <v>10</v>
      </c>
      <c r="H19" s="669" t="s">
        <v>27</v>
      </c>
      <c r="I19" s="669">
        <f>IF(表1_4[[#This Row],[原国家]]="魏",0,IF(表1_4[[#This Row],[原国家]]="蜀",1,2))</f>
        <v>2</v>
      </c>
      <c r="J19" s="670">
        <v>4</v>
      </c>
      <c r="K19" s="670">
        <v>138</v>
      </c>
      <c r="L19" s="670">
        <v>5</v>
      </c>
      <c r="M19" s="670">
        <v>12</v>
      </c>
      <c r="N19" s="670">
        <v>99284</v>
      </c>
      <c r="O19" s="670">
        <v>2132761</v>
      </c>
      <c r="P19" s="678">
        <v>15488019</v>
      </c>
      <c r="Q19" s="743" t="s">
        <v>27</v>
      </c>
      <c r="R19" s="702">
        <f>IF(表1_4[[#This Row],[目标国家]]="魏",0,IF(表1_4[[#This Row],[目标国家]]="蜀",1,2))</f>
        <v>2</v>
      </c>
      <c r="S19" s="670">
        <v>16904</v>
      </c>
      <c r="T19" s="670">
        <v>12</v>
      </c>
      <c r="U19" s="670">
        <v>359175</v>
      </c>
      <c r="V19" s="670">
        <v>6824</v>
      </c>
      <c r="W19" s="682" t="str">
        <f>"{"&amp;"'coin':"&amp;表1_4[[#This Row],[补偿Coin]]&amp;",'"&amp;配置!$A$2&amp;"':"&amp;表1_4[[#This Row],[补偿辎重]]&amp;"},"</f>
        <v>{'coin':1000,'item036':10},</v>
      </c>
      <c r="X19" s="254" t="str">
        <f t="shared" ref="X19" si="3">"      },"</f>
        <v>      },</v>
      </c>
    </row>
    <row r="20" ht="14.25" customHeight="1" spans="1:24">
      <c r="A20" s="667">
        <v>15</v>
      </c>
      <c r="B20" s="667">
        <f>VLOOKUP(表1_4[[#This Row],[区服]],$O$38:$P$48,2,FALSE)</f>
        <v>61</v>
      </c>
      <c r="C20" s="701" t="s">
        <v>40</v>
      </c>
      <c r="D20" s="669" t="str">
        <f>表1_4[[#This Row],[目标国家]]</f>
        <v>吴</v>
      </c>
      <c r="E20" s="670">
        <f>(VLOOKUP(表1_4[[#This Row],[目标区服]],$Q$38:$R$40,2,FALSE)-表1_4[[#This Row],[开服天数]])*配置!$B$1</f>
        <v>2000</v>
      </c>
      <c r="F20" s="670">
        <f>表1_4[[#This Row],[补偿Coin]]*(表1_4[[#This Row],[活跃高战玩家数]]+表1_4[[#This Row],[活跃中坚玩家数]])</f>
        <v>18000</v>
      </c>
      <c r="G20" s="670">
        <f>(VLOOKUP(表1_4[[#This Row],[目标区服]],$Q$38:$R$40,2,FALSE)-表1_4[[#This Row],[开服天数]])*配置!$B$2</f>
        <v>20</v>
      </c>
      <c r="H20" s="669" t="s">
        <v>25</v>
      </c>
      <c r="I20" s="669">
        <f>IF(表1_4[[#This Row],[原国家]]="魏",0,IF(表1_4[[#This Row],[原国家]]="蜀",1,2))</f>
        <v>0</v>
      </c>
      <c r="J20" s="670">
        <v>3</v>
      </c>
      <c r="K20" s="670">
        <v>120</v>
      </c>
      <c r="L20" s="670">
        <v>1</v>
      </c>
      <c r="M20" s="670">
        <v>8</v>
      </c>
      <c r="N20" s="670">
        <v>53452</v>
      </c>
      <c r="O20" s="670">
        <v>1863142</v>
      </c>
      <c r="P20" s="678">
        <v>7752523</v>
      </c>
      <c r="Q20" s="742" t="s">
        <v>27</v>
      </c>
      <c r="R20" s="702">
        <f>IF(表1_4[[#This Row],[目标国家]]="魏",0,IF(表1_4[[#This Row],[目标国家]]="蜀",1,2))</f>
        <v>2</v>
      </c>
      <c r="S20" s="670">
        <v>466</v>
      </c>
      <c r="T20" s="670">
        <v>53590</v>
      </c>
      <c r="U20" s="670">
        <v>160823</v>
      </c>
      <c r="V20" s="670">
        <v>5116</v>
      </c>
      <c r="W20" s="682" t="str">
        <f>"{"&amp;"'coin':"&amp;表1_4[[#This Row],[补偿Coin]]&amp;",'"&amp;配置!$A$2&amp;"':"&amp;表1_4[[#This Row],[补偿辎重]]&amp;"},"</f>
        <v>{'coin':2000,'item036':20},</v>
      </c>
      <c r="X20" s="254" t="str">
        <f>"      '"&amp;表1_4[[#This Row],[区服]]&amp;"':{"</f>
        <v>      '15':{</v>
      </c>
    </row>
    <row r="21" ht="14.25" customHeight="1" spans="1:24">
      <c r="A21" s="667">
        <v>15</v>
      </c>
      <c r="B21" s="667">
        <f>VLOOKUP(表1_4[[#This Row],[区服]],$O$38:$P$48,2,FALSE)</f>
        <v>61</v>
      </c>
      <c r="C21" s="701" t="s">
        <v>40</v>
      </c>
      <c r="D21" s="669" t="str">
        <f>表1_4[[#This Row],[目标国家]]</f>
        <v>魏</v>
      </c>
      <c r="E21" s="670">
        <f>(VLOOKUP(表1_4[[#This Row],[目标区服]],$Q$38:$R$40,2,FALSE)-表1_4[[#This Row],[开服天数]])*配置!$B$1</f>
        <v>2000</v>
      </c>
      <c r="F21" s="670">
        <f>表1_4[[#This Row],[补偿Coin]]*(表1_4[[#This Row],[活跃高战玩家数]]+表1_4[[#This Row],[活跃中坚玩家数]])</f>
        <v>34000</v>
      </c>
      <c r="G21" s="670">
        <f>(VLOOKUP(表1_4[[#This Row],[目标区服]],$Q$38:$R$40,2,FALSE)-表1_4[[#This Row],[开服天数]])*配置!$B$2</f>
        <v>20</v>
      </c>
      <c r="H21" s="669" t="s">
        <v>26</v>
      </c>
      <c r="I21" s="669">
        <f>IF(表1_4[[#This Row],[原国家]]="魏",0,IF(表1_4[[#This Row],[原国家]]="蜀",1,2))</f>
        <v>1</v>
      </c>
      <c r="J21" s="670">
        <v>4</v>
      </c>
      <c r="K21" s="670">
        <v>196</v>
      </c>
      <c r="L21" s="670">
        <v>6</v>
      </c>
      <c r="M21" s="670">
        <v>11</v>
      </c>
      <c r="N21" s="670">
        <v>113052</v>
      </c>
      <c r="O21" s="670">
        <v>2905860</v>
      </c>
      <c r="P21" s="678">
        <v>16791616</v>
      </c>
      <c r="Q21" s="743" t="s">
        <v>25</v>
      </c>
      <c r="R21" s="702">
        <f>IF(表1_4[[#This Row],[目标国家]]="魏",0,IF(表1_4[[#This Row],[目标国家]]="蜀",1,2))</f>
        <v>0</v>
      </c>
      <c r="S21" s="670">
        <v>10580</v>
      </c>
      <c r="T21" s="670">
        <v>145500</v>
      </c>
      <c r="U21" s="670">
        <v>295009</v>
      </c>
      <c r="V21" s="670">
        <v>9577</v>
      </c>
      <c r="W21" s="682" t="str">
        <f>"{"&amp;"'coin':"&amp;表1_4[[#This Row],[补偿Coin]]&amp;",'"&amp;配置!$A$2&amp;"':"&amp;表1_4[[#This Row],[补偿辎重]]&amp;"},"</f>
        <v>{'coin':2000,'item036':20},</v>
      </c>
      <c r="X21" s="254" t="str">
        <f>"            'reward':"&amp;表1_4[[#This Row],[辅助导出]]&amp;"
            'country':["&amp;R20&amp;","&amp;R21&amp;","&amp;R22&amp;"],"</f>
        <v>            'reward':{'coin':2000,'item036':20},
            'country':[2,0,1],</v>
      </c>
    </row>
    <row r="22" ht="14.25" customHeight="1" spans="1:24">
      <c r="A22" s="667">
        <v>15</v>
      </c>
      <c r="B22" s="667">
        <f>VLOOKUP(表1_4[[#This Row],[区服]],$O$38:$P$48,2,FALSE)</f>
        <v>61</v>
      </c>
      <c r="C22" s="701" t="s">
        <v>40</v>
      </c>
      <c r="D22" s="669" t="str">
        <f>表1_4[[#This Row],[目标国家]]</f>
        <v>蜀</v>
      </c>
      <c r="E22" s="670">
        <f>(VLOOKUP(表1_4[[#This Row],[目标区服]],$Q$38:$R$40,2,FALSE)-表1_4[[#This Row],[开服天数]])*配置!$B$1</f>
        <v>2000</v>
      </c>
      <c r="F22" s="670">
        <f>表1_4[[#This Row],[补偿Coin]]*(表1_4[[#This Row],[活跃高战玩家数]]+表1_4[[#This Row],[活跃中坚玩家数]])</f>
        <v>14000</v>
      </c>
      <c r="G22" s="670">
        <f>(VLOOKUP(表1_4[[#This Row],[目标区服]],$Q$38:$R$40,2,FALSE)-表1_4[[#This Row],[开服天数]])*配置!$B$2</f>
        <v>20</v>
      </c>
      <c r="H22" s="669" t="s">
        <v>27</v>
      </c>
      <c r="I22" s="669">
        <f>IF(表1_4[[#This Row],[原国家]]="魏",0,IF(表1_4[[#This Row],[原国家]]="蜀",1,2))</f>
        <v>2</v>
      </c>
      <c r="J22" s="670">
        <v>2</v>
      </c>
      <c r="K22" s="670">
        <v>79</v>
      </c>
      <c r="L22" s="670">
        <v>3</v>
      </c>
      <c r="M22" s="670">
        <v>4</v>
      </c>
      <c r="N22" s="670">
        <v>48096</v>
      </c>
      <c r="O22" s="670">
        <v>2026507</v>
      </c>
      <c r="P22" s="678">
        <v>7158364</v>
      </c>
      <c r="Q22" s="743" t="s">
        <v>26</v>
      </c>
      <c r="R22" s="702">
        <f>IF(表1_4[[#This Row],[目标国家]]="魏",0,IF(表1_4[[#This Row],[目标国家]]="蜀",1,2))</f>
        <v>1</v>
      </c>
      <c r="S22" s="670">
        <v>51294</v>
      </c>
      <c r="T22" s="670">
        <v>0</v>
      </c>
      <c r="U22" s="670">
        <v>80435</v>
      </c>
      <c r="V22" s="670">
        <v>5592</v>
      </c>
      <c r="W22" s="682" t="str">
        <f>"{"&amp;"'coin':"&amp;表1_4[[#This Row],[补偿Coin]]&amp;",'"&amp;配置!$A$2&amp;"':"&amp;表1_4[[#This Row],[补偿辎重]]&amp;"},"</f>
        <v>{'coin':2000,'item036':20},</v>
      </c>
      <c r="X22" s="254" t="str">
        <f t="shared" ref="X22" si="4">"      },"</f>
        <v>      },</v>
      </c>
    </row>
    <row r="23" ht="14.25" customHeight="1" spans="1:24">
      <c r="A23" s="667">
        <v>16</v>
      </c>
      <c r="B23" s="667">
        <f>VLOOKUP(表1_4[[#This Row],[区服]],$O$38:$P$48,2,FALSE)</f>
        <v>59</v>
      </c>
      <c r="C23" s="701" t="s">
        <v>40</v>
      </c>
      <c r="D23" s="669" t="str">
        <f>表1_4[[#This Row],[目标国家]]</f>
        <v>蜀</v>
      </c>
      <c r="E23" s="678">
        <f>(VLOOKUP(表1_4[[#This Row],[目标区服]],$Q$38:$R$40,2,FALSE)-表1_4[[#This Row],[开服天数]])*配置!$B$1</f>
        <v>3000</v>
      </c>
      <c r="F23" s="670">
        <f>表1_4[[#This Row],[补偿Coin]]*(表1_4[[#This Row],[活跃高战玩家数]]+表1_4[[#This Row],[活跃中坚玩家数]])</f>
        <v>39000</v>
      </c>
      <c r="G23" s="671">
        <f>(VLOOKUP(表1_4[[#This Row],[目标区服]],$Q$38:$R$40,2,FALSE)-表1_4[[#This Row],[开服天数]])*配置!$B$2</f>
        <v>30</v>
      </c>
      <c r="H23" s="669" t="s">
        <v>25</v>
      </c>
      <c r="I23" s="676">
        <f>IF(表1_4[[#This Row],[原国家]]="魏",0,IF(表1_4[[#This Row],[原国家]]="蜀",1,2))</f>
        <v>0</v>
      </c>
      <c r="J23" s="670">
        <v>2</v>
      </c>
      <c r="K23" s="670">
        <v>65</v>
      </c>
      <c r="L23" s="670">
        <v>1</v>
      </c>
      <c r="M23" s="670">
        <v>12</v>
      </c>
      <c r="N23" s="670">
        <v>68855</v>
      </c>
      <c r="O23" s="677">
        <v>1290608</v>
      </c>
      <c r="P23" s="678">
        <v>6793505</v>
      </c>
      <c r="Q23" s="742" t="s">
        <v>26</v>
      </c>
      <c r="R23" s="702">
        <f>IF(表1_4[[#This Row],[目标国家]]="魏",0,IF(表1_4[[#This Row],[目标国家]]="蜀",1,2))</f>
        <v>1</v>
      </c>
      <c r="S23" s="670">
        <v>972</v>
      </c>
      <c r="T23" s="670">
        <v>0</v>
      </c>
      <c r="U23" s="670">
        <v>118421</v>
      </c>
      <c r="V23" s="670">
        <v>3311</v>
      </c>
      <c r="W23" s="680" t="str">
        <f>"{"&amp;"'coin':"&amp;表1_4[[#This Row],[补偿Coin]]&amp;",'"&amp;配置!$A$2&amp;"':"&amp;表1_4[[#This Row],[补偿辎重]]&amp;"},"</f>
        <v>{'coin':3000,'item036':30},</v>
      </c>
      <c r="X23" s="254" t="str">
        <f>"      '"&amp;表1_4[[#This Row],[区服]]&amp;"':{"</f>
        <v>      '16':{</v>
      </c>
    </row>
    <row r="24" ht="14.25" customHeight="1" spans="1:24">
      <c r="A24" s="667">
        <v>16</v>
      </c>
      <c r="B24" s="667">
        <f>VLOOKUP(表1_4[[#This Row],[区服]],$O$38:$P$48,2,FALSE)</f>
        <v>59</v>
      </c>
      <c r="C24" s="701" t="s">
        <v>40</v>
      </c>
      <c r="D24" s="669" t="str">
        <f>表1_4[[#This Row],[目标国家]]</f>
        <v>魏</v>
      </c>
      <c r="E24" s="678">
        <f>(VLOOKUP(表1_4[[#This Row],[目标区服]],$Q$38:$R$40,2,FALSE)-表1_4[[#This Row],[开服天数]])*配置!$B$1</f>
        <v>3000</v>
      </c>
      <c r="F24" s="670">
        <f>表1_4[[#This Row],[补偿Coin]]*(表1_4[[#This Row],[活跃高战玩家数]]+表1_4[[#This Row],[活跃中坚玩家数]])</f>
        <v>36000</v>
      </c>
      <c r="G24" s="671">
        <f>(VLOOKUP(表1_4[[#This Row],[目标区服]],$Q$38:$R$40,2,FALSE)-表1_4[[#This Row],[开服天数]])*配置!$B$2</f>
        <v>30</v>
      </c>
      <c r="H24" s="669" t="s">
        <v>26</v>
      </c>
      <c r="I24" s="676">
        <f>IF(表1_4[[#This Row],[原国家]]="魏",0,IF(表1_4[[#This Row],[原国家]]="蜀",1,2))</f>
        <v>1</v>
      </c>
      <c r="J24" s="670">
        <v>0</v>
      </c>
      <c r="K24" s="670">
        <v>30</v>
      </c>
      <c r="L24" s="670">
        <v>2</v>
      </c>
      <c r="M24" s="670">
        <v>10</v>
      </c>
      <c r="N24" s="670">
        <v>63154</v>
      </c>
      <c r="O24" s="677">
        <v>1060978</v>
      </c>
      <c r="P24" s="678">
        <v>6066019</v>
      </c>
      <c r="Q24" s="743" t="s">
        <v>25</v>
      </c>
      <c r="R24" s="702">
        <f>IF(表1_4[[#This Row],[目标国家]]="魏",0,IF(表1_4[[#This Row],[目标国家]]="蜀",1,2))</f>
        <v>0</v>
      </c>
      <c r="S24" s="670">
        <v>1332</v>
      </c>
      <c r="T24" s="670">
        <v>0</v>
      </c>
      <c r="U24" s="670">
        <v>76270</v>
      </c>
      <c r="V24" s="670">
        <v>2399</v>
      </c>
      <c r="W24" s="680" t="str">
        <f>"{"&amp;"'coin':"&amp;表1_4[[#This Row],[补偿Coin]]&amp;",'"&amp;配置!$A$2&amp;"':"&amp;表1_4[[#This Row],[补偿辎重]]&amp;"},"</f>
        <v>{'coin':3000,'item036':30},</v>
      </c>
      <c r="X24" s="254" t="str">
        <f>"            'reward':"&amp;表1_4[[#This Row],[辅助导出]]&amp;"
            'country':["&amp;R23&amp;","&amp;R24&amp;","&amp;R25&amp;"],"</f>
        <v>            'reward':{'coin':3000,'item036':30},
            'country':[1,0,2],</v>
      </c>
    </row>
    <row r="25" ht="14.25" customHeight="1" spans="1:24">
      <c r="A25" s="667">
        <v>16</v>
      </c>
      <c r="B25" s="667">
        <f>VLOOKUP(表1_4[[#This Row],[区服]],$O$38:$P$48,2,FALSE)</f>
        <v>59</v>
      </c>
      <c r="C25" s="701" t="s">
        <v>40</v>
      </c>
      <c r="D25" s="669" t="str">
        <f>表1_4[[#This Row],[目标国家]]</f>
        <v>吴</v>
      </c>
      <c r="E25" s="678">
        <f>(VLOOKUP(表1_4[[#This Row],[目标区服]],$Q$38:$R$40,2,FALSE)-表1_4[[#This Row],[开服天数]])*配置!$B$1</f>
        <v>3000</v>
      </c>
      <c r="F25" s="670">
        <f>表1_4[[#This Row],[补偿Coin]]*(表1_4[[#This Row],[活跃高战玩家数]]+表1_4[[#This Row],[活跃中坚玩家数]])</f>
        <v>39000</v>
      </c>
      <c r="G25" s="671">
        <f>(VLOOKUP(表1_4[[#This Row],[目标区服]],$Q$38:$R$40,2,FALSE)-表1_4[[#This Row],[开服天数]])*配置!$B$2</f>
        <v>30</v>
      </c>
      <c r="H25" s="669" t="s">
        <v>27</v>
      </c>
      <c r="I25" s="676">
        <f>IF(表1_4[[#This Row],[原国家]]="魏",0,IF(表1_4[[#This Row],[原国家]]="蜀",1,2))</f>
        <v>2</v>
      </c>
      <c r="J25" s="670">
        <v>7</v>
      </c>
      <c r="K25" s="670">
        <v>300</v>
      </c>
      <c r="L25" s="670">
        <v>6</v>
      </c>
      <c r="M25" s="670">
        <v>7</v>
      </c>
      <c r="N25" s="670">
        <v>100121</v>
      </c>
      <c r="O25" s="677">
        <v>1917053</v>
      </c>
      <c r="P25" s="678">
        <v>11467768</v>
      </c>
      <c r="Q25" s="743" t="s">
        <v>27</v>
      </c>
      <c r="R25" s="702">
        <f>IF(表1_4[[#This Row],[目标国家]]="魏",0,IF(表1_4[[#This Row],[目标国家]]="蜀",1,2))</f>
        <v>2</v>
      </c>
      <c r="S25" s="670">
        <v>28310</v>
      </c>
      <c r="T25" s="670">
        <v>0</v>
      </c>
      <c r="U25" s="670">
        <v>119085</v>
      </c>
      <c r="V25" s="670">
        <v>8232</v>
      </c>
      <c r="W25" s="680" t="str">
        <f>"{"&amp;"'coin':"&amp;表1_4[[#This Row],[补偿Coin]]&amp;",'"&amp;配置!$A$2&amp;"':"&amp;表1_4[[#This Row],[补偿辎重]]&amp;"},"</f>
        <v>{'coin':3000,'item036':30},</v>
      </c>
      <c r="X25" s="254" t="str">
        <f t="shared" ref="X25" si="5">"      },"</f>
        <v>      },</v>
      </c>
    </row>
    <row r="26" ht="14.25" customHeight="1" spans="1:24">
      <c r="A26" s="754">
        <v>17</v>
      </c>
      <c r="B26" s="754">
        <f>VLOOKUP(表1_4[[#This Row],[区服]],$O$38:$P$48,2,FALSE)</f>
        <v>52</v>
      </c>
      <c r="C26" s="755" t="s">
        <v>41</v>
      </c>
      <c r="D26" s="756" t="str">
        <f>表1_4[[#This Row],[目标国家]]</f>
        <v>魏</v>
      </c>
      <c r="E26" s="757">
        <f>(VLOOKUP(表1_4[[#This Row],[目标区服]],$Q$38:$R$40,2,FALSE)-表1_4[[#This Row],[开服天数]])*配置!$B$1</f>
        <v>1500</v>
      </c>
      <c r="F26" s="758">
        <f>表1_4[[#This Row],[补偿Coin]]*(表1_4[[#This Row],[活跃高战玩家数]]+表1_4[[#This Row],[活跃中坚玩家数]])</f>
        <v>46500</v>
      </c>
      <c r="G26" s="759">
        <f>(VLOOKUP(表1_4[[#This Row],[目标区服]],$Q$38:$R$40,2,FALSE)-表1_4[[#This Row],[开服天数]])*配置!$B$2</f>
        <v>15</v>
      </c>
      <c r="H26" s="756" t="s">
        <v>25</v>
      </c>
      <c r="I26" s="762">
        <f>IF(表1_4[[#This Row],[原国家]]="魏",0,IF(表1_4[[#This Row],[原国家]]="蜀",1,2))</f>
        <v>0</v>
      </c>
      <c r="J26" s="758">
        <v>5</v>
      </c>
      <c r="K26" s="758">
        <v>223</v>
      </c>
      <c r="L26" s="758">
        <v>6</v>
      </c>
      <c r="M26" s="758">
        <v>25</v>
      </c>
      <c r="N26" s="758">
        <v>164665</v>
      </c>
      <c r="O26" s="703">
        <v>2027603</v>
      </c>
      <c r="P26" s="706">
        <v>23083641</v>
      </c>
      <c r="Q26" s="763" t="s">
        <v>25</v>
      </c>
      <c r="R26" s="756">
        <f>IF(表1_4[[#This Row],[目标国家]]="魏",0,IF(表1_4[[#This Row],[目标国家]]="蜀",1,2))</f>
        <v>0</v>
      </c>
      <c r="S26" s="758">
        <v>35914</v>
      </c>
      <c r="T26" s="758">
        <v>13290</v>
      </c>
      <c r="U26" s="758">
        <v>477047</v>
      </c>
      <c r="V26" s="758">
        <v>9576</v>
      </c>
      <c r="W26" s="764" t="str">
        <f>"{"&amp;"'coin':"&amp;表1_4[[#This Row],[补偿Coin]]&amp;",'"&amp;配置!$A$2&amp;"':"&amp;表1_4[[#This Row],[补偿辎重]]&amp;"},"</f>
        <v>{'coin':1500,'item036':15},</v>
      </c>
      <c r="X26" s="708" t="str">
        <f>"      '"&amp;表1_4[[#This Row],[区服]]&amp;"':{"</f>
        <v>      '17':{</v>
      </c>
    </row>
    <row r="27" ht="14.25" customHeight="1" spans="1:24">
      <c r="A27" s="754">
        <v>17</v>
      </c>
      <c r="B27" s="754">
        <f>VLOOKUP(表1_4[[#This Row],[区服]],$O$38:$P$48,2,FALSE)</f>
        <v>52</v>
      </c>
      <c r="C27" s="755" t="s">
        <v>41</v>
      </c>
      <c r="D27" s="756" t="str">
        <f>表1_4[[#This Row],[目标国家]]</f>
        <v>吴</v>
      </c>
      <c r="E27" s="757">
        <f>(VLOOKUP(表1_4[[#This Row],[目标区服]],$Q$38:$R$40,2,FALSE)-表1_4[[#This Row],[开服天数]])*配置!$B$1</f>
        <v>1500</v>
      </c>
      <c r="F27" s="758">
        <f>表1_4[[#This Row],[补偿Coin]]*(表1_4[[#This Row],[活跃高战玩家数]]+表1_4[[#This Row],[活跃中坚玩家数]])</f>
        <v>18000</v>
      </c>
      <c r="G27" s="759">
        <f>(VLOOKUP(表1_4[[#This Row],[目标区服]],$Q$38:$R$40,2,FALSE)-表1_4[[#This Row],[开服天数]])*配置!$B$2</f>
        <v>15</v>
      </c>
      <c r="H27" s="756" t="s">
        <v>26</v>
      </c>
      <c r="I27" s="762">
        <f>IF(表1_4[[#This Row],[原国家]]="魏",0,IF(表1_4[[#This Row],[原国家]]="蜀",1,2))</f>
        <v>1</v>
      </c>
      <c r="J27" s="758">
        <v>1</v>
      </c>
      <c r="K27" s="758">
        <v>73</v>
      </c>
      <c r="L27" s="758">
        <v>0</v>
      </c>
      <c r="M27" s="758">
        <v>12</v>
      </c>
      <c r="N27" s="758">
        <v>53628</v>
      </c>
      <c r="O27" s="703">
        <v>994460</v>
      </c>
      <c r="P27" s="706">
        <v>6945597</v>
      </c>
      <c r="Q27" s="765" t="s">
        <v>27</v>
      </c>
      <c r="R27" s="756">
        <f>IF(表1_4[[#This Row],[目标国家]]="魏",0,IF(表1_4[[#This Row],[目标国家]]="蜀",1,2))</f>
        <v>2</v>
      </c>
      <c r="S27" s="758">
        <v>1004</v>
      </c>
      <c r="T27" s="758">
        <v>0</v>
      </c>
      <c r="U27" s="758">
        <v>86193</v>
      </c>
      <c r="V27" s="758">
        <v>2903</v>
      </c>
      <c r="W27" s="764" t="str">
        <f>"{"&amp;"'coin':"&amp;表1_4[[#This Row],[补偿Coin]]&amp;",'"&amp;配置!$A$2&amp;"':"&amp;表1_4[[#This Row],[补偿辎重]]&amp;"},"</f>
        <v>{'coin':1500,'item036':15},</v>
      </c>
      <c r="X27" s="766" t="str">
        <f>"            'reward':"&amp;表1_4[[#This Row],[辅助导出]]&amp;"
            'country':["&amp;R26&amp;","&amp;R27&amp;","&amp;R28&amp;"],"</f>
        <v>            'reward':{'coin':1500,'item036':15},
            'country':[0,2,1],</v>
      </c>
    </row>
    <row r="28" ht="14.25" customHeight="1" spans="1:24">
      <c r="A28" s="754">
        <v>17</v>
      </c>
      <c r="B28" s="754">
        <f>VLOOKUP(表1_4[[#This Row],[区服]],$O$38:$P$48,2,FALSE)</f>
        <v>52</v>
      </c>
      <c r="C28" s="755" t="s">
        <v>41</v>
      </c>
      <c r="D28" s="756" t="str">
        <f>表1_4[[#This Row],[目标国家]]</f>
        <v>蜀</v>
      </c>
      <c r="E28" s="757">
        <f>(VLOOKUP(表1_4[[#This Row],[目标区服]],$Q$38:$R$40,2,FALSE)-表1_4[[#This Row],[开服天数]])*配置!$B$1</f>
        <v>1500</v>
      </c>
      <c r="F28" s="758">
        <f>表1_4[[#This Row],[补偿Coin]]*(表1_4[[#This Row],[活跃高战玩家数]]+表1_4[[#This Row],[活跃中坚玩家数]])</f>
        <v>30000</v>
      </c>
      <c r="G28" s="759">
        <f>(VLOOKUP(表1_4[[#This Row],[目标区服]],$Q$38:$R$40,2,FALSE)-表1_4[[#This Row],[开服天数]])*配置!$B$2</f>
        <v>15</v>
      </c>
      <c r="H28" s="756" t="s">
        <v>27</v>
      </c>
      <c r="I28" s="762">
        <f>IF(表1_4[[#This Row],[原国家]]="魏",0,IF(表1_4[[#This Row],[原国家]]="蜀",1,2))</f>
        <v>2</v>
      </c>
      <c r="J28" s="758">
        <v>3</v>
      </c>
      <c r="K28" s="758">
        <v>99</v>
      </c>
      <c r="L28" s="758">
        <v>4</v>
      </c>
      <c r="M28" s="758">
        <v>16</v>
      </c>
      <c r="N28" s="758">
        <v>73384</v>
      </c>
      <c r="O28" s="703">
        <v>2575019</v>
      </c>
      <c r="P28" s="706">
        <v>13808666</v>
      </c>
      <c r="Q28" s="765" t="s">
        <v>26</v>
      </c>
      <c r="R28" s="756">
        <f>IF(表1_4[[#This Row],[目标国家]]="魏",0,IF(表1_4[[#This Row],[目标国家]]="蜀",1,2))</f>
        <v>1</v>
      </c>
      <c r="S28" s="758">
        <v>57634</v>
      </c>
      <c r="T28" s="758">
        <v>21418</v>
      </c>
      <c r="U28" s="758">
        <v>355562</v>
      </c>
      <c r="V28" s="758">
        <v>7911</v>
      </c>
      <c r="W28" s="764" t="str">
        <f>"{"&amp;"'coin':"&amp;表1_4[[#This Row],[补偿Coin]]&amp;",'"&amp;配置!$A$2&amp;"':"&amp;表1_4[[#This Row],[补偿辎重]]&amp;"},"</f>
        <v>{'coin':1500,'item036':15},</v>
      </c>
      <c r="X28" s="766" t="str">
        <f t="shared" ref="X28" si="6">"      },"</f>
        <v>      },</v>
      </c>
    </row>
    <row r="29" ht="14.25" customHeight="1" spans="1:24">
      <c r="A29" s="754">
        <v>18</v>
      </c>
      <c r="B29" s="754">
        <f>VLOOKUP(表1_4[[#This Row],[区服]],$O$38:$P$48,2,FALSE)</f>
        <v>51</v>
      </c>
      <c r="C29" s="755" t="s">
        <v>41</v>
      </c>
      <c r="D29" s="756" t="str">
        <f>表1_4[[#This Row],[目标国家]]</f>
        <v>魏</v>
      </c>
      <c r="E29" s="757">
        <f>(VLOOKUP(表1_4[[#This Row],[目标区服]],$Q$38:$R$40,2,FALSE)-表1_4[[#This Row],[开服天数]])*配置!$B$1</f>
        <v>2000</v>
      </c>
      <c r="F29" s="758">
        <f>表1_4[[#This Row],[补偿Coin]]*(表1_4[[#This Row],[活跃高战玩家数]]+表1_4[[#This Row],[活跃中坚玩家数]])</f>
        <v>32000</v>
      </c>
      <c r="G29" s="759">
        <f>(VLOOKUP(表1_4[[#This Row],[目标区服]],$Q$38:$R$40,2,FALSE)-表1_4[[#This Row],[开服天数]])*配置!$B$2</f>
        <v>20</v>
      </c>
      <c r="H29" s="756" t="s">
        <v>25</v>
      </c>
      <c r="I29" s="762">
        <f>IF(表1_4[[#This Row],[原国家]]="魏",0,IF(表1_4[[#This Row],[原国家]]="蜀",1,2))</f>
        <v>0</v>
      </c>
      <c r="J29" s="758">
        <v>1</v>
      </c>
      <c r="K29" s="758">
        <v>55</v>
      </c>
      <c r="L29" s="758">
        <v>1</v>
      </c>
      <c r="M29" s="758">
        <v>15</v>
      </c>
      <c r="N29" s="758">
        <v>59556</v>
      </c>
      <c r="O29" s="703">
        <v>1292520</v>
      </c>
      <c r="P29" s="706">
        <v>7888503</v>
      </c>
      <c r="Q29" s="742" t="s">
        <v>25</v>
      </c>
      <c r="R29" s="702">
        <f>IF(表1_4[[#This Row],[目标国家]]="魏",0,IF(表1_4[[#This Row],[目标国家]]="蜀",1,2))</f>
        <v>0</v>
      </c>
      <c r="S29" s="758">
        <v>11940</v>
      </c>
      <c r="T29" s="758">
        <v>0</v>
      </c>
      <c r="U29" s="758">
        <v>101715</v>
      </c>
      <c r="V29" s="758">
        <v>3489</v>
      </c>
      <c r="W29" s="764" t="str">
        <f>"{"&amp;"'coin':"&amp;表1_4[[#This Row],[补偿Coin]]&amp;",'"&amp;配置!$A$2&amp;"':"&amp;表1_4[[#This Row],[补偿辎重]]&amp;"},"</f>
        <v>{'coin':2000,'item036':20},</v>
      </c>
      <c r="X29" s="708" t="str">
        <f>"      '"&amp;表1_4[[#This Row],[区服]]&amp;"':{"</f>
        <v>      '18':{</v>
      </c>
    </row>
    <row r="30" ht="14.25" customHeight="1" spans="1:24">
      <c r="A30" s="754">
        <v>18</v>
      </c>
      <c r="B30" s="754">
        <f>VLOOKUP(表1_4[[#This Row],[区服]],$O$38:$P$48,2,FALSE)</f>
        <v>51</v>
      </c>
      <c r="C30" s="755" t="s">
        <v>41</v>
      </c>
      <c r="D30" s="756" t="str">
        <f>表1_4[[#This Row],[目标国家]]</f>
        <v>蜀</v>
      </c>
      <c r="E30" s="757">
        <f>(VLOOKUP(表1_4[[#This Row],[目标区服]],$Q$38:$R$40,2,FALSE)-表1_4[[#This Row],[开服天数]])*配置!$B$1</f>
        <v>2000</v>
      </c>
      <c r="F30" s="758">
        <f>表1_4[[#This Row],[补偿Coin]]*(表1_4[[#This Row],[活跃高战玩家数]]+表1_4[[#This Row],[活跃中坚玩家数]])</f>
        <v>24000</v>
      </c>
      <c r="G30" s="759">
        <f>(VLOOKUP(表1_4[[#This Row],[目标区服]],$Q$38:$R$40,2,FALSE)-表1_4[[#This Row],[开服天数]])*配置!$B$2</f>
        <v>20</v>
      </c>
      <c r="H30" s="756" t="s">
        <v>26</v>
      </c>
      <c r="I30" s="762">
        <f>IF(表1_4[[#This Row],[原国家]]="魏",0,IF(表1_4[[#This Row],[原国家]]="蜀",1,2))</f>
        <v>1</v>
      </c>
      <c r="J30" s="758">
        <v>0</v>
      </c>
      <c r="K30" s="758">
        <v>46</v>
      </c>
      <c r="L30" s="758">
        <v>1</v>
      </c>
      <c r="M30" s="758">
        <v>11</v>
      </c>
      <c r="N30" s="758">
        <v>55668</v>
      </c>
      <c r="O30" s="703">
        <v>1357418</v>
      </c>
      <c r="P30" s="706">
        <v>7010099</v>
      </c>
      <c r="Q30" s="743" t="s">
        <v>26</v>
      </c>
      <c r="R30" s="702">
        <f>IF(表1_4[[#This Row],[目标国家]]="魏",0,IF(表1_4[[#This Row],[目标国家]]="蜀",1,2))</f>
        <v>1</v>
      </c>
      <c r="S30" s="758">
        <v>14274</v>
      </c>
      <c r="T30" s="758">
        <v>36</v>
      </c>
      <c r="U30" s="758">
        <v>124746</v>
      </c>
      <c r="V30" s="758">
        <v>3350</v>
      </c>
      <c r="W30" s="764" t="str">
        <f>"{"&amp;"'coin':"&amp;表1_4[[#This Row],[补偿Coin]]&amp;",'"&amp;配置!$A$2&amp;"':"&amp;表1_4[[#This Row],[补偿辎重]]&amp;"},"</f>
        <v>{'coin':2000,'item036':20},</v>
      </c>
      <c r="X30" s="708" t="str">
        <f>"            'reward':"&amp;表1_4[[#This Row],[辅助导出]]&amp;"
            'country':["&amp;R29&amp;","&amp;R30&amp;","&amp;R31&amp;"],"</f>
        <v>            'reward':{'coin':2000,'item036':20},
            'country':[0,1,2],</v>
      </c>
    </row>
    <row r="31" ht="14.25" customHeight="1" spans="1:24">
      <c r="A31" s="754">
        <v>18</v>
      </c>
      <c r="B31" s="754">
        <f>VLOOKUP(表1_4[[#This Row],[区服]],$O$38:$P$48,2,FALSE)</f>
        <v>51</v>
      </c>
      <c r="C31" s="755" t="s">
        <v>41</v>
      </c>
      <c r="D31" s="756" t="str">
        <f>表1_4[[#This Row],[目标国家]]</f>
        <v>吴</v>
      </c>
      <c r="E31" s="757">
        <f>(VLOOKUP(表1_4[[#This Row],[目标区服]],$Q$38:$R$40,2,FALSE)-表1_4[[#This Row],[开服天数]])*配置!$B$1</f>
        <v>2000</v>
      </c>
      <c r="F31" s="758">
        <f>表1_4[[#This Row],[补偿Coin]]*(表1_4[[#This Row],[活跃高战玩家数]]+表1_4[[#This Row],[活跃中坚玩家数]])</f>
        <v>52000</v>
      </c>
      <c r="G31" s="759">
        <f>(VLOOKUP(表1_4[[#This Row],[目标区服]],$Q$38:$R$40,2,FALSE)-表1_4[[#This Row],[开服天数]])*配置!$B$2</f>
        <v>20</v>
      </c>
      <c r="H31" s="756" t="s">
        <v>27</v>
      </c>
      <c r="I31" s="762">
        <f>IF(表1_4[[#This Row],[原国家]]="魏",0,IF(表1_4[[#This Row],[原国家]]="蜀",1,2))</f>
        <v>2</v>
      </c>
      <c r="J31" s="758">
        <v>8</v>
      </c>
      <c r="K31" s="758">
        <v>294</v>
      </c>
      <c r="L31" s="758">
        <v>8</v>
      </c>
      <c r="M31" s="758">
        <v>18</v>
      </c>
      <c r="N31" s="758">
        <v>156285</v>
      </c>
      <c r="O31" s="703">
        <v>2193409</v>
      </c>
      <c r="P31" s="706">
        <v>19912957</v>
      </c>
      <c r="Q31" s="743" t="s">
        <v>27</v>
      </c>
      <c r="R31" s="702">
        <f>IF(表1_4[[#This Row],[目标国家]]="魏",0,IF(表1_4[[#This Row],[目标国家]]="蜀",1,2))</f>
        <v>2</v>
      </c>
      <c r="S31" s="758">
        <v>29774</v>
      </c>
      <c r="T31" s="758">
        <v>6270</v>
      </c>
      <c r="U31" s="758">
        <v>373391</v>
      </c>
      <c r="V31" s="758">
        <v>10035</v>
      </c>
      <c r="W31" s="764" t="str">
        <f>"{"&amp;"'coin':"&amp;表1_4[[#This Row],[补偿Coin]]&amp;",'"&amp;配置!$A$2&amp;"':"&amp;表1_4[[#This Row],[补偿辎重]]&amp;"},"</f>
        <v>{'coin':2000,'item036':20},</v>
      </c>
      <c r="X31" s="708" t="str">
        <f t="shared" ref="X31" si="7">"      },"</f>
        <v>      },</v>
      </c>
    </row>
    <row r="32" ht="14.25" customHeight="1" spans="1:24">
      <c r="A32" s="754">
        <v>19</v>
      </c>
      <c r="B32" s="754">
        <f>VLOOKUP(表1_4[[#This Row],[区服]],$O$38:$P$48,2,FALSE)</f>
        <v>48</v>
      </c>
      <c r="C32" s="755" t="s">
        <v>41</v>
      </c>
      <c r="D32" s="756" t="str">
        <f>表1_4[[#This Row],[目标国家]]</f>
        <v>魏</v>
      </c>
      <c r="E32" s="758">
        <f>(VLOOKUP(表1_4[[#This Row],[目标区服]],$Q$38:$R$40,2,FALSE)-表1_4[[#This Row],[开服天数]])*配置!$B$1</f>
        <v>3500</v>
      </c>
      <c r="F32" s="758">
        <f>表1_4[[#This Row],[补偿Coin]]*(表1_4[[#This Row],[活跃高战玩家数]]+表1_4[[#This Row],[活跃中坚玩家数]])</f>
        <v>38500</v>
      </c>
      <c r="G32" s="758">
        <f>(VLOOKUP(表1_4[[#This Row],[目标区服]],$Q$38:$R$40,2,FALSE)-表1_4[[#This Row],[开服天数]])*配置!$B$2</f>
        <v>35</v>
      </c>
      <c r="H32" s="756" t="s">
        <v>25</v>
      </c>
      <c r="I32" s="756">
        <f>IF(表1_4[[#This Row],[原国家]]="魏",0,IF(表1_4[[#This Row],[原国家]]="蜀",1,2))</f>
        <v>0</v>
      </c>
      <c r="J32" s="758">
        <v>2</v>
      </c>
      <c r="K32" s="758">
        <v>90</v>
      </c>
      <c r="L32" s="758">
        <v>1</v>
      </c>
      <c r="M32" s="758">
        <v>10</v>
      </c>
      <c r="N32" s="758">
        <v>54522</v>
      </c>
      <c r="O32" s="703">
        <v>1054029</v>
      </c>
      <c r="P32" s="706">
        <v>6221899</v>
      </c>
      <c r="Q32" s="742" t="s">
        <v>25</v>
      </c>
      <c r="R32" s="702">
        <f>IF(表1_4[[#This Row],[目标国家]]="魏",0,IF(表1_4[[#This Row],[目标国家]]="蜀",1,2))</f>
        <v>0</v>
      </c>
      <c r="S32" s="758">
        <v>5810</v>
      </c>
      <c r="T32" s="758">
        <v>0</v>
      </c>
      <c r="U32" s="758">
        <v>98049</v>
      </c>
      <c r="V32" s="758">
        <v>3321</v>
      </c>
      <c r="W32" s="766" t="str">
        <f>"{"&amp;"'coin':"&amp;表1_4[[#This Row],[补偿Coin]]&amp;",'"&amp;配置!$A$2&amp;"':"&amp;表1_4[[#This Row],[补偿辎重]]&amp;"},"</f>
        <v>{'coin':3500,'item036':35},</v>
      </c>
      <c r="X32" s="708" t="str">
        <f>"      '"&amp;表1_4[[#This Row],[区服]]&amp;"':{"</f>
        <v>      '19':{</v>
      </c>
    </row>
    <row r="33" ht="14.25" customHeight="1" spans="1:24">
      <c r="A33" s="754">
        <v>19</v>
      </c>
      <c r="B33" s="754">
        <f>VLOOKUP(表1_4[[#This Row],[区服]],$O$38:$P$48,2,FALSE)</f>
        <v>48</v>
      </c>
      <c r="C33" s="755" t="s">
        <v>41</v>
      </c>
      <c r="D33" s="756" t="str">
        <f>表1_4[[#This Row],[目标国家]]</f>
        <v>吴</v>
      </c>
      <c r="E33" s="758">
        <f>(VLOOKUP(表1_4[[#This Row],[目标区服]],$Q$38:$R$40,2,FALSE)-表1_4[[#This Row],[开服天数]])*配置!$B$1</f>
        <v>3500</v>
      </c>
      <c r="F33" s="758">
        <f>表1_4[[#This Row],[补偿Coin]]*(表1_4[[#This Row],[活跃高战玩家数]]+表1_4[[#This Row],[活跃中坚玩家数]])</f>
        <v>63000</v>
      </c>
      <c r="G33" s="758">
        <f>(VLOOKUP(表1_4[[#This Row],[目标区服]],$Q$38:$R$40,2,FALSE)-表1_4[[#This Row],[开服天数]])*配置!$B$2</f>
        <v>35</v>
      </c>
      <c r="H33" s="756" t="s">
        <v>26</v>
      </c>
      <c r="I33" s="756">
        <f>IF(表1_4[[#This Row],[原国家]]="魏",0,IF(表1_4[[#This Row],[原国家]]="蜀",1,2))</f>
        <v>1</v>
      </c>
      <c r="J33" s="758">
        <v>3</v>
      </c>
      <c r="K33" s="758">
        <v>125</v>
      </c>
      <c r="L33" s="758">
        <v>2</v>
      </c>
      <c r="M33" s="758">
        <v>16</v>
      </c>
      <c r="N33" s="758">
        <v>81212</v>
      </c>
      <c r="O33" s="703">
        <v>1303126</v>
      </c>
      <c r="P33" s="706">
        <v>9724338</v>
      </c>
      <c r="Q33" s="743" t="s">
        <v>27</v>
      </c>
      <c r="R33" s="702">
        <f>IF(表1_4[[#This Row],[目标国家]]="魏",0,IF(表1_4[[#This Row],[目标国家]]="蜀",1,2))</f>
        <v>2</v>
      </c>
      <c r="S33" s="758">
        <v>27104</v>
      </c>
      <c r="T33" s="758">
        <v>0</v>
      </c>
      <c r="U33" s="758">
        <v>156397</v>
      </c>
      <c r="V33" s="758">
        <v>5201</v>
      </c>
      <c r="W33" s="766" t="str">
        <f>"{"&amp;"'coin':"&amp;表1_4[[#This Row],[补偿Coin]]&amp;",'"&amp;配置!$A$2&amp;"':"&amp;表1_4[[#This Row],[补偿辎重]]&amp;"},"</f>
        <v>{'coin':3500,'item036':35},</v>
      </c>
      <c r="X33" s="708" t="str">
        <f>"            'reward':"&amp;表1_4[[#This Row],[辅助导出]]&amp;"
            'country':["&amp;R32&amp;","&amp;R33&amp;","&amp;R34&amp;"],"</f>
        <v>            'reward':{'coin':3500,'item036':35},
            'country':[0,2,1],</v>
      </c>
    </row>
    <row r="34" ht="14.25" customHeight="1" spans="1:24">
      <c r="A34" s="754">
        <v>19</v>
      </c>
      <c r="B34" s="754">
        <f>VLOOKUP(表1_4[[#This Row],[区服]],$O$38:$P$48,2,FALSE)</f>
        <v>48</v>
      </c>
      <c r="C34" s="755" t="s">
        <v>41</v>
      </c>
      <c r="D34" s="760" t="str">
        <f>表1_4[[#This Row],[目标国家]]</f>
        <v>蜀</v>
      </c>
      <c r="E34" s="758">
        <f>(VLOOKUP(表1_4[[#This Row],[目标区服]],$Q$38:$R$40,2,FALSE)-表1_4[[#This Row],[开服天数]])*配置!$B$1</f>
        <v>3500</v>
      </c>
      <c r="F34" s="761">
        <f>表1_4[[#This Row],[补偿Coin]]*(表1_4[[#This Row],[活跃高战玩家数]]+表1_4[[#This Row],[活跃中坚玩家数]])</f>
        <v>94500</v>
      </c>
      <c r="G34" s="761">
        <f>(VLOOKUP(表1_4[[#This Row],[目标区服]],$Q$38:$R$40,2,FALSE)-表1_4[[#This Row],[开服天数]])*配置!$B$2</f>
        <v>35</v>
      </c>
      <c r="H34" s="760" t="s">
        <v>27</v>
      </c>
      <c r="I34" s="760">
        <f>IF(表1_4[[#This Row],[原国家]]="魏",0,IF(表1_4[[#This Row],[原国家]]="蜀",1,2))</f>
        <v>2</v>
      </c>
      <c r="J34" s="761">
        <v>4</v>
      </c>
      <c r="K34" s="761">
        <v>180</v>
      </c>
      <c r="L34" s="761">
        <v>6</v>
      </c>
      <c r="M34" s="761">
        <v>21</v>
      </c>
      <c r="N34" s="761">
        <v>147160</v>
      </c>
      <c r="O34" s="703">
        <v>2054287</v>
      </c>
      <c r="P34" s="706">
        <v>18139963</v>
      </c>
      <c r="Q34" s="743" t="s">
        <v>26</v>
      </c>
      <c r="R34" s="702">
        <f>IF(表1_4[[#This Row],[目标国家]]="魏",0,IF(表1_4[[#This Row],[目标国家]]="蜀",1,2))</f>
        <v>1</v>
      </c>
      <c r="S34" s="761">
        <v>35906</v>
      </c>
      <c r="T34" s="761">
        <v>0</v>
      </c>
      <c r="U34" s="761">
        <v>324886</v>
      </c>
      <c r="V34" s="761">
        <v>8206</v>
      </c>
      <c r="W34" s="767" t="str">
        <f>"{"&amp;"'coin':"&amp;表1_4[[#This Row],[补偿Coin]]&amp;",'"&amp;配置!$A$2&amp;"':"&amp;表1_4[[#This Row],[补偿辎重]]&amp;"},"</f>
        <v>{'coin':3500,'item036':35},</v>
      </c>
      <c r="X34" s="708" t="str">
        <f>"      },"</f>
        <v>      },</v>
      </c>
    </row>
    <row r="37" ht="37.5" customHeight="1" spans="1:18">
      <c r="A37" s="36" t="s">
        <v>28</v>
      </c>
      <c r="B37" s="37" t="s">
        <v>29</v>
      </c>
      <c r="C37" s="38" t="s">
        <v>30</v>
      </c>
      <c r="D37" s="38" t="s">
        <v>31</v>
      </c>
      <c r="E37" s="38" t="s">
        <v>32</v>
      </c>
      <c r="F37" s="38" t="s">
        <v>33</v>
      </c>
      <c r="G37" s="38" t="s">
        <v>15</v>
      </c>
      <c r="H37" s="37" t="s">
        <v>18</v>
      </c>
      <c r="I37" s="37" t="s">
        <v>19</v>
      </c>
      <c r="J37" s="37" t="s">
        <v>34</v>
      </c>
      <c r="K37" s="38" t="s">
        <v>35</v>
      </c>
      <c r="L37" s="38" t="s">
        <v>36</v>
      </c>
      <c r="M37" s="38" t="s">
        <v>37</v>
      </c>
      <c r="O37" s="51" t="s">
        <v>0</v>
      </c>
      <c r="P37" s="51" t="s">
        <v>1</v>
      </c>
      <c r="Q37" s="51"/>
      <c r="R37" s="51" t="s">
        <v>38</v>
      </c>
    </row>
    <row r="38" ht="15" spans="1:18">
      <c r="A38" s="704" t="s">
        <v>39</v>
      </c>
      <c r="B38" s="704" t="s">
        <v>25</v>
      </c>
      <c r="C38" s="704">
        <f>COUNTIFS(表1_4[目标区服],表2_5[[#This Row],[合区区服]],表1_4[目标国家（映射）],表2_5[[#This Row],[国家]])</f>
        <v>5</v>
      </c>
      <c r="D38" s="704">
        <f>SUMIFS(表1_4[活跃高战玩家数],表1_4[目标区服],表2_5[[#This Row],[合区区服]],表1_4[目标国家（映射）],表2_5[[#This Row],[国家]])</f>
        <v>16</v>
      </c>
      <c r="E38" s="704">
        <f>SUMIFS(表1_4[活跃中坚玩家数],表1_4[目标区服],表2_5[[#This Row],[合区区服]],表1_4[目标国家（映射）],表2_5[[#This Row],[国家]])</f>
        <v>26</v>
      </c>
      <c r="F38" s="704">
        <f t="array" ref="F38">MAX((表1_4[目标区服]=表2_5[[#This Row],[合区区服]])*(表1_4[目标国家（映射）]=表2_5[[#This Row],[国家]])*表1_4[活跃尖端战力])</f>
        <v>2409253</v>
      </c>
      <c r="G38" s="705">
        <f>SUMIFS(表1_4[活跃总战力],表1_4[目标区服],表2_5[[#This Row],[合区区服]],表1_4[目标国家（映射）],表2_5[[#This Row],[国家]])</f>
        <v>36344007</v>
      </c>
      <c r="H38" s="704">
        <f>SUMIFS(表1_4[活跃实际充值],表1_4[目标区服],表2_5[[#This Row],[合区区服]],表1_4[目标国家（映射）],表2_5[[#This Row],[国家]])</f>
        <v>46230</v>
      </c>
      <c r="I38" s="704">
        <f>SUMIFS(表1_4[活跃虚拟充值],表1_4[目标区服],表2_5[[#This Row],[合区区服]],表1_4[目标国家（映射）],表2_5[[#This Row],[国家]])</f>
        <v>0</v>
      </c>
      <c r="J38" s="704">
        <f>SUMIFS(表1_4[活跃Coin],表1_4[目标区服],表2_5[[#This Row],[合区区服]],表1_4[目标国家（映射）],表2_5[[#This Row],[国家]])</f>
        <v>896819</v>
      </c>
      <c r="K38" s="704">
        <f>SUMIFS(表1_4[共计补偿Coin],表1_4[目标区服],表2_5[[#This Row],[合区区服]],表1_4[目标国家（映射）],表2_5[[#This Row],[国家]])</f>
        <v>207000</v>
      </c>
      <c r="L38" s="704">
        <f>表2_5[[#This Row],[活跃Coin]]+表2_5[[#This Row],[共计补偿Coin]]</f>
        <v>1103819</v>
      </c>
      <c r="M38" s="704">
        <f>SUMIFS(表1_4[综合国力],表1_4[目标区服],表2_5[[#This Row],[合区区服]],表1_4[目标国家（映射）],表2_5[[#This Row],[国家]])</f>
        <v>20700</v>
      </c>
      <c r="O38" s="51">
        <v>9</v>
      </c>
      <c r="P38" s="51">
        <v>74</v>
      </c>
      <c r="Q38" s="51" t="s">
        <v>39</v>
      </c>
      <c r="R38" s="51">
        <v>80</v>
      </c>
    </row>
    <row r="39" ht="15" spans="1:18">
      <c r="A39" s="704" t="s">
        <v>39</v>
      </c>
      <c r="B39" s="704" t="s">
        <v>26</v>
      </c>
      <c r="C39" s="704">
        <f>COUNTIFS(表1_4[目标区服],表2_5[[#This Row],[合区区服]],表1_4[目标国家（映射）],表2_5[[#This Row],[国家]])</f>
        <v>5</v>
      </c>
      <c r="D39" s="704">
        <f>SUMIFS(表1_4[活跃高战玩家数],表1_4[目标区服],表2_5[[#This Row],[合区区服]],表1_4[目标国家（映射）],表2_5[[#This Row],[国家]])</f>
        <v>14</v>
      </c>
      <c r="E39" s="704">
        <f>SUMIFS(表1_4[活跃中坚玩家数],表1_4[目标区服],表2_5[[#This Row],[合区区服]],表1_4[目标国家（映射）],表2_5[[#This Row],[国家]])</f>
        <v>36</v>
      </c>
      <c r="F39" s="704">
        <f t="array" ref="F39">MAX((表1_4[目标区服]=表2_5[[#This Row],[合区区服]])*(表1_4[目标国家（映射）]=表2_5[[#This Row],[国家]])*表1_4[活跃尖端战力])</f>
        <v>2471551</v>
      </c>
      <c r="G39" s="705">
        <f>SUMIFS(表1_4[活跃总战力],表1_4[目标区服],表2_5[[#This Row],[合区区服]],表1_4[目标国家（映射）],表2_5[[#This Row],[国家]])</f>
        <v>39082678</v>
      </c>
      <c r="H39" s="704">
        <f>SUMIFS(表1_4[活跃实际充值],表1_4[目标区服],表2_5[[#This Row],[合区区服]],表1_4[目标国家（映射）],表2_5[[#This Row],[国家]])</f>
        <v>43622</v>
      </c>
      <c r="I39" s="704">
        <f>SUMIFS(表1_4[活跃虚拟充值],表1_4[目标区服],表2_5[[#This Row],[合区区服]],表1_4[目标国家（映射）],表2_5[[#This Row],[国家]])</f>
        <v>0</v>
      </c>
      <c r="J39" s="704">
        <f>SUMIFS(表1_4[活跃Coin],表1_4[目标区服],表2_5[[#This Row],[合区区服]],表1_4[目标国家（映射）],表2_5[[#This Row],[国家]])</f>
        <v>1114288</v>
      </c>
      <c r="K39" s="704">
        <f>SUMIFS(表1_4[共计补偿Coin],表1_4[目标区服],表2_5[[#This Row],[合区区服]],表1_4[目标国家（映射）],表2_5[[#This Row],[国家]])</f>
        <v>240500</v>
      </c>
      <c r="L39" s="704">
        <f>表2_5[[#This Row],[活跃Coin]]+表2_5[[#This Row],[共计补偿Coin]]</f>
        <v>1354788</v>
      </c>
      <c r="M39" s="704">
        <f>SUMIFS(表1_4[综合国力],表1_4[目标区服],表2_5[[#This Row],[合区区服]],表1_4[目标国家（映射）],表2_5[[#This Row],[国家]])</f>
        <v>24178</v>
      </c>
      <c r="O39" s="51">
        <v>10</v>
      </c>
      <c r="P39" s="51">
        <v>73</v>
      </c>
      <c r="Q39" s="51" t="s">
        <v>40</v>
      </c>
      <c r="R39" s="51">
        <v>65</v>
      </c>
    </row>
    <row r="40" ht="15" spans="1:18">
      <c r="A40" s="704" t="s">
        <v>39</v>
      </c>
      <c r="B40" s="704" t="s">
        <v>27</v>
      </c>
      <c r="C40" s="704">
        <f>COUNTIFS(表1_4[目标区服],表2_5[[#This Row],[合区区服]],表1_4[目标国家（映射）],表2_5[[#This Row],[国家]])</f>
        <v>5</v>
      </c>
      <c r="D40" s="704">
        <f>SUMIFS(表1_4[活跃高战玩家数],表1_4[目标区服],表2_5[[#This Row],[合区区服]],表1_4[目标国家（映射）],表2_5[[#This Row],[国家]])</f>
        <v>18</v>
      </c>
      <c r="E40" s="704">
        <f>SUMIFS(表1_4[活跃中坚玩家数],表1_4[目标区服],表2_5[[#This Row],[合区区服]],表1_4[目标国家（映射）],表2_5[[#This Row],[国家]])</f>
        <v>32</v>
      </c>
      <c r="F40" s="704">
        <f t="array" ref="F40">MAX((表1_4[目标区服]=表2_5[[#This Row],[合区区服]])*(表1_4[目标国家（映射）]=表2_5[[#This Row],[国家]])*表1_4[活跃尖端战力])</f>
        <v>2196325</v>
      </c>
      <c r="G40" s="705">
        <f>SUMIFS(表1_4[活跃总战力],表1_4[目标区服],表2_5[[#This Row],[合区区服]],表1_4[目标国家（映射）],表2_5[[#This Row],[国家]])</f>
        <v>39771107</v>
      </c>
      <c r="H40" s="704">
        <f>SUMIFS(表1_4[活跃实际充值],表1_4[目标区服],表2_5[[#This Row],[合区区服]],表1_4[目标国家（映射）],表2_5[[#This Row],[国家]])</f>
        <v>58718</v>
      </c>
      <c r="I40" s="704">
        <f>SUMIFS(表1_4[活跃虚拟充值],表1_4[目标区服],表2_5[[#This Row],[合区区服]],表1_4[目标国家（映射）],表2_5[[#This Row],[国家]])</f>
        <v>15880</v>
      </c>
      <c r="J40" s="704">
        <f>SUMIFS(表1_4[活跃Coin],表1_4[目标区服],表2_5[[#This Row],[合区区服]],表1_4[目标国家（映射）],表2_5[[#This Row],[国家]])</f>
        <v>904176</v>
      </c>
      <c r="K40" s="704">
        <f>SUMIFS(表1_4[共计补偿Coin],表1_4[目标区服],表2_5[[#This Row],[合区区服]],表1_4[目标国家（映射）],表2_5[[#This Row],[国家]])</f>
        <v>273500</v>
      </c>
      <c r="L40" s="704">
        <f>表2_5[[#This Row],[活跃Coin]]+表2_5[[#This Row],[共计补偿Coin]]</f>
        <v>1177676</v>
      </c>
      <c r="M40" s="704">
        <f>SUMIFS(表1_4[综合国力],表1_4[目标区服],表2_5[[#This Row],[合区区服]],表1_4[目标国家（映射）],表2_5[[#This Row],[国家]])</f>
        <v>27714</v>
      </c>
      <c r="O40" s="51">
        <v>11</v>
      </c>
      <c r="P40" s="51">
        <v>70</v>
      </c>
      <c r="Q40" s="51" t="s">
        <v>41</v>
      </c>
      <c r="R40" s="51">
        <v>55</v>
      </c>
    </row>
    <row r="41" ht="15" spans="1:16">
      <c r="A41" s="704" t="s">
        <v>40</v>
      </c>
      <c r="B41" s="672" t="s">
        <v>25</v>
      </c>
      <c r="C41" s="672">
        <f>COUNTIFS(表1_4[目标区服],表2_5[[#This Row],[合区区服]],表1_4[目标国家（映射）],表2_5[[#This Row],[国家]])</f>
        <v>3</v>
      </c>
      <c r="D41" s="672">
        <f>SUMIFS(表1_4[活跃高战玩家数],表1_4[目标区服],表2_5[[#This Row],[合区区服]],表1_4[目标国家（映射）],表2_5[[#This Row],[国家]])</f>
        <v>10</v>
      </c>
      <c r="E41" s="672">
        <f>SUMIFS(表1_4[活跃中坚玩家数],表1_4[目标区服],表2_5[[#This Row],[合区区服]],表1_4[目标国家（映射）],表2_5[[#This Row],[国家]])</f>
        <v>36</v>
      </c>
      <c r="F41" s="672">
        <f t="array" ref="F41">MAX((表1_4[目标区服]=表2_5[[#This Row],[合区区服]])*(表1_4[目标国家（映射）]=表2_5[[#This Row],[国家]])*表1_4[活跃尖端战力])</f>
        <v>2905860</v>
      </c>
      <c r="G41" s="673">
        <f>SUMIFS(表1_4[活跃总战力],表1_4[目标区服],表2_5[[#This Row],[合区区服]],表1_4[目标国家（映射）],表2_5[[#This Row],[国家]])</f>
        <v>34162687</v>
      </c>
      <c r="H41" s="672">
        <f>SUMIFS(表1_4[活跃实际充值],表1_4[目标区服],表2_5[[#This Row],[合区区服]],表1_4[目标国家（映射）],表2_5[[#This Row],[国家]])</f>
        <v>44384</v>
      </c>
      <c r="I41" s="672">
        <f>SUMIFS(表1_4[活跃虚拟充值],表1_4[目标区服],表2_5[[#This Row],[合区区服]],表1_4[目标国家（映射）],表2_5[[#This Row],[国家]])</f>
        <v>145500</v>
      </c>
      <c r="J41" s="672">
        <f>SUMIFS(表1_4[活跃Coin],表1_4[目标区服],表2_5[[#This Row],[合区区服]],表1_4[目标国家（映射）],表2_5[[#This Row],[国家]])</f>
        <v>669673</v>
      </c>
      <c r="K41" s="672">
        <f>SUMIFS(表1_4[共计补偿Coin],表1_4[目标区服],表2_5[[#This Row],[合区区服]],表1_4[目标国家（映射）],表2_5[[#This Row],[国家]])</f>
        <v>87000</v>
      </c>
      <c r="L41" s="672">
        <f>表2_5[[#This Row],[活跃Coin]]+表2_5[[#This Row],[共计补偿Coin]]</f>
        <v>756673</v>
      </c>
      <c r="M41" s="672">
        <f>SUMIFS(表1_4[综合国力],表1_4[目标区服],表2_5[[#This Row],[合区区服]],表1_4[目标国家（映射）],表2_5[[#This Row],[国家]])</f>
        <v>18559</v>
      </c>
      <c r="O41" s="51">
        <v>12</v>
      </c>
      <c r="P41" s="51">
        <v>68</v>
      </c>
    </row>
    <row r="42" ht="15" spans="1:16">
      <c r="A42" s="704" t="s">
        <v>40</v>
      </c>
      <c r="B42" s="672" t="s">
        <v>26</v>
      </c>
      <c r="C42" s="672">
        <f>COUNTIFS(表1_4[目标区服],表2_5[[#This Row],[合区区服]],表1_4[目标国家（映射）],表2_5[[#This Row],[国家]])</f>
        <v>3</v>
      </c>
      <c r="D42" s="672">
        <f>SUMIFS(表1_4[活跃高战玩家数],表1_4[目标区服],表2_5[[#This Row],[合区区服]],表1_4[目标国家（映射）],表2_5[[#This Row],[国家]])</f>
        <v>6</v>
      </c>
      <c r="E42" s="672">
        <f>SUMIFS(表1_4[活跃中坚玩家数],表1_4[目标区服],表2_5[[#This Row],[合区区服]],表1_4[目标国家（映射）],表2_5[[#This Row],[国家]])</f>
        <v>32</v>
      </c>
      <c r="F42" s="672">
        <f t="array" ref="F42">MAX((表1_4[目标区服]=表2_5[[#This Row],[合区区服]])*(表1_4[目标国家（映射）]=表2_5[[#This Row],[国家]])*表1_4[活跃尖端战力])</f>
        <v>2243284</v>
      </c>
      <c r="G42" s="673">
        <f>SUMIFS(表1_4[活跃总战力],表1_4[目标区服],表2_5[[#This Row],[合区区服]],表1_4[目标国家（映射）],表2_5[[#This Row],[国家]])</f>
        <v>28627587</v>
      </c>
      <c r="H42" s="672">
        <f>SUMIFS(表1_4[活跃实际充值],表1_4[目标区服],表2_5[[#This Row],[合区区服]],表1_4[目标国家（映射）],表2_5[[#This Row],[国家]])</f>
        <v>82702</v>
      </c>
      <c r="I42" s="672">
        <f>SUMIFS(表1_4[活跃虚拟充值],表1_4[目标区服],表2_5[[#This Row],[合区区服]],表1_4[目标国家（映射）],表2_5[[#This Row],[国家]])</f>
        <v>0</v>
      </c>
      <c r="J42" s="672">
        <f>SUMIFS(表1_4[活跃Coin],表1_4[目标区服],表2_5[[#This Row],[合区区服]],表1_4[目标国家（映射）],表2_5[[#This Row],[国家]])</f>
        <v>704610</v>
      </c>
      <c r="K42" s="672">
        <f>SUMIFS(表1_4[共计补偿Coin],表1_4[目标区服],表2_5[[#This Row],[合区区服]],表1_4[目标国家（映射）],表2_5[[#This Row],[国家]])</f>
        <v>71000</v>
      </c>
      <c r="L42" s="672">
        <f>表2_5[[#This Row],[活跃Coin]]+表2_5[[#This Row],[共计补偿Coin]]</f>
        <v>775610</v>
      </c>
      <c r="M42" s="672">
        <f>SUMIFS(表1_4[综合国力],表1_4[目标区服],表2_5[[#This Row],[合区区服]],表1_4[目标国家（映射）],表2_5[[#This Row],[国家]])</f>
        <v>15744</v>
      </c>
      <c r="O42" s="51">
        <v>13</v>
      </c>
      <c r="P42" s="51">
        <v>66</v>
      </c>
    </row>
    <row r="43" ht="15" spans="1:16">
      <c r="A43" s="704" t="s">
        <v>40</v>
      </c>
      <c r="B43" s="674" t="s">
        <v>27</v>
      </c>
      <c r="C43" s="674">
        <f>COUNTIFS(表1_4[目标区服],表2_5[[#This Row],[合区区服]],表1_4[目标国家（映射）],表2_5[[#This Row],[国家]])</f>
        <v>3</v>
      </c>
      <c r="D43" s="674">
        <f>SUMIFS(表1_4[活跃高战玩家数],表1_4[目标区服],表2_5[[#This Row],[合区区服]],表1_4[目标国家（映射）],表2_5[[#This Row],[国家]])</f>
        <v>12</v>
      </c>
      <c r="E43" s="674">
        <f>SUMIFS(表1_4[活跃中坚玩家数],表1_4[目标区服],表2_5[[#This Row],[合区区服]],表1_4[目标国家（映射）],表2_5[[#This Row],[国家]])</f>
        <v>27</v>
      </c>
      <c r="F43" s="674">
        <f t="array" ref="F43">MAX((表1_4[目标区服]=表2_5[[#This Row],[合区区服]])*(表1_4[目标国家（映射）]=表2_5[[#This Row],[国家]])*表1_4[活跃尖端战力])</f>
        <v>2132761</v>
      </c>
      <c r="G43" s="675">
        <f>SUMIFS(表1_4[活跃总战力],表1_4[目标区服],表2_5[[#This Row],[合区区服]],表1_4[目标国家（映射）],表2_5[[#This Row],[国家]])</f>
        <v>34708310</v>
      </c>
      <c r="H43" s="674">
        <f>SUMIFS(表1_4[活跃实际充值],表1_4[目标区服],表2_5[[#This Row],[合区区服]],表1_4[目标国家（映射）],表2_5[[#This Row],[国家]])</f>
        <v>45680</v>
      </c>
      <c r="I43" s="674">
        <f>SUMIFS(表1_4[活跃虚拟充值],表1_4[目标区服],表2_5[[#This Row],[合区区服]],表1_4[目标国家（映射）],表2_5[[#This Row],[国家]])</f>
        <v>53602</v>
      </c>
      <c r="J43" s="674">
        <f>SUMIFS(表1_4[活跃Coin],表1_4[目标区服],表2_5[[#This Row],[合区区服]],表1_4[目标国家（映射）],表2_5[[#This Row],[国家]])</f>
        <v>639083</v>
      </c>
      <c r="K43" s="674">
        <f>SUMIFS(表1_4[共计补偿Coin],表1_4[目标区服],表2_5[[#This Row],[合区区服]],表1_4[目标国家（映射）],表2_5[[#This Row],[国家]])</f>
        <v>74000</v>
      </c>
      <c r="L43" s="674">
        <f>表2_5[[#This Row],[活跃Coin]]+表2_5[[#This Row],[共计补偿Coin]]</f>
        <v>713083</v>
      </c>
      <c r="M43" s="674">
        <f>SUMIFS(表1_4[综合国力],表1_4[目标区服],表2_5[[#This Row],[合区区服]],表1_4[目标国家（映射）],表2_5[[#This Row],[国家]])</f>
        <v>20172</v>
      </c>
      <c r="O43" s="51">
        <v>14</v>
      </c>
      <c r="P43" s="51">
        <v>63</v>
      </c>
    </row>
    <row r="44" ht="15" spans="1:16">
      <c r="A44" s="704" t="s">
        <v>41</v>
      </c>
      <c r="B44" s="704" t="s">
        <v>25</v>
      </c>
      <c r="C44" s="704">
        <f>COUNTIFS(表1_4[目标区服],表2_5[[#This Row],[合区区服]],表1_4[目标国家（映射）],表2_5[[#This Row],[国家]])</f>
        <v>3</v>
      </c>
      <c r="D44" s="704">
        <f>SUMIFS(表1_4[活跃高战玩家数],表1_4[目标区服],表2_5[[#This Row],[合区区服]],表1_4[目标国家（映射）],表2_5[[#This Row],[国家]])</f>
        <v>8</v>
      </c>
      <c r="E44" s="704">
        <f>SUMIFS(表1_4[活跃中坚玩家数],表1_4[目标区服],表2_5[[#This Row],[合区区服]],表1_4[目标国家（映射）],表2_5[[#This Row],[国家]])</f>
        <v>50</v>
      </c>
      <c r="F44" s="704">
        <f t="array" ref="F44">MAX((表1_4[目标区服]=表2_5[[#This Row],[合区区服]])*(表1_4[目标国家（映射）]=表2_5[[#This Row],[国家]])*表1_4[活跃尖端战力])</f>
        <v>2027603</v>
      </c>
      <c r="G44" s="705">
        <f>SUMIFS(表1_4[活跃总战力],表1_4[目标区服],表2_5[[#This Row],[合区区服]],表1_4[目标国家（映射）],表2_5[[#This Row],[国家]])</f>
        <v>37194043</v>
      </c>
      <c r="H44" s="704">
        <f>SUMIFS(表1_4[活跃实际充值],表1_4[目标区服],表2_5[[#This Row],[合区区服]],表1_4[目标国家（映射）],表2_5[[#This Row],[国家]])</f>
        <v>53664</v>
      </c>
      <c r="I44" s="704">
        <f>SUMIFS(表1_4[活跃虚拟充值],表1_4[目标区服],表2_5[[#This Row],[合区区服]],表1_4[目标国家（映射）],表2_5[[#This Row],[国家]])</f>
        <v>13290</v>
      </c>
      <c r="J44" s="704">
        <f>SUMIFS(表1_4[活跃Coin],表1_4[目标区服],表2_5[[#This Row],[合区区服]],表1_4[目标国家（映射）],表2_5[[#This Row],[国家]])</f>
        <v>676811</v>
      </c>
      <c r="K44" s="704">
        <f>SUMIFS(表1_4[共计补偿Coin],表1_4[目标区服],表2_5[[#This Row],[合区区服]],表1_4[目标国家（映射）],表2_5[[#This Row],[国家]])</f>
        <v>117000</v>
      </c>
      <c r="L44" s="704">
        <f>表2_5[[#This Row],[活跃Coin]]+表2_5[[#This Row],[共计补偿Coin]]</f>
        <v>793811</v>
      </c>
      <c r="M44" s="704">
        <f>SUMIFS(表1_4[综合国力],表1_4[目标区服],表2_5[[#This Row],[合区区服]],表1_4[目标国家（映射）],表2_5[[#This Row],[国家]])</f>
        <v>16386</v>
      </c>
      <c r="O44" s="51">
        <v>15</v>
      </c>
      <c r="P44" s="51">
        <v>61</v>
      </c>
    </row>
    <row r="45" ht="15" spans="1:16">
      <c r="A45" s="704" t="s">
        <v>41</v>
      </c>
      <c r="B45" s="704" t="s">
        <v>26</v>
      </c>
      <c r="C45" s="704">
        <f>COUNTIFS(表1_4[目标区服],表2_5[[#This Row],[合区区服]],表1_4[目标国家（映射）],表2_5[[#This Row],[国家]])</f>
        <v>3</v>
      </c>
      <c r="D45" s="704">
        <f>SUMIFS(表1_4[活跃高战玩家数],表1_4[目标区服],表2_5[[#This Row],[合区区服]],表1_4[目标国家（映射）],表2_5[[#This Row],[国家]])</f>
        <v>11</v>
      </c>
      <c r="E45" s="704">
        <f>SUMIFS(表1_4[活跃中坚玩家数],表1_4[目标区服],表2_5[[#This Row],[合区区服]],表1_4[目标国家（映射）],表2_5[[#This Row],[国家]])</f>
        <v>48</v>
      </c>
      <c r="F45" s="704">
        <f t="array" ref="F45">MAX((表1_4[目标区服]=表2_5[[#This Row],[合区区服]])*(表1_4[目标国家（映射）]=表2_5[[#This Row],[国家]])*表1_4[活跃尖端战力])</f>
        <v>2575019</v>
      </c>
      <c r="G45" s="705">
        <f>SUMIFS(表1_4[活跃总战力],表1_4[目标区服],表2_5[[#This Row],[合区区服]],表1_4[目标国家（映射）],表2_5[[#This Row],[国家]])</f>
        <v>38958728</v>
      </c>
      <c r="H45" s="704">
        <f>SUMIFS(表1_4[活跃实际充值],表1_4[目标区服],表2_5[[#This Row],[合区区服]],表1_4[目标国家（映射）],表2_5[[#This Row],[国家]])</f>
        <v>107814</v>
      </c>
      <c r="I45" s="704">
        <f>SUMIFS(表1_4[活跃虚拟充值],表1_4[目标区服],表2_5[[#This Row],[合区区服]],表1_4[目标国家（映射）],表2_5[[#This Row],[国家]])</f>
        <v>21454</v>
      </c>
      <c r="J45" s="704">
        <f>SUMIFS(表1_4[活跃Coin],表1_4[目标区服],表2_5[[#This Row],[合区区服]],表1_4[目标国家（映射）],表2_5[[#This Row],[国家]])</f>
        <v>805194</v>
      </c>
      <c r="K45" s="704">
        <f>SUMIFS(表1_4[共计补偿Coin],表1_4[目标区服],表2_5[[#This Row],[合区区服]],表1_4[目标国家（映射）],表2_5[[#This Row],[国家]])</f>
        <v>148500</v>
      </c>
      <c r="L45" s="704">
        <f>表2_5[[#This Row],[活跃Coin]]+表2_5[[#This Row],[共计补偿Coin]]</f>
        <v>953694</v>
      </c>
      <c r="M45" s="704">
        <f>SUMIFS(表1_4[综合国力],表1_4[目标区服],表2_5[[#This Row],[合区区服]],表1_4[目标国家（映射）],表2_5[[#This Row],[国家]])</f>
        <v>19467</v>
      </c>
      <c r="O45" s="51">
        <v>16</v>
      </c>
      <c r="P45" s="51">
        <v>59</v>
      </c>
    </row>
    <row r="46" ht="15" spans="1:16">
      <c r="A46" s="704" t="s">
        <v>41</v>
      </c>
      <c r="B46" s="704" t="s">
        <v>27</v>
      </c>
      <c r="C46" s="704">
        <f>COUNTIFS(表1_4[目标区服],表2_5[[#This Row],[合区区服]],表1_4[目标国家（映射）],表2_5[[#This Row],[国家]])</f>
        <v>3</v>
      </c>
      <c r="D46" s="704">
        <f>SUMIFS(表1_4[活跃高战玩家数],表1_4[目标区服],表2_5[[#This Row],[合区区服]],表1_4[目标国家（映射）],表2_5[[#This Row],[国家]])</f>
        <v>10</v>
      </c>
      <c r="E46" s="704">
        <f>SUMIFS(表1_4[活跃中坚玩家数],表1_4[目标区服],表2_5[[#This Row],[合区区服]],表1_4[目标国家（映射）],表2_5[[#This Row],[国家]])</f>
        <v>46</v>
      </c>
      <c r="F46" s="704">
        <f t="array" ref="F46">MAX((表1_4[目标区服]=表2_5[[#This Row],[合区区服]])*(表1_4[目标国家（映射）]=表2_5[[#This Row],[国家]])*表1_4[活跃尖端战力])</f>
        <v>2193409</v>
      </c>
      <c r="G46" s="705">
        <f>SUMIFS(表1_4[活跃总战力],表1_4[目标区服],表2_5[[#This Row],[合区区服]],表1_4[目标国家（映射）],表2_5[[#This Row],[国家]])</f>
        <v>36582892</v>
      </c>
      <c r="H46" s="704">
        <f>SUMIFS(表1_4[活跃实际充值],表1_4[目标区服],表2_5[[#This Row],[合区区服]],表1_4[目标国家（映射）],表2_5[[#This Row],[国家]])</f>
        <v>57882</v>
      </c>
      <c r="I46" s="704">
        <f>SUMIFS(表1_4[活跃虚拟充值],表1_4[目标区服],表2_5[[#This Row],[合区区服]],表1_4[目标国家（映射）],表2_5[[#This Row],[国家]])</f>
        <v>6270</v>
      </c>
      <c r="J46" s="704">
        <f>SUMIFS(表1_4[活跃Coin],表1_4[目标区服],表2_5[[#This Row],[合区区服]],表1_4[目标国家（映射）],表2_5[[#This Row],[国家]])</f>
        <v>615981</v>
      </c>
      <c r="K46" s="704">
        <f>SUMIFS(表1_4[共计补偿Coin],表1_4[目标区服],表2_5[[#This Row],[合区区服]],表1_4[目标国家（映射）],表2_5[[#This Row],[国家]])</f>
        <v>133000</v>
      </c>
      <c r="L46" s="704">
        <f>表2_5[[#This Row],[活跃Coin]]+表2_5[[#This Row],[共计补偿Coin]]</f>
        <v>748981</v>
      </c>
      <c r="M46" s="704">
        <f>SUMIFS(表1_4[综合国力],表1_4[目标区服],表2_5[[#This Row],[合区区服]],表1_4[目标国家（映射）],表2_5[[#This Row],[国家]])</f>
        <v>18139</v>
      </c>
      <c r="O46" s="51">
        <v>17</v>
      </c>
      <c r="P46" s="51">
        <v>52</v>
      </c>
    </row>
    <row r="47" spans="15:16">
      <c r="O47" s="51">
        <v>18</v>
      </c>
      <c r="P47" s="51">
        <v>51</v>
      </c>
    </row>
    <row r="48" spans="15:16">
      <c r="O48" s="51">
        <v>19</v>
      </c>
      <c r="P48" s="51">
        <v>48</v>
      </c>
    </row>
  </sheetData>
  <conditionalFormatting sqref="O27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{1d417df9-1adb-40f5-bf10-1bc5033b0893}</x14:id>
        </ext>
      </extLst>
    </cfRule>
  </conditionalFormatting>
  <conditionalFormatting sqref="P2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{f16952ab-ed68-4a23-86e6-fbe91a412cd9}</x14:id>
        </ext>
      </extLst>
    </cfRule>
  </conditionalFormatting>
  <conditionalFormatting sqref="O29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{ba7b0d35-5a48-4d53-9afe-9bd803d585bd}</x14:id>
        </ext>
      </extLst>
    </cfRule>
  </conditionalFormatting>
  <conditionalFormatting sqref="P29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{ea05ee5f-3a7a-4ad4-b218-af74e3cedd05}</x14:id>
        </ext>
      </extLst>
    </cfRule>
  </conditionalFormatting>
  <conditionalFormatting sqref="F41:F4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{12b6496f-b009-4897-bb59-c4ddc2e8528c}</x14:id>
        </ext>
      </extLst>
    </cfRule>
  </conditionalFormatting>
  <conditionalFormatting sqref="G41:G4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{6e858fa0-c60a-451e-8d03-6ffeadb09ffb}</x14:id>
        </ext>
      </extLst>
    </cfRule>
  </conditionalFormatting>
  <conditionalFormatting sqref="O2:O13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{2c63f334-2ce5-4c71-b0f3-d638c9210762}</x14:id>
        </ext>
      </extLst>
    </cfRule>
  </conditionalFormatting>
  <conditionalFormatting sqref="O14:O1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{c317c6a2-2da1-4fb9-ab20-0a766e90a7c4}</x14:id>
        </ext>
      </extLst>
    </cfRule>
  </conditionalFormatting>
  <conditionalFormatting sqref="O17:O25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{14e4baaf-0c03-4bdc-bdce-d682520d7a1a}</x14:id>
        </ext>
      </extLst>
    </cfRule>
  </conditionalFormatting>
  <conditionalFormatting sqref="O30:O3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{b534be96-87ac-4c58-bead-760c3f34110e}</x14:id>
        </ext>
      </extLst>
    </cfRule>
  </conditionalFormatting>
  <conditionalFormatting sqref="O38:O48">
    <cfRule type="cellIs" dxfId="37" priority="14" operator="equal">
      <formula>$S$38</formula>
    </cfRule>
  </conditionalFormatting>
  <conditionalFormatting sqref="P2:P13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{f3361d69-3f3c-4585-8666-9e5902b10314}</x14:id>
        </ext>
      </extLst>
    </cfRule>
  </conditionalFormatting>
  <conditionalFormatting sqref="P14:P1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{62fa3c48-a4dc-4d6d-b5aa-437fbd39679a}</x14:id>
        </ext>
      </extLst>
    </cfRule>
  </conditionalFormatting>
  <conditionalFormatting sqref="P17:P25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{ee20ee2e-b172-4a5e-8b19-29cbc3889cf3}</x14:id>
        </ext>
      </extLst>
    </cfRule>
  </conditionalFormatting>
  <conditionalFormatting sqref="P30:P34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{19d3fa53-d7f2-472b-b053-0487df56f7df}</x14:id>
        </ext>
      </extLst>
    </cfRule>
  </conditionalFormatting>
  <conditionalFormatting sqref="Q2:Q34">
    <cfRule type="cellIs" dxfId="38" priority="24" operator="equal">
      <formula>配置!$D$4</formula>
    </cfRule>
    <cfRule type="cellIs" dxfId="39" priority="25" operator="equal">
      <formula>配置!$D$3</formula>
    </cfRule>
  </conditionalFormatting>
  <conditionalFormatting sqref="Q38:Q40">
    <cfRule type="cellIs" dxfId="37" priority="15" operator="equal">
      <formula>$S$38</formula>
    </cfRule>
  </conditionalFormatting>
  <conditionalFormatting sqref="O35:O36 Q1:R1 O49:O1048576 Q2:Q34">
    <cfRule type="cellIs" dxfId="37" priority="26" operator="equal">
      <formula>配置!$D$2</formula>
    </cfRule>
  </conditionalFormatting>
  <conditionalFormatting sqref="O26 O2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{fa651208-08df-44c6-a000-7f6825b4e57c}</x14:id>
        </ext>
      </extLst>
    </cfRule>
  </conditionalFormatting>
  <conditionalFormatting sqref="P26 P2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{d26df155-0c76-44c6-82b4-4d84eccddf96}</x14:id>
        </ext>
      </extLst>
    </cfRule>
  </conditionalFormatting>
  <conditionalFormatting sqref="F38:F40 F44:F46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{058776df-bd2c-4734-bd5d-ee4958a3c680}</x14:id>
        </ext>
      </extLst>
    </cfRule>
  </conditionalFormatting>
  <conditionalFormatting sqref="G38:G40 G44:G46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{0875c5bb-500a-46dd-8253-82fbec85c7a8}</x14:id>
        </ext>
      </extLst>
    </cfRule>
  </conditionalFormatting>
  <dataValidations count="1">
    <dataValidation type="list" allowBlank="1" showInputMessage="1" showErrorMessage="1" sqref="Q2:Q34">
      <formula1>配置!$D$2:$D$4</formula1>
    </dataValidation>
  </dataValidations>
  <pageMargins left="0.7" right="0.7" top="0.75" bottom="0.75" header="0.3" footer="0.3"/>
  <pageSetup paperSize="9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d417df9-1adb-40f5-bf10-1bc5033b08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O27</xm:sqref>
        </x14:conditionalFormatting>
        <x14:conditionalFormatting xmlns:xm="http://schemas.microsoft.com/office/excel/2006/main">
          <x14:cfRule type="dataBar" id="{f16952ab-ed68-4a23-86e6-fbe91a412c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P27</xm:sqref>
        </x14:conditionalFormatting>
        <x14:conditionalFormatting xmlns:xm="http://schemas.microsoft.com/office/excel/2006/main">
          <x14:cfRule type="dataBar" id="{ba7b0d35-5a48-4d53-9afe-9bd803d585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ea05ee5f-3a7a-4ad4-b218-af74e3cedd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P29</xm:sqref>
        </x14:conditionalFormatting>
        <x14:conditionalFormatting xmlns:xm="http://schemas.microsoft.com/office/excel/2006/main">
          <x14:cfRule type="dataBar" id="{12b6496f-b009-4897-bb59-c4ddc2e852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F41:F43</xm:sqref>
        </x14:conditionalFormatting>
        <x14:conditionalFormatting xmlns:xm="http://schemas.microsoft.com/office/excel/2006/main">
          <x14:cfRule type="dataBar" id="{6e858fa0-c60a-451e-8d03-6ffeadb09f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G41:G43</xm:sqref>
        </x14:conditionalFormatting>
        <x14:conditionalFormatting xmlns:xm="http://schemas.microsoft.com/office/excel/2006/main">
          <x14:cfRule type="dataBar" id="{2c63f334-2ce5-4c71-b0f3-d638c92107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O2:O13</xm:sqref>
        </x14:conditionalFormatting>
        <x14:conditionalFormatting xmlns:xm="http://schemas.microsoft.com/office/excel/2006/main">
          <x14:cfRule type="dataBar" id="{c317c6a2-2da1-4fb9-ab20-0a766e90a7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O14:O16</xm:sqref>
        </x14:conditionalFormatting>
        <x14:conditionalFormatting xmlns:xm="http://schemas.microsoft.com/office/excel/2006/main">
          <x14:cfRule type="dataBar" id="{14e4baaf-0c03-4bdc-bdce-d682520d7a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O17:O25</xm:sqref>
        </x14:conditionalFormatting>
        <x14:conditionalFormatting xmlns:xm="http://schemas.microsoft.com/office/excel/2006/main">
          <x14:cfRule type="dataBar" id="{b534be96-87ac-4c58-bead-760c3f3411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O30:O34</xm:sqref>
        </x14:conditionalFormatting>
        <x14:conditionalFormatting xmlns:xm="http://schemas.microsoft.com/office/excel/2006/main">
          <x14:cfRule type="dataBar" id="{f3361d69-3f3c-4585-8666-9e5902b103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P2:P13</xm:sqref>
        </x14:conditionalFormatting>
        <x14:conditionalFormatting xmlns:xm="http://schemas.microsoft.com/office/excel/2006/main">
          <x14:cfRule type="dataBar" id="{62fa3c48-a4dc-4d6d-b5aa-437fbd3967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P14:P16</xm:sqref>
        </x14:conditionalFormatting>
        <x14:conditionalFormatting xmlns:xm="http://schemas.microsoft.com/office/excel/2006/main">
          <x14:cfRule type="dataBar" id="{ee20ee2e-b172-4a5e-8b19-29cbc3889c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P17:P25</xm:sqref>
        </x14:conditionalFormatting>
        <x14:conditionalFormatting xmlns:xm="http://schemas.microsoft.com/office/excel/2006/main">
          <x14:cfRule type="dataBar" id="{19d3fa53-d7f2-472b-b053-0487df56f7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P30:P34</xm:sqref>
        </x14:conditionalFormatting>
        <x14:conditionalFormatting xmlns:xm="http://schemas.microsoft.com/office/excel/2006/main">
          <x14:cfRule type="dataBar" id="{fa651208-08df-44c6-a000-7f6825b4e5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O26 O28</xm:sqref>
        </x14:conditionalFormatting>
        <x14:conditionalFormatting xmlns:xm="http://schemas.microsoft.com/office/excel/2006/main">
          <x14:cfRule type="dataBar" id="{d26df155-0c76-44c6-82b4-4d84eccddf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P26 P28</xm:sqref>
        </x14:conditionalFormatting>
        <x14:conditionalFormatting xmlns:xm="http://schemas.microsoft.com/office/excel/2006/main">
          <x14:cfRule type="dataBar" id="{058776df-bd2c-4734-bd5d-ee4958a3c6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F38:F40 F44:F46</xm:sqref>
        </x14:conditionalFormatting>
        <x14:conditionalFormatting xmlns:xm="http://schemas.microsoft.com/office/excel/2006/main">
          <x14:cfRule type="dataBar" id="{0875c5bb-500a-46dd-8253-82fbec85c7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G38:G40 G44:G46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49"/>
  <sheetViews>
    <sheetView workbookViewId="0">
      <selection activeCell="A2" sqref="A2:N8"/>
    </sheetView>
  </sheetViews>
  <sheetFormatPr defaultColWidth="9" defaultRowHeight="13.5"/>
  <cols>
    <col min="1" max="1" width="5.75" customWidth="1"/>
    <col min="2" max="2" width="6.625" customWidth="1"/>
    <col min="3" max="3" width="5.25" customWidth="1"/>
    <col min="5" max="5" width="10.25" customWidth="1"/>
    <col min="6" max="6" width="9.625" customWidth="1"/>
    <col min="7" max="7" width="10.125" customWidth="1"/>
    <col min="8" max="8" width="7.5" customWidth="1"/>
    <col min="9" max="9" width="6.125" customWidth="1"/>
    <col min="10" max="10" width="5.625" customWidth="1"/>
    <col min="11" max="11" width="5.75" customWidth="1"/>
    <col min="12" max="13" width="8.375" customWidth="1"/>
    <col min="14" max="14" width="8.25" customWidth="1"/>
    <col min="15" max="15" width="10.5" customWidth="1"/>
    <col min="16" max="16" width="8.75" customWidth="1"/>
    <col min="17" max="17" width="8.375" customWidth="1"/>
    <col min="18" max="18" width="5.125" customWidth="1"/>
    <col min="20" max="20" width="8.5" customWidth="1"/>
    <col min="21" max="21" width="7.75" customWidth="1"/>
    <col min="22" max="22" width="8.75" customWidth="1"/>
    <col min="23" max="23" width="32.25" customWidth="1"/>
    <col min="24" max="24" width="33.125" customWidth="1"/>
  </cols>
  <sheetData>
    <row r="1" s="1" customFormat="1" ht="27.75" spans="1:24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22</v>
      </c>
      <c r="X1" s="22" t="s">
        <v>23</v>
      </c>
    </row>
    <row r="2" ht="14.25" customHeight="1" spans="1:24">
      <c r="A2" s="700">
        <v>20</v>
      </c>
      <c r="B2" s="700">
        <f>VLOOKUP(表1_8[[#This Row],[区服]],$O$29:$P$36,2,FALSE)</f>
        <v>54</v>
      </c>
      <c r="C2" s="701" t="s">
        <v>42</v>
      </c>
      <c r="D2" s="745" t="str">
        <f>表1_8[[#This Row],[目标国家]]</f>
        <v>蜀</v>
      </c>
      <c r="E2" s="746">
        <f>(VLOOKUP(表1_8[[#This Row],[目标区服]],$Q$29:$R$30,2,FALSE)-表1_8[[#This Row],[开服天数]])*配置!$B$1</f>
        <v>1500</v>
      </c>
      <c r="F2" s="746">
        <f>表1_8[[#This Row],[补偿Coin]]*(表1_8[[#This Row],[活跃高战玩家数]]+表1_8[[#This Row],[活跃中坚玩家数]])</f>
        <v>25500</v>
      </c>
      <c r="G2" s="746">
        <f>(VLOOKUP(表1_8[[#This Row],[目标区服]],$Q$29:$R$30,2,FALSE)-表1_8[[#This Row],[开服天数]])*配置!$B$2</f>
        <v>15</v>
      </c>
      <c r="H2" s="702" t="s">
        <v>25</v>
      </c>
      <c r="I2" s="702">
        <f>IF(表1_8[[#This Row],[原国家]]="魏",0,IF(表1_8[[#This Row],[原国家]]="蜀",1,2))</f>
        <v>0</v>
      </c>
      <c r="J2" s="703">
        <v>0</v>
      </c>
      <c r="K2" s="703">
        <v>7</v>
      </c>
      <c r="L2" s="703">
        <v>3</v>
      </c>
      <c r="M2" s="703">
        <v>14</v>
      </c>
      <c r="N2" s="703">
        <v>55974</v>
      </c>
      <c r="O2" s="703">
        <v>1928575</v>
      </c>
      <c r="P2" s="706">
        <v>11271194</v>
      </c>
      <c r="Q2" s="742" t="s">
        <v>26</v>
      </c>
      <c r="R2" s="702">
        <f>IF(表1_8[[#This Row],[目标国家]]="魏",0,IF(表1_8[[#This Row],[目标国家]]="蜀",1,2))</f>
        <v>1</v>
      </c>
      <c r="S2" s="703">
        <v>67624</v>
      </c>
      <c r="T2" s="703">
        <v>128</v>
      </c>
      <c r="U2" s="703">
        <v>192971</v>
      </c>
      <c r="V2" s="703">
        <v>5628</v>
      </c>
      <c r="W2" s="707" t="str">
        <f>"{"&amp;"'coin':"&amp;表1_8[[#This Row],[补偿Coin]]&amp;",'"&amp;配置!$A$2&amp;"':"&amp;表1_8[[#This Row],[补偿辎重]]&amp;"},"</f>
        <v>{'coin':1500,'item036':15},</v>
      </c>
      <c r="X2" s="708" t="str">
        <f>"      '"&amp;表1_8[[#This Row],[区服]]&amp;"':{"</f>
        <v>      '20':{</v>
      </c>
    </row>
    <row r="3" ht="14.25" customHeight="1" spans="1:24">
      <c r="A3" s="747">
        <v>20</v>
      </c>
      <c r="B3" s="700">
        <f>VLOOKUP(表1_8[[#This Row],[区服]],$O$29:$P$36,2,FALSE)</f>
        <v>54</v>
      </c>
      <c r="C3" s="701" t="s">
        <v>42</v>
      </c>
      <c r="D3" s="702" t="str">
        <f>表1_8[[#This Row],[目标国家]]</f>
        <v>魏</v>
      </c>
      <c r="E3" s="703">
        <f>(VLOOKUP(表1_8[[#This Row],[目标区服]],$Q$29:$R$30,2,FALSE)-表1_8[[#This Row],[开服天数]])*配置!$B$1</f>
        <v>1500</v>
      </c>
      <c r="F3" s="703">
        <f>表1_8[[#This Row],[补偿Coin]]*(表1_8[[#This Row],[活跃高战玩家数]]+表1_8[[#This Row],[活跃中坚玩家数]])</f>
        <v>55500</v>
      </c>
      <c r="G3" s="703">
        <f>(VLOOKUP(表1_8[[#This Row],[目标区服]],$Q$29:$R$30,2,FALSE)-表1_8[[#This Row],[开服天数]])*配置!$B$2</f>
        <v>15</v>
      </c>
      <c r="H3" s="702" t="s">
        <v>26</v>
      </c>
      <c r="I3" s="702">
        <f>IF(表1_8[[#This Row],[原国家]]="魏",0,IF(表1_8[[#This Row],[原国家]]="蜀",1,2))</f>
        <v>1</v>
      </c>
      <c r="J3" s="703">
        <v>9</v>
      </c>
      <c r="K3" s="703">
        <v>373</v>
      </c>
      <c r="L3" s="703">
        <v>6</v>
      </c>
      <c r="M3" s="703">
        <v>31</v>
      </c>
      <c r="N3" s="703">
        <v>194814</v>
      </c>
      <c r="O3" s="703">
        <v>2906745</v>
      </c>
      <c r="P3" s="706">
        <v>35425193</v>
      </c>
      <c r="Q3" s="743" t="s">
        <v>25</v>
      </c>
      <c r="R3" s="702">
        <f>IF(表1_8[[#This Row],[目标国家]]="魏",0,IF(表1_8[[#This Row],[目标国家]]="蜀",1,2))</f>
        <v>0</v>
      </c>
      <c r="S3" s="703">
        <v>101012</v>
      </c>
      <c r="T3" s="703">
        <v>107532</v>
      </c>
      <c r="U3" s="703">
        <v>1018979</v>
      </c>
      <c r="V3" s="703">
        <v>17177</v>
      </c>
      <c r="W3" s="707" t="str">
        <f>"{"&amp;"'coin':"&amp;表1_8[[#This Row],[补偿Coin]]&amp;",'"&amp;配置!$A$2&amp;"':"&amp;表1_8[[#This Row],[补偿辎重]]&amp;"},"</f>
        <v>{'coin':1500,'item036':15},</v>
      </c>
      <c r="X3" s="708" t="str">
        <f>"            'reward':"&amp;表1_8[[#This Row],[辅助导出]]&amp;"
            'country':["&amp;R2&amp;","&amp;R3&amp;","&amp;R4&amp;"],"</f>
        <v>            'reward':{'coin':1500,'item036':15},
            'country':[1,0,0],</v>
      </c>
    </row>
    <row r="4" ht="14.25" customHeight="1" spans="1:24">
      <c r="A4" s="747">
        <v>20</v>
      </c>
      <c r="B4" s="700">
        <f>VLOOKUP(表1_8[[#This Row],[区服]],$O$29:$P$36,2,FALSE)</f>
        <v>54</v>
      </c>
      <c r="C4" s="701" t="s">
        <v>42</v>
      </c>
      <c r="D4" s="702" t="str">
        <f>表1_8[[#This Row],[目标国家]]</f>
        <v>魏</v>
      </c>
      <c r="E4" s="703">
        <f>(VLOOKUP(表1_8[[#This Row],[目标区服]],$Q$29:$R$30,2,FALSE)-表1_8[[#This Row],[开服天数]])*配置!$B$1</f>
        <v>1500</v>
      </c>
      <c r="F4" s="703">
        <f>表1_8[[#This Row],[补偿Coin]]*(表1_8[[#This Row],[活跃高战玩家数]]+表1_8[[#This Row],[活跃中坚玩家数]])</f>
        <v>13500</v>
      </c>
      <c r="G4" s="703">
        <f>(VLOOKUP(表1_8[[#This Row],[目标区服]],$Q$29:$R$30,2,FALSE)-表1_8[[#This Row],[开服天数]])*配置!$B$2</f>
        <v>15</v>
      </c>
      <c r="H4" s="702" t="s">
        <v>27</v>
      </c>
      <c r="I4" s="702">
        <f>IF(表1_8[[#This Row],[原国家]]="魏",0,IF(表1_8[[#This Row],[原国家]]="蜀",1,2))</f>
        <v>2</v>
      </c>
      <c r="J4" s="703">
        <v>0</v>
      </c>
      <c r="K4" s="703">
        <v>15</v>
      </c>
      <c r="L4" s="703">
        <v>0</v>
      </c>
      <c r="M4" s="703">
        <v>9</v>
      </c>
      <c r="N4" s="703">
        <v>23487</v>
      </c>
      <c r="O4" s="703">
        <v>1043564</v>
      </c>
      <c r="P4" s="706">
        <v>4684933</v>
      </c>
      <c r="Q4" s="743" t="s">
        <v>25</v>
      </c>
      <c r="R4" s="702">
        <f>IF(表1_8[[#This Row],[目标国家]]="魏",0,IF(表1_8[[#This Row],[目标国家]]="蜀",1,2))</f>
        <v>0</v>
      </c>
      <c r="S4" s="703">
        <v>1800</v>
      </c>
      <c r="T4" s="703">
        <v>0</v>
      </c>
      <c r="U4" s="703">
        <v>66839</v>
      </c>
      <c r="V4" s="703">
        <v>1900</v>
      </c>
      <c r="W4" s="707" t="str">
        <f>"{"&amp;"'coin':"&amp;表1_8[[#This Row],[补偿Coin]]&amp;",'"&amp;配置!$A$2&amp;"':"&amp;表1_8[[#This Row],[补偿辎重]]&amp;"},"</f>
        <v>{'coin':1500,'item036':15},</v>
      </c>
      <c r="X4" s="708" t="str">
        <f>"      },"</f>
        <v>      },</v>
      </c>
    </row>
    <row r="5" ht="14.25" customHeight="1" spans="1:24">
      <c r="A5" s="747">
        <v>21</v>
      </c>
      <c r="B5" s="700">
        <f>VLOOKUP(表1_8[[#This Row],[区服]],$O$29:$P$36,2,FALSE)</f>
        <v>52</v>
      </c>
      <c r="C5" s="701" t="s">
        <v>42</v>
      </c>
      <c r="D5" s="702" t="str">
        <f>表1_8[[#This Row],[目标国家]]</f>
        <v>吴</v>
      </c>
      <c r="E5" s="703">
        <f>(VLOOKUP(表1_8[[#This Row],[目标区服]],$Q$29:$R$30,2,FALSE)-表1_8[[#This Row],[开服天数]])*配置!$B$1</f>
        <v>2500</v>
      </c>
      <c r="F5" s="703">
        <f>表1_8[[#This Row],[补偿Coin]]*(表1_8[[#This Row],[活跃高战玩家数]]+表1_8[[#This Row],[活跃中坚玩家数]])</f>
        <v>55000</v>
      </c>
      <c r="G5" s="703">
        <f>(VLOOKUP(表1_8[[#This Row],[目标区服]],$Q$29:$R$30,2,FALSE)-表1_8[[#This Row],[开服天数]])*配置!$B$2</f>
        <v>25</v>
      </c>
      <c r="H5" s="702" t="s">
        <v>25</v>
      </c>
      <c r="I5" s="702">
        <f>IF(表1_8[[#This Row],[原国家]]="魏",0,IF(表1_8[[#This Row],[原国家]]="蜀",1,2))</f>
        <v>0</v>
      </c>
      <c r="J5" s="703">
        <v>3</v>
      </c>
      <c r="K5" s="703">
        <v>73</v>
      </c>
      <c r="L5" s="703">
        <v>2</v>
      </c>
      <c r="M5" s="703">
        <v>20</v>
      </c>
      <c r="N5" s="703">
        <v>69653</v>
      </c>
      <c r="O5" s="703">
        <v>2303686</v>
      </c>
      <c r="P5" s="706">
        <v>18761269</v>
      </c>
      <c r="Q5" s="743" t="s">
        <v>27</v>
      </c>
      <c r="R5" s="702">
        <f>IF(表1_8[[#This Row],[目标国家]]="魏",0,IF(表1_8[[#This Row],[目标国家]]="蜀",1,2))</f>
        <v>2</v>
      </c>
      <c r="S5" s="703">
        <v>30086</v>
      </c>
      <c r="T5" s="703">
        <v>44124</v>
      </c>
      <c r="U5" s="703">
        <v>294834</v>
      </c>
      <c r="V5" s="703">
        <v>7196</v>
      </c>
      <c r="W5" s="707" t="str">
        <f>"{"&amp;"'coin':"&amp;表1_8[[#This Row],[补偿Coin]]&amp;",'"&amp;配置!$A$2&amp;"':"&amp;表1_8[[#This Row],[补偿辎重]]&amp;"},"</f>
        <v>{'coin':2500,'item036':25},</v>
      </c>
      <c r="X5" s="708" t="str">
        <f>"      '"&amp;表1_8[[#This Row],[区服]]&amp;"':{"</f>
        <v>      '21':{</v>
      </c>
    </row>
    <row r="6" ht="14.25" customHeight="1" spans="1:24">
      <c r="A6" s="700">
        <v>21</v>
      </c>
      <c r="B6" s="700">
        <f>VLOOKUP(表1_8[[#This Row],[区服]],$O$29:$P$36,2,FALSE)</f>
        <v>52</v>
      </c>
      <c r="C6" s="701" t="s">
        <v>42</v>
      </c>
      <c r="D6" s="702" t="str">
        <f>表1_8[[#This Row],[目标国家]]</f>
        <v>蜀</v>
      </c>
      <c r="E6" s="703">
        <f>(VLOOKUP(表1_8[[#This Row],[目标区服]],$Q$29:$R$30,2,FALSE)-表1_8[[#This Row],[开服天数]])*配置!$B$1</f>
        <v>2500</v>
      </c>
      <c r="F6" s="703">
        <f>表1_8[[#This Row],[补偿Coin]]*(表1_8[[#This Row],[活跃高战玩家数]]+表1_8[[#This Row],[活跃中坚玩家数]])</f>
        <v>75000</v>
      </c>
      <c r="G6" s="703">
        <f>(VLOOKUP(表1_8[[#This Row],[目标区服]],$Q$29:$R$30,2,FALSE)-表1_8[[#This Row],[开服天数]])*配置!$B$2</f>
        <v>25</v>
      </c>
      <c r="H6" s="702" t="s">
        <v>26</v>
      </c>
      <c r="I6" s="702">
        <f>IF(表1_8[[#This Row],[原国家]]="魏",0,IF(表1_8[[#This Row],[原国家]]="蜀",1,2))</f>
        <v>1</v>
      </c>
      <c r="J6" s="703">
        <v>2</v>
      </c>
      <c r="K6" s="703">
        <v>145</v>
      </c>
      <c r="L6" s="703">
        <v>3</v>
      </c>
      <c r="M6" s="703">
        <v>27</v>
      </c>
      <c r="N6" s="703">
        <v>97225</v>
      </c>
      <c r="O6" s="703">
        <v>2734529</v>
      </c>
      <c r="P6" s="706">
        <v>26576483</v>
      </c>
      <c r="Q6" s="743" t="s">
        <v>26</v>
      </c>
      <c r="R6" s="702">
        <f>IF(表1_8[[#This Row],[目标国家]]="魏",0,IF(表1_8[[#This Row],[目标国家]]="蜀",1,2))</f>
        <v>1</v>
      </c>
      <c r="S6" s="703">
        <v>45938</v>
      </c>
      <c r="T6" s="703">
        <v>54432</v>
      </c>
      <c r="U6" s="703">
        <v>472074</v>
      </c>
      <c r="V6" s="703">
        <v>9922</v>
      </c>
      <c r="W6" s="707" t="str">
        <f>"{"&amp;"'coin':"&amp;表1_8[[#This Row],[补偿Coin]]&amp;",'"&amp;配置!$A$2&amp;"':"&amp;表1_8[[#This Row],[补偿辎重]]&amp;"},"</f>
        <v>{'coin':2500,'item036':25},</v>
      </c>
      <c r="X6" s="708" t="str">
        <f>"            'reward':"&amp;表1_8[[#This Row],[辅助导出]]&amp;"
            'country':["&amp;R5&amp;","&amp;R6&amp;","&amp;R7&amp;"],"</f>
        <v>            'reward':{'coin':2500,'item036':25},
            'country':[2,1,2],</v>
      </c>
    </row>
    <row r="7" ht="14.25" customHeight="1" spans="1:24">
      <c r="A7" s="700">
        <v>21</v>
      </c>
      <c r="B7" s="700">
        <f>VLOOKUP(表1_8[[#This Row],[区服]],$O$29:$P$36,2,FALSE)</f>
        <v>52</v>
      </c>
      <c r="C7" s="701" t="s">
        <v>42</v>
      </c>
      <c r="D7" s="702" t="str">
        <f>表1_8[[#This Row],[目标国家]]</f>
        <v>吴</v>
      </c>
      <c r="E7" s="703">
        <f>(VLOOKUP(表1_8[[#This Row],[目标区服]],$Q$29:$R$30,2,FALSE)-表1_8[[#This Row],[开服天数]])*配置!$B$1</f>
        <v>2500</v>
      </c>
      <c r="F7" s="703">
        <f>表1_8[[#This Row],[补偿Coin]]*(表1_8[[#This Row],[活跃高战玩家数]]+表1_8[[#This Row],[活跃中坚玩家数]])</f>
        <v>65000</v>
      </c>
      <c r="G7" s="703">
        <f>(VLOOKUP(表1_8[[#This Row],[目标区服]],$Q$29:$R$30,2,FALSE)-表1_8[[#This Row],[开服天数]])*配置!$B$2</f>
        <v>25</v>
      </c>
      <c r="H7" s="702" t="s">
        <v>27</v>
      </c>
      <c r="I7" s="702">
        <f>IF(表1_8[[#This Row],[原国家]]="魏",0,IF(表1_8[[#This Row],[原国家]]="蜀",1,2))</f>
        <v>2</v>
      </c>
      <c r="J7" s="703">
        <v>4</v>
      </c>
      <c r="K7" s="703">
        <v>177</v>
      </c>
      <c r="L7" s="703">
        <v>4</v>
      </c>
      <c r="M7" s="703">
        <v>22</v>
      </c>
      <c r="N7" s="703">
        <v>116415</v>
      </c>
      <c r="O7" s="703">
        <v>2906347</v>
      </c>
      <c r="P7" s="706">
        <v>26853182</v>
      </c>
      <c r="Q7" s="743" t="s">
        <v>27</v>
      </c>
      <c r="R7" s="702">
        <f>IF(表1_8[[#This Row],[目标国家]]="魏",0,IF(表1_8[[#This Row],[目标国家]]="蜀",1,2))</f>
        <v>2</v>
      </c>
      <c r="S7" s="703">
        <v>107706</v>
      </c>
      <c r="T7" s="703">
        <v>4272</v>
      </c>
      <c r="U7" s="703">
        <v>845785</v>
      </c>
      <c r="V7" s="703">
        <v>12463</v>
      </c>
      <c r="W7" s="707" t="str">
        <f>"{"&amp;"'coin':"&amp;表1_8[[#This Row],[补偿Coin]]&amp;",'"&amp;配置!$A$2&amp;"':"&amp;表1_8[[#This Row],[补偿辎重]]&amp;"},"</f>
        <v>{'coin':2500,'item036':25},</v>
      </c>
      <c r="X7" s="708" t="str">
        <f t="shared" ref="X7" si="0">"      },"</f>
        <v>      },</v>
      </c>
    </row>
    <row r="8" ht="14.25" customHeight="1" spans="1:24">
      <c r="A8" s="700">
        <v>22</v>
      </c>
      <c r="B8" s="700">
        <f>VLOOKUP(表1_8[[#This Row],[区服]],$O$29:$P$36,2,FALSE)</f>
        <v>51</v>
      </c>
      <c r="C8" s="701" t="s">
        <v>43</v>
      </c>
      <c r="D8" s="702" t="str">
        <f>表1_8[[#This Row],[目标国家]]</f>
        <v>魏</v>
      </c>
      <c r="E8" s="703">
        <f>(VLOOKUP(表1_8[[#This Row],[目标区服]],$Q$29:$R$30,2,FALSE)-表1_8[[#This Row],[开服天数]])*配置!$B$1</f>
        <v>2000</v>
      </c>
      <c r="F8" s="703">
        <f>表1_8[[#This Row],[补偿Coin]]*(表1_8[[#This Row],[活跃高战玩家数]]+表1_8[[#This Row],[活跃中坚玩家数]])</f>
        <v>58000</v>
      </c>
      <c r="G8" s="703">
        <f>(VLOOKUP(表1_8[[#This Row],[目标区服]],$Q$29:$R$30,2,FALSE)-表1_8[[#This Row],[开服天数]])*配置!$B$2</f>
        <v>20</v>
      </c>
      <c r="H8" s="702" t="s">
        <v>25</v>
      </c>
      <c r="I8" s="702">
        <f>IF(表1_8[[#This Row],[原国家]]="魏",0,IF(表1_8[[#This Row],[原国家]]="蜀",1,2))</f>
        <v>0</v>
      </c>
      <c r="J8" s="703">
        <v>9</v>
      </c>
      <c r="K8" s="703">
        <v>372</v>
      </c>
      <c r="L8" s="703">
        <v>9</v>
      </c>
      <c r="M8" s="703">
        <v>20</v>
      </c>
      <c r="N8" s="703">
        <v>162260</v>
      </c>
      <c r="O8" s="703">
        <v>1920363</v>
      </c>
      <c r="P8" s="706">
        <v>19828135</v>
      </c>
      <c r="Q8" s="743" t="s">
        <v>25</v>
      </c>
      <c r="R8" s="702">
        <f>IF(表1_8[[#This Row],[目标国家]]="魏",0,IF(表1_8[[#This Row],[目标国家]]="蜀",1,2))</f>
        <v>0</v>
      </c>
      <c r="S8" s="703">
        <v>38432</v>
      </c>
      <c r="T8" s="703">
        <v>0</v>
      </c>
      <c r="U8" s="703">
        <v>482359</v>
      </c>
      <c r="V8" s="703">
        <v>10969</v>
      </c>
      <c r="W8" s="707" t="str">
        <f>"{"&amp;"'coin':"&amp;表1_8[[#This Row],[补偿Coin]]&amp;",'"&amp;配置!$A$2&amp;"':"&amp;表1_8[[#This Row],[补偿辎重]]&amp;"},"</f>
        <v>{'coin':2000,'item036':20},</v>
      </c>
      <c r="X8" s="708" t="str">
        <f>"      '"&amp;表1_8[[#This Row],[区服]]&amp;"':{"</f>
        <v>      '22':{</v>
      </c>
    </row>
    <row r="9" ht="14.25" customHeight="1" spans="1:24">
      <c r="A9" s="700">
        <v>22</v>
      </c>
      <c r="B9" s="700">
        <f>VLOOKUP(表1_8[[#This Row],[区服]],$O$29:$P$36,2,FALSE)</f>
        <v>51</v>
      </c>
      <c r="C9" s="701" t="s">
        <v>43</v>
      </c>
      <c r="D9" s="702" t="str">
        <f>表1_8[[#This Row],[目标国家]]</f>
        <v>魏</v>
      </c>
      <c r="E9" s="703">
        <f>(VLOOKUP(表1_8[[#This Row],[目标区服]],$Q$29:$R$30,2,FALSE)-表1_8[[#This Row],[开服天数]])*配置!$B$1</f>
        <v>2000</v>
      </c>
      <c r="F9" s="703">
        <f>表1_8[[#This Row],[补偿Coin]]*(表1_8[[#This Row],[活跃高战玩家数]]+表1_8[[#This Row],[活跃中坚玩家数]])</f>
        <v>26000</v>
      </c>
      <c r="G9" s="703">
        <f>(VLOOKUP(表1_8[[#This Row],[目标区服]],$Q$29:$R$30,2,FALSE)-表1_8[[#This Row],[开服天数]])*配置!$B$2</f>
        <v>20</v>
      </c>
      <c r="H9" s="702" t="s">
        <v>26</v>
      </c>
      <c r="I9" s="702">
        <f>IF(表1_8[[#This Row],[原国家]]="魏",0,IF(表1_8[[#This Row],[原国家]]="蜀",1,2))</f>
        <v>1</v>
      </c>
      <c r="J9" s="703">
        <v>0</v>
      </c>
      <c r="K9" s="703">
        <v>9</v>
      </c>
      <c r="L9" s="703">
        <v>1</v>
      </c>
      <c r="M9" s="703">
        <v>12</v>
      </c>
      <c r="N9" s="703">
        <v>44683</v>
      </c>
      <c r="O9" s="703">
        <v>980390</v>
      </c>
      <c r="P9" s="706">
        <v>5266592</v>
      </c>
      <c r="Q9" s="743" t="s">
        <v>25</v>
      </c>
      <c r="R9" s="702">
        <f>IF(表1_8[[#This Row],[目标国家]]="魏",0,IF(表1_8[[#This Row],[目标国家]]="蜀",1,2))</f>
        <v>0</v>
      </c>
      <c r="S9" s="703">
        <v>2980</v>
      </c>
      <c r="T9" s="703">
        <v>0</v>
      </c>
      <c r="U9" s="703">
        <v>78790</v>
      </c>
      <c r="V9" s="703">
        <v>1988</v>
      </c>
      <c r="W9" s="707" t="str">
        <f>"{"&amp;"'coin':"&amp;表1_8[[#This Row],[补偿Coin]]&amp;",'"&amp;配置!$A$2&amp;"':"&amp;表1_8[[#This Row],[补偿辎重]]&amp;"},"</f>
        <v>{'coin':2000,'item036':20},</v>
      </c>
      <c r="X9" s="708" t="str">
        <f>"            'reward':"&amp;表1_8[[#This Row],[辅助导出]]&amp;"
            'country':["&amp;R8&amp;","&amp;R9&amp;","&amp;R10&amp;"],"</f>
        <v>            'reward':{'coin':2000,'item036':20},
            'country':[0,0,1],</v>
      </c>
    </row>
    <row r="10" ht="14.25" customHeight="1" spans="1:24">
      <c r="A10" s="700">
        <v>22</v>
      </c>
      <c r="B10" s="700">
        <f>VLOOKUP(表1_8[[#This Row],[区服]],$O$29:$P$36,2,FALSE)</f>
        <v>51</v>
      </c>
      <c r="C10" s="701" t="s">
        <v>43</v>
      </c>
      <c r="D10" s="702" t="str">
        <f>表1_8[[#This Row],[目标国家]]</f>
        <v>蜀</v>
      </c>
      <c r="E10" s="703">
        <f>(VLOOKUP(表1_8[[#This Row],[目标区服]],$Q$29:$R$30,2,FALSE)-表1_8[[#This Row],[开服天数]])*配置!$B$1</f>
        <v>2000</v>
      </c>
      <c r="F10" s="703">
        <f>表1_8[[#This Row],[补偿Coin]]*(表1_8[[#This Row],[活跃高战玩家数]]+表1_8[[#This Row],[活跃中坚玩家数]])</f>
        <v>18000</v>
      </c>
      <c r="G10" s="703">
        <f>(VLOOKUP(表1_8[[#This Row],[目标区服]],$Q$29:$R$30,2,FALSE)-表1_8[[#This Row],[开服天数]])*配置!$B$2</f>
        <v>20</v>
      </c>
      <c r="H10" s="702" t="s">
        <v>27</v>
      </c>
      <c r="I10" s="702">
        <f>IF(表1_8[[#This Row],[原国家]]="魏",0,IF(表1_8[[#This Row],[原国家]]="蜀",1,2))</f>
        <v>2</v>
      </c>
      <c r="J10" s="703">
        <v>0</v>
      </c>
      <c r="K10" s="703">
        <v>14</v>
      </c>
      <c r="L10" s="703">
        <v>0</v>
      </c>
      <c r="M10" s="703">
        <v>9</v>
      </c>
      <c r="N10" s="703">
        <v>42173</v>
      </c>
      <c r="O10" s="703">
        <v>934541</v>
      </c>
      <c r="P10" s="706">
        <v>4465374</v>
      </c>
      <c r="Q10" s="743" t="s">
        <v>26</v>
      </c>
      <c r="R10" s="702">
        <f>IF(表1_8[[#This Row],[目标国家]]="魏",0,IF(表1_8[[#This Row],[目标国家]]="蜀",1,2))</f>
        <v>1</v>
      </c>
      <c r="S10" s="703">
        <v>3746</v>
      </c>
      <c r="T10" s="703">
        <v>0</v>
      </c>
      <c r="U10" s="703">
        <v>103602</v>
      </c>
      <c r="V10" s="703">
        <v>1947</v>
      </c>
      <c r="W10" s="707" t="str">
        <f>"{"&amp;"'coin':"&amp;表1_8[[#This Row],[补偿Coin]]&amp;",'"&amp;配置!$A$2&amp;"':"&amp;表1_8[[#This Row],[补偿辎重]]&amp;"},"</f>
        <v>{'coin':2000,'item036':20},</v>
      </c>
      <c r="X10" s="708" t="str">
        <f t="shared" ref="X10" si="1">"      },"</f>
        <v>      },</v>
      </c>
    </row>
    <row r="11" ht="14.25" customHeight="1" spans="1:24">
      <c r="A11" s="700">
        <v>23</v>
      </c>
      <c r="B11" s="700">
        <f>VLOOKUP(表1_8[[#This Row],[区服]],$O$29:$P$36,2,FALSE)</f>
        <v>51</v>
      </c>
      <c r="C11" s="701" t="s">
        <v>43</v>
      </c>
      <c r="D11" s="702" t="str">
        <f>表1_8[[#This Row],[目标国家]]</f>
        <v>吴</v>
      </c>
      <c r="E11" s="703">
        <f>(VLOOKUP(表1_8[[#This Row],[目标区服]],$Q$29:$R$30,2,FALSE)-表1_8[[#This Row],[开服天数]])*配置!$B$1</f>
        <v>2000</v>
      </c>
      <c r="F11" s="703">
        <f>表1_8[[#This Row],[补偿Coin]]*(表1_8[[#This Row],[活跃高战玩家数]]+表1_8[[#This Row],[活跃中坚玩家数]])</f>
        <v>30000</v>
      </c>
      <c r="G11" s="703">
        <f>(VLOOKUP(表1_8[[#This Row],[目标区服]],$Q$29:$R$30,2,FALSE)-表1_8[[#This Row],[开服天数]])*配置!$B$2</f>
        <v>20</v>
      </c>
      <c r="H11" s="702" t="s">
        <v>25</v>
      </c>
      <c r="I11" s="702">
        <f>IF(表1_8[[#This Row],[原国家]]="魏",0,IF(表1_8[[#This Row],[原国家]]="蜀",1,2))</f>
        <v>0</v>
      </c>
      <c r="J11" s="703">
        <v>2</v>
      </c>
      <c r="K11" s="703">
        <v>47</v>
      </c>
      <c r="L11" s="703">
        <v>1</v>
      </c>
      <c r="M11" s="703">
        <v>14</v>
      </c>
      <c r="N11" s="703">
        <v>47848</v>
      </c>
      <c r="O11" s="703">
        <v>1212640</v>
      </c>
      <c r="P11" s="706">
        <v>7648114</v>
      </c>
      <c r="Q11" s="743" t="s">
        <v>27</v>
      </c>
      <c r="R11" s="702">
        <f>IF(表1_8[[#This Row],[目标国家]]="魏",0,IF(表1_8[[#This Row],[目标国家]]="蜀",1,2))</f>
        <v>2</v>
      </c>
      <c r="S11" s="703">
        <v>2928</v>
      </c>
      <c r="T11" s="703">
        <v>0</v>
      </c>
      <c r="U11" s="703">
        <v>120983</v>
      </c>
      <c r="V11" s="703">
        <v>3095</v>
      </c>
      <c r="W11" s="707" t="str">
        <f>"{"&amp;"'coin':"&amp;表1_8[[#This Row],[补偿Coin]]&amp;",'"&amp;配置!$A$2&amp;"':"&amp;表1_8[[#This Row],[补偿辎重]]&amp;"},"</f>
        <v>{'coin':2000,'item036':20},</v>
      </c>
      <c r="X11" s="708" t="str">
        <f>"      '"&amp;表1_8[[#This Row],[区服]]&amp;"':{"</f>
        <v>      '23':{</v>
      </c>
    </row>
    <row r="12" ht="14.25" customHeight="1" spans="1:24">
      <c r="A12" s="700">
        <v>23</v>
      </c>
      <c r="B12" s="700">
        <f>VLOOKUP(表1_8[[#This Row],[区服]],$O$29:$P$36,2,FALSE)</f>
        <v>51</v>
      </c>
      <c r="C12" s="701" t="s">
        <v>43</v>
      </c>
      <c r="D12" s="702" t="str">
        <f>表1_8[[#This Row],[目标国家]]</f>
        <v>蜀</v>
      </c>
      <c r="E12" s="703">
        <f>(VLOOKUP(表1_8[[#This Row],[目标区服]],$Q$29:$R$30,2,FALSE)-表1_8[[#This Row],[开服天数]])*配置!$B$1</f>
        <v>2000</v>
      </c>
      <c r="F12" s="703">
        <f>表1_8[[#This Row],[补偿Coin]]*(表1_8[[#This Row],[活跃高战玩家数]]+表1_8[[#This Row],[活跃中坚玩家数]])</f>
        <v>56000</v>
      </c>
      <c r="G12" s="703">
        <f>(VLOOKUP(表1_8[[#This Row],[目标区服]],$Q$29:$R$30,2,FALSE)-表1_8[[#This Row],[开服天数]])*配置!$B$2</f>
        <v>20</v>
      </c>
      <c r="H12" s="702" t="s">
        <v>26</v>
      </c>
      <c r="I12" s="702">
        <f>IF(表1_8[[#This Row],[原国家]]="魏",0,IF(表1_8[[#This Row],[原国家]]="蜀",1,2))</f>
        <v>1</v>
      </c>
      <c r="J12" s="703">
        <v>4</v>
      </c>
      <c r="K12" s="703">
        <v>205</v>
      </c>
      <c r="L12" s="703">
        <v>3</v>
      </c>
      <c r="M12" s="703">
        <v>25</v>
      </c>
      <c r="N12" s="703">
        <v>115604</v>
      </c>
      <c r="O12" s="703">
        <v>2023969</v>
      </c>
      <c r="P12" s="706">
        <v>18577620</v>
      </c>
      <c r="Q12" s="743" t="s">
        <v>26</v>
      </c>
      <c r="R12" s="702">
        <f>IF(表1_8[[#This Row],[目标国家]]="魏",0,IF(表1_8[[#This Row],[目标国家]]="蜀",1,2))</f>
        <v>1</v>
      </c>
      <c r="S12" s="703">
        <v>58834</v>
      </c>
      <c r="T12" s="703">
        <v>0</v>
      </c>
      <c r="U12" s="703">
        <v>327410</v>
      </c>
      <c r="V12" s="703">
        <v>9002</v>
      </c>
      <c r="W12" s="707" t="str">
        <f>"{"&amp;"'coin':"&amp;表1_8[[#This Row],[补偿Coin]]&amp;",'"&amp;配置!$A$2&amp;"':"&amp;表1_8[[#This Row],[补偿辎重]]&amp;"},"</f>
        <v>{'coin':2000,'item036':20},</v>
      </c>
      <c r="X12" s="708" t="str">
        <f>"            'reward':"&amp;表1_8[[#This Row],[辅助导出]]&amp;"
            'country':["&amp;R11&amp;","&amp;R12&amp;","&amp;R13&amp;"],"</f>
        <v>            'reward':{'coin':2000,'item036':20},
            'country':[2,1,2],</v>
      </c>
    </row>
    <row r="13" ht="14.25" customHeight="1" spans="1:24">
      <c r="A13" s="700">
        <v>23</v>
      </c>
      <c r="B13" s="700">
        <f>VLOOKUP(表1_8[[#This Row],[区服]],$O$29:$P$36,2,FALSE)</f>
        <v>51</v>
      </c>
      <c r="C13" s="701" t="s">
        <v>43</v>
      </c>
      <c r="D13" s="702" t="str">
        <f>表1_8[[#This Row],[目标国家]]</f>
        <v>吴</v>
      </c>
      <c r="E13" s="703">
        <f>(VLOOKUP(表1_8[[#This Row],[目标区服]],$Q$29:$R$30,2,FALSE)-表1_8[[#This Row],[开服天数]])*配置!$B$1</f>
        <v>2000</v>
      </c>
      <c r="F13" s="703">
        <f>表1_8[[#This Row],[补偿Coin]]*(表1_8[[#This Row],[活跃高战玩家数]]+表1_8[[#This Row],[活跃中坚玩家数]])</f>
        <v>48000</v>
      </c>
      <c r="G13" s="703">
        <f>(VLOOKUP(表1_8[[#This Row],[目标区服]],$Q$29:$R$30,2,FALSE)-表1_8[[#This Row],[开服天数]])*配置!$B$2</f>
        <v>20</v>
      </c>
      <c r="H13" s="702" t="s">
        <v>27</v>
      </c>
      <c r="I13" s="702">
        <f>IF(表1_8[[#This Row],[原国家]]="魏",0,IF(表1_8[[#This Row],[原国家]]="蜀",1,2))</f>
        <v>2</v>
      </c>
      <c r="J13" s="703">
        <v>3</v>
      </c>
      <c r="K13" s="703">
        <v>143</v>
      </c>
      <c r="L13" s="703">
        <v>5</v>
      </c>
      <c r="M13" s="703">
        <v>19</v>
      </c>
      <c r="N13" s="703">
        <v>122730</v>
      </c>
      <c r="O13" s="703">
        <v>1769794</v>
      </c>
      <c r="P13" s="706">
        <v>16833157</v>
      </c>
      <c r="Q13" s="743" t="s">
        <v>27</v>
      </c>
      <c r="R13" s="702">
        <f>IF(表1_8[[#This Row],[目标国家]]="魏",0,IF(表1_8[[#This Row],[目标国家]]="蜀",1,2))</f>
        <v>2</v>
      </c>
      <c r="S13" s="703">
        <v>9396</v>
      </c>
      <c r="T13" s="703">
        <v>0</v>
      </c>
      <c r="U13" s="703">
        <v>319186</v>
      </c>
      <c r="V13" s="703">
        <v>6397</v>
      </c>
      <c r="W13" s="707" t="str">
        <f>"{"&amp;"'coin':"&amp;表1_8[[#This Row],[补偿Coin]]&amp;",'"&amp;配置!$A$2&amp;"':"&amp;表1_8[[#This Row],[补偿辎重]]&amp;"},"</f>
        <v>{'coin':2000,'item036':20},</v>
      </c>
      <c r="X13" s="708" t="str">
        <f t="shared" ref="X13" si="2">"      },"</f>
        <v>      },</v>
      </c>
    </row>
    <row r="14" ht="14.25" customHeight="1" spans="1:24">
      <c r="A14" s="667">
        <v>5</v>
      </c>
      <c r="B14" s="667" t="e">
        <f>VLOOKUP(表1_8[[#This Row],[区服]],$O$29:$P$36,2,FALSE)</f>
        <v>#N/A</v>
      </c>
      <c r="C14" s="668" t="s">
        <v>24</v>
      </c>
      <c r="D14" s="669" t="str">
        <f>表1_8[[#This Row],[目标国家]]</f>
        <v>吴</v>
      </c>
      <c r="E14" s="670" t="e">
        <f>(VLOOKUP(表1_8[[#This Row],[目标区服]],$Q$29:$R$30,2,FALSE)-表1_8[[#This Row],[开服天数]])*配置!$B$1</f>
        <v>#N/A</v>
      </c>
      <c r="F14" s="670" t="e">
        <f>表1_8[[#This Row],[补偿Coin]]*(表1_8[[#This Row],[活跃高战玩家数]]+表1_8[[#This Row],[活跃中坚玩家数]])</f>
        <v>#N/A</v>
      </c>
      <c r="G14" s="670" t="e">
        <f>(VLOOKUP(表1_8[[#This Row],[目标区服]],$Q$29:$R$30,2,FALSE)-表1_8[[#This Row],[开服天数]])*配置!$B$2</f>
        <v>#N/A</v>
      </c>
      <c r="H14" s="669" t="s">
        <v>25</v>
      </c>
      <c r="I14" s="669">
        <f>IF(表1_8[[#This Row],[原国家]]="魏",0,IF(表1_8[[#This Row],[原国家]]="蜀",1,2))</f>
        <v>0</v>
      </c>
      <c r="J14" s="670">
        <v>0</v>
      </c>
      <c r="K14" s="670">
        <v>6</v>
      </c>
      <c r="L14" s="670">
        <v>3</v>
      </c>
      <c r="M14" s="670">
        <v>8</v>
      </c>
      <c r="N14" s="670">
        <v>77556</v>
      </c>
      <c r="O14" s="670">
        <v>2738183</v>
      </c>
      <c r="P14" s="678">
        <v>15275931</v>
      </c>
      <c r="Q14" s="679" t="s">
        <v>27</v>
      </c>
      <c r="R14" s="702">
        <f>IF(表1_8[[#This Row],[目标国家]]="魏",0,IF(表1_8[[#This Row],[目标国家]]="蜀",1,2))</f>
        <v>2</v>
      </c>
      <c r="S14" s="670">
        <v>30918</v>
      </c>
      <c r="T14" s="670">
        <v>0</v>
      </c>
      <c r="U14" s="670">
        <v>114196</v>
      </c>
      <c r="V14" s="670">
        <v>5755</v>
      </c>
      <c r="W14" s="682" t="e">
        <f>"{"&amp;"'coin':"&amp;表1_8[[#This Row],[补偿Coin]]&amp;",'"&amp;配置!$A$2&amp;"':"&amp;表1_8[[#This Row],[补偿辎重]]&amp;"},"</f>
        <v>#N/A</v>
      </c>
      <c r="X14" s="254" t="str">
        <f>"      '"&amp;表1_8[[#This Row],[区服]]&amp;"':{"</f>
        <v>      '5':{</v>
      </c>
    </row>
    <row r="15" ht="14.25" customHeight="1" spans="1:24">
      <c r="A15" s="667">
        <v>5</v>
      </c>
      <c r="B15" s="667" t="e">
        <f>VLOOKUP(表1_8[[#This Row],[区服]],$O$29:$P$36,2,FALSE)</f>
        <v>#N/A</v>
      </c>
      <c r="C15" s="668" t="s">
        <v>24</v>
      </c>
      <c r="D15" s="669" t="str">
        <f>表1_8[[#This Row],[目标国家]]</f>
        <v>蜀</v>
      </c>
      <c r="E15" s="670" t="e">
        <f>(VLOOKUP(表1_8[[#This Row],[目标区服]],$Q$29:$R$30,2,FALSE)-表1_8[[#This Row],[开服天数]])*配置!$B$1</f>
        <v>#N/A</v>
      </c>
      <c r="F15" s="670" t="e">
        <f>表1_8[[#This Row],[补偿Coin]]*(表1_8[[#This Row],[活跃高战玩家数]]+表1_8[[#This Row],[活跃中坚玩家数]])</f>
        <v>#N/A</v>
      </c>
      <c r="G15" s="670" t="e">
        <f>(VLOOKUP(表1_8[[#This Row],[目标区服]],$Q$29:$R$30,2,FALSE)-表1_8[[#This Row],[开服天数]])*配置!$B$2</f>
        <v>#N/A</v>
      </c>
      <c r="H15" s="669" t="s">
        <v>26</v>
      </c>
      <c r="I15" s="669">
        <f>IF(表1_8[[#This Row],[原国家]]="魏",0,IF(表1_8[[#This Row],[原国家]]="蜀",1,2))</f>
        <v>1</v>
      </c>
      <c r="J15" s="670">
        <v>0</v>
      </c>
      <c r="K15" s="670">
        <v>7</v>
      </c>
      <c r="L15" s="670">
        <v>0</v>
      </c>
      <c r="M15" s="670">
        <v>2</v>
      </c>
      <c r="N15" s="670">
        <v>10418</v>
      </c>
      <c r="O15" s="670">
        <v>727897</v>
      </c>
      <c r="P15" s="678">
        <v>1767649</v>
      </c>
      <c r="Q15" s="679" t="s">
        <v>26</v>
      </c>
      <c r="R15" s="702">
        <f>IF(表1_8[[#This Row],[目标国家]]="魏",0,IF(表1_8[[#This Row],[目标国家]]="蜀",1,2))</f>
        <v>1</v>
      </c>
      <c r="S15" s="670">
        <v>6000</v>
      </c>
      <c r="T15" s="670">
        <v>0</v>
      </c>
      <c r="U15" s="670">
        <v>5454</v>
      </c>
      <c r="V15" s="670">
        <v>1212</v>
      </c>
      <c r="W15" s="682" t="e">
        <f>"{"&amp;"'coin':"&amp;表1_8[[#This Row],[补偿Coin]]&amp;",'"&amp;配置!$A$2&amp;"':"&amp;表1_8[[#This Row],[补偿辎重]]&amp;"},"</f>
        <v>#N/A</v>
      </c>
      <c r="X15" s="254" t="e">
        <f>"            'reward':"&amp;表1_8[[#This Row],[辅助导出]]&amp;"
            'country':["&amp;R14&amp;","&amp;R15&amp;","&amp;R16&amp;"],"</f>
        <v>#N/A</v>
      </c>
    </row>
    <row r="16" ht="14.25" customHeight="1" spans="1:24">
      <c r="A16" s="667">
        <v>5</v>
      </c>
      <c r="B16" s="667" t="e">
        <f>VLOOKUP(表1_8[[#This Row],[区服]],$O$29:$P$36,2,FALSE)</f>
        <v>#N/A</v>
      </c>
      <c r="C16" s="668" t="s">
        <v>24</v>
      </c>
      <c r="D16" s="669" t="str">
        <f>表1_8[[#This Row],[目标国家]]</f>
        <v>魏</v>
      </c>
      <c r="E16" s="670" t="e">
        <f>(VLOOKUP(表1_8[[#This Row],[目标区服]],$Q$29:$R$30,2,FALSE)-表1_8[[#This Row],[开服天数]])*配置!$B$1</f>
        <v>#N/A</v>
      </c>
      <c r="F16" s="670" t="e">
        <f>表1_8[[#This Row],[补偿Coin]]*(表1_8[[#This Row],[活跃高战玩家数]]+表1_8[[#This Row],[活跃中坚玩家数]])</f>
        <v>#N/A</v>
      </c>
      <c r="G16" s="670" t="e">
        <f>(VLOOKUP(表1_8[[#This Row],[目标区服]],$Q$29:$R$30,2,FALSE)-表1_8[[#This Row],[开服天数]])*配置!$B$2</f>
        <v>#N/A</v>
      </c>
      <c r="H16" s="669" t="s">
        <v>27</v>
      </c>
      <c r="I16" s="669">
        <f>IF(表1_8[[#This Row],[原国家]]="魏",0,IF(表1_8[[#This Row],[原国家]]="蜀",1,2))</f>
        <v>2</v>
      </c>
      <c r="J16" s="670">
        <v>9</v>
      </c>
      <c r="K16" s="670">
        <v>382</v>
      </c>
      <c r="L16" s="670">
        <v>5</v>
      </c>
      <c r="M16" s="670">
        <v>10</v>
      </c>
      <c r="N16" s="670">
        <v>97647</v>
      </c>
      <c r="O16" s="670">
        <v>3666662</v>
      </c>
      <c r="P16" s="678">
        <v>21613851</v>
      </c>
      <c r="Q16" s="679" t="s">
        <v>25</v>
      </c>
      <c r="R16" s="702">
        <f>IF(表1_8[[#This Row],[目标国家]]="魏",0,IF(表1_8[[#This Row],[目标国家]]="蜀",1,2))</f>
        <v>0</v>
      </c>
      <c r="S16" s="670">
        <v>5036</v>
      </c>
      <c r="T16" s="670">
        <v>104702</v>
      </c>
      <c r="U16" s="670">
        <v>431262</v>
      </c>
      <c r="V16" s="670">
        <v>12665</v>
      </c>
      <c r="W16" s="682" t="e">
        <f>"{"&amp;"'coin':"&amp;表1_8[[#This Row],[补偿Coin]]&amp;",'"&amp;配置!$A$2&amp;"':"&amp;表1_8[[#This Row],[补偿辎重]]&amp;"},"</f>
        <v>#N/A</v>
      </c>
      <c r="X16" s="254" t="str">
        <f>"      },"</f>
        <v>      },</v>
      </c>
    </row>
    <row r="17" ht="14.25" customHeight="1" spans="1:24">
      <c r="A17" s="667">
        <v>6</v>
      </c>
      <c r="B17" s="667" t="e">
        <f>VLOOKUP(表1_8[[#This Row],[区服]],$O$29:$P$36,2,FALSE)</f>
        <v>#N/A</v>
      </c>
      <c r="C17" s="668" t="s">
        <v>24</v>
      </c>
      <c r="D17" s="669" t="str">
        <f>表1_8[[#This Row],[目标国家]]</f>
        <v>蜀</v>
      </c>
      <c r="E17" s="670" t="e">
        <f>(VLOOKUP(表1_8[[#This Row],[目标区服]],$Q$29:$R$30,2,FALSE)-表1_8[[#This Row],[开服天数]])*配置!$B$1</f>
        <v>#N/A</v>
      </c>
      <c r="F17" s="670" t="e">
        <f>表1_8[[#This Row],[补偿Coin]]*(表1_8[[#This Row],[活跃高战玩家数]]+表1_8[[#This Row],[活跃中坚玩家数]])</f>
        <v>#N/A</v>
      </c>
      <c r="G17" s="670" t="e">
        <f>(VLOOKUP(表1_8[[#This Row],[目标区服]],$Q$29:$R$30,2,FALSE)-表1_8[[#This Row],[开服天数]])*配置!$B$2</f>
        <v>#N/A</v>
      </c>
      <c r="H17" s="669" t="s">
        <v>25</v>
      </c>
      <c r="I17" s="669">
        <f>IF(表1_8[[#This Row],[原国家]]="魏",0,IF(表1_8[[#This Row],[原国家]]="蜀",1,2))</f>
        <v>0</v>
      </c>
      <c r="J17" s="670">
        <v>7</v>
      </c>
      <c r="K17" s="670">
        <v>267</v>
      </c>
      <c r="L17" s="670">
        <v>6</v>
      </c>
      <c r="M17" s="670">
        <v>26</v>
      </c>
      <c r="N17" s="670">
        <v>153705</v>
      </c>
      <c r="O17" s="670">
        <v>2222751</v>
      </c>
      <c r="P17" s="678">
        <v>29703293</v>
      </c>
      <c r="Q17" s="679" t="s">
        <v>26</v>
      </c>
      <c r="R17" s="702">
        <f>IF(表1_8[[#This Row],[目标国家]]="魏",0,IF(表1_8[[#This Row],[目标国家]]="蜀",1,2))</f>
        <v>1</v>
      </c>
      <c r="S17" s="670">
        <v>19278</v>
      </c>
      <c r="T17" s="670">
        <v>7428</v>
      </c>
      <c r="U17" s="670">
        <v>568472</v>
      </c>
      <c r="V17" s="670">
        <v>10552</v>
      </c>
      <c r="W17" s="682" t="e">
        <f>"{"&amp;"'coin':"&amp;表1_8[[#This Row],[补偿Coin]]&amp;",'"&amp;配置!$A$2&amp;"':"&amp;表1_8[[#This Row],[补偿辎重]]&amp;"},"</f>
        <v>#N/A</v>
      </c>
      <c r="X17" s="254" t="str">
        <f>"      '"&amp;表1_8[[#This Row],[区服]]&amp;"':{"</f>
        <v>      '6':{</v>
      </c>
    </row>
    <row r="18" ht="14.25" customHeight="1" spans="1:24">
      <c r="A18" s="667">
        <v>6</v>
      </c>
      <c r="B18" s="667" t="e">
        <f>VLOOKUP(表1_8[[#This Row],[区服]],$O$29:$P$36,2,FALSE)</f>
        <v>#N/A</v>
      </c>
      <c r="C18" s="668" t="s">
        <v>24</v>
      </c>
      <c r="D18" s="669" t="str">
        <f>表1_8[[#This Row],[目标国家]]</f>
        <v>吴</v>
      </c>
      <c r="E18" s="670" t="e">
        <f>(VLOOKUP(表1_8[[#This Row],[目标区服]],$Q$29:$R$30,2,FALSE)-表1_8[[#This Row],[开服天数]])*配置!$B$1</f>
        <v>#N/A</v>
      </c>
      <c r="F18" s="670" t="e">
        <f>表1_8[[#This Row],[补偿Coin]]*(表1_8[[#This Row],[活跃高战玩家数]]+表1_8[[#This Row],[活跃中坚玩家数]])</f>
        <v>#N/A</v>
      </c>
      <c r="G18" s="670" t="e">
        <f>(VLOOKUP(表1_8[[#This Row],[目标区服]],$Q$29:$R$30,2,FALSE)-表1_8[[#This Row],[开服天数]])*配置!$B$2</f>
        <v>#N/A</v>
      </c>
      <c r="H18" s="669" t="s">
        <v>26</v>
      </c>
      <c r="I18" s="669">
        <f>IF(表1_8[[#This Row],[原国家]]="魏",0,IF(表1_8[[#This Row],[原国家]]="蜀",1,2))</f>
        <v>1</v>
      </c>
      <c r="J18" s="670">
        <v>1</v>
      </c>
      <c r="K18" s="670">
        <v>80</v>
      </c>
      <c r="L18" s="670">
        <v>4</v>
      </c>
      <c r="M18" s="670">
        <v>14</v>
      </c>
      <c r="N18" s="670">
        <v>79772</v>
      </c>
      <c r="O18" s="670">
        <v>2805605</v>
      </c>
      <c r="P18" s="678">
        <v>16909378</v>
      </c>
      <c r="Q18" s="679" t="s">
        <v>27</v>
      </c>
      <c r="R18" s="702">
        <f>IF(表1_8[[#This Row],[目标国家]]="魏",0,IF(表1_8[[#This Row],[目标国家]]="蜀",1,2))</f>
        <v>2</v>
      </c>
      <c r="S18" s="670">
        <v>44650</v>
      </c>
      <c r="T18" s="670">
        <v>0</v>
      </c>
      <c r="U18" s="670">
        <v>237799</v>
      </c>
      <c r="V18" s="670">
        <v>7372</v>
      </c>
      <c r="W18" s="682" t="e">
        <f>"{"&amp;"'coin':"&amp;表1_8[[#This Row],[补偿Coin]]&amp;",'"&amp;配置!$A$2&amp;"':"&amp;表1_8[[#This Row],[补偿辎重]]&amp;"},"</f>
        <v>#N/A</v>
      </c>
      <c r="X18" s="254" t="e">
        <f>"            'reward':"&amp;表1_8[[#This Row],[辅助导出]]&amp;"
            'country':["&amp;R17&amp;","&amp;R18&amp;","&amp;R19&amp;"],"</f>
        <v>#N/A</v>
      </c>
    </row>
    <row r="19" ht="14.25" customHeight="1" spans="1:24">
      <c r="A19" s="667">
        <v>6</v>
      </c>
      <c r="B19" s="667" t="e">
        <f>VLOOKUP(表1_8[[#This Row],[区服]],$O$29:$P$36,2,FALSE)</f>
        <v>#N/A</v>
      </c>
      <c r="C19" s="668" t="s">
        <v>24</v>
      </c>
      <c r="D19" s="669" t="str">
        <f>表1_8[[#This Row],[目标国家]]</f>
        <v>魏</v>
      </c>
      <c r="E19" s="670" t="e">
        <f>(VLOOKUP(表1_8[[#This Row],[目标区服]],$Q$29:$R$30,2,FALSE)-表1_8[[#This Row],[开服天数]])*配置!$B$1</f>
        <v>#N/A</v>
      </c>
      <c r="F19" s="670" t="e">
        <f>表1_8[[#This Row],[补偿Coin]]*(表1_8[[#This Row],[活跃高战玩家数]]+表1_8[[#This Row],[活跃中坚玩家数]])</f>
        <v>#N/A</v>
      </c>
      <c r="G19" s="670" t="e">
        <f>(VLOOKUP(表1_8[[#This Row],[目标区服]],$Q$29:$R$30,2,FALSE)-表1_8[[#This Row],[开服天数]])*配置!$B$2</f>
        <v>#N/A</v>
      </c>
      <c r="H19" s="669" t="s">
        <v>27</v>
      </c>
      <c r="I19" s="669">
        <f>IF(表1_8[[#This Row],[原国家]]="魏",0,IF(表1_8[[#This Row],[原国家]]="蜀",1,2))</f>
        <v>2</v>
      </c>
      <c r="J19" s="670">
        <v>1</v>
      </c>
      <c r="K19" s="670">
        <v>48</v>
      </c>
      <c r="L19" s="670">
        <v>0</v>
      </c>
      <c r="M19" s="670">
        <v>6</v>
      </c>
      <c r="N19" s="670">
        <v>21737</v>
      </c>
      <c r="O19" s="670">
        <v>1193934</v>
      </c>
      <c r="P19" s="678">
        <v>4336517</v>
      </c>
      <c r="Q19" s="679" t="s">
        <v>25</v>
      </c>
      <c r="R19" s="702">
        <f>IF(表1_8[[#This Row],[目标国家]]="魏",0,IF(表1_8[[#This Row],[目标国家]]="蜀",1,2))</f>
        <v>0</v>
      </c>
      <c r="S19" s="670">
        <v>1076</v>
      </c>
      <c r="T19" s="670">
        <v>0</v>
      </c>
      <c r="U19" s="670">
        <v>18275</v>
      </c>
      <c r="V19" s="670">
        <v>2366</v>
      </c>
      <c r="W19" s="682" t="e">
        <f>"{"&amp;"'coin':"&amp;表1_8[[#This Row],[补偿Coin]]&amp;",'"&amp;配置!$A$2&amp;"':"&amp;表1_8[[#This Row],[补偿辎重]]&amp;"},"</f>
        <v>#N/A</v>
      </c>
      <c r="X19" s="254" t="str">
        <f t="shared" ref="X19" si="3">"      },"</f>
        <v>      },</v>
      </c>
    </row>
    <row r="20" ht="14.25" customHeight="1" spans="1:24">
      <c r="A20" s="667">
        <v>7</v>
      </c>
      <c r="B20" s="667" t="e">
        <f>VLOOKUP(表1_8[[#This Row],[区服]],$O$29:$P$36,2,FALSE)</f>
        <v>#N/A</v>
      </c>
      <c r="C20" s="668" t="s">
        <v>24</v>
      </c>
      <c r="D20" s="669" t="str">
        <f>表1_8[[#This Row],[目标国家]]</f>
        <v>吴</v>
      </c>
      <c r="E20" s="670" t="e">
        <f>(VLOOKUP(表1_8[[#This Row],[目标区服]],$Q$29:$R$30,2,FALSE)-表1_8[[#This Row],[开服天数]])*配置!$B$1</f>
        <v>#N/A</v>
      </c>
      <c r="F20" s="670" t="e">
        <f>表1_8[[#This Row],[补偿Coin]]*(表1_8[[#This Row],[活跃高战玩家数]]+表1_8[[#This Row],[活跃中坚玩家数]])</f>
        <v>#N/A</v>
      </c>
      <c r="G20" s="670" t="e">
        <f>(VLOOKUP(表1_8[[#This Row],[目标区服]],$Q$29:$R$30,2,FALSE)-表1_8[[#This Row],[开服天数]])*配置!$B$2</f>
        <v>#N/A</v>
      </c>
      <c r="H20" s="669" t="s">
        <v>25</v>
      </c>
      <c r="I20" s="669">
        <f>IF(表1_8[[#This Row],[原国家]]="魏",0,IF(表1_8[[#This Row],[原国家]]="蜀",1,2))</f>
        <v>0</v>
      </c>
      <c r="J20" s="670">
        <v>0</v>
      </c>
      <c r="K20" s="670">
        <v>19</v>
      </c>
      <c r="L20" s="670">
        <v>0</v>
      </c>
      <c r="M20" s="670">
        <v>10</v>
      </c>
      <c r="N20" s="670">
        <v>47649</v>
      </c>
      <c r="O20" s="670">
        <v>1088135</v>
      </c>
      <c r="P20" s="678">
        <v>5700428</v>
      </c>
      <c r="Q20" s="679" t="s">
        <v>27</v>
      </c>
      <c r="R20" s="702">
        <f>IF(表1_8[[#This Row],[目标国家]]="魏",0,IF(表1_8[[#This Row],[目标国家]]="蜀",1,2))</f>
        <v>2</v>
      </c>
      <c r="S20" s="670">
        <v>1978</v>
      </c>
      <c r="T20" s="670">
        <v>0</v>
      </c>
      <c r="U20" s="670">
        <v>50149</v>
      </c>
      <c r="V20" s="670">
        <v>2195</v>
      </c>
      <c r="W20" s="682" t="e">
        <f>"{"&amp;"'coin':"&amp;表1_8[[#This Row],[补偿Coin]]&amp;",'"&amp;配置!$A$2&amp;"':"&amp;表1_8[[#This Row],[补偿辎重]]&amp;"},"</f>
        <v>#N/A</v>
      </c>
      <c r="X20" s="254" t="str">
        <f>"      '"&amp;表1_8[[#This Row],[区服]]&amp;"':{"</f>
        <v>      '7':{</v>
      </c>
    </row>
    <row r="21" ht="14.25" customHeight="1" spans="1:24">
      <c r="A21" s="667">
        <v>7</v>
      </c>
      <c r="B21" s="667" t="e">
        <f>VLOOKUP(表1_8[[#This Row],[区服]],$O$29:$P$36,2,FALSE)</f>
        <v>#N/A</v>
      </c>
      <c r="C21" s="668" t="s">
        <v>24</v>
      </c>
      <c r="D21" s="669" t="str">
        <f>表1_8[[#This Row],[目标国家]]</f>
        <v>魏</v>
      </c>
      <c r="E21" s="670" t="e">
        <f>(VLOOKUP(表1_8[[#This Row],[目标区服]],$Q$29:$R$30,2,FALSE)-表1_8[[#This Row],[开服天数]])*配置!$B$1</f>
        <v>#N/A</v>
      </c>
      <c r="F21" s="670" t="e">
        <f>表1_8[[#This Row],[补偿Coin]]*(表1_8[[#This Row],[活跃高战玩家数]]+表1_8[[#This Row],[活跃中坚玩家数]])</f>
        <v>#N/A</v>
      </c>
      <c r="G21" s="670" t="e">
        <f>(VLOOKUP(表1_8[[#This Row],[目标区服]],$Q$29:$R$30,2,FALSE)-表1_8[[#This Row],[开服天数]])*配置!$B$2</f>
        <v>#N/A</v>
      </c>
      <c r="H21" s="669" t="s">
        <v>26</v>
      </c>
      <c r="I21" s="669">
        <f>IF(表1_8[[#This Row],[原国家]]="魏",0,IF(表1_8[[#This Row],[原国家]]="蜀",1,2))</f>
        <v>1</v>
      </c>
      <c r="J21" s="670">
        <v>9</v>
      </c>
      <c r="K21" s="670">
        <v>359</v>
      </c>
      <c r="L21" s="670">
        <v>6</v>
      </c>
      <c r="M21" s="670">
        <v>14</v>
      </c>
      <c r="N21" s="670">
        <v>100994</v>
      </c>
      <c r="O21" s="670">
        <v>2526343</v>
      </c>
      <c r="P21" s="678">
        <v>15544494</v>
      </c>
      <c r="Q21" s="679" t="s">
        <v>25</v>
      </c>
      <c r="R21" s="702">
        <f>IF(表1_8[[#This Row],[目标国家]]="魏",0,IF(表1_8[[#This Row],[目标国家]]="蜀",1,2))</f>
        <v>0</v>
      </c>
      <c r="S21" s="670">
        <v>8076</v>
      </c>
      <c r="T21" s="670">
        <v>328</v>
      </c>
      <c r="U21" s="670">
        <v>482742</v>
      </c>
      <c r="V21" s="670">
        <v>9804</v>
      </c>
      <c r="W21" s="682" t="e">
        <f>"{"&amp;"'coin':"&amp;表1_8[[#This Row],[补偿Coin]]&amp;",'"&amp;配置!$A$2&amp;"':"&amp;表1_8[[#This Row],[补偿辎重]]&amp;"},"</f>
        <v>#N/A</v>
      </c>
      <c r="X21" s="254" t="e">
        <f>"            'reward':"&amp;表1_8[[#This Row],[辅助导出]]&amp;"
            'country':["&amp;R20&amp;","&amp;R21&amp;","&amp;R22&amp;"],"</f>
        <v>#N/A</v>
      </c>
    </row>
    <row r="22" ht="14.25" customHeight="1" spans="1:24">
      <c r="A22" s="667">
        <v>7</v>
      </c>
      <c r="B22" s="667" t="e">
        <f>VLOOKUP(表1_8[[#This Row],[区服]],$O$29:$P$36,2,FALSE)</f>
        <v>#N/A</v>
      </c>
      <c r="C22" s="668" t="s">
        <v>24</v>
      </c>
      <c r="D22" s="669" t="str">
        <f>表1_8[[#This Row],[目标国家]]</f>
        <v>蜀</v>
      </c>
      <c r="E22" s="670" t="e">
        <f>(VLOOKUP(表1_8[[#This Row],[目标区服]],$Q$29:$R$30,2,FALSE)-表1_8[[#This Row],[开服天数]])*配置!$B$1</f>
        <v>#N/A</v>
      </c>
      <c r="F22" s="670" t="e">
        <f>表1_8[[#This Row],[补偿Coin]]*(表1_8[[#This Row],[活跃高战玩家数]]+表1_8[[#This Row],[活跃中坚玩家数]])</f>
        <v>#N/A</v>
      </c>
      <c r="G22" s="670" t="e">
        <f>(VLOOKUP(表1_8[[#This Row],[目标区服]],$Q$29:$R$30,2,FALSE)-表1_8[[#This Row],[开服天数]])*配置!$B$2</f>
        <v>#N/A</v>
      </c>
      <c r="H22" s="669" t="s">
        <v>27</v>
      </c>
      <c r="I22" s="669">
        <f>IF(表1_8[[#This Row],[原国家]]="魏",0,IF(表1_8[[#This Row],[原国家]]="蜀",1,2))</f>
        <v>2</v>
      </c>
      <c r="J22" s="670">
        <v>0</v>
      </c>
      <c r="K22" s="670">
        <v>17</v>
      </c>
      <c r="L22" s="670">
        <v>2</v>
      </c>
      <c r="M22" s="670">
        <v>9</v>
      </c>
      <c r="N22" s="670">
        <v>57139</v>
      </c>
      <c r="O22" s="670">
        <v>1337622</v>
      </c>
      <c r="P22" s="678">
        <v>6996810</v>
      </c>
      <c r="Q22" s="679" t="s">
        <v>26</v>
      </c>
      <c r="R22" s="702">
        <f>IF(表1_8[[#This Row],[目标国家]]="魏",0,IF(表1_8[[#This Row],[目标国家]]="蜀",1,2))</f>
        <v>1</v>
      </c>
      <c r="S22" s="670">
        <v>2726</v>
      </c>
      <c r="T22" s="670">
        <v>0</v>
      </c>
      <c r="U22" s="670">
        <v>42501</v>
      </c>
      <c r="V22" s="670">
        <v>2617</v>
      </c>
      <c r="W22" s="682" t="e">
        <f>"{"&amp;"'coin':"&amp;表1_8[[#This Row],[补偿Coin]]&amp;",'"&amp;配置!$A$2&amp;"':"&amp;表1_8[[#This Row],[补偿辎重]]&amp;"},"</f>
        <v>#N/A</v>
      </c>
      <c r="X22" s="254" t="str">
        <f t="shared" ref="X22" si="4">"      },"</f>
        <v>      },</v>
      </c>
    </row>
    <row r="23" ht="14.25" customHeight="1" spans="1:24">
      <c r="A23" s="667">
        <v>8</v>
      </c>
      <c r="B23" s="667" t="e">
        <f>VLOOKUP(表1_8[[#This Row],[区服]],$O$29:$P$36,2,FALSE)</f>
        <v>#N/A</v>
      </c>
      <c r="C23" s="668" t="s">
        <v>24</v>
      </c>
      <c r="D23" s="669" t="str">
        <f>表1_8[[#This Row],[目标国家]]</f>
        <v>蜀</v>
      </c>
      <c r="E23" s="670" t="e">
        <f>(VLOOKUP(表1_8[[#This Row],[目标区服]],$Q$29:$R$30,2,FALSE)-表1_8[[#This Row],[开服天数]])*配置!$B$1</f>
        <v>#N/A</v>
      </c>
      <c r="F23" s="670" t="e">
        <f>表1_8[[#This Row],[补偿Coin]]*(表1_8[[#This Row],[活跃高战玩家数]]+表1_8[[#This Row],[活跃中坚玩家数]])</f>
        <v>#N/A</v>
      </c>
      <c r="G23" s="670" t="e">
        <f>(VLOOKUP(表1_8[[#This Row],[目标区服]],$Q$29:$R$30,2,FALSE)-表1_8[[#This Row],[开服天数]])*配置!$B$2</f>
        <v>#N/A</v>
      </c>
      <c r="H23" s="669" t="s">
        <v>25</v>
      </c>
      <c r="I23" s="669">
        <f>IF(表1_8[[#This Row],[原国家]]="魏",0,IF(表1_8[[#This Row],[原国家]]="蜀",1,2))</f>
        <v>0</v>
      </c>
      <c r="J23" s="670">
        <v>0</v>
      </c>
      <c r="K23" s="670">
        <v>33</v>
      </c>
      <c r="L23" s="670">
        <v>0</v>
      </c>
      <c r="M23" s="670">
        <v>11</v>
      </c>
      <c r="N23" s="670">
        <v>40283</v>
      </c>
      <c r="O23" s="670">
        <v>1814561</v>
      </c>
      <c r="P23" s="678">
        <v>9049028</v>
      </c>
      <c r="Q23" s="679" t="s">
        <v>26</v>
      </c>
      <c r="R23" s="702">
        <f>IF(表1_8[[#This Row],[目标国家]]="魏",0,IF(表1_8[[#This Row],[目标国家]]="蜀",1,2))</f>
        <v>1</v>
      </c>
      <c r="S23" s="670">
        <v>3852</v>
      </c>
      <c r="T23" s="670">
        <v>0</v>
      </c>
      <c r="U23" s="670">
        <v>147846</v>
      </c>
      <c r="V23" s="670">
        <v>3514</v>
      </c>
      <c r="W23" s="682" t="e">
        <f>"{"&amp;"'coin':"&amp;表1_8[[#This Row],[补偿Coin]]&amp;",'"&amp;配置!$A$2&amp;"':"&amp;表1_8[[#This Row],[补偿辎重]]&amp;"},"</f>
        <v>#N/A</v>
      </c>
      <c r="X23" s="254" t="str">
        <f>"      '"&amp;表1_8[[#This Row],[区服]]&amp;"':{"</f>
        <v>      '8':{</v>
      </c>
    </row>
    <row r="24" ht="14.25" customHeight="1" spans="1:24">
      <c r="A24" s="667">
        <v>8</v>
      </c>
      <c r="B24" s="667" t="e">
        <f>VLOOKUP(表1_8[[#This Row],[区服]],$O$29:$P$36,2,FALSE)</f>
        <v>#N/A</v>
      </c>
      <c r="C24" s="668" t="s">
        <v>24</v>
      </c>
      <c r="D24" s="669" t="str">
        <f>表1_8[[#This Row],[目标国家]]</f>
        <v>魏</v>
      </c>
      <c r="E24" s="670" t="e">
        <f>(VLOOKUP(表1_8[[#This Row],[目标区服]],$Q$29:$R$30,2,FALSE)-表1_8[[#This Row],[开服天数]])*配置!$B$1</f>
        <v>#N/A</v>
      </c>
      <c r="F24" s="670" t="e">
        <f>表1_8[[#This Row],[补偿Coin]]*(表1_8[[#This Row],[活跃高战玩家数]]+表1_8[[#This Row],[活跃中坚玩家数]])</f>
        <v>#N/A</v>
      </c>
      <c r="G24" s="670" t="e">
        <f>(VLOOKUP(表1_8[[#This Row],[目标区服]],$Q$29:$R$30,2,FALSE)-表1_8[[#This Row],[开服天数]])*配置!$B$2</f>
        <v>#N/A</v>
      </c>
      <c r="H24" s="669" t="s">
        <v>26</v>
      </c>
      <c r="I24" s="669">
        <f>IF(表1_8[[#This Row],[原国家]]="魏",0,IF(表1_8[[#This Row],[原国家]]="蜀",1,2))</f>
        <v>1</v>
      </c>
      <c r="J24" s="670">
        <v>2</v>
      </c>
      <c r="K24" s="670">
        <v>127</v>
      </c>
      <c r="L24" s="670">
        <v>5</v>
      </c>
      <c r="M24" s="670">
        <v>14</v>
      </c>
      <c r="N24" s="670">
        <v>93369</v>
      </c>
      <c r="O24" s="670">
        <v>2999850</v>
      </c>
      <c r="P24" s="678">
        <v>22414171</v>
      </c>
      <c r="Q24" s="679" t="s">
        <v>25</v>
      </c>
      <c r="R24" s="702">
        <f>IF(表1_8[[#This Row],[目标国家]]="魏",0,IF(表1_8[[#This Row],[目标国家]]="蜀",1,2))</f>
        <v>0</v>
      </c>
      <c r="S24" s="670">
        <v>90848</v>
      </c>
      <c r="T24" s="670">
        <v>0</v>
      </c>
      <c r="U24" s="670">
        <v>281607</v>
      </c>
      <c r="V24" s="670">
        <v>10185</v>
      </c>
      <c r="W24" s="682" t="e">
        <f>"{"&amp;"'coin':"&amp;表1_8[[#This Row],[补偿Coin]]&amp;",'"&amp;配置!$A$2&amp;"':"&amp;表1_8[[#This Row],[补偿辎重]]&amp;"},"</f>
        <v>#N/A</v>
      </c>
      <c r="X24" s="254" t="e">
        <f>"            'reward':"&amp;表1_8[[#This Row],[辅助导出]]&amp;"
            'country':["&amp;R23&amp;","&amp;R24&amp;","&amp;R25&amp;"],"</f>
        <v>#N/A</v>
      </c>
    </row>
    <row r="25" ht="14.25" customHeight="1" spans="1:24">
      <c r="A25" s="748">
        <v>8</v>
      </c>
      <c r="B25" s="748" t="e">
        <f>VLOOKUP(表1_8[[#This Row],[区服]],$O$29:$P$36,2,FALSE)</f>
        <v>#N/A</v>
      </c>
      <c r="C25" s="668" t="s">
        <v>24</v>
      </c>
      <c r="D25" s="749" t="str">
        <f>表1_8[[#This Row],[目标国家]]</f>
        <v>吴</v>
      </c>
      <c r="E25" s="670" t="e">
        <f>(VLOOKUP(表1_8[[#This Row],[目标区服]],$Q$29:$R$30,2,FALSE)-表1_8[[#This Row],[开服天数]])*配置!$B$1</f>
        <v>#N/A</v>
      </c>
      <c r="F25" s="750" t="e">
        <f>表1_8[[#This Row],[补偿Coin]]*(表1_8[[#This Row],[活跃高战玩家数]]+表1_8[[#This Row],[活跃中坚玩家数]])</f>
        <v>#N/A</v>
      </c>
      <c r="G25" s="750" t="e">
        <f>(VLOOKUP(表1_8[[#This Row],[目标区服]],$Q$29:$R$30,2,FALSE)-表1_8[[#This Row],[开服天数]])*配置!$B$2</f>
        <v>#N/A</v>
      </c>
      <c r="H25" s="749" t="s">
        <v>27</v>
      </c>
      <c r="I25" s="749">
        <f>IF(表1_8[[#This Row],[原国家]]="魏",0,IF(表1_8[[#This Row],[原国家]]="蜀",1,2))</f>
        <v>2</v>
      </c>
      <c r="J25" s="750">
        <v>7</v>
      </c>
      <c r="K25" s="750">
        <v>234</v>
      </c>
      <c r="L25" s="750">
        <v>4</v>
      </c>
      <c r="M25" s="750">
        <v>15</v>
      </c>
      <c r="N25" s="750">
        <v>110419</v>
      </c>
      <c r="O25" s="750">
        <v>3383675</v>
      </c>
      <c r="P25" s="751">
        <v>25690757</v>
      </c>
      <c r="Q25" s="752" t="s">
        <v>27</v>
      </c>
      <c r="R25" s="702">
        <f>IF(表1_8[[#This Row],[目标国家]]="魏",0,IF(表1_8[[#This Row],[目标国家]]="蜀",1,2))</f>
        <v>2</v>
      </c>
      <c r="S25" s="750">
        <v>102120</v>
      </c>
      <c r="T25" s="750">
        <v>24572</v>
      </c>
      <c r="U25" s="750">
        <v>562893</v>
      </c>
      <c r="V25" s="750">
        <v>13417</v>
      </c>
      <c r="W25" s="753" t="e">
        <f>"{"&amp;"'coin':"&amp;表1_8[[#This Row],[补偿Coin]]&amp;",'"&amp;配置!$A$2&amp;"':"&amp;表1_8[[#This Row],[补偿辎重]]&amp;"},"</f>
        <v>#N/A</v>
      </c>
      <c r="X25" s="254" t="str">
        <f t="shared" ref="X25" si="5">"      },"</f>
        <v>      },</v>
      </c>
    </row>
    <row r="28" ht="37.5" customHeight="1" spans="1:18">
      <c r="A28" s="36" t="s">
        <v>28</v>
      </c>
      <c r="B28" s="37" t="s">
        <v>29</v>
      </c>
      <c r="C28" s="38" t="s">
        <v>30</v>
      </c>
      <c r="D28" s="38" t="s">
        <v>31</v>
      </c>
      <c r="E28" s="38" t="s">
        <v>32</v>
      </c>
      <c r="F28" s="38" t="s">
        <v>33</v>
      </c>
      <c r="G28" s="38" t="s">
        <v>15</v>
      </c>
      <c r="H28" s="37" t="s">
        <v>18</v>
      </c>
      <c r="I28" s="37" t="s">
        <v>19</v>
      </c>
      <c r="J28" s="37" t="s">
        <v>34</v>
      </c>
      <c r="K28" s="38" t="s">
        <v>35</v>
      </c>
      <c r="L28" s="38" t="s">
        <v>36</v>
      </c>
      <c r="M28" s="38" t="s">
        <v>37</v>
      </c>
      <c r="O28" s="51" t="s">
        <v>0</v>
      </c>
      <c r="P28" s="51" t="s">
        <v>1</v>
      </c>
      <c r="Q28" s="51"/>
      <c r="R28" s="51" t="s">
        <v>38</v>
      </c>
    </row>
    <row r="29" ht="15" spans="1:18">
      <c r="A29" s="704" t="s">
        <v>42</v>
      </c>
      <c r="B29" s="704" t="s">
        <v>25</v>
      </c>
      <c r="C29" s="704">
        <f>COUNTIFS(表1_8[目标区服],表2_9[[#This Row],[合区区服]],表1_8[目标国家（映射）],表2_9[[#This Row],[国家]])</f>
        <v>2</v>
      </c>
      <c r="D29" s="704">
        <f>SUMIFS(表1_8[活跃高战玩家数],表1_8[目标区服],表2_9[[#This Row],[合区区服]],表1_8[目标国家（映射）],表2_9[[#This Row],[国家]])</f>
        <v>6</v>
      </c>
      <c r="E29" s="704">
        <f>SUMIFS(表1_8[活跃中坚玩家数],表1_8[目标区服],表2_9[[#This Row],[合区区服]],表1_8[目标国家（映射）],表2_9[[#This Row],[国家]])</f>
        <v>40</v>
      </c>
      <c r="F29" s="704">
        <f t="array" ref="F29">MAX((表1_8[目标区服]=表2_9[[#This Row],[合区区服]])*(表1_8[目标国家（映射）]=表2_9[[#This Row],[国家]])*表1_8[活跃尖端战力])</f>
        <v>2906745</v>
      </c>
      <c r="G29" s="705">
        <f>SUMIFS(表1_8[活跃总战力],表1_8[目标区服],表2_9[[#This Row],[合区区服]],表1_8[目标国家（映射）],表2_9[[#This Row],[国家]])</f>
        <v>40110126</v>
      </c>
      <c r="H29" s="704">
        <f>SUMIFS(表1_8[活跃实际充值],表1_8[目标区服],表2_9[[#This Row],[合区区服]],表1_8[目标国家（映射）],表2_9[[#This Row],[国家]])</f>
        <v>102812</v>
      </c>
      <c r="I29" s="704">
        <f>SUMIFS(表1_8[活跃虚拟充值],表1_8[目标区服],表2_9[[#This Row],[合区区服]],表1_8[目标国家（映射）],表2_9[[#This Row],[国家]])</f>
        <v>107532</v>
      </c>
      <c r="J29" s="704">
        <f>SUMIFS(表1_8[活跃Coin],表1_8[目标区服],表2_9[[#This Row],[合区区服]],表1_8[目标国家（映射）],表2_9[[#This Row],[国家]])</f>
        <v>1085818</v>
      </c>
      <c r="K29" s="704">
        <f>SUMIFS(表1_8[共计补偿Coin],表1_8[目标区服],表2_9[[#This Row],[合区区服]],表1_8[目标国家（映射）],表2_9[[#This Row],[国家]])</f>
        <v>69000</v>
      </c>
      <c r="L29" s="704">
        <f>表2_9[[#This Row],[活跃Coin]]+表2_9[[#This Row],[共计补偿Coin]]</f>
        <v>1154818</v>
      </c>
      <c r="M29" s="704">
        <f>SUMIFS(表1_8[综合国力],表1_8[目标区服],表2_9[[#This Row],[合区区服]],表1_8[目标国家（映射）],表2_9[[#This Row],[国家]])</f>
        <v>19077</v>
      </c>
      <c r="O29" s="51">
        <v>20</v>
      </c>
      <c r="P29" s="51">
        <v>54</v>
      </c>
      <c r="Q29" s="51" t="s">
        <v>42</v>
      </c>
      <c r="R29" s="51">
        <v>57</v>
      </c>
    </row>
    <row r="30" ht="15" spans="1:18">
      <c r="A30" s="704" t="s">
        <v>42</v>
      </c>
      <c r="B30" s="704" t="s">
        <v>26</v>
      </c>
      <c r="C30" s="704">
        <f>COUNTIFS(表1_8[目标区服],表2_9[[#This Row],[合区区服]],表1_8[目标国家（映射）],表2_9[[#This Row],[国家]])</f>
        <v>2</v>
      </c>
      <c r="D30" s="704">
        <f>SUMIFS(表1_8[活跃高战玩家数],表1_8[目标区服],表2_9[[#This Row],[合区区服]],表1_8[目标国家（映射）],表2_9[[#This Row],[国家]])</f>
        <v>6</v>
      </c>
      <c r="E30" s="704">
        <f>SUMIFS(表1_8[活跃中坚玩家数],表1_8[目标区服],表2_9[[#This Row],[合区区服]],表1_8[目标国家（映射）],表2_9[[#This Row],[国家]])</f>
        <v>41</v>
      </c>
      <c r="F30" s="704">
        <f t="array" ref="F30">MAX((表1_8[目标区服]=表2_9[[#This Row],[合区区服]])*(表1_8[目标国家（映射）]=表2_9[[#This Row],[国家]])*表1_8[活跃尖端战力])</f>
        <v>2734529</v>
      </c>
      <c r="G30" s="705">
        <f>SUMIFS(表1_8[活跃总战力],表1_8[目标区服],表2_9[[#This Row],[合区区服]],表1_8[目标国家（映射）],表2_9[[#This Row],[国家]])</f>
        <v>37847677</v>
      </c>
      <c r="H30" s="704">
        <f>SUMIFS(表1_8[活跃实际充值],表1_8[目标区服],表2_9[[#This Row],[合区区服]],表1_8[目标国家（映射）],表2_9[[#This Row],[国家]])</f>
        <v>113562</v>
      </c>
      <c r="I30" s="704">
        <f>SUMIFS(表1_8[活跃虚拟充值],表1_8[目标区服],表2_9[[#This Row],[合区区服]],表1_8[目标国家（映射）],表2_9[[#This Row],[国家]])</f>
        <v>54560</v>
      </c>
      <c r="J30" s="704">
        <f>SUMIFS(表1_8[活跃Coin],表1_8[目标区服],表2_9[[#This Row],[合区区服]],表1_8[目标国家（映射）],表2_9[[#This Row],[国家]])</f>
        <v>665045</v>
      </c>
      <c r="K30" s="704">
        <f>SUMIFS(表1_8[共计补偿Coin],表1_8[目标区服],表2_9[[#This Row],[合区区服]],表1_8[目标国家（映射）],表2_9[[#This Row],[国家]])</f>
        <v>100500</v>
      </c>
      <c r="L30" s="704">
        <f>表2_9[[#This Row],[活跃Coin]]+表2_9[[#This Row],[共计补偿Coin]]</f>
        <v>765545</v>
      </c>
      <c r="M30" s="704">
        <f>SUMIFS(表1_8[综合国力],表1_8[目标区服],表2_9[[#This Row],[合区区服]],表1_8[目标国家（映射）],表2_9[[#This Row],[国家]])</f>
        <v>15550</v>
      </c>
      <c r="O30" s="51">
        <v>21</v>
      </c>
      <c r="P30" s="51">
        <v>52</v>
      </c>
      <c r="Q30" s="51" t="s">
        <v>43</v>
      </c>
      <c r="R30" s="51">
        <v>55</v>
      </c>
    </row>
    <row r="31" ht="15" spans="1:16">
      <c r="A31" s="704" t="s">
        <v>42</v>
      </c>
      <c r="B31" s="704" t="s">
        <v>27</v>
      </c>
      <c r="C31" s="704">
        <f>COUNTIFS(表1_8[目标区服],表2_9[[#This Row],[合区区服]],表1_8[目标国家（映射）],表2_9[[#This Row],[国家]])</f>
        <v>2</v>
      </c>
      <c r="D31" s="704">
        <f>SUMIFS(表1_8[活跃高战玩家数],表1_8[目标区服],表2_9[[#This Row],[合区区服]],表1_8[目标国家（映射）],表2_9[[#This Row],[国家]])</f>
        <v>6</v>
      </c>
      <c r="E31" s="704">
        <f>SUMIFS(表1_8[活跃中坚玩家数],表1_8[目标区服],表2_9[[#This Row],[合区区服]],表1_8[目标国家（映射）],表2_9[[#This Row],[国家]])</f>
        <v>42</v>
      </c>
      <c r="F31" s="704">
        <f t="array" ref="F31">MAX((表1_8[目标区服]=表2_9[[#This Row],[合区区服]])*(表1_8[目标国家（映射）]=表2_9[[#This Row],[国家]])*表1_8[活跃尖端战力])</f>
        <v>2906347</v>
      </c>
      <c r="G31" s="705">
        <f>SUMIFS(表1_8[活跃总战力],表1_8[目标区服],表2_9[[#This Row],[合区区服]],表1_8[目标国家（映射）],表2_9[[#This Row],[国家]])</f>
        <v>45614451</v>
      </c>
      <c r="H31" s="704">
        <f>SUMIFS(表1_8[活跃实际充值],表1_8[目标区服],表2_9[[#This Row],[合区区服]],表1_8[目标国家（映射）],表2_9[[#This Row],[国家]])</f>
        <v>137792</v>
      </c>
      <c r="I31" s="704">
        <f>SUMIFS(表1_8[活跃虚拟充值],表1_8[目标区服],表2_9[[#This Row],[合区区服]],表1_8[目标国家（映射）],表2_9[[#This Row],[国家]])</f>
        <v>48396</v>
      </c>
      <c r="J31" s="704">
        <f>SUMIFS(表1_8[活跃Coin],表1_8[目标区服],表2_9[[#This Row],[合区区服]],表1_8[目标国家（映射）],表2_9[[#This Row],[国家]])</f>
        <v>1140619</v>
      </c>
      <c r="K31" s="704">
        <f>SUMIFS(表1_8[共计补偿Coin],表1_8[目标区服],表2_9[[#This Row],[合区区服]],表1_8[目标国家（映射）],表2_9[[#This Row],[国家]])</f>
        <v>120000</v>
      </c>
      <c r="L31" s="704">
        <f>表2_9[[#This Row],[活跃Coin]]+表2_9[[#This Row],[共计补偿Coin]]</f>
        <v>1260619</v>
      </c>
      <c r="M31" s="704">
        <f>SUMIFS(表1_8[综合国力],表1_8[目标区服],表2_9[[#This Row],[合区区服]],表1_8[目标国家（映射）],表2_9[[#This Row],[国家]])</f>
        <v>19659</v>
      </c>
      <c r="O31" s="51">
        <v>22</v>
      </c>
      <c r="P31" s="51">
        <v>51</v>
      </c>
    </row>
    <row r="32" ht="15" spans="1:16">
      <c r="A32" s="672" t="s">
        <v>43</v>
      </c>
      <c r="B32" s="672" t="s">
        <v>25</v>
      </c>
      <c r="C32" s="672">
        <f>COUNTIFS(表1_8[目标区服],表2_9[[#This Row],[合区区服]],表1_8[目标国家（映射）],表2_9[[#This Row],[国家]])</f>
        <v>2</v>
      </c>
      <c r="D32" s="672">
        <f>SUMIFS(表1_8[活跃高战玩家数],表1_8[目标区服],表2_9[[#This Row],[合区区服]],表1_8[目标国家（映射）],表2_9[[#This Row],[国家]])</f>
        <v>10</v>
      </c>
      <c r="E32" s="672">
        <f>SUMIFS(表1_8[活跃中坚玩家数],表1_8[目标区服],表2_9[[#This Row],[合区区服]],表1_8[目标国家（映射）],表2_9[[#This Row],[国家]])</f>
        <v>32</v>
      </c>
      <c r="F32" s="672">
        <f t="array" ref="F32">MAX((表1_8[目标区服]=表2_9[[#This Row],[合区区服]])*(表1_8[目标国家（映射）]=表2_9[[#This Row],[国家]])*表1_8[活跃尖端战力])</f>
        <v>1920363</v>
      </c>
      <c r="G32" s="673">
        <f>SUMIFS(表1_8[活跃总战力],表1_8[目标区服],表2_9[[#This Row],[合区区服]],表1_8[目标国家（映射）],表2_9[[#This Row],[国家]])</f>
        <v>25094727</v>
      </c>
      <c r="H32" s="672">
        <f>SUMIFS(表1_8[活跃实际充值],表1_8[目标区服],表2_9[[#This Row],[合区区服]],表1_8[目标国家（映射）],表2_9[[#This Row],[国家]])</f>
        <v>41412</v>
      </c>
      <c r="I32" s="672">
        <f>SUMIFS(表1_8[活跃虚拟充值],表1_8[目标区服],表2_9[[#This Row],[合区区服]],表1_8[目标国家（映射）],表2_9[[#This Row],[国家]])</f>
        <v>0</v>
      </c>
      <c r="J32" s="672">
        <f>SUMIFS(表1_8[活跃Coin],表1_8[目标区服],表2_9[[#This Row],[合区区服]],表1_8[目标国家（映射）],表2_9[[#This Row],[国家]])</f>
        <v>561149</v>
      </c>
      <c r="K32" s="672">
        <f>SUMIFS(表1_8[共计补偿Coin],表1_8[目标区服],表2_9[[#This Row],[合区区服]],表1_8[目标国家（映射）],表2_9[[#This Row],[国家]])</f>
        <v>84000</v>
      </c>
      <c r="L32" s="672">
        <f>表2_9[[#This Row],[活跃Coin]]+表2_9[[#This Row],[共计补偿Coin]]</f>
        <v>645149</v>
      </c>
      <c r="M32" s="672">
        <f>SUMIFS(表1_8[综合国力],表1_8[目标区服],表2_9[[#This Row],[合区区服]],表1_8[目标国家（映射）],表2_9[[#This Row],[国家]])</f>
        <v>12957</v>
      </c>
      <c r="O32" s="51">
        <v>23</v>
      </c>
      <c r="P32" s="51">
        <v>51</v>
      </c>
    </row>
    <row r="33" ht="15" spans="1:16">
      <c r="A33" s="672" t="s">
        <v>43</v>
      </c>
      <c r="B33" s="672" t="s">
        <v>26</v>
      </c>
      <c r="C33" s="672">
        <f>COUNTIFS(表1_8[目标区服],表2_9[[#This Row],[合区区服]],表1_8[目标国家（映射）],表2_9[[#This Row],[国家]])</f>
        <v>2</v>
      </c>
      <c r="D33" s="672">
        <f>SUMIFS(表1_8[活跃高战玩家数],表1_8[目标区服],表2_9[[#This Row],[合区区服]],表1_8[目标国家（映射）],表2_9[[#This Row],[国家]])</f>
        <v>3</v>
      </c>
      <c r="E33" s="672">
        <f>SUMIFS(表1_8[活跃中坚玩家数],表1_8[目标区服],表2_9[[#This Row],[合区区服]],表1_8[目标国家（映射）],表2_9[[#This Row],[国家]])</f>
        <v>34</v>
      </c>
      <c r="F33" s="672">
        <f t="array" ref="F33">MAX((表1_8[目标区服]=表2_9[[#This Row],[合区区服]])*(表1_8[目标国家（映射）]=表2_9[[#This Row],[国家]])*表1_8[活跃尖端战力])</f>
        <v>2023969</v>
      </c>
      <c r="G33" s="673">
        <f>SUMIFS(表1_8[活跃总战力],表1_8[目标区服],表2_9[[#This Row],[合区区服]],表1_8[目标国家（映射）],表2_9[[#This Row],[国家]])</f>
        <v>23042994</v>
      </c>
      <c r="H33" s="672">
        <f>SUMIFS(表1_8[活跃实际充值],表1_8[目标区服],表2_9[[#This Row],[合区区服]],表1_8[目标国家（映射）],表2_9[[#This Row],[国家]])</f>
        <v>62580</v>
      </c>
      <c r="I33" s="672">
        <f>SUMIFS(表1_8[活跃虚拟充值],表1_8[目标区服],表2_9[[#This Row],[合区区服]],表1_8[目标国家（映射）],表2_9[[#This Row],[国家]])</f>
        <v>0</v>
      </c>
      <c r="J33" s="672">
        <f>SUMIFS(表1_8[活跃Coin],表1_8[目标区服],表2_9[[#This Row],[合区区服]],表1_8[目标国家（映射）],表2_9[[#This Row],[国家]])</f>
        <v>431012</v>
      </c>
      <c r="K33" s="672">
        <f>SUMIFS(表1_8[共计补偿Coin],表1_8[目标区服],表2_9[[#This Row],[合区区服]],表1_8[目标国家（映射）],表2_9[[#This Row],[国家]])</f>
        <v>74000</v>
      </c>
      <c r="L33" s="672">
        <f>表2_9[[#This Row],[活跃Coin]]+表2_9[[#This Row],[共计补偿Coin]]</f>
        <v>505012</v>
      </c>
      <c r="M33" s="672">
        <f>SUMIFS(表1_8[综合国力],表1_8[目标区服],表2_9[[#This Row],[合区区服]],表1_8[目标国家（映射）],表2_9[[#This Row],[国家]])</f>
        <v>10949</v>
      </c>
      <c r="O33" s="51"/>
      <c r="P33" s="51"/>
    </row>
    <row r="34" ht="15" spans="1:16">
      <c r="A34" s="672" t="s">
        <v>43</v>
      </c>
      <c r="B34" s="674" t="s">
        <v>27</v>
      </c>
      <c r="C34" s="674">
        <f>COUNTIFS(表1_8[目标区服],表2_9[[#This Row],[合区区服]],表1_8[目标国家（映射）],表2_9[[#This Row],[国家]])</f>
        <v>2</v>
      </c>
      <c r="D34" s="674">
        <f>SUMIFS(表1_8[活跃高战玩家数],表1_8[目标区服],表2_9[[#This Row],[合区区服]],表1_8[目标国家（映射）],表2_9[[#This Row],[国家]])</f>
        <v>6</v>
      </c>
      <c r="E34" s="674">
        <f>SUMIFS(表1_8[活跃中坚玩家数],表1_8[目标区服],表2_9[[#This Row],[合区区服]],表1_8[目标国家（映射）],表2_9[[#This Row],[国家]])</f>
        <v>33</v>
      </c>
      <c r="F34" s="674">
        <f t="array" ref="F34">MAX((表1_8[目标区服]=表2_9[[#This Row],[合区区服]])*(表1_8[目标国家（映射）]=表2_9[[#This Row],[国家]])*表1_8[活跃尖端战力])</f>
        <v>1769794</v>
      </c>
      <c r="G34" s="675">
        <f>SUMIFS(表1_8[活跃总战力],表1_8[目标区服],表2_9[[#This Row],[合区区服]],表1_8[目标国家（映射）],表2_9[[#This Row],[国家]])</f>
        <v>24481271</v>
      </c>
      <c r="H34" s="674">
        <f>SUMIFS(表1_8[活跃实际充值],表1_8[目标区服],表2_9[[#This Row],[合区区服]],表1_8[目标国家（映射）],表2_9[[#This Row],[国家]])</f>
        <v>12324</v>
      </c>
      <c r="I34" s="674">
        <f>SUMIFS(表1_8[活跃虚拟充值],表1_8[目标区服],表2_9[[#This Row],[合区区服]],表1_8[目标国家（映射）],表2_9[[#This Row],[国家]])</f>
        <v>0</v>
      </c>
      <c r="J34" s="674">
        <f>SUMIFS(表1_8[活跃Coin],表1_8[目标区服],表2_9[[#This Row],[合区区服]],表1_8[目标国家（映射）],表2_9[[#This Row],[国家]])</f>
        <v>440169</v>
      </c>
      <c r="K34" s="674">
        <f>SUMIFS(表1_8[共计补偿Coin],表1_8[目标区服],表2_9[[#This Row],[合区区服]],表1_8[目标国家（映射）],表2_9[[#This Row],[国家]])</f>
        <v>78000</v>
      </c>
      <c r="L34" s="674">
        <f>表2_9[[#This Row],[活跃Coin]]+表2_9[[#This Row],[共计补偿Coin]]</f>
        <v>518169</v>
      </c>
      <c r="M34" s="674">
        <f>SUMIFS(表1_8[综合国力],表1_8[目标区服],表2_9[[#This Row],[合区区服]],表1_8[目标国家（映射）],表2_9[[#This Row],[国家]])</f>
        <v>9492</v>
      </c>
      <c r="O34" s="51"/>
      <c r="P34" s="51"/>
    </row>
    <row r="35" spans="15:16">
      <c r="O35" s="51"/>
      <c r="P35" s="51"/>
    </row>
    <row r="36" spans="15:16">
      <c r="O36" s="51"/>
      <c r="P36" s="51"/>
    </row>
    <row r="37" ht="40.5" spans="1:12">
      <c r="A37" s="49"/>
      <c r="B37" s="50" t="s">
        <v>9</v>
      </c>
      <c r="C37" s="50" t="s">
        <v>10</v>
      </c>
      <c r="D37" s="50" t="s">
        <v>11</v>
      </c>
      <c r="E37" s="50" t="s">
        <v>12</v>
      </c>
      <c r="F37" s="50" t="s">
        <v>13</v>
      </c>
      <c r="G37" s="50" t="s">
        <v>14</v>
      </c>
      <c r="H37" s="50" t="s">
        <v>15</v>
      </c>
      <c r="I37" s="50" t="s">
        <v>18</v>
      </c>
      <c r="J37" s="50" t="s">
        <v>19</v>
      </c>
      <c r="K37" s="50" t="s">
        <v>20</v>
      </c>
      <c r="L37" s="50" t="s">
        <v>21</v>
      </c>
    </row>
    <row r="38" spans="1:12">
      <c r="A38" s="50" t="s">
        <v>25</v>
      </c>
      <c r="B38" s="50">
        <v>0</v>
      </c>
      <c r="C38" s="50">
        <v>7</v>
      </c>
      <c r="D38" s="50">
        <v>3</v>
      </c>
      <c r="E38" s="50">
        <v>14</v>
      </c>
      <c r="F38" s="50">
        <v>55974</v>
      </c>
      <c r="G38" s="50">
        <v>1928575</v>
      </c>
      <c r="H38" s="50">
        <v>11271194</v>
      </c>
      <c r="I38" s="50">
        <v>67624</v>
      </c>
      <c r="J38" s="50">
        <v>128</v>
      </c>
      <c r="K38" s="50">
        <v>192971</v>
      </c>
      <c r="L38" s="50">
        <v>5628</v>
      </c>
    </row>
    <row r="39" spans="1:12">
      <c r="A39" s="50" t="s">
        <v>26</v>
      </c>
      <c r="B39" s="50">
        <v>9</v>
      </c>
      <c r="C39" s="50">
        <v>373</v>
      </c>
      <c r="D39" s="50">
        <v>6</v>
      </c>
      <c r="E39" s="50">
        <v>31</v>
      </c>
      <c r="F39" s="50">
        <v>194814</v>
      </c>
      <c r="G39" s="50">
        <v>2906745</v>
      </c>
      <c r="H39" s="50">
        <v>35425193</v>
      </c>
      <c r="I39" s="50">
        <v>101012</v>
      </c>
      <c r="J39" s="50">
        <v>107532</v>
      </c>
      <c r="K39" s="50">
        <v>1018979</v>
      </c>
      <c r="L39" s="50">
        <v>17177</v>
      </c>
    </row>
    <row r="40" spans="1:12">
      <c r="A40" s="50" t="s">
        <v>27</v>
      </c>
      <c r="B40" s="50">
        <v>0</v>
      </c>
      <c r="C40" s="50">
        <v>15</v>
      </c>
      <c r="D40" s="50">
        <v>0</v>
      </c>
      <c r="E40" s="50">
        <v>9</v>
      </c>
      <c r="F40" s="50">
        <v>23487</v>
      </c>
      <c r="G40" s="50">
        <v>1043564</v>
      </c>
      <c r="H40" s="50">
        <v>4684933</v>
      </c>
      <c r="I40" s="50">
        <v>1800</v>
      </c>
      <c r="J40" s="50">
        <v>0</v>
      </c>
      <c r="K40" s="50">
        <v>66839</v>
      </c>
      <c r="L40" s="50">
        <v>1900</v>
      </c>
    </row>
    <row r="41" spans="1:12">
      <c r="A41" s="50" t="s">
        <v>25</v>
      </c>
      <c r="B41" s="50">
        <v>3</v>
      </c>
      <c r="C41" s="50">
        <v>73</v>
      </c>
      <c r="D41" s="50">
        <v>2</v>
      </c>
      <c r="E41" s="50">
        <v>20</v>
      </c>
      <c r="F41" s="50">
        <v>69653</v>
      </c>
      <c r="G41" s="50">
        <v>2303686</v>
      </c>
      <c r="H41" s="50">
        <v>18761269</v>
      </c>
      <c r="I41" s="50">
        <v>30086</v>
      </c>
      <c r="J41" s="50">
        <v>44124</v>
      </c>
      <c r="K41" s="50">
        <v>294834</v>
      </c>
      <c r="L41" s="50">
        <v>7196</v>
      </c>
    </row>
    <row r="42" spans="1:12">
      <c r="A42" s="50" t="s">
        <v>26</v>
      </c>
      <c r="B42" s="50">
        <v>2</v>
      </c>
      <c r="C42" s="50">
        <v>145</v>
      </c>
      <c r="D42" s="50">
        <v>3</v>
      </c>
      <c r="E42" s="50">
        <v>27</v>
      </c>
      <c r="F42" s="50">
        <v>97225</v>
      </c>
      <c r="G42" s="50">
        <v>2734529</v>
      </c>
      <c r="H42" s="50">
        <v>26576483</v>
      </c>
      <c r="I42" s="50">
        <v>45938</v>
      </c>
      <c r="J42" s="50">
        <v>54432</v>
      </c>
      <c r="K42" s="50">
        <v>472074</v>
      </c>
      <c r="L42" s="50">
        <v>9922</v>
      </c>
    </row>
    <row r="43" spans="1:12">
      <c r="A43" s="50" t="s">
        <v>27</v>
      </c>
      <c r="B43" s="50">
        <v>4</v>
      </c>
      <c r="C43" s="50">
        <v>177</v>
      </c>
      <c r="D43" s="50">
        <v>4</v>
      </c>
      <c r="E43" s="50">
        <v>22</v>
      </c>
      <c r="F43" s="50">
        <v>116415</v>
      </c>
      <c r="G43" s="50">
        <v>2906347</v>
      </c>
      <c r="H43" s="50">
        <v>26853182</v>
      </c>
      <c r="I43" s="50">
        <v>107706</v>
      </c>
      <c r="J43" s="50">
        <v>4272</v>
      </c>
      <c r="K43" s="50">
        <v>845785</v>
      </c>
      <c r="L43" s="50">
        <v>12463</v>
      </c>
    </row>
    <row r="44" spans="1:12">
      <c r="A44" s="50" t="s">
        <v>25</v>
      </c>
      <c r="B44" s="50">
        <v>9</v>
      </c>
      <c r="C44" s="50">
        <v>372</v>
      </c>
      <c r="D44" s="50">
        <v>9</v>
      </c>
      <c r="E44" s="50">
        <v>20</v>
      </c>
      <c r="F44" s="50">
        <v>162260</v>
      </c>
      <c r="G44" s="50">
        <v>1920363</v>
      </c>
      <c r="H44" s="50">
        <v>19828135</v>
      </c>
      <c r="I44" s="50">
        <v>38432</v>
      </c>
      <c r="J44" s="50">
        <v>0</v>
      </c>
      <c r="K44" s="50">
        <v>482359</v>
      </c>
      <c r="L44" s="50">
        <v>10969</v>
      </c>
    </row>
    <row r="45" spans="1:12">
      <c r="A45" s="50" t="s">
        <v>26</v>
      </c>
      <c r="B45" s="50">
        <v>0</v>
      </c>
      <c r="C45" s="50">
        <v>9</v>
      </c>
      <c r="D45" s="50">
        <v>1</v>
      </c>
      <c r="E45" s="50">
        <v>12</v>
      </c>
      <c r="F45" s="50">
        <v>44683</v>
      </c>
      <c r="G45" s="50">
        <v>980390</v>
      </c>
      <c r="H45" s="50">
        <v>5266592</v>
      </c>
      <c r="I45" s="50">
        <v>2980</v>
      </c>
      <c r="J45" s="50">
        <v>0</v>
      </c>
      <c r="K45" s="50">
        <v>78790</v>
      </c>
      <c r="L45" s="50">
        <v>1988</v>
      </c>
    </row>
    <row r="46" spans="1:12">
      <c r="A46" s="50" t="s">
        <v>27</v>
      </c>
      <c r="B46" s="50">
        <v>0</v>
      </c>
      <c r="C46" s="50">
        <v>14</v>
      </c>
      <c r="D46" s="50">
        <v>0</v>
      </c>
      <c r="E46" s="50">
        <v>9</v>
      </c>
      <c r="F46" s="50">
        <v>42173</v>
      </c>
      <c r="G46" s="50">
        <v>934541</v>
      </c>
      <c r="H46" s="50">
        <v>4465374</v>
      </c>
      <c r="I46" s="50">
        <v>3746</v>
      </c>
      <c r="J46" s="50">
        <v>0</v>
      </c>
      <c r="K46" s="50">
        <v>103602</v>
      </c>
      <c r="L46" s="50">
        <v>1947</v>
      </c>
    </row>
    <row r="47" spans="1:12">
      <c r="A47" s="50" t="s">
        <v>25</v>
      </c>
      <c r="B47" s="50">
        <v>2</v>
      </c>
      <c r="C47" s="50">
        <v>47</v>
      </c>
      <c r="D47" s="50">
        <v>1</v>
      </c>
      <c r="E47" s="50">
        <v>14</v>
      </c>
      <c r="F47" s="50">
        <v>47848</v>
      </c>
      <c r="G47" s="50">
        <v>1212640</v>
      </c>
      <c r="H47" s="50">
        <v>7648114</v>
      </c>
      <c r="I47" s="50">
        <v>2928</v>
      </c>
      <c r="J47" s="50">
        <v>0</v>
      </c>
      <c r="K47" s="50">
        <v>120983</v>
      </c>
      <c r="L47" s="50">
        <v>3095</v>
      </c>
    </row>
    <row r="48" spans="1:12">
      <c r="A48" s="50" t="s">
        <v>26</v>
      </c>
      <c r="B48" s="50">
        <v>4</v>
      </c>
      <c r="C48" s="50">
        <v>205</v>
      </c>
      <c r="D48" s="50">
        <v>3</v>
      </c>
      <c r="E48" s="50">
        <v>25</v>
      </c>
      <c r="F48" s="50">
        <v>115604</v>
      </c>
      <c r="G48" s="50">
        <v>2023969</v>
      </c>
      <c r="H48" s="50">
        <v>18577620</v>
      </c>
      <c r="I48" s="50">
        <v>58834</v>
      </c>
      <c r="J48" s="50">
        <v>0</v>
      </c>
      <c r="K48" s="50">
        <v>327410</v>
      </c>
      <c r="L48" s="50">
        <v>9002</v>
      </c>
    </row>
    <row r="49" spans="1:12">
      <c r="A49" s="50" t="s">
        <v>27</v>
      </c>
      <c r="B49" s="50">
        <v>3</v>
      </c>
      <c r="C49" s="50">
        <v>143</v>
      </c>
      <c r="D49" s="50">
        <v>5</v>
      </c>
      <c r="E49" s="50">
        <v>19</v>
      </c>
      <c r="F49" s="50">
        <v>122730</v>
      </c>
      <c r="G49" s="50">
        <v>1769794</v>
      </c>
      <c r="H49" s="50">
        <v>16833157</v>
      </c>
      <c r="I49" s="50">
        <v>9396</v>
      </c>
      <c r="J49" s="50">
        <v>0</v>
      </c>
      <c r="K49" s="50">
        <v>319186</v>
      </c>
      <c r="L49" s="50">
        <v>6397</v>
      </c>
    </row>
  </sheetData>
  <conditionalFormatting sqref="F29:F3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{412580bb-6780-4512-85b2-91147bcdda64}</x14:id>
        </ext>
      </extLst>
    </cfRule>
  </conditionalFormatting>
  <conditionalFormatting sqref="F32:F34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{119c9ff8-8bf4-43bc-a46b-b5c50274dd60}</x14:id>
        </ext>
      </extLst>
    </cfRule>
  </conditionalFormatting>
  <conditionalFormatting sqref="G29:G31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{c212e930-f476-4ca5-a8fc-a08fd0aba640}</x14:id>
        </ext>
      </extLst>
    </cfRule>
  </conditionalFormatting>
  <conditionalFormatting sqref="G32:G34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{3e9af4de-4279-408c-8452-41c1e042917d}</x14:id>
        </ext>
      </extLst>
    </cfRule>
  </conditionalFormatting>
  <conditionalFormatting sqref="O2:O13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{5b82a6e0-68ef-4984-b708-c7d7e9e8486f}</x14:id>
        </ext>
      </extLst>
    </cfRule>
  </conditionalFormatting>
  <conditionalFormatting sqref="O14:O25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{ef87bbba-804b-4636-bdf6-0b7ef193069e}</x14:id>
        </ext>
      </extLst>
    </cfRule>
  </conditionalFormatting>
  <conditionalFormatting sqref="O29:O36">
    <cfRule type="cellIs" dxfId="37" priority="1" operator="equal">
      <formula>$S$29</formula>
    </cfRule>
  </conditionalFormatting>
  <conditionalFormatting sqref="O37:O1048576">
    <cfRule type="cellIs" dxfId="37" priority="11" operator="equal">
      <formula>配置!$D$2</formula>
    </cfRule>
  </conditionalFormatting>
  <conditionalFormatting sqref="P2:P13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{fb0bccb9-9b5d-4aba-9b00-6cb05427948c}</x14:id>
        </ext>
      </extLst>
    </cfRule>
  </conditionalFormatting>
  <conditionalFormatting sqref="P14:P25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{0ab0ea49-bc64-408b-983d-39e7063842ce}</x14:id>
        </ext>
      </extLst>
    </cfRule>
  </conditionalFormatting>
  <conditionalFormatting sqref="Q2:Q25">
    <cfRule type="cellIs" dxfId="38" priority="12" operator="equal">
      <formula>配置!$D$4</formula>
    </cfRule>
    <cfRule type="cellIs" dxfId="39" priority="12" operator="equal">
      <formula>配置!$D$3</formula>
    </cfRule>
  </conditionalFormatting>
  <conditionalFormatting sqref="Q29:Q30">
    <cfRule type="cellIs" dxfId="37" priority="2" operator="equal">
      <formula>$S$29</formula>
    </cfRule>
  </conditionalFormatting>
  <conditionalFormatting sqref="O26:O27 Q1:R1 Q2:Q25">
    <cfRule type="cellIs" dxfId="37" priority="13" operator="equal">
      <formula>配置!$D$2</formula>
    </cfRule>
  </conditionalFormatting>
  <dataValidations count="1">
    <dataValidation type="list" allowBlank="1" showInputMessage="1" showErrorMessage="1" sqref="Q2:Q25">
      <formula1>配置!$D$2:$D$4</formula1>
    </dataValidation>
  </dataValidations>
  <pageMargins left="0.7" right="0.7" top="0.75" bottom="0.75" header="0.3" footer="0.3"/>
  <pageSetup paperSize="9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12580bb-6780-4512-85b2-91147bcdda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119c9ff8-8bf4-43bc-a46b-b5c50274dd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c212e930-f476-4ca5-a8fc-a08fd0aba6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3e9af4de-4279-408c-8452-41c1e04291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5b82a6e0-68ef-4984-b708-c7d7e9e848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O2:O13</xm:sqref>
        </x14:conditionalFormatting>
        <x14:conditionalFormatting xmlns:xm="http://schemas.microsoft.com/office/excel/2006/main">
          <x14:cfRule type="dataBar" id="{ef87bbba-804b-4636-bdf6-0b7ef19306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O14:O25</xm:sqref>
        </x14:conditionalFormatting>
        <x14:conditionalFormatting xmlns:xm="http://schemas.microsoft.com/office/excel/2006/main">
          <x14:cfRule type="dataBar" id="{fb0bccb9-9b5d-4aba-9b00-6cb0542794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P2:P13</xm:sqref>
        </x14:conditionalFormatting>
        <x14:conditionalFormatting xmlns:xm="http://schemas.microsoft.com/office/excel/2006/main">
          <x14:cfRule type="dataBar" id="{0ab0ea49-bc64-408b-983d-39e7063842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P14:P25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9"/>
  <sheetViews>
    <sheetView workbookViewId="0">
      <selection activeCell="A1" sqref="$A1:$XFD24"/>
    </sheetView>
  </sheetViews>
  <sheetFormatPr defaultColWidth="9" defaultRowHeight="13.5"/>
  <cols>
    <col min="1" max="1" width="5.75" customWidth="1"/>
    <col min="2" max="2" width="6.625" customWidth="1"/>
    <col min="3" max="3" width="5.25" customWidth="1"/>
    <col min="5" max="5" width="10.25" customWidth="1"/>
    <col min="6" max="6" width="9.625" customWidth="1"/>
    <col min="7" max="7" width="10.125" customWidth="1"/>
    <col min="8" max="8" width="7.5" customWidth="1"/>
    <col min="9" max="9" width="6.125" customWidth="1"/>
    <col min="10" max="10" width="5.625" customWidth="1"/>
    <col min="11" max="11" width="5.75" customWidth="1"/>
    <col min="12" max="13" width="8.375" customWidth="1"/>
    <col min="14" max="14" width="8.25" customWidth="1"/>
    <col min="15" max="15" width="10.5" customWidth="1"/>
    <col min="16" max="16" width="8.75" customWidth="1"/>
    <col min="17" max="17" width="8.375" customWidth="1"/>
    <col min="18" max="18" width="5.125" customWidth="1"/>
    <col min="20" max="20" width="8.5" customWidth="1"/>
    <col min="21" max="21" width="7.75" customWidth="1"/>
    <col min="22" max="22" width="8.75" customWidth="1"/>
    <col min="23" max="23" width="32.25" customWidth="1"/>
    <col min="24" max="24" width="33.125" customWidth="1"/>
  </cols>
  <sheetData>
    <row r="1" s="1" customFormat="1" ht="27.75" spans="1:24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22</v>
      </c>
      <c r="X1" s="22" t="s">
        <v>23</v>
      </c>
    </row>
    <row r="2" s="354" customFormat="1" ht="14.25" customHeight="1" spans="1:24">
      <c r="A2" s="371">
        <v>24</v>
      </c>
      <c r="B2" s="371">
        <f>VLOOKUP(表1_86[[#This Row],[区服]],$O$17:$P$24,2,FALSE)</f>
        <v>53</v>
      </c>
      <c r="C2" s="372" t="s">
        <v>44</v>
      </c>
      <c r="D2" s="373" t="str">
        <f>表1_86[[#This Row],[目标国家]]</f>
        <v>魏</v>
      </c>
      <c r="E2" s="374">
        <f>(VLOOKUP(表1_86[[#This Row],[目标区服]],$Q$17:$R$18,2,FALSE)-表1_86[[#This Row],[开服天数]])*配置!$B$1</f>
        <v>1000</v>
      </c>
      <c r="F2" s="374">
        <f>表1_86[[#This Row],[补偿Coin]]*(表1_86[[#This Row],[活跃高战玩家数]]+表1_86[[#This Row],[活跃中坚玩家数]])</f>
        <v>24000</v>
      </c>
      <c r="G2" s="374">
        <f>(VLOOKUP(表1_86[[#This Row],[目标区服]],$Q$17:$R$18,2,FALSE)-表1_86[[#This Row],[开服天数]])*配置!$B$2</f>
        <v>10</v>
      </c>
      <c r="H2" s="376" t="s">
        <v>25</v>
      </c>
      <c r="I2" s="376">
        <f>IF(表1_86[[#This Row],[原国家]]="魏",0,IF(表1_86[[#This Row],[原国家]]="蜀",1,2))</f>
        <v>0</v>
      </c>
      <c r="J2" s="380">
        <v>4</v>
      </c>
      <c r="K2" s="380">
        <v>153</v>
      </c>
      <c r="L2" s="380">
        <v>4</v>
      </c>
      <c r="M2" s="380">
        <v>20</v>
      </c>
      <c r="N2" s="380">
        <v>109595</v>
      </c>
      <c r="O2" s="380">
        <v>3313827</v>
      </c>
      <c r="P2" s="381">
        <v>26868506</v>
      </c>
      <c r="Q2" s="744" t="s">
        <v>25</v>
      </c>
      <c r="R2" s="376">
        <f>IF(表1_86[[#This Row],[目标国家]]="魏",0,IF(表1_86[[#This Row],[目标国家]]="蜀",1,2))</f>
        <v>0</v>
      </c>
      <c r="S2" s="380">
        <v>187976</v>
      </c>
      <c r="T2" s="380">
        <v>3378</v>
      </c>
      <c r="U2" s="380">
        <v>465808</v>
      </c>
      <c r="V2" s="380">
        <v>14617</v>
      </c>
      <c r="W2" s="387" t="str">
        <f>"{"&amp;"'coin':"&amp;表1_86[[#This Row],[补偿Coin]]&amp;",'"&amp;配置!$A$2&amp;"':"&amp;表1_86[[#This Row],[补偿辎重]]&amp;"},"</f>
        <v>{'coin':1000,'item036':10},</v>
      </c>
      <c r="X2" s="388" t="str">
        <f>"      '"&amp;表1_86[[#This Row],[区服]]&amp;"':{"</f>
        <v>      '24':{</v>
      </c>
    </row>
    <row r="3" s="354" customFormat="1" ht="14.25" customHeight="1" spans="1:24">
      <c r="A3" s="375">
        <v>24</v>
      </c>
      <c r="B3" s="371">
        <f>VLOOKUP(表1_86[[#This Row],[区服]],$O$17:$P$24,2,FALSE)</f>
        <v>53</v>
      </c>
      <c r="C3" s="372" t="s">
        <v>44</v>
      </c>
      <c r="D3" s="376" t="str">
        <f>表1_86[[#This Row],[目标国家]]</f>
        <v>蜀</v>
      </c>
      <c r="E3" s="380">
        <f>(VLOOKUP(表1_86[[#This Row],[目标区服]],$Q$17:$R$18,2,FALSE)-表1_86[[#This Row],[开服天数]])*配置!$B$1</f>
        <v>1000</v>
      </c>
      <c r="F3" s="380">
        <f>表1_86[[#This Row],[补偿Coin]]*(表1_86[[#This Row],[活跃高战玩家数]]+表1_86[[#This Row],[活跃中坚玩家数]])</f>
        <v>26000</v>
      </c>
      <c r="G3" s="380">
        <f>(VLOOKUP(表1_86[[#This Row],[目标区服]],$Q$17:$R$18,2,FALSE)-表1_86[[#This Row],[开服天数]])*配置!$B$2</f>
        <v>10</v>
      </c>
      <c r="H3" s="376" t="s">
        <v>26</v>
      </c>
      <c r="I3" s="376">
        <f>IF(表1_86[[#This Row],[原国家]]="魏",0,IF(表1_86[[#This Row],[原国家]]="蜀",1,2))</f>
        <v>1</v>
      </c>
      <c r="J3" s="380">
        <v>3</v>
      </c>
      <c r="K3" s="380">
        <v>134</v>
      </c>
      <c r="L3" s="380">
        <v>1</v>
      </c>
      <c r="M3" s="380">
        <v>25</v>
      </c>
      <c r="N3" s="380">
        <v>86487</v>
      </c>
      <c r="O3" s="380">
        <v>2442386</v>
      </c>
      <c r="P3" s="381">
        <v>22071547</v>
      </c>
      <c r="Q3" s="493" t="s">
        <v>26</v>
      </c>
      <c r="R3" s="376">
        <f>IF(表1_86[[#This Row],[目标国家]]="魏",0,IF(表1_86[[#This Row],[目标国家]]="蜀",1,2))</f>
        <v>1</v>
      </c>
      <c r="S3" s="380">
        <v>61668</v>
      </c>
      <c r="T3" s="380">
        <v>0</v>
      </c>
      <c r="U3" s="380">
        <v>408416</v>
      </c>
      <c r="V3" s="380">
        <v>8980</v>
      </c>
      <c r="W3" s="387" t="str">
        <f>"{"&amp;"'coin':"&amp;表1_86[[#This Row],[补偿Coin]]&amp;",'"&amp;配置!$A$2&amp;"':"&amp;表1_86[[#This Row],[补偿辎重]]&amp;"},"</f>
        <v>{'coin':1000,'item036':10},</v>
      </c>
      <c r="X3" s="388" t="str">
        <f>"            'reward':"&amp;表1_86[[#This Row],[辅助导出]]&amp;"
            'country':["&amp;R2&amp;","&amp;R3&amp;","&amp;R4&amp;"],"</f>
        <v>            'reward':{'coin':1000,'item036':10},
            'country':[0,1,2],</v>
      </c>
    </row>
    <row r="4" s="354" customFormat="1" ht="14.25" customHeight="1" spans="1:24">
      <c r="A4" s="375">
        <v>24</v>
      </c>
      <c r="B4" s="371">
        <f>VLOOKUP(表1_86[[#This Row],[区服]],$O$17:$P$24,2,FALSE)</f>
        <v>53</v>
      </c>
      <c r="C4" s="372" t="s">
        <v>44</v>
      </c>
      <c r="D4" s="376" t="str">
        <f>表1_86[[#This Row],[目标国家]]</f>
        <v>吴</v>
      </c>
      <c r="E4" s="380">
        <f>(VLOOKUP(表1_86[[#This Row],[目标区服]],$Q$17:$R$18,2,FALSE)-表1_86[[#This Row],[开服天数]])*配置!$B$1</f>
        <v>1000</v>
      </c>
      <c r="F4" s="380">
        <f>表1_86[[#This Row],[补偿Coin]]*(表1_86[[#This Row],[活跃高战玩家数]]+表1_86[[#This Row],[活跃中坚玩家数]])</f>
        <v>22000</v>
      </c>
      <c r="G4" s="380">
        <f>(VLOOKUP(表1_86[[#This Row],[目标区服]],$Q$17:$R$18,2,FALSE)-表1_86[[#This Row],[开服天数]])*配置!$B$2</f>
        <v>10</v>
      </c>
      <c r="H4" s="376" t="s">
        <v>27</v>
      </c>
      <c r="I4" s="376">
        <f>IF(表1_86[[#This Row],[原国家]]="魏",0,IF(表1_86[[#This Row],[原国家]]="蜀",1,2))</f>
        <v>2</v>
      </c>
      <c r="J4" s="380">
        <v>2</v>
      </c>
      <c r="K4" s="380">
        <v>108</v>
      </c>
      <c r="L4" s="380">
        <v>4</v>
      </c>
      <c r="M4" s="380">
        <v>18</v>
      </c>
      <c r="N4" s="380">
        <v>82729</v>
      </c>
      <c r="O4" s="380">
        <v>3078293</v>
      </c>
      <c r="P4" s="381">
        <v>21523143</v>
      </c>
      <c r="Q4" s="493" t="s">
        <v>27</v>
      </c>
      <c r="R4" s="376">
        <f>IF(表1_86[[#This Row],[目标国家]]="魏",0,IF(表1_86[[#This Row],[目标国家]]="蜀",1,2))</f>
        <v>2</v>
      </c>
      <c r="S4" s="380">
        <v>165606</v>
      </c>
      <c r="T4" s="380">
        <v>0</v>
      </c>
      <c r="U4" s="380">
        <v>727725</v>
      </c>
      <c r="V4" s="380">
        <v>12620</v>
      </c>
      <c r="W4" s="387" t="str">
        <f>"{"&amp;"'coin':"&amp;表1_86[[#This Row],[补偿Coin]]&amp;",'"&amp;配置!$A$2&amp;"':"&amp;表1_86[[#This Row],[补偿辎重]]&amp;"},"</f>
        <v>{'coin':1000,'item036':10},</v>
      </c>
      <c r="X4" s="388" t="str">
        <f>"      },"</f>
        <v>      },</v>
      </c>
    </row>
    <row r="5" s="354" customFormat="1" ht="14.25" customHeight="1" spans="1:24">
      <c r="A5" s="375">
        <v>25</v>
      </c>
      <c r="B5" s="371">
        <f>VLOOKUP(表1_86[[#This Row],[区服]],$O$17:$P$24,2,FALSE)</f>
        <v>52</v>
      </c>
      <c r="C5" s="372" t="s">
        <v>44</v>
      </c>
      <c r="D5" s="376" t="str">
        <f>表1_86[[#This Row],[目标国家]]</f>
        <v>魏</v>
      </c>
      <c r="E5" s="380">
        <f>(VLOOKUP(表1_86[[#This Row],[目标区服]],$Q$17:$R$18,2,FALSE)-表1_86[[#This Row],[开服天数]])*配置!$B$1</f>
        <v>1500</v>
      </c>
      <c r="F5" s="380">
        <f>表1_86[[#This Row],[补偿Coin]]*(表1_86[[#This Row],[活跃高战玩家数]]+表1_86[[#This Row],[活跃中坚玩家数]])</f>
        <v>18000</v>
      </c>
      <c r="G5" s="380">
        <f>(VLOOKUP(表1_86[[#This Row],[目标区服]],$Q$17:$R$18,2,FALSE)-表1_86[[#This Row],[开服天数]])*配置!$B$2</f>
        <v>15</v>
      </c>
      <c r="H5" s="376" t="s">
        <v>25</v>
      </c>
      <c r="I5" s="376">
        <f>IF(表1_86[[#This Row],[原国家]]="魏",0,IF(表1_86[[#This Row],[原国家]]="蜀",1,2))</f>
        <v>0</v>
      </c>
      <c r="J5" s="380">
        <v>0</v>
      </c>
      <c r="K5" s="380">
        <v>14</v>
      </c>
      <c r="L5" s="380">
        <v>0</v>
      </c>
      <c r="M5" s="380">
        <v>12</v>
      </c>
      <c r="N5" s="380">
        <v>31725</v>
      </c>
      <c r="O5" s="380">
        <v>1289482</v>
      </c>
      <c r="P5" s="381">
        <v>6053662</v>
      </c>
      <c r="Q5" s="493" t="s">
        <v>25</v>
      </c>
      <c r="R5" s="376">
        <f>IF(表1_86[[#This Row],[目标国家]]="魏",0,IF(表1_86[[#This Row],[目标国家]]="蜀",1,2))</f>
        <v>0</v>
      </c>
      <c r="S5" s="380">
        <v>8794</v>
      </c>
      <c r="T5" s="380">
        <v>0</v>
      </c>
      <c r="U5" s="380">
        <v>114494</v>
      </c>
      <c r="V5" s="380">
        <v>2571</v>
      </c>
      <c r="W5" s="387" t="str">
        <f>"{"&amp;"'coin':"&amp;表1_86[[#This Row],[补偿Coin]]&amp;",'"&amp;配置!$A$2&amp;"':"&amp;表1_86[[#This Row],[补偿辎重]]&amp;"},"</f>
        <v>{'coin':1500,'item036':15},</v>
      </c>
      <c r="X5" s="388" t="str">
        <f>"      '"&amp;表1_86[[#This Row],[区服]]&amp;"':{"</f>
        <v>      '25':{</v>
      </c>
    </row>
    <row r="6" s="354" customFormat="1" ht="14.25" customHeight="1" spans="1:24">
      <c r="A6" s="371">
        <v>25</v>
      </c>
      <c r="B6" s="371">
        <f>VLOOKUP(表1_86[[#This Row],[区服]],$O$17:$P$24,2,FALSE)</f>
        <v>52</v>
      </c>
      <c r="C6" s="372" t="s">
        <v>44</v>
      </c>
      <c r="D6" s="376" t="str">
        <f>表1_86[[#This Row],[目标国家]]</f>
        <v>吴</v>
      </c>
      <c r="E6" s="380">
        <f>(VLOOKUP(表1_86[[#This Row],[目标区服]],$Q$17:$R$18,2,FALSE)-表1_86[[#This Row],[开服天数]])*配置!$B$1</f>
        <v>1500</v>
      </c>
      <c r="F6" s="380">
        <f>表1_86[[#This Row],[补偿Coin]]*(表1_86[[#This Row],[活跃高战玩家数]]+表1_86[[#This Row],[活跃中坚玩家数]])</f>
        <v>30000</v>
      </c>
      <c r="G6" s="380">
        <f>(VLOOKUP(表1_86[[#This Row],[目标区服]],$Q$17:$R$18,2,FALSE)-表1_86[[#This Row],[开服天数]])*配置!$B$2</f>
        <v>15</v>
      </c>
      <c r="H6" s="376" t="s">
        <v>26</v>
      </c>
      <c r="I6" s="376">
        <f>IF(表1_86[[#This Row],[原国家]]="魏",0,IF(表1_86[[#This Row],[原国家]]="蜀",1,2))</f>
        <v>1</v>
      </c>
      <c r="J6" s="380">
        <v>0</v>
      </c>
      <c r="K6" s="380">
        <v>15</v>
      </c>
      <c r="L6" s="380">
        <v>2</v>
      </c>
      <c r="M6" s="380">
        <v>18</v>
      </c>
      <c r="N6" s="380">
        <v>76679</v>
      </c>
      <c r="O6" s="380">
        <v>1603066</v>
      </c>
      <c r="P6" s="381">
        <v>12695305</v>
      </c>
      <c r="Q6" s="493" t="s">
        <v>27</v>
      </c>
      <c r="R6" s="376">
        <f>IF(表1_86[[#This Row],[目标国家]]="魏",0,IF(表1_86[[#This Row],[目标国家]]="蜀",1,2))</f>
        <v>2</v>
      </c>
      <c r="S6" s="380">
        <v>10154</v>
      </c>
      <c r="T6" s="380">
        <v>30</v>
      </c>
      <c r="U6" s="380">
        <v>148372</v>
      </c>
      <c r="V6" s="380">
        <v>3859</v>
      </c>
      <c r="W6" s="387" t="str">
        <f>"{"&amp;"'coin':"&amp;表1_86[[#This Row],[补偿Coin]]&amp;",'"&amp;配置!$A$2&amp;"':"&amp;表1_86[[#This Row],[补偿辎重]]&amp;"},"</f>
        <v>{'coin':1500,'item036':15},</v>
      </c>
      <c r="X6" s="388" t="str">
        <f>"            'reward':"&amp;表1_86[[#This Row],[辅助导出]]&amp;"
            'country':["&amp;R5&amp;","&amp;R6&amp;","&amp;R7&amp;"],"</f>
        <v>            'reward':{'coin':1500,'item036':15},
            'country':[0,2,1],</v>
      </c>
    </row>
    <row r="7" s="354" customFormat="1" ht="14.25" customHeight="1" spans="1:24">
      <c r="A7" s="371">
        <v>25</v>
      </c>
      <c r="B7" s="371">
        <f>VLOOKUP(表1_86[[#This Row],[区服]],$O$17:$P$24,2,FALSE)</f>
        <v>52</v>
      </c>
      <c r="C7" s="372" t="s">
        <v>44</v>
      </c>
      <c r="D7" s="376" t="str">
        <f>表1_86[[#This Row],[目标国家]]</f>
        <v>蜀</v>
      </c>
      <c r="E7" s="380">
        <f>(VLOOKUP(表1_86[[#This Row],[目标区服]],$Q$17:$R$18,2,FALSE)-表1_86[[#This Row],[开服天数]])*配置!$B$1</f>
        <v>1500</v>
      </c>
      <c r="F7" s="380">
        <f>表1_86[[#This Row],[补偿Coin]]*(表1_86[[#This Row],[活跃高战玩家数]]+表1_86[[#This Row],[活跃中坚玩家数]])</f>
        <v>39000</v>
      </c>
      <c r="G7" s="380">
        <f>(VLOOKUP(表1_86[[#This Row],[目标区服]],$Q$17:$R$18,2,FALSE)-表1_86[[#This Row],[开服天数]])*配置!$B$2</f>
        <v>15</v>
      </c>
      <c r="H7" s="376" t="s">
        <v>27</v>
      </c>
      <c r="I7" s="376">
        <f>IF(表1_86[[#This Row],[原国家]]="魏",0,IF(表1_86[[#This Row],[原国家]]="蜀",1,2))</f>
        <v>2</v>
      </c>
      <c r="J7" s="380">
        <v>9</v>
      </c>
      <c r="K7" s="380">
        <v>366</v>
      </c>
      <c r="L7" s="380">
        <v>7</v>
      </c>
      <c r="M7" s="380">
        <v>19</v>
      </c>
      <c r="N7" s="380">
        <v>143284</v>
      </c>
      <c r="O7" s="380">
        <v>2775188</v>
      </c>
      <c r="P7" s="381">
        <v>24264066</v>
      </c>
      <c r="Q7" s="493" t="s">
        <v>26</v>
      </c>
      <c r="R7" s="376">
        <f>IF(表1_86[[#This Row],[目标国家]]="魏",0,IF(表1_86[[#This Row],[目标国家]]="蜀",1,2))</f>
        <v>1</v>
      </c>
      <c r="S7" s="380">
        <v>67066</v>
      </c>
      <c r="T7" s="380">
        <v>0</v>
      </c>
      <c r="U7" s="380">
        <v>611179</v>
      </c>
      <c r="V7" s="380">
        <v>13101</v>
      </c>
      <c r="W7" s="387" t="str">
        <f>"{"&amp;"'coin':"&amp;表1_86[[#This Row],[补偿Coin]]&amp;",'"&amp;配置!$A$2&amp;"':"&amp;表1_86[[#This Row],[补偿辎重]]&amp;"},"</f>
        <v>{'coin':1500,'item036':15},</v>
      </c>
      <c r="X7" s="388" t="str">
        <f t="shared" ref="X7" si="0">"      },"</f>
        <v>      },</v>
      </c>
    </row>
    <row r="8" ht="14.25" customHeight="1" spans="1:24">
      <c r="A8" s="700">
        <v>26</v>
      </c>
      <c r="B8" s="700">
        <f>VLOOKUP(表1_86[[#This Row],[区服]],$O$17:$P$24,2,FALSE)</f>
        <v>50</v>
      </c>
      <c r="C8" s="701" t="s">
        <v>45</v>
      </c>
      <c r="D8" s="702" t="str">
        <f>表1_86[[#This Row],[目标国家]]</f>
        <v>魏</v>
      </c>
      <c r="E8" s="703">
        <f>(VLOOKUP(表1_86[[#This Row],[目标区服]],$Q$17:$R$18,2,FALSE)-表1_86[[#This Row],[开服天数]])*配置!$B$1</f>
        <v>1000</v>
      </c>
      <c r="F8" s="703">
        <f>表1_86[[#This Row],[补偿Coin]]*(表1_86[[#This Row],[活跃高战玩家数]]+表1_86[[#This Row],[活跃中坚玩家数]])</f>
        <v>22000</v>
      </c>
      <c r="G8" s="703">
        <f>(VLOOKUP(表1_86[[#This Row],[目标区服]],$Q$17:$R$18,2,FALSE)-表1_86[[#This Row],[开服天数]])*配置!$B$2</f>
        <v>10</v>
      </c>
      <c r="H8" s="702" t="s">
        <v>25</v>
      </c>
      <c r="I8" s="702">
        <f>IF(表1_86[[#This Row],[原国家]]="魏",0,IF(表1_86[[#This Row],[原国家]]="蜀",1,2))</f>
        <v>0</v>
      </c>
      <c r="J8" s="703">
        <v>3</v>
      </c>
      <c r="K8" s="703">
        <v>106</v>
      </c>
      <c r="L8" s="703">
        <v>1</v>
      </c>
      <c r="M8" s="703">
        <v>21</v>
      </c>
      <c r="N8" s="703">
        <v>84316</v>
      </c>
      <c r="O8" s="703">
        <v>2040640</v>
      </c>
      <c r="P8" s="706">
        <v>17197667</v>
      </c>
      <c r="Q8" s="743" t="s">
        <v>25</v>
      </c>
      <c r="R8" s="702">
        <f>IF(表1_86[[#This Row],[目标国家]]="魏",0,IF(表1_86[[#This Row],[目标国家]]="蜀",1,2))</f>
        <v>0</v>
      </c>
      <c r="S8" s="703">
        <v>57892</v>
      </c>
      <c r="T8" s="703">
        <v>1208</v>
      </c>
      <c r="U8" s="703">
        <v>259423</v>
      </c>
      <c r="V8" s="703">
        <v>7550</v>
      </c>
      <c r="W8" s="707" t="str">
        <f>"{"&amp;"'coin':"&amp;表1_86[[#This Row],[补偿Coin]]&amp;",'"&amp;配置!$A$2&amp;"':"&amp;表1_86[[#This Row],[补偿辎重]]&amp;"},"</f>
        <v>{'coin':1000,'item036':10},</v>
      </c>
      <c r="X8" s="708" t="str">
        <f>"      '"&amp;表1_86[[#This Row],[区服]]&amp;"':{"</f>
        <v>      '26':{</v>
      </c>
    </row>
    <row r="9" ht="14.25" customHeight="1" spans="1:24">
      <c r="A9" s="700">
        <v>26</v>
      </c>
      <c r="B9" s="700">
        <f>VLOOKUP(表1_86[[#This Row],[区服]],$O$17:$P$24,2,FALSE)</f>
        <v>50</v>
      </c>
      <c r="C9" s="701" t="s">
        <v>45</v>
      </c>
      <c r="D9" s="702" t="str">
        <f>表1_86[[#This Row],[目标国家]]</f>
        <v>魏</v>
      </c>
      <c r="E9" s="703">
        <f>(VLOOKUP(表1_86[[#This Row],[目标区服]],$Q$17:$R$18,2,FALSE)-表1_86[[#This Row],[开服天数]])*配置!$B$1</f>
        <v>1000</v>
      </c>
      <c r="F9" s="703">
        <f>表1_86[[#This Row],[补偿Coin]]*(表1_86[[#This Row],[活跃高战玩家数]]+表1_86[[#This Row],[活跃中坚玩家数]])</f>
        <v>24000</v>
      </c>
      <c r="G9" s="703">
        <f>(VLOOKUP(表1_86[[#This Row],[目标区服]],$Q$17:$R$18,2,FALSE)-表1_86[[#This Row],[开服天数]])*配置!$B$2</f>
        <v>10</v>
      </c>
      <c r="H9" s="702" t="s">
        <v>26</v>
      </c>
      <c r="I9" s="702">
        <f>IF(表1_86[[#This Row],[原国家]]="魏",0,IF(表1_86[[#This Row],[原国家]]="蜀",1,2))</f>
        <v>1</v>
      </c>
      <c r="J9" s="703">
        <v>2</v>
      </c>
      <c r="K9" s="703">
        <v>125</v>
      </c>
      <c r="L9" s="703">
        <v>2</v>
      </c>
      <c r="M9" s="703">
        <v>22</v>
      </c>
      <c r="N9" s="703">
        <v>88672</v>
      </c>
      <c r="O9" s="703">
        <v>1559503</v>
      </c>
      <c r="P9" s="706">
        <v>16798940</v>
      </c>
      <c r="Q9" s="743" t="s">
        <v>25</v>
      </c>
      <c r="R9" s="702">
        <f>IF(表1_86[[#This Row],[目标国家]]="魏",0,IF(表1_86[[#This Row],[目标国家]]="蜀",1,2))</f>
        <v>0</v>
      </c>
      <c r="S9" s="703">
        <v>15036</v>
      </c>
      <c r="T9" s="703">
        <v>900</v>
      </c>
      <c r="U9" s="703">
        <v>189526</v>
      </c>
      <c r="V9" s="703">
        <v>5782</v>
      </c>
      <c r="W9" s="707" t="str">
        <f>"{"&amp;"'coin':"&amp;表1_86[[#This Row],[补偿Coin]]&amp;",'"&amp;配置!$A$2&amp;"':"&amp;表1_86[[#This Row],[补偿辎重]]&amp;"},"</f>
        <v>{'coin':1000,'item036':10},</v>
      </c>
      <c r="X9" s="708" t="str">
        <f>"            'reward':"&amp;表1_86[[#This Row],[辅助导出]]&amp;"
            'country':["&amp;R8&amp;","&amp;R9&amp;","&amp;R10&amp;"],"</f>
        <v>            'reward':{'coin':1000,'item036':10},
            'country':[0,0,2],</v>
      </c>
    </row>
    <row r="10" ht="14.25" customHeight="1" spans="1:24">
      <c r="A10" s="700">
        <v>26</v>
      </c>
      <c r="B10" s="700">
        <f>VLOOKUP(表1_86[[#This Row],[区服]],$O$17:$P$24,2,FALSE)</f>
        <v>50</v>
      </c>
      <c r="C10" s="701" t="s">
        <v>45</v>
      </c>
      <c r="D10" s="702" t="str">
        <f>表1_86[[#This Row],[目标国家]]</f>
        <v>吴</v>
      </c>
      <c r="E10" s="703">
        <f>(VLOOKUP(表1_86[[#This Row],[目标区服]],$Q$17:$R$18,2,FALSE)-表1_86[[#This Row],[开服天数]])*配置!$B$1</f>
        <v>1000</v>
      </c>
      <c r="F10" s="703">
        <f>表1_86[[#This Row],[补偿Coin]]*(表1_86[[#This Row],[活跃高战玩家数]]+表1_86[[#This Row],[活跃中坚玩家数]])</f>
        <v>23000</v>
      </c>
      <c r="G10" s="703">
        <f>(VLOOKUP(表1_86[[#This Row],[目标区服]],$Q$17:$R$18,2,FALSE)-表1_86[[#This Row],[开服天数]])*配置!$B$2</f>
        <v>10</v>
      </c>
      <c r="H10" s="702" t="s">
        <v>27</v>
      </c>
      <c r="I10" s="702">
        <f>IF(表1_86[[#This Row],[原国家]]="魏",0,IF(表1_86[[#This Row],[原国家]]="蜀",1,2))</f>
        <v>2</v>
      </c>
      <c r="J10" s="703">
        <v>4</v>
      </c>
      <c r="K10" s="703">
        <v>164</v>
      </c>
      <c r="L10" s="703">
        <v>5</v>
      </c>
      <c r="M10" s="703">
        <v>18</v>
      </c>
      <c r="N10" s="703">
        <v>112008</v>
      </c>
      <c r="O10" s="703">
        <v>2247533</v>
      </c>
      <c r="P10" s="706">
        <v>20290156</v>
      </c>
      <c r="Q10" s="743" t="s">
        <v>27</v>
      </c>
      <c r="R10" s="702">
        <f>IF(表1_86[[#This Row],[目标国家]]="魏",0,IF(表1_86[[#This Row],[目标国家]]="蜀",1,2))</f>
        <v>2</v>
      </c>
      <c r="S10" s="703">
        <v>56580</v>
      </c>
      <c r="T10" s="703">
        <v>0</v>
      </c>
      <c r="U10" s="703">
        <v>416831</v>
      </c>
      <c r="V10" s="703">
        <v>8990</v>
      </c>
      <c r="W10" s="707" t="str">
        <f>"{"&amp;"'coin':"&amp;表1_86[[#This Row],[补偿Coin]]&amp;",'"&amp;配置!$A$2&amp;"':"&amp;表1_86[[#This Row],[补偿辎重]]&amp;"},"</f>
        <v>{'coin':1000,'item036':10},</v>
      </c>
      <c r="X10" s="708" t="str">
        <f t="shared" ref="X10" si="1">"      },"</f>
        <v>      },</v>
      </c>
    </row>
    <row r="11" ht="14.25" customHeight="1" spans="1:24">
      <c r="A11" s="700">
        <v>27</v>
      </c>
      <c r="B11" s="700">
        <f>VLOOKUP(表1_86[[#This Row],[区服]],$O$17:$P$24,2,FALSE)</f>
        <v>48</v>
      </c>
      <c r="C11" s="701" t="s">
        <v>45</v>
      </c>
      <c r="D11" s="702" t="str">
        <f>表1_86[[#This Row],[目标国家]]</f>
        <v>蜀</v>
      </c>
      <c r="E11" s="703">
        <f>(VLOOKUP(表1_86[[#This Row],[目标区服]],$Q$17:$R$18,2,FALSE)-表1_86[[#This Row],[开服天数]])*配置!$B$1</f>
        <v>2000</v>
      </c>
      <c r="F11" s="703">
        <f>表1_86[[#This Row],[补偿Coin]]*(表1_86[[#This Row],[活跃高战玩家数]]+表1_86[[#This Row],[活跃中坚玩家数]])</f>
        <v>60000</v>
      </c>
      <c r="G11" s="703">
        <f>(VLOOKUP(表1_86[[#This Row],[目标区服]],$Q$17:$R$18,2,FALSE)-表1_86[[#This Row],[开服天数]])*配置!$B$2</f>
        <v>20</v>
      </c>
      <c r="H11" s="702" t="s">
        <v>25</v>
      </c>
      <c r="I11" s="702">
        <f>IF(表1_86[[#This Row],[原国家]]="魏",0,IF(表1_86[[#This Row],[原国家]]="蜀",1,2))</f>
        <v>0</v>
      </c>
      <c r="J11" s="703">
        <v>8</v>
      </c>
      <c r="K11" s="703">
        <v>304</v>
      </c>
      <c r="L11" s="703">
        <v>6</v>
      </c>
      <c r="M11" s="703">
        <v>24</v>
      </c>
      <c r="N11" s="703">
        <v>143890</v>
      </c>
      <c r="O11" s="703">
        <v>2306301</v>
      </c>
      <c r="P11" s="706">
        <v>22535053</v>
      </c>
      <c r="Q11" s="743" t="s">
        <v>26</v>
      </c>
      <c r="R11" s="702">
        <f>IF(表1_86[[#This Row],[目标国家]]="魏",0,IF(表1_86[[#This Row],[目标国家]]="蜀",1,2))</f>
        <v>1</v>
      </c>
      <c r="S11" s="703">
        <v>67878</v>
      </c>
      <c r="T11" s="703">
        <v>1238</v>
      </c>
      <c r="U11" s="703">
        <v>518133</v>
      </c>
      <c r="V11" s="703">
        <v>11686</v>
      </c>
      <c r="W11" s="707" t="str">
        <f>"{"&amp;"'coin':"&amp;表1_86[[#This Row],[补偿Coin]]&amp;",'"&amp;配置!$A$2&amp;"':"&amp;表1_86[[#This Row],[补偿辎重]]&amp;"},"</f>
        <v>{'coin':2000,'item036':20},</v>
      </c>
      <c r="X11" s="708" t="str">
        <f>"      '"&amp;表1_86[[#This Row],[区服]]&amp;"':{"</f>
        <v>      '27':{</v>
      </c>
    </row>
    <row r="12" ht="14.25" customHeight="1" spans="1:24">
      <c r="A12" s="700">
        <v>27</v>
      </c>
      <c r="B12" s="700">
        <f>VLOOKUP(表1_86[[#This Row],[区服]],$O$17:$P$24,2,FALSE)</f>
        <v>48</v>
      </c>
      <c r="C12" s="701" t="s">
        <v>45</v>
      </c>
      <c r="D12" s="702" t="str">
        <f>表1_86[[#This Row],[目标国家]]</f>
        <v>蜀</v>
      </c>
      <c r="E12" s="703">
        <f>(VLOOKUP(表1_86[[#This Row],[目标区服]],$Q$17:$R$18,2,FALSE)-表1_86[[#This Row],[开服天数]])*配置!$B$1</f>
        <v>2000</v>
      </c>
      <c r="F12" s="703">
        <f>表1_86[[#This Row],[补偿Coin]]*(表1_86[[#This Row],[活跃高战玩家数]]+表1_86[[#This Row],[活跃中坚玩家数]])</f>
        <v>30000</v>
      </c>
      <c r="G12" s="703">
        <f>(VLOOKUP(表1_86[[#This Row],[目标区服]],$Q$17:$R$18,2,FALSE)-表1_86[[#This Row],[开服天数]])*配置!$B$2</f>
        <v>20</v>
      </c>
      <c r="H12" s="702" t="s">
        <v>26</v>
      </c>
      <c r="I12" s="702">
        <f>IF(表1_86[[#This Row],[原国家]]="魏",0,IF(表1_86[[#This Row],[原国家]]="蜀",1,2))</f>
        <v>1</v>
      </c>
      <c r="J12" s="703">
        <v>0</v>
      </c>
      <c r="K12" s="703">
        <v>37</v>
      </c>
      <c r="L12" s="703">
        <v>0</v>
      </c>
      <c r="M12" s="703">
        <v>15</v>
      </c>
      <c r="N12" s="703">
        <v>63734</v>
      </c>
      <c r="O12" s="703">
        <v>1390827</v>
      </c>
      <c r="P12" s="706">
        <v>9594923</v>
      </c>
      <c r="Q12" s="743" t="s">
        <v>26</v>
      </c>
      <c r="R12" s="702">
        <f>IF(表1_86[[#This Row],[目标国家]]="魏",0,IF(表1_86[[#This Row],[目标国家]]="蜀",1,2))</f>
        <v>1</v>
      </c>
      <c r="S12" s="703">
        <v>10316</v>
      </c>
      <c r="T12" s="703">
        <v>0</v>
      </c>
      <c r="U12" s="703">
        <v>122427</v>
      </c>
      <c r="V12" s="703">
        <v>3470</v>
      </c>
      <c r="W12" s="707" t="str">
        <f>"{"&amp;"'coin':"&amp;表1_86[[#This Row],[补偿Coin]]&amp;",'"&amp;配置!$A$2&amp;"':"&amp;表1_86[[#This Row],[补偿辎重]]&amp;"},"</f>
        <v>{'coin':2000,'item036':20},</v>
      </c>
      <c r="X12" s="708" t="str">
        <f>"            'reward':"&amp;表1_86[[#This Row],[辅助导出]]&amp;"
            'country':["&amp;R11&amp;","&amp;R12&amp;","&amp;R13&amp;"],"</f>
        <v>            'reward':{'coin':2000,'item036':20},
            'country':[1,1,2],</v>
      </c>
    </row>
    <row r="13" ht="14.25" customHeight="1" spans="1:24">
      <c r="A13" s="700">
        <v>27</v>
      </c>
      <c r="B13" s="700">
        <f>VLOOKUP(表1_86[[#This Row],[区服]],$O$17:$P$24,2,FALSE)</f>
        <v>48</v>
      </c>
      <c r="C13" s="701" t="s">
        <v>45</v>
      </c>
      <c r="D13" s="702" t="str">
        <f>表1_86[[#This Row],[目标国家]]</f>
        <v>吴</v>
      </c>
      <c r="E13" s="703">
        <f>(VLOOKUP(表1_86[[#This Row],[目标区服]],$Q$17:$R$18,2,FALSE)-表1_86[[#This Row],[开服天数]])*配置!$B$1</f>
        <v>2000</v>
      </c>
      <c r="F13" s="703">
        <f>表1_86[[#This Row],[补偿Coin]]*(表1_86[[#This Row],[活跃高战玩家数]]+表1_86[[#This Row],[活跃中坚玩家数]])</f>
        <v>36000</v>
      </c>
      <c r="G13" s="703">
        <f>(VLOOKUP(表1_86[[#This Row],[目标区服]],$Q$17:$R$18,2,FALSE)-表1_86[[#This Row],[开服天数]])*配置!$B$2</f>
        <v>20</v>
      </c>
      <c r="H13" s="702" t="s">
        <v>27</v>
      </c>
      <c r="I13" s="702">
        <f>IF(表1_86[[#This Row],[原国家]]="魏",0,IF(表1_86[[#This Row],[原国家]]="蜀",1,2))</f>
        <v>2</v>
      </c>
      <c r="J13" s="703">
        <v>1</v>
      </c>
      <c r="K13" s="703">
        <v>54</v>
      </c>
      <c r="L13" s="703">
        <v>1</v>
      </c>
      <c r="M13" s="703">
        <v>17</v>
      </c>
      <c r="N13" s="703">
        <v>45964</v>
      </c>
      <c r="O13" s="703">
        <v>1589196</v>
      </c>
      <c r="P13" s="706">
        <v>9733832</v>
      </c>
      <c r="Q13" s="743" t="s">
        <v>27</v>
      </c>
      <c r="R13" s="702">
        <f>IF(表1_86[[#This Row],[目标国家]]="魏",0,IF(表1_86[[#This Row],[目标国家]]="蜀",1,2))</f>
        <v>2</v>
      </c>
      <c r="S13" s="703">
        <v>34890</v>
      </c>
      <c r="T13" s="703">
        <v>0</v>
      </c>
      <c r="U13" s="703">
        <v>169966</v>
      </c>
      <c r="V13" s="703">
        <v>4649</v>
      </c>
      <c r="W13" s="707" t="str">
        <f>"{"&amp;"'coin':"&amp;表1_86[[#This Row],[补偿Coin]]&amp;",'"&amp;配置!$A$2&amp;"':"&amp;表1_86[[#This Row],[补偿辎重]]&amp;"},"</f>
        <v>{'coin':2000,'item036':20},</v>
      </c>
      <c r="X13" s="708" t="str">
        <f t="shared" ref="X13" si="2">"      },"</f>
        <v>      },</v>
      </c>
    </row>
    <row r="16" ht="37.5" customHeight="1" spans="1:18">
      <c r="A16" s="36" t="s">
        <v>28</v>
      </c>
      <c r="B16" s="37" t="s">
        <v>29</v>
      </c>
      <c r="C16" s="38" t="s">
        <v>30</v>
      </c>
      <c r="D16" s="38" t="s">
        <v>31</v>
      </c>
      <c r="E16" s="38" t="s">
        <v>32</v>
      </c>
      <c r="F16" s="38" t="s">
        <v>33</v>
      </c>
      <c r="G16" s="38" t="s">
        <v>15</v>
      </c>
      <c r="H16" s="37" t="s">
        <v>18</v>
      </c>
      <c r="I16" s="37" t="s">
        <v>19</v>
      </c>
      <c r="J16" s="37" t="s">
        <v>34</v>
      </c>
      <c r="K16" s="38" t="s">
        <v>35</v>
      </c>
      <c r="L16" s="38" t="s">
        <v>36</v>
      </c>
      <c r="M16" s="38" t="s">
        <v>37</v>
      </c>
      <c r="O16" s="51" t="s">
        <v>0</v>
      </c>
      <c r="P16" s="51" t="s">
        <v>1</v>
      </c>
      <c r="Q16" s="51"/>
      <c r="R16" s="51" t="s">
        <v>38</v>
      </c>
    </row>
    <row r="17" ht="15" spans="1:18">
      <c r="A17" s="704" t="s">
        <v>44</v>
      </c>
      <c r="B17" s="704" t="s">
        <v>25</v>
      </c>
      <c r="C17" s="704">
        <f>COUNTIFS(表1_86[目标区服],表2_97[[#This Row],[合区区服]],表1_86[目标国家（映射）],表2_97[[#This Row],[国家]])</f>
        <v>2</v>
      </c>
      <c r="D17" s="704">
        <f>SUMIFS(表1_86[活跃高战玩家数],表1_86[目标区服],表2_97[[#This Row],[合区区服]],表1_86[目标国家（映射）],表2_97[[#This Row],[国家]])</f>
        <v>4</v>
      </c>
      <c r="E17" s="704">
        <f>SUMIFS(表1_86[活跃中坚玩家数],表1_86[目标区服],表2_97[[#This Row],[合区区服]],表1_86[目标国家（映射）],表2_97[[#This Row],[国家]])</f>
        <v>32</v>
      </c>
      <c r="F17" s="704">
        <f t="array" ref="F17">MAX((表1_86[目标区服]=表2_97[[#This Row],[合区区服]])*(表1_86[目标国家（映射）]=表2_97[[#This Row],[国家]])*表1_86[活跃尖端战力])</f>
        <v>3313827</v>
      </c>
      <c r="G17" s="705">
        <f>SUMIFS(表1_86[活跃总战力],表1_86[目标区服],表2_97[[#This Row],[合区区服]],表1_86[目标国家（映射）],表2_97[[#This Row],[国家]])</f>
        <v>32922168</v>
      </c>
      <c r="H17" s="704">
        <f>SUMIFS(表1_86[活跃实际充值],表1_86[目标区服],表2_97[[#This Row],[合区区服]],表1_86[目标国家（映射）],表2_97[[#This Row],[国家]])</f>
        <v>196770</v>
      </c>
      <c r="I17" s="704">
        <f>SUMIFS(表1_86[活跃虚拟充值],表1_86[目标区服],表2_97[[#This Row],[合区区服]],表1_86[目标国家（映射）],表2_97[[#This Row],[国家]])</f>
        <v>3378</v>
      </c>
      <c r="J17" s="704">
        <f>SUMIFS(表1_86[活跃Coin],表1_86[目标区服],表2_97[[#This Row],[合区区服]],表1_86[目标国家（映射）],表2_97[[#This Row],[国家]])</f>
        <v>580302</v>
      </c>
      <c r="K17" s="704">
        <f>SUMIFS(表1_86[共计补偿Coin],表1_86[目标区服],表2_97[[#This Row],[合区区服]],表1_86[目标国家（映射）],表2_97[[#This Row],[国家]])</f>
        <v>42000</v>
      </c>
      <c r="L17" s="704">
        <f>表2_97[[#This Row],[活跃Coin]]+表2_97[[#This Row],[共计补偿Coin]]</f>
        <v>622302</v>
      </c>
      <c r="M17" s="704">
        <f>SUMIFS(表1_86[综合国力],表1_86[目标区服],表2_97[[#This Row],[合区区服]],表1_86[目标国家（映射）],表2_97[[#This Row],[国家]])</f>
        <v>17188</v>
      </c>
      <c r="O17" s="51">
        <v>24</v>
      </c>
      <c r="P17" s="51">
        <v>53</v>
      </c>
      <c r="Q17" s="51" t="s">
        <v>44</v>
      </c>
      <c r="R17" s="51">
        <v>55</v>
      </c>
    </row>
    <row r="18" ht="15" spans="1:18">
      <c r="A18" s="704" t="s">
        <v>44</v>
      </c>
      <c r="B18" s="704" t="s">
        <v>26</v>
      </c>
      <c r="C18" s="704">
        <f>COUNTIFS(表1_86[目标区服],表2_97[[#This Row],[合区区服]],表1_86[目标国家（映射）],表2_97[[#This Row],[国家]])</f>
        <v>2</v>
      </c>
      <c r="D18" s="704">
        <f>SUMIFS(表1_86[活跃高战玩家数],表1_86[目标区服],表2_97[[#This Row],[合区区服]],表1_86[目标国家（映射）],表2_97[[#This Row],[国家]])</f>
        <v>8</v>
      </c>
      <c r="E18" s="704">
        <f>SUMIFS(表1_86[活跃中坚玩家数],表1_86[目标区服],表2_97[[#This Row],[合区区服]],表1_86[目标国家（映射）],表2_97[[#This Row],[国家]])</f>
        <v>44</v>
      </c>
      <c r="F18" s="704">
        <f t="array" ref="F18">MAX((表1_86[目标区服]=表2_97[[#This Row],[合区区服]])*(表1_86[目标国家（映射）]=表2_97[[#This Row],[国家]])*表1_86[活跃尖端战力])</f>
        <v>2775188</v>
      </c>
      <c r="G18" s="705">
        <f>SUMIFS(表1_86[活跃总战力],表1_86[目标区服],表2_97[[#This Row],[合区区服]],表1_86[目标国家（映射）],表2_97[[#This Row],[国家]])</f>
        <v>46335613</v>
      </c>
      <c r="H18" s="704">
        <f>SUMIFS(表1_86[活跃实际充值],表1_86[目标区服],表2_97[[#This Row],[合区区服]],表1_86[目标国家（映射）],表2_97[[#This Row],[国家]])</f>
        <v>128734</v>
      </c>
      <c r="I18" s="704">
        <f>SUMIFS(表1_86[活跃虚拟充值],表1_86[目标区服],表2_97[[#This Row],[合区区服]],表1_86[目标国家（映射）],表2_97[[#This Row],[国家]])</f>
        <v>0</v>
      </c>
      <c r="J18" s="704">
        <f>SUMIFS(表1_86[活跃Coin],表1_86[目标区服],表2_97[[#This Row],[合区区服]],表1_86[目标国家（映射）],表2_97[[#This Row],[国家]])</f>
        <v>1019595</v>
      </c>
      <c r="K18" s="704">
        <f>SUMIFS(表1_86[共计补偿Coin],表1_86[目标区服],表2_97[[#This Row],[合区区服]],表1_86[目标国家（映射）],表2_97[[#This Row],[国家]])</f>
        <v>65000</v>
      </c>
      <c r="L18" s="704">
        <f>表2_97[[#This Row],[活跃Coin]]+表2_97[[#This Row],[共计补偿Coin]]</f>
        <v>1084595</v>
      </c>
      <c r="M18" s="704">
        <f>SUMIFS(表1_86[综合国力],表1_86[目标区服],表2_97[[#This Row],[合区区服]],表1_86[目标国家（映射）],表2_97[[#This Row],[国家]])</f>
        <v>22081</v>
      </c>
      <c r="O18" s="51">
        <v>25</v>
      </c>
      <c r="P18" s="51">
        <v>52</v>
      </c>
      <c r="Q18" s="51" t="s">
        <v>45</v>
      </c>
      <c r="R18" s="51">
        <v>52</v>
      </c>
    </row>
    <row r="19" ht="15" spans="1:16">
      <c r="A19" s="704" t="s">
        <v>44</v>
      </c>
      <c r="B19" s="704" t="s">
        <v>27</v>
      </c>
      <c r="C19" s="704">
        <f>COUNTIFS(表1_86[目标区服],表2_97[[#This Row],[合区区服]],表1_86[目标国家（映射）],表2_97[[#This Row],[国家]])</f>
        <v>2</v>
      </c>
      <c r="D19" s="704">
        <f>SUMIFS(表1_86[活跃高战玩家数],表1_86[目标区服],表2_97[[#This Row],[合区区服]],表1_86[目标国家（映射）],表2_97[[#This Row],[国家]])</f>
        <v>6</v>
      </c>
      <c r="E19" s="704">
        <f>SUMIFS(表1_86[活跃中坚玩家数],表1_86[目标区服],表2_97[[#This Row],[合区区服]],表1_86[目标国家（映射）],表2_97[[#This Row],[国家]])</f>
        <v>36</v>
      </c>
      <c r="F19" s="704">
        <f t="array" ref="F19">MAX((表1_86[目标区服]=表2_97[[#This Row],[合区区服]])*(表1_86[目标国家（映射）]=表2_97[[#This Row],[国家]])*表1_86[活跃尖端战力])</f>
        <v>3078293</v>
      </c>
      <c r="G19" s="705">
        <f>SUMIFS(表1_86[活跃总战力],表1_86[目标区服],表2_97[[#This Row],[合区区服]],表1_86[目标国家（映射）],表2_97[[#This Row],[国家]])</f>
        <v>34218448</v>
      </c>
      <c r="H19" s="704">
        <f>SUMIFS(表1_86[活跃实际充值],表1_86[目标区服],表2_97[[#This Row],[合区区服]],表1_86[目标国家（映射）],表2_97[[#This Row],[国家]])</f>
        <v>175760</v>
      </c>
      <c r="I19" s="704">
        <f>SUMIFS(表1_86[活跃虚拟充值],表1_86[目标区服],表2_97[[#This Row],[合区区服]],表1_86[目标国家（映射）],表2_97[[#This Row],[国家]])</f>
        <v>30</v>
      </c>
      <c r="J19" s="704">
        <f>SUMIFS(表1_86[活跃Coin],表1_86[目标区服],表2_97[[#This Row],[合区区服]],表1_86[目标国家（映射）],表2_97[[#This Row],[国家]])</f>
        <v>876097</v>
      </c>
      <c r="K19" s="704">
        <f>SUMIFS(表1_86[共计补偿Coin],表1_86[目标区服],表2_97[[#This Row],[合区区服]],表1_86[目标国家（映射）],表2_97[[#This Row],[国家]])</f>
        <v>52000</v>
      </c>
      <c r="L19" s="704">
        <f>表2_97[[#This Row],[活跃Coin]]+表2_97[[#This Row],[共计补偿Coin]]</f>
        <v>928097</v>
      </c>
      <c r="M19" s="704">
        <f>SUMIFS(表1_86[综合国力],表1_86[目标区服],表2_97[[#This Row],[合区区服]],表1_86[目标国家（映射）],表2_97[[#This Row],[国家]])</f>
        <v>16479</v>
      </c>
      <c r="O19" s="51">
        <v>26</v>
      </c>
      <c r="P19" s="51">
        <v>50</v>
      </c>
    </row>
    <row r="20" ht="15" spans="1:16">
      <c r="A20" s="672" t="s">
        <v>45</v>
      </c>
      <c r="B20" s="672" t="s">
        <v>25</v>
      </c>
      <c r="C20" s="672">
        <f>COUNTIFS(表1_86[目标区服],表2_97[[#This Row],[合区区服]],表1_86[目标国家（映射）],表2_97[[#This Row],[国家]])</f>
        <v>2</v>
      </c>
      <c r="D20" s="672">
        <f>SUMIFS(表1_86[活跃高战玩家数],表1_86[目标区服],表2_97[[#This Row],[合区区服]],表1_86[目标国家（映射）],表2_97[[#This Row],[国家]])</f>
        <v>3</v>
      </c>
      <c r="E20" s="672">
        <f>SUMIFS(表1_86[活跃中坚玩家数],表1_86[目标区服],表2_97[[#This Row],[合区区服]],表1_86[目标国家（映射）],表2_97[[#This Row],[国家]])</f>
        <v>43</v>
      </c>
      <c r="F20" s="672">
        <f t="array" ref="F20">MAX((表1_86[目标区服]=表2_97[[#This Row],[合区区服]])*(表1_86[目标国家（映射）]=表2_97[[#This Row],[国家]])*表1_86[活跃尖端战力])</f>
        <v>2040640</v>
      </c>
      <c r="G20" s="673">
        <f>SUMIFS(表1_86[活跃总战力],表1_86[目标区服],表2_97[[#This Row],[合区区服]],表1_86[目标国家（映射）],表2_97[[#This Row],[国家]])</f>
        <v>33996607</v>
      </c>
      <c r="H20" s="672">
        <f>SUMIFS(表1_86[活跃实际充值],表1_86[目标区服],表2_97[[#This Row],[合区区服]],表1_86[目标国家（映射）],表2_97[[#This Row],[国家]])</f>
        <v>72928</v>
      </c>
      <c r="I20" s="672">
        <f>SUMIFS(表1_86[活跃虚拟充值],表1_86[目标区服],表2_97[[#This Row],[合区区服]],表1_86[目标国家（映射）],表2_97[[#This Row],[国家]])</f>
        <v>2108</v>
      </c>
      <c r="J20" s="672">
        <f>SUMIFS(表1_86[活跃Coin],表1_86[目标区服],表2_97[[#This Row],[合区区服]],表1_86[目标国家（映射）],表2_97[[#This Row],[国家]])</f>
        <v>448949</v>
      </c>
      <c r="K20" s="672">
        <f>SUMIFS(表1_86[共计补偿Coin],表1_86[目标区服],表2_97[[#This Row],[合区区服]],表1_86[目标国家（映射）],表2_97[[#This Row],[国家]])</f>
        <v>46000</v>
      </c>
      <c r="L20" s="672">
        <f>表2_97[[#This Row],[活跃Coin]]+表2_97[[#This Row],[共计补偿Coin]]</f>
        <v>494949</v>
      </c>
      <c r="M20" s="672">
        <f>SUMIFS(表1_86[综合国力],表1_86[目标区服],表2_97[[#This Row],[合区区服]],表1_86[目标国家（映射）],表2_97[[#This Row],[国家]])</f>
        <v>13332</v>
      </c>
      <c r="O20" s="51">
        <v>27</v>
      </c>
      <c r="P20" s="51">
        <v>48</v>
      </c>
    </row>
    <row r="21" ht="15" spans="1:16">
      <c r="A21" s="672" t="s">
        <v>45</v>
      </c>
      <c r="B21" s="672" t="s">
        <v>26</v>
      </c>
      <c r="C21" s="672">
        <f>COUNTIFS(表1_86[目标区服],表2_97[[#This Row],[合区区服]],表1_86[目标国家（映射）],表2_97[[#This Row],[国家]])</f>
        <v>2</v>
      </c>
      <c r="D21" s="672">
        <f>SUMIFS(表1_86[活跃高战玩家数],表1_86[目标区服],表2_97[[#This Row],[合区区服]],表1_86[目标国家（映射）],表2_97[[#This Row],[国家]])</f>
        <v>6</v>
      </c>
      <c r="E21" s="672">
        <f>SUMIFS(表1_86[活跃中坚玩家数],表1_86[目标区服],表2_97[[#This Row],[合区区服]],表1_86[目标国家（映射）],表2_97[[#This Row],[国家]])</f>
        <v>39</v>
      </c>
      <c r="F21" s="672">
        <f t="array" ref="F21">MAX((表1_86[目标区服]=表2_97[[#This Row],[合区区服]])*(表1_86[目标国家（映射）]=表2_97[[#This Row],[国家]])*表1_86[活跃尖端战力])</f>
        <v>2306301</v>
      </c>
      <c r="G21" s="673">
        <f>SUMIFS(表1_86[活跃总战力],表1_86[目标区服],表2_97[[#This Row],[合区区服]],表1_86[目标国家（映射）],表2_97[[#This Row],[国家]])</f>
        <v>32129976</v>
      </c>
      <c r="H21" s="672">
        <f>SUMIFS(表1_86[活跃实际充值],表1_86[目标区服],表2_97[[#This Row],[合区区服]],表1_86[目标国家（映射）],表2_97[[#This Row],[国家]])</f>
        <v>78194</v>
      </c>
      <c r="I21" s="672">
        <f>SUMIFS(表1_86[活跃虚拟充值],表1_86[目标区服],表2_97[[#This Row],[合区区服]],表1_86[目标国家（映射）],表2_97[[#This Row],[国家]])</f>
        <v>1238</v>
      </c>
      <c r="J21" s="672">
        <f>SUMIFS(表1_86[活跃Coin],表1_86[目标区服],表2_97[[#This Row],[合区区服]],表1_86[目标国家（映射）],表2_97[[#This Row],[国家]])</f>
        <v>640560</v>
      </c>
      <c r="K21" s="672">
        <f>SUMIFS(表1_86[共计补偿Coin],表1_86[目标区服],表2_97[[#This Row],[合区区服]],表1_86[目标国家（映射）],表2_97[[#This Row],[国家]])</f>
        <v>90000</v>
      </c>
      <c r="L21" s="672">
        <f>表2_97[[#This Row],[活跃Coin]]+表2_97[[#This Row],[共计补偿Coin]]</f>
        <v>730560</v>
      </c>
      <c r="M21" s="672">
        <f>SUMIFS(表1_86[综合国力],表1_86[目标区服],表2_97[[#This Row],[合区区服]],表1_86[目标国家（映射）],表2_97[[#This Row],[国家]])</f>
        <v>15156</v>
      </c>
      <c r="O21" s="51"/>
      <c r="P21" s="51"/>
    </row>
    <row r="22" ht="15" spans="1:16">
      <c r="A22" s="672" t="s">
        <v>45</v>
      </c>
      <c r="B22" s="674" t="s">
        <v>27</v>
      </c>
      <c r="C22" s="674">
        <f>COUNTIFS(表1_86[目标区服],表2_97[[#This Row],[合区区服]],表1_86[目标国家（映射）],表2_97[[#This Row],[国家]])</f>
        <v>2</v>
      </c>
      <c r="D22" s="674">
        <f>SUMIFS(表1_86[活跃高战玩家数],表1_86[目标区服],表2_97[[#This Row],[合区区服]],表1_86[目标国家（映射）],表2_97[[#This Row],[国家]])</f>
        <v>6</v>
      </c>
      <c r="E22" s="674">
        <f>SUMIFS(表1_86[活跃中坚玩家数],表1_86[目标区服],表2_97[[#This Row],[合区区服]],表1_86[目标国家（映射）],表2_97[[#This Row],[国家]])</f>
        <v>35</v>
      </c>
      <c r="F22" s="674">
        <f t="array" ref="F22">MAX((表1_86[目标区服]=表2_97[[#This Row],[合区区服]])*(表1_86[目标国家（映射）]=表2_97[[#This Row],[国家]])*表1_86[活跃尖端战力])</f>
        <v>2247533</v>
      </c>
      <c r="G22" s="675">
        <f>SUMIFS(表1_86[活跃总战力],表1_86[目标区服],表2_97[[#This Row],[合区区服]],表1_86[目标国家（映射）],表2_97[[#This Row],[国家]])</f>
        <v>30023988</v>
      </c>
      <c r="H22" s="674">
        <f>SUMIFS(表1_86[活跃实际充值],表1_86[目标区服],表2_97[[#This Row],[合区区服]],表1_86[目标国家（映射）],表2_97[[#This Row],[国家]])</f>
        <v>91470</v>
      </c>
      <c r="I22" s="674">
        <f>SUMIFS(表1_86[活跃虚拟充值],表1_86[目标区服],表2_97[[#This Row],[合区区服]],表1_86[目标国家（映射）],表2_97[[#This Row],[国家]])</f>
        <v>0</v>
      </c>
      <c r="J22" s="674">
        <f>SUMIFS(表1_86[活跃Coin],表1_86[目标区服],表2_97[[#This Row],[合区区服]],表1_86[目标国家（映射）],表2_97[[#This Row],[国家]])</f>
        <v>586797</v>
      </c>
      <c r="K22" s="674">
        <f>SUMIFS(表1_86[共计补偿Coin],表1_86[目标区服],表2_97[[#This Row],[合区区服]],表1_86[目标国家（映射）],表2_97[[#This Row],[国家]])</f>
        <v>59000</v>
      </c>
      <c r="L22" s="674">
        <f>表2_97[[#This Row],[活跃Coin]]+表2_97[[#This Row],[共计补偿Coin]]</f>
        <v>645797</v>
      </c>
      <c r="M22" s="674">
        <f>SUMIFS(表1_86[综合国力],表1_86[目标区服],表2_97[[#This Row],[合区区服]],表1_86[目标国家（映射）],表2_97[[#This Row],[国家]])</f>
        <v>13639</v>
      </c>
      <c r="O22" s="51"/>
      <c r="P22" s="51"/>
    </row>
    <row r="23" spans="15:16">
      <c r="O23" s="51"/>
      <c r="P23" s="51"/>
    </row>
    <row r="24" spans="15:16">
      <c r="O24" s="51"/>
      <c r="P24" s="51"/>
    </row>
    <row r="27" ht="40.5" spans="2:27">
      <c r="B27" s="49"/>
      <c r="C27" s="50" t="s">
        <v>9</v>
      </c>
      <c r="D27" s="50" t="s">
        <v>10</v>
      </c>
      <c r="E27" s="50" t="s">
        <v>11</v>
      </c>
      <c r="F27" s="50" t="s">
        <v>12</v>
      </c>
      <c r="G27" s="50" t="s">
        <v>13</v>
      </c>
      <c r="H27" s="50" t="s">
        <v>14</v>
      </c>
      <c r="I27" s="50" t="s">
        <v>15</v>
      </c>
      <c r="J27" s="50" t="s">
        <v>18</v>
      </c>
      <c r="K27" s="50" t="s">
        <v>19</v>
      </c>
      <c r="L27" s="50" t="s">
        <v>20</v>
      </c>
      <c r="M27" s="50" t="s">
        <v>21</v>
      </c>
      <c r="P27" s="49"/>
      <c r="Q27" s="50" t="s">
        <v>9</v>
      </c>
      <c r="R27" s="50" t="s">
        <v>10</v>
      </c>
      <c r="S27" s="50" t="s">
        <v>11</v>
      </c>
      <c r="T27" s="50" t="s">
        <v>12</v>
      </c>
      <c r="U27" s="50" t="s">
        <v>13</v>
      </c>
      <c r="V27" s="50" t="s">
        <v>14</v>
      </c>
      <c r="W27" s="50" t="s">
        <v>15</v>
      </c>
      <c r="X27" s="50" t="s">
        <v>18</v>
      </c>
      <c r="Y27" s="50" t="s">
        <v>19</v>
      </c>
      <c r="Z27" s="50" t="s">
        <v>20</v>
      </c>
      <c r="AA27" s="50" t="s">
        <v>21</v>
      </c>
    </row>
    <row r="28" spans="2:27">
      <c r="B28" s="50" t="s">
        <v>25</v>
      </c>
      <c r="C28" s="50">
        <v>4</v>
      </c>
      <c r="D28" s="50">
        <v>181</v>
      </c>
      <c r="E28" s="50">
        <v>4</v>
      </c>
      <c r="F28" s="50">
        <v>22</v>
      </c>
      <c r="G28" s="50">
        <v>111685</v>
      </c>
      <c r="H28" s="50">
        <v>2945611</v>
      </c>
      <c r="I28" s="50">
        <v>25893459</v>
      </c>
      <c r="J28" s="50">
        <v>184498</v>
      </c>
      <c r="K28" s="50">
        <v>3378</v>
      </c>
      <c r="L28" s="50">
        <v>592135</v>
      </c>
      <c r="M28" s="50">
        <v>14464</v>
      </c>
      <c r="P28" s="50" t="s">
        <v>25</v>
      </c>
      <c r="Q28" s="50">
        <v>4</v>
      </c>
      <c r="R28" s="50">
        <v>153</v>
      </c>
      <c r="S28" s="50">
        <v>4</v>
      </c>
      <c r="T28" s="50">
        <v>20</v>
      </c>
      <c r="U28" s="50">
        <v>109595</v>
      </c>
      <c r="V28" s="50">
        <v>3313827</v>
      </c>
      <c r="W28" s="50">
        <v>26868506</v>
      </c>
      <c r="X28" s="50">
        <v>187976</v>
      </c>
      <c r="Y28" s="50">
        <v>3378</v>
      </c>
      <c r="Z28" s="50">
        <v>465808</v>
      </c>
      <c r="AA28" s="50">
        <v>14617</v>
      </c>
    </row>
    <row r="29" spans="2:27">
      <c r="B29" s="50" t="s">
        <v>26</v>
      </c>
      <c r="C29" s="50">
        <v>3</v>
      </c>
      <c r="D29" s="50">
        <v>126</v>
      </c>
      <c r="E29" s="50">
        <v>1</v>
      </c>
      <c r="F29" s="50">
        <v>24</v>
      </c>
      <c r="G29" s="50">
        <v>80943</v>
      </c>
      <c r="H29" s="50">
        <v>2250700</v>
      </c>
      <c r="I29" s="50">
        <v>19572369</v>
      </c>
      <c r="J29" s="50">
        <v>57620</v>
      </c>
      <c r="K29" s="50">
        <v>0</v>
      </c>
      <c r="L29" s="50">
        <v>383421</v>
      </c>
      <c r="M29" s="50">
        <v>8284</v>
      </c>
      <c r="P29" s="50" t="s">
        <v>26</v>
      </c>
      <c r="Q29" s="50">
        <v>3</v>
      </c>
      <c r="R29" s="50">
        <v>134</v>
      </c>
      <c r="S29" s="50">
        <v>1</v>
      </c>
      <c r="T29" s="50">
        <v>25</v>
      </c>
      <c r="U29" s="50">
        <v>86487</v>
      </c>
      <c r="V29" s="50">
        <v>2442386</v>
      </c>
      <c r="W29" s="50">
        <v>22071547</v>
      </c>
      <c r="X29" s="50">
        <v>61668</v>
      </c>
      <c r="Y29" s="50">
        <v>0</v>
      </c>
      <c r="Z29" s="50">
        <v>408416</v>
      </c>
      <c r="AA29" s="50">
        <v>8980</v>
      </c>
    </row>
    <row r="30" spans="2:27">
      <c r="B30" s="50" t="s">
        <v>27</v>
      </c>
      <c r="C30" s="50">
        <v>2</v>
      </c>
      <c r="D30" s="50">
        <v>88</v>
      </c>
      <c r="E30" s="50">
        <v>4</v>
      </c>
      <c r="F30" s="50">
        <v>17</v>
      </c>
      <c r="G30" s="50">
        <v>84467</v>
      </c>
      <c r="H30" s="50">
        <v>3007905</v>
      </c>
      <c r="I30" s="50">
        <v>19987914</v>
      </c>
      <c r="J30" s="50">
        <v>155656</v>
      </c>
      <c r="K30" s="50">
        <v>0</v>
      </c>
      <c r="L30" s="50">
        <v>663537</v>
      </c>
      <c r="M30" s="50">
        <v>11842</v>
      </c>
      <c r="P30" s="50" t="s">
        <v>27</v>
      </c>
      <c r="Q30" s="50">
        <v>2</v>
      </c>
      <c r="R30" s="50">
        <v>108</v>
      </c>
      <c r="S30" s="50">
        <v>4</v>
      </c>
      <c r="T30" s="50">
        <v>18</v>
      </c>
      <c r="U30" s="50">
        <v>82729</v>
      </c>
      <c r="V30" s="50">
        <v>3078293</v>
      </c>
      <c r="W30" s="50">
        <v>21523143</v>
      </c>
      <c r="X30" s="50">
        <v>165606</v>
      </c>
      <c r="Y30" s="50">
        <v>0</v>
      </c>
      <c r="Z30" s="50">
        <v>727725</v>
      </c>
      <c r="AA30" s="50">
        <v>12620</v>
      </c>
    </row>
    <row r="31" spans="2:27">
      <c r="B31" s="50" t="s">
        <v>25</v>
      </c>
      <c r="C31" s="50">
        <v>0</v>
      </c>
      <c r="D31" s="50">
        <v>21</v>
      </c>
      <c r="E31" s="50">
        <v>0</v>
      </c>
      <c r="F31" s="50">
        <v>13</v>
      </c>
      <c r="G31" s="50">
        <v>35344</v>
      </c>
      <c r="H31" s="50">
        <v>1185450</v>
      </c>
      <c r="I31" s="50">
        <v>6044732</v>
      </c>
      <c r="J31" s="50">
        <v>8832</v>
      </c>
      <c r="K31" s="50">
        <v>0</v>
      </c>
      <c r="L31" s="50">
        <v>115337</v>
      </c>
      <c r="M31" s="50">
        <v>2556</v>
      </c>
      <c r="P31" s="50" t="s">
        <v>25</v>
      </c>
      <c r="Q31" s="50">
        <v>0</v>
      </c>
      <c r="R31" s="50">
        <v>14</v>
      </c>
      <c r="S31" s="50">
        <v>0</v>
      </c>
      <c r="T31" s="50">
        <v>12</v>
      </c>
      <c r="U31" s="50">
        <v>31725</v>
      </c>
      <c r="V31" s="50">
        <v>1289482</v>
      </c>
      <c r="W31" s="50">
        <v>6053662</v>
      </c>
      <c r="X31" s="50">
        <v>8794</v>
      </c>
      <c r="Y31" s="50">
        <v>0</v>
      </c>
      <c r="Z31" s="50">
        <v>114494</v>
      </c>
      <c r="AA31" s="50">
        <v>2571</v>
      </c>
    </row>
    <row r="32" spans="2:27">
      <c r="B32" s="50" t="s">
        <v>26</v>
      </c>
      <c r="C32" s="50">
        <v>1</v>
      </c>
      <c r="D32" s="50">
        <v>50</v>
      </c>
      <c r="E32" s="50">
        <v>1</v>
      </c>
      <c r="F32" s="50">
        <v>17</v>
      </c>
      <c r="G32" s="50">
        <v>71241</v>
      </c>
      <c r="H32" s="50">
        <v>1466699</v>
      </c>
      <c r="I32" s="50">
        <v>10976328</v>
      </c>
      <c r="J32" s="50">
        <v>9578</v>
      </c>
      <c r="K32" s="50">
        <v>30</v>
      </c>
      <c r="L32" s="50">
        <v>118359</v>
      </c>
      <c r="M32" s="50">
        <v>3926</v>
      </c>
      <c r="P32" s="50" t="s">
        <v>26</v>
      </c>
      <c r="Q32" s="50">
        <v>0</v>
      </c>
      <c r="R32" s="50">
        <v>15</v>
      </c>
      <c r="S32" s="50">
        <v>2</v>
      </c>
      <c r="T32" s="50">
        <v>18</v>
      </c>
      <c r="U32" s="50">
        <v>76679</v>
      </c>
      <c r="V32" s="50">
        <v>1603066</v>
      </c>
      <c r="W32" s="50">
        <v>12695305</v>
      </c>
      <c r="X32" s="50">
        <v>10154</v>
      </c>
      <c r="Y32" s="50">
        <v>30</v>
      </c>
      <c r="Z32" s="50">
        <v>148372</v>
      </c>
      <c r="AA32" s="50">
        <v>3859</v>
      </c>
    </row>
    <row r="33" spans="2:27">
      <c r="B33" s="50" t="s">
        <v>27</v>
      </c>
      <c r="C33" s="50">
        <v>8</v>
      </c>
      <c r="D33" s="50">
        <v>324</v>
      </c>
      <c r="E33" s="50">
        <v>7</v>
      </c>
      <c r="F33" s="50">
        <v>19</v>
      </c>
      <c r="G33" s="50">
        <v>146274</v>
      </c>
      <c r="H33" s="50">
        <v>2552235</v>
      </c>
      <c r="I33" s="50">
        <v>22867162</v>
      </c>
      <c r="J33" s="50">
        <v>62958</v>
      </c>
      <c r="K33" s="50">
        <v>0</v>
      </c>
      <c r="L33" s="50">
        <v>521768</v>
      </c>
      <c r="M33" s="50">
        <v>12020</v>
      </c>
      <c r="P33" s="50" t="s">
        <v>27</v>
      </c>
      <c r="Q33" s="50">
        <v>9</v>
      </c>
      <c r="R33" s="50">
        <v>366</v>
      </c>
      <c r="S33" s="50">
        <v>7</v>
      </c>
      <c r="T33" s="50">
        <v>19</v>
      </c>
      <c r="U33" s="50">
        <v>143284</v>
      </c>
      <c r="V33" s="50">
        <v>2775188</v>
      </c>
      <c r="W33" s="50">
        <v>24264066</v>
      </c>
      <c r="X33" s="50">
        <v>67066</v>
      </c>
      <c r="Y33" s="50">
        <v>0</v>
      </c>
      <c r="Z33" s="50">
        <v>611179</v>
      </c>
      <c r="AA33" s="50">
        <v>13101</v>
      </c>
    </row>
    <row r="34" spans="2:27">
      <c r="B34" s="50" t="s">
        <v>25</v>
      </c>
      <c r="C34" s="50">
        <v>3</v>
      </c>
      <c r="D34" s="50">
        <v>111</v>
      </c>
      <c r="E34" s="50">
        <v>1</v>
      </c>
      <c r="F34" s="50">
        <v>22</v>
      </c>
      <c r="G34" s="50">
        <v>85952</v>
      </c>
      <c r="H34" s="50">
        <v>1875834</v>
      </c>
      <c r="I34" s="50">
        <v>16366010</v>
      </c>
      <c r="J34" s="50">
        <v>56236</v>
      </c>
      <c r="K34" s="50">
        <v>1208</v>
      </c>
      <c r="L34" s="50">
        <v>221305</v>
      </c>
      <c r="M34" s="50">
        <v>7272</v>
      </c>
      <c r="P34" s="50" t="s">
        <v>25</v>
      </c>
      <c r="Q34" s="50">
        <v>3</v>
      </c>
      <c r="R34" s="50">
        <v>106</v>
      </c>
      <c r="S34" s="50">
        <v>1</v>
      </c>
      <c r="T34" s="50">
        <v>21</v>
      </c>
      <c r="U34" s="50">
        <v>84316</v>
      </c>
      <c r="V34" s="50">
        <v>2040640</v>
      </c>
      <c r="W34" s="50">
        <v>17197667</v>
      </c>
      <c r="X34" s="50">
        <v>57892</v>
      </c>
      <c r="Y34" s="50">
        <v>1208</v>
      </c>
      <c r="Z34" s="50">
        <v>259423</v>
      </c>
      <c r="AA34" s="50">
        <v>7550</v>
      </c>
    </row>
    <row r="35" spans="2:27">
      <c r="B35" s="50" t="s">
        <v>26</v>
      </c>
      <c r="C35" s="50">
        <v>2</v>
      </c>
      <c r="D35" s="50">
        <v>135</v>
      </c>
      <c r="E35" s="50">
        <v>2</v>
      </c>
      <c r="F35" s="50">
        <v>22</v>
      </c>
      <c r="G35" s="50">
        <v>88698</v>
      </c>
      <c r="H35" s="50">
        <v>1495782</v>
      </c>
      <c r="I35" s="50">
        <v>15732621</v>
      </c>
      <c r="J35" s="50">
        <v>14982</v>
      </c>
      <c r="K35" s="50">
        <v>900</v>
      </c>
      <c r="L35" s="50">
        <v>164282</v>
      </c>
      <c r="M35" s="50">
        <v>5685</v>
      </c>
      <c r="P35" s="50" t="s">
        <v>26</v>
      </c>
      <c r="Q35" s="50">
        <v>2</v>
      </c>
      <c r="R35" s="50">
        <v>125</v>
      </c>
      <c r="S35" s="50">
        <v>2</v>
      </c>
      <c r="T35" s="50">
        <v>22</v>
      </c>
      <c r="U35" s="50">
        <v>88672</v>
      </c>
      <c r="V35" s="50">
        <v>1559503</v>
      </c>
      <c r="W35" s="50">
        <v>16798940</v>
      </c>
      <c r="X35" s="50">
        <v>15036</v>
      </c>
      <c r="Y35" s="50">
        <v>900</v>
      </c>
      <c r="Z35" s="50">
        <v>189526</v>
      </c>
      <c r="AA35" s="50">
        <v>5782</v>
      </c>
    </row>
    <row r="36" spans="2:27">
      <c r="B36" s="50" t="s">
        <v>27</v>
      </c>
      <c r="C36" s="50">
        <v>4</v>
      </c>
      <c r="D36" s="50">
        <v>149</v>
      </c>
      <c r="E36" s="50">
        <v>5</v>
      </c>
      <c r="F36" s="50">
        <v>18</v>
      </c>
      <c r="G36" s="50">
        <v>107283</v>
      </c>
      <c r="H36" s="50">
        <v>2107850</v>
      </c>
      <c r="I36" s="50">
        <v>18479653</v>
      </c>
      <c r="J36" s="50">
        <v>53882</v>
      </c>
      <c r="K36" s="50">
        <v>0</v>
      </c>
      <c r="L36" s="50">
        <v>448967</v>
      </c>
      <c r="M36" s="50">
        <v>8447</v>
      </c>
      <c r="P36" s="50" t="s">
        <v>27</v>
      </c>
      <c r="Q36" s="50">
        <v>4</v>
      </c>
      <c r="R36" s="50">
        <v>164</v>
      </c>
      <c r="S36" s="50">
        <v>5</v>
      </c>
      <c r="T36" s="50">
        <v>18</v>
      </c>
      <c r="U36" s="50">
        <v>112008</v>
      </c>
      <c r="V36" s="50">
        <v>2247533</v>
      </c>
      <c r="W36" s="50">
        <v>20290156</v>
      </c>
      <c r="X36" s="50">
        <v>56580</v>
      </c>
      <c r="Y36" s="50">
        <v>0</v>
      </c>
      <c r="Z36" s="50">
        <v>416831</v>
      </c>
      <c r="AA36" s="50">
        <v>8990</v>
      </c>
    </row>
    <row r="37" spans="2:27">
      <c r="B37" s="50" t="s">
        <v>25</v>
      </c>
      <c r="C37" s="50">
        <v>8</v>
      </c>
      <c r="D37" s="50">
        <v>305</v>
      </c>
      <c r="E37" s="50">
        <v>6</v>
      </c>
      <c r="F37" s="50">
        <v>25</v>
      </c>
      <c r="G37" s="50">
        <v>149959</v>
      </c>
      <c r="H37" s="50">
        <v>2308680</v>
      </c>
      <c r="I37" s="50">
        <v>22274440</v>
      </c>
      <c r="J37" s="50">
        <v>67912</v>
      </c>
      <c r="K37" s="50">
        <v>1238</v>
      </c>
      <c r="L37" s="50">
        <v>289756</v>
      </c>
      <c r="M37" s="50">
        <v>11475</v>
      </c>
      <c r="P37" s="50" t="s">
        <v>25</v>
      </c>
      <c r="Q37" s="50">
        <v>8</v>
      </c>
      <c r="R37" s="50">
        <v>304</v>
      </c>
      <c r="S37" s="50">
        <v>6</v>
      </c>
      <c r="T37" s="50">
        <v>24</v>
      </c>
      <c r="U37" s="50">
        <v>143890</v>
      </c>
      <c r="V37" s="50">
        <v>2306301</v>
      </c>
      <c r="W37" s="50">
        <v>22535053</v>
      </c>
      <c r="X37" s="50">
        <v>67878</v>
      </c>
      <c r="Y37" s="50">
        <v>1238</v>
      </c>
      <c r="Z37" s="50">
        <v>518133</v>
      </c>
      <c r="AA37" s="50">
        <v>11686</v>
      </c>
    </row>
    <row r="38" spans="2:27">
      <c r="B38" s="50" t="s">
        <v>26</v>
      </c>
      <c r="C38" s="50">
        <v>0</v>
      </c>
      <c r="D38" s="50">
        <v>48</v>
      </c>
      <c r="E38" s="50">
        <v>1</v>
      </c>
      <c r="F38" s="50">
        <v>16</v>
      </c>
      <c r="G38" s="50">
        <v>66409</v>
      </c>
      <c r="H38" s="50">
        <v>1292653</v>
      </c>
      <c r="I38" s="50">
        <v>9605475</v>
      </c>
      <c r="J38" s="50">
        <v>10722</v>
      </c>
      <c r="K38" s="50">
        <v>0</v>
      </c>
      <c r="L38" s="50">
        <v>90651</v>
      </c>
      <c r="M38" s="50">
        <v>3477</v>
      </c>
      <c r="P38" s="50" t="s">
        <v>26</v>
      </c>
      <c r="Q38" s="50">
        <v>0</v>
      </c>
      <c r="R38" s="50">
        <v>37</v>
      </c>
      <c r="S38" s="50">
        <v>0</v>
      </c>
      <c r="T38" s="50">
        <v>15</v>
      </c>
      <c r="U38" s="50">
        <v>63734</v>
      </c>
      <c r="V38" s="50">
        <v>1390827</v>
      </c>
      <c r="W38" s="50">
        <v>9594923</v>
      </c>
      <c r="X38" s="50">
        <v>10316</v>
      </c>
      <c r="Y38" s="50">
        <v>0</v>
      </c>
      <c r="Z38" s="50">
        <v>122427</v>
      </c>
      <c r="AA38" s="50">
        <v>3470</v>
      </c>
    </row>
    <row r="39" spans="2:27">
      <c r="B39" s="50" t="s">
        <v>27</v>
      </c>
      <c r="C39" s="50">
        <v>1</v>
      </c>
      <c r="D39" s="50">
        <v>42</v>
      </c>
      <c r="E39" s="50">
        <v>0</v>
      </c>
      <c r="F39" s="50">
        <v>20</v>
      </c>
      <c r="G39" s="50">
        <v>43473</v>
      </c>
      <c r="H39" s="50">
        <v>932716</v>
      </c>
      <c r="I39" s="50">
        <v>8623572</v>
      </c>
      <c r="J39" s="50">
        <v>10632</v>
      </c>
      <c r="K39" s="50">
        <v>0</v>
      </c>
      <c r="L39" s="50">
        <v>132840</v>
      </c>
      <c r="M39" s="50">
        <v>2984</v>
      </c>
      <c r="P39" s="50" t="s">
        <v>27</v>
      </c>
      <c r="Q39" s="50">
        <v>1</v>
      </c>
      <c r="R39" s="50">
        <v>54</v>
      </c>
      <c r="S39" s="50">
        <v>1</v>
      </c>
      <c r="T39" s="50">
        <v>17</v>
      </c>
      <c r="U39" s="50">
        <v>45964</v>
      </c>
      <c r="V39" s="50">
        <v>1589196</v>
      </c>
      <c r="W39" s="50">
        <v>9733832</v>
      </c>
      <c r="X39" s="50">
        <v>34890</v>
      </c>
      <c r="Y39" s="50">
        <v>0</v>
      </c>
      <c r="Z39" s="50">
        <v>169966</v>
      </c>
      <c r="AA39" s="50">
        <v>4649</v>
      </c>
    </row>
  </sheetData>
  <conditionalFormatting sqref="F17:F1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{90cd788a-1461-4439-b3a0-843be54e17af}</x14:id>
        </ext>
      </extLst>
    </cfRule>
  </conditionalFormatting>
  <conditionalFormatting sqref="F20:F2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{81accc1b-c929-47e9-86d3-908df73cc750}</x14:id>
        </ext>
      </extLst>
    </cfRule>
  </conditionalFormatting>
  <conditionalFormatting sqref="G17:G19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{170d483a-aa35-4309-87a2-52b2bb296367}</x14:id>
        </ext>
      </extLst>
    </cfRule>
  </conditionalFormatting>
  <conditionalFormatting sqref="G20:G22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{152f2b5d-924f-415a-be5f-144805515fe5}</x14:id>
        </ext>
      </extLst>
    </cfRule>
  </conditionalFormatting>
  <conditionalFormatting sqref="O2:O13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{b0dbec36-e690-403e-bae8-56eab9a2aebb}</x14:id>
        </ext>
      </extLst>
    </cfRule>
  </conditionalFormatting>
  <conditionalFormatting sqref="O17:O24">
    <cfRule type="cellIs" dxfId="37" priority="1" operator="equal">
      <formula>$S$17</formula>
    </cfRule>
  </conditionalFormatting>
  <conditionalFormatting sqref="O25:O1048576">
    <cfRule type="cellIs" dxfId="37" priority="11" operator="equal">
      <formula>配置!$D$2</formula>
    </cfRule>
  </conditionalFormatting>
  <conditionalFormatting sqref="P2:P13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{46732bc0-9245-41f2-8954-948026bd6b56}</x14:id>
        </ext>
      </extLst>
    </cfRule>
  </conditionalFormatting>
  <conditionalFormatting sqref="Q2:Q13">
    <cfRule type="cellIs" dxfId="38" priority="12" operator="equal">
      <formula>配置!$D$4</formula>
    </cfRule>
  </conditionalFormatting>
  <conditionalFormatting sqref="Q17:Q18">
    <cfRule type="cellIs" dxfId="37" priority="2" operator="equal">
      <formula>$S$17</formula>
    </cfRule>
  </conditionalFormatting>
  <conditionalFormatting sqref="O14:O15 Q1:R1 Q2:Q13">
    <cfRule type="cellIs" dxfId="37" priority="13" operator="equal">
      <formula>配置!$D$2</formula>
    </cfRule>
  </conditionalFormatting>
  <dataValidations count="1">
    <dataValidation type="list" allowBlank="1" showInputMessage="1" showErrorMessage="1" sqref="Q2:Q13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cd788a-1461-4439-b3a0-843be54e17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F17:F19</xm:sqref>
        </x14:conditionalFormatting>
        <x14:conditionalFormatting xmlns:xm="http://schemas.microsoft.com/office/excel/2006/main">
          <x14:cfRule type="dataBar" id="{81accc1b-c929-47e9-86d3-908df73cc7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F20:F22</xm:sqref>
        </x14:conditionalFormatting>
        <x14:conditionalFormatting xmlns:xm="http://schemas.microsoft.com/office/excel/2006/main">
          <x14:cfRule type="dataBar" id="{170d483a-aa35-4309-87a2-52b2bb2963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G17:G19</xm:sqref>
        </x14:conditionalFormatting>
        <x14:conditionalFormatting xmlns:xm="http://schemas.microsoft.com/office/excel/2006/main">
          <x14:cfRule type="dataBar" id="{152f2b5d-924f-415a-be5f-144805515f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G20:G22</xm:sqref>
        </x14:conditionalFormatting>
        <x14:conditionalFormatting xmlns:xm="http://schemas.microsoft.com/office/excel/2006/main">
          <x14:cfRule type="dataBar" id="{b0dbec36-e690-403e-bae8-56eab9a2ae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O2:O13</xm:sqref>
        </x14:conditionalFormatting>
        <x14:conditionalFormatting xmlns:xm="http://schemas.microsoft.com/office/excel/2006/main">
          <x14:cfRule type="dataBar" id="{46732bc0-9245-41f2-8954-948026bd6b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48"/>
  <sheetViews>
    <sheetView workbookViewId="0">
      <selection activeCell="X4" sqref="X4"/>
    </sheetView>
  </sheetViews>
  <sheetFormatPr defaultColWidth="9" defaultRowHeight="13.5"/>
  <sheetData>
    <row r="1" s="1" customFormat="1" ht="27.75" spans="1:24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22</v>
      </c>
      <c r="X1" s="22" t="s">
        <v>23</v>
      </c>
    </row>
    <row r="2" s="354" customFormat="1" ht="14.25" customHeight="1" spans="1:24">
      <c r="A2" s="371">
        <v>28</v>
      </c>
      <c r="B2" s="371">
        <f>VLOOKUP(表1_8610[[#This Row],[区服]],$O$23:$P$30,2,FALSE)</f>
        <v>58</v>
      </c>
      <c r="C2" s="372" t="s">
        <v>46</v>
      </c>
      <c r="D2" s="373" t="str">
        <f>表1_8610[[#This Row],[目标国家]]</f>
        <v>魏</v>
      </c>
      <c r="E2" s="374">
        <f>(VLOOKUP(表1_8610[[#This Row],[目标区服]],$Q$23:$R$24,2,FALSE)-表1_8610[[#This Row],[开服天数]])*配置!$B$1</f>
        <v>1000</v>
      </c>
      <c r="F2" s="374">
        <f>表1_8610[[#This Row],[补偿Coin]]*(表1_8610[[#This Row],[活跃高战玩家数]]+表1_8610[[#This Row],[活跃中坚玩家数]])</f>
        <v>17000</v>
      </c>
      <c r="G2" s="374">
        <f>(VLOOKUP(表1_8610[[#This Row],[目标区服]],$Q$23:$R$24,2,FALSE)-表1_8610[[#This Row],[开服天数]])*配置!$B$2</f>
        <v>10</v>
      </c>
      <c r="H2" s="376" t="s">
        <v>25</v>
      </c>
      <c r="I2" s="376">
        <f>IF(表1_8610[[#This Row],[原国家]]="魏",0,IF(表1_8610[[#This Row],[原国家]]="蜀",1,2))</f>
        <v>0</v>
      </c>
      <c r="J2" s="380">
        <v>0</v>
      </c>
      <c r="K2" s="380">
        <v>15</v>
      </c>
      <c r="L2" s="380">
        <v>0</v>
      </c>
      <c r="M2" s="380">
        <v>17</v>
      </c>
      <c r="N2" s="380">
        <v>38546</v>
      </c>
      <c r="O2" s="380">
        <v>1499927</v>
      </c>
      <c r="P2" s="381">
        <v>10490373</v>
      </c>
      <c r="Q2" s="742" t="s">
        <v>25</v>
      </c>
      <c r="R2" s="376">
        <f>IF(表1_8610[[#This Row],[目标国家]]="魏",0,IF(表1_8610[[#This Row],[目标国家]]="蜀",1,2))</f>
        <v>0</v>
      </c>
      <c r="S2" s="380">
        <v>21326</v>
      </c>
      <c r="T2" s="380">
        <v>0</v>
      </c>
      <c r="U2" s="380">
        <v>167532</v>
      </c>
      <c r="V2" s="380">
        <v>3699</v>
      </c>
      <c r="W2" s="387" t="str">
        <f>"{"&amp;"'coin':"&amp;表1_8610[[#This Row],[补偿Coin]]&amp;",'"&amp;配置!$A$2&amp;"':"&amp;表1_8610[[#This Row],[补偿辎重]]&amp;"},"</f>
        <v>{'coin':1000,'item036':10},</v>
      </c>
      <c r="X2" s="388" t="str">
        <f>"      '"&amp;表1_8610[[#This Row],[区服]]&amp;"':{"</f>
        <v>      '28':{</v>
      </c>
    </row>
    <row r="3" s="354" customFormat="1" ht="14.25" customHeight="1" spans="1:24">
      <c r="A3" s="375">
        <v>28</v>
      </c>
      <c r="B3" s="371">
        <f>VLOOKUP(表1_8610[[#This Row],[区服]],$O$23:$P$30,2,FALSE)</f>
        <v>58</v>
      </c>
      <c r="C3" s="372" t="s">
        <v>46</v>
      </c>
      <c r="D3" s="376" t="str">
        <f>表1_8610[[#This Row],[目标国家]]</f>
        <v>蜀</v>
      </c>
      <c r="E3" s="380">
        <f>(VLOOKUP(表1_8610[[#This Row],[目标区服]],$Q$23:$R$24,2,FALSE)-表1_8610[[#This Row],[开服天数]])*配置!$B$1</f>
        <v>1000</v>
      </c>
      <c r="F3" s="380">
        <f>表1_8610[[#This Row],[补偿Coin]]*(表1_8610[[#This Row],[活跃高战玩家数]]+表1_8610[[#This Row],[活跃中坚玩家数]])</f>
        <v>42000</v>
      </c>
      <c r="G3" s="380">
        <f>(VLOOKUP(表1_8610[[#This Row],[目标区服]],$Q$23:$R$24,2,FALSE)-表1_8610[[#This Row],[开服天数]])*配置!$B$2</f>
        <v>10</v>
      </c>
      <c r="H3" s="376" t="s">
        <v>26</v>
      </c>
      <c r="I3" s="376">
        <f>IF(表1_8610[[#This Row],[原国家]]="魏",0,IF(表1_8610[[#This Row],[原国家]]="蜀",1,2))</f>
        <v>1</v>
      </c>
      <c r="J3" s="380">
        <v>9</v>
      </c>
      <c r="K3" s="380">
        <v>373</v>
      </c>
      <c r="L3" s="380">
        <v>8</v>
      </c>
      <c r="M3" s="380">
        <v>34</v>
      </c>
      <c r="N3" s="380">
        <v>195743</v>
      </c>
      <c r="O3" s="380">
        <v>3113419</v>
      </c>
      <c r="P3" s="381">
        <v>40311953</v>
      </c>
      <c r="Q3" s="743" t="s">
        <v>26</v>
      </c>
      <c r="R3" s="376">
        <f>IF(表1_8610[[#This Row],[目标国家]]="魏",0,IF(表1_8610[[#This Row],[目标国家]]="蜀",1,2))</f>
        <v>1</v>
      </c>
      <c r="S3" s="380">
        <v>166964</v>
      </c>
      <c r="T3" s="380">
        <v>68</v>
      </c>
      <c r="U3" s="380">
        <v>833582</v>
      </c>
      <c r="V3" s="380">
        <v>18596</v>
      </c>
      <c r="W3" s="387" t="str">
        <f>"{"&amp;"'coin':"&amp;表1_8610[[#This Row],[补偿Coin]]&amp;",'"&amp;配置!$A$2&amp;"':"&amp;表1_8610[[#This Row],[补偿辎重]]&amp;"},"</f>
        <v>{'coin':1000,'item036':10},</v>
      </c>
      <c r="X3" s="388" t="str">
        <f>"            'reward':"&amp;表1_8610[[#This Row],[辅助导出]]&amp;"
            'country':["&amp;R2&amp;","&amp;R3&amp;","&amp;R4&amp;"],"</f>
        <v>            'reward':{'coin':1000,'item036':10},
            'country':[0,1,2],</v>
      </c>
    </row>
    <row r="4" s="354" customFormat="1" ht="14.25" customHeight="1" spans="1:24">
      <c r="A4" s="375">
        <v>28</v>
      </c>
      <c r="B4" s="371">
        <f>VLOOKUP(表1_8610[[#This Row],[区服]],$O$23:$P$30,2,FALSE)</f>
        <v>58</v>
      </c>
      <c r="C4" s="372" t="s">
        <v>46</v>
      </c>
      <c r="D4" s="376" t="str">
        <f>表1_8610[[#This Row],[目标国家]]</f>
        <v>吴</v>
      </c>
      <c r="E4" s="380">
        <f>(VLOOKUP(表1_8610[[#This Row],[目标区服]],$Q$23:$R$24,2,FALSE)-表1_8610[[#This Row],[开服天数]])*配置!$B$1</f>
        <v>1000</v>
      </c>
      <c r="F4" s="380">
        <f>表1_8610[[#This Row],[补偿Coin]]*(表1_8610[[#This Row],[活跃高战玩家数]]+表1_8610[[#This Row],[活跃中坚玩家数]])</f>
        <v>12000</v>
      </c>
      <c r="G4" s="380">
        <f>(VLOOKUP(表1_8610[[#This Row],[目标区服]],$Q$23:$R$24,2,FALSE)-表1_8610[[#This Row],[开服天数]])*配置!$B$2</f>
        <v>10</v>
      </c>
      <c r="H4" s="376" t="s">
        <v>27</v>
      </c>
      <c r="I4" s="376">
        <f>IF(表1_8610[[#This Row],[原国家]]="魏",0,IF(表1_8610[[#This Row],[原国家]]="蜀",1,2))</f>
        <v>2</v>
      </c>
      <c r="J4" s="380">
        <v>0</v>
      </c>
      <c r="K4" s="380">
        <v>6</v>
      </c>
      <c r="L4" s="380">
        <v>0</v>
      </c>
      <c r="M4" s="380">
        <v>12</v>
      </c>
      <c r="N4" s="380">
        <v>26061</v>
      </c>
      <c r="O4" s="380">
        <v>1305526</v>
      </c>
      <c r="P4" s="381">
        <v>7338306</v>
      </c>
      <c r="Q4" s="743" t="s">
        <v>27</v>
      </c>
      <c r="R4" s="376">
        <f>IF(表1_8610[[#This Row],[目标国家]]="魏",0,IF(表1_8610[[#This Row],[目标国家]]="蜀",1,2))</f>
        <v>2</v>
      </c>
      <c r="S4" s="380">
        <v>23218</v>
      </c>
      <c r="T4" s="380">
        <v>0</v>
      </c>
      <c r="U4" s="380">
        <v>62444</v>
      </c>
      <c r="V4" s="380">
        <v>2988</v>
      </c>
      <c r="W4" s="387" t="str">
        <f>"{"&amp;"'coin':"&amp;表1_8610[[#This Row],[补偿Coin]]&amp;",'"&amp;配置!$A$2&amp;"':"&amp;表1_8610[[#This Row],[补偿辎重]]&amp;"},"</f>
        <v>{'coin':1000,'item036':10},</v>
      </c>
      <c r="X4" s="388" t="str">
        <f>"      },"</f>
        <v>      },</v>
      </c>
    </row>
    <row r="5" s="354" customFormat="1" ht="14.25" customHeight="1" spans="1:24">
      <c r="A5" s="375">
        <v>29</v>
      </c>
      <c r="B5" s="371">
        <f>VLOOKUP(表1_8610[[#This Row],[区服]],$O$23:$P$30,2,FALSE)</f>
        <v>57</v>
      </c>
      <c r="C5" s="372" t="s">
        <v>46</v>
      </c>
      <c r="D5" s="376" t="str">
        <f>表1_8610[[#This Row],[目标国家]]</f>
        <v>魏</v>
      </c>
      <c r="E5" s="380">
        <f>(VLOOKUP(表1_8610[[#This Row],[目标区服]],$Q$23:$R$24,2,FALSE)-表1_8610[[#This Row],[开服天数]])*配置!$B$1</f>
        <v>1500</v>
      </c>
      <c r="F5" s="380">
        <f>表1_8610[[#This Row],[补偿Coin]]*(表1_8610[[#This Row],[活跃高战玩家数]]+表1_8610[[#This Row],[活跃中坚玩家数]])</f>
        <v>33000</v>
      </c>
      <c r="G5" s="380">
        <f>(VLOOKUP(表1_8610[[#This Row],[目标区服]],$Q$23:$R$24,2,FALSE)-表1_8610[[#This Row],[开服天数]])*配置!$B$2</f>
        <v>15</v>
      </c>
      <c r="H5" s="376" t="s">
        <v>25</v>
      </c>
      <c r="I5" s="376">
        <f>IF(表1_8610[[#This Row],[原国家]]="魏",0,IF(表1_8610[[#This Row],[原国家]]="蜀",1,2))</f>
        <v>0</v>
      </c>
      <c r="J5" s="380">
        <v>3</v>
      </c>
      <c r="K5" s="380">
        <v>146</v>
      </c>
      <c r="L5" s="380">
        <v>3</v>
      </c>
      <c r="M5" s="380">
        <v>19</v>
      </c>
      <c r="N5" s="380">
        <v>99076</v>
      </c>
      <c r="O5" s="380">
        <v>2360699</v>
      </c>
      <c r="P5" s="381">
        <v>16826616</v>
      </c>
      <c r="Q5" s="743" t="s">
        <v>25</v>
      </c>
      <c r="R5" s="376">
        <f>IF(表1_8610[[#This Row],[目标国家]]="魏",0,IF(表1_8610[[#This Row],[目标国家]]="蜀",1,2))</f>
        <v>0</v>
      </c>
      <c r="S5" s="380">
        <v>56950</v>
      </c>
      <c r="T5" s="380">
        <v>4074</v>
      </c>
      <c r="U5" s="380">
        <v>330508</v>
      </c>
      <c r="V5" s="380">
        <v>8378</v>
      </c>
      <c r="W5" s="387" t="str">
        <f>"{"&amp;"'coin':"&amp;表1_8610[[#This Row],[补偿Coin]]&amp;",'"&amp;配置!$A$2&amp;"':"&amp;表1_8610[[#This Row],[补偿辎重]]&amp;"},"</f>
        <v>{'coin':1500,'item036':15},</v>
      </c>
      <c r="X5" s="388" t="str">
        <f>"      '"&amp;表1_8610[[#This Row],[区服]]&amp;"':{"</f>
        <v>      '29':{</v>
      </c>
    </row>
    <row r="6" s="354" customFormat="1" ht="14.25" customHeight="1" spans="1:24">
      <c r="A6" s="371">
        <v>29</v>
      </c>
      <c r="B6" s="371">
        <f>VLOOKUP(表1_8610[[#This Row],[区服]],$O$23:$P$30,2,FALSE)</f>
        <v>57</v>
      </c>
      <c r="C6" s="372" t="s">
        <v>46</v>
      </c>
      <c r="D6" s="376" t="str">
        <f>表1_8610[[#This Row],[目标国家]]</f>
        <v>吴</v>
      </c>
      <c r="E6" s="380">
        <f>(VLOOKUP(表1_8610[[#This Row],[目标区服]],$Q$23:$R$24,2,FALSE)-表1_8610[[#This Row],[开服天数]])*配置!$B$1</f>
        <v>1500</v>
      </c>
      <c r="F6" s="380">
        <f>表1_8610[[#This Row],[补偿Coin]]*(表1_8610[[#This Row],[活跃高战玩家数]]+表1_8610[[#This Row],[活跃中坚玩家数]])</f>
        <v>45000</v>
      </c>
      <c r="G6" s="380">
        <f>(VLOOKUP(表1_8610[[#This Row],[目标区服]],$Q$23:$R$24,2,FALSE)-表1_8610[[#This Row],[开服天数]])*配置!$B$2</f>
        <v>15</v>
      </c>
      <c r="H6" s="376" t="s">
        <v>26</v>
      </c>
      <c r="I6" s="376">
        <f>IF(表1_8610[[#This Row],[原国家]]="魏",0,IF(表1_8610[[#This Row],[原国家]]="蜀",1,2))</f>
        <v>1</v>
      </c>
      <c r="J6" s="380">
        <v>6</v>
      </c>
      <c r="K6" s="380">
        <v>225</v>
      </c>
      <c r="L6" s="380">
        <v>6</v>
      </c>
      <c r="M6" s="380">
        <v>24</v>
      </c>
      <c r="N6" s="380">
        <v>152574</v>
      </c>
      <c r="O6" s="380">
        <v>2430023</v>
      </c>
      <c r="P6" s="381">
        <v>24094844</v>
      </c>
      <c r="Q6" s="743" t="s">
        <v>27</v>
      </c>
      <c r="R6" s="376">
        <f>IF(表1_8610[[#This Row],[目标国家]]="魏",0,IF(表1_8610[[#This Row],[目标国家]]="蜀",1,2))</f>
        <v>2</v>
      </c>
      <c r="S6" s="380">
        <v>15426</v>
      </c>
      <c r="T6" s="380">
        <v>27342</v>
      </c>
      <c r="U6" s="380">
        <v>651059</v>
      </c>
      <c r="V6" s="380">
        <v>9839</v>
      </c>
      <c r="W6" s="387" t="str">
        <f>"{"&amp;"'coin':"&amp;表1_8610[[#This Row],[补偿Coin]]&amp;",'"&amp;配置!$A$2&amp;"':"&amp;表1_8610[[#This Row],[补偿辎重]]&amp;"},"</f>
        <v>{'coin':1500,'item036':15},</v>
      </c>
      <c r="X6" s="388" t="str">
        <f>"            'reward':"&amp;表1_8610[[#This Row],[辅助导出]]&amp;"
            'country':["&amp;R5&amp;","&amp;R6&amp;","&amp;R7&amp;"],"</f>
        <v>            'reward':{'coin':1500,'item036':15},
            'country':[0,2,2],</v>
      </c>
    </row>
    <row r="7" s="354" customFormat="1" ht="14.25" customHeight="1" spans="1:24">
      <c r="A7" s="371">
        <v>29</v>
      </c>
      <c r="B7" s="371">
        <f>VLOOKUP(表1_8610[[#This Row],[区服]],$O$23:$P$30,2,FALSE)</f>
        <v>57</v>
      </c>
      <c r="C7" s="372" t="s">
        <v>46</v>
      </c>
      <c r="D7" s="376" t="str">
        <f>表1_8610[[#This Row],[目标国家]]</f>
        <v>吴</v>
      </c>
      <c r="E7" s="380">
        <f>(VLOOKUP(表1_8610[[#This Row],[目标区服]],$Q$23:$R$24,2,FALSE)-表1_8610[[#This Row],[开服天数]])*配置!$B$1</f>
        <v>1500</v>
      </c>
      <c r="F7" s="380">
        <f>表1_8610[[#This Row],[补偿Coin]]*(表1_8610[[#This Row],[活跃高战玩家数]]+表1_8610[[#This Row],[活跃中坚玩家数]])</f>
        <v>9000</v>
      </c>
      <c r="G7" s="380">
        <f>(VLOOKUP(表1_8610[[#This Row],[目标区服]],$Q$23:$R$24,2,FALSE)-表1_8610[[#This Row],[开服天数]])*配置!$B$2</f>
        <v>15</v>
      </c>
      <c r="H7" s="376" t="s">
        <v>27</v>
      </c>
      <c r="I7" s="376">
        <f>IF(表1_8610[[#This Row],[原国家]]="魏",0,IF(表1_8610[[#This Row],[原国家]]="蜀",1,2))</f>
        <v>2</v>
      </c>
      <c r="J7" s="380">
        <v>0</v>
      </c>
      <c r="K7" s="380">
        <v>24</v>
      </c>
      <c r="L7" s="380">
        <v>0</v>
      </c>
      <c r="M7" s="380">
        <v>6</v>
      </c>
      <c r="N7" s="380">
        <v>11827</v>
      </c>
      <c r="O7" s="380">
        <v>644299</v>
      </c>
      <c r="P7" s="381">
        <v>2630484</v>
      </c>
      <c r="Q7" s="743" t="s">
        <v>27</v>
      </c>
      <c r="R7" s="376">
        <f>IF(表1_8610[[#This Row],[目标国家]]="魏",0,IF(表1_8610[[#This Row],[目标国家]]="蜀",1,2))</f>
        <v>2</v>
      </c>
      <c r="S7" s="380">
        <v>988</v>
      </c>
      <c r="T7" s="380">
        <v>0</v>
      </c>
      <c r="U7" s="380">
        <v>71283</v>
      </c>
      <c r="V7" s="380">
        <v>1307</v>
      </c>
      <c r="W7" s="387" t="str">
        <f>"{"&amp;"'coin':"&amp;表1_8610[[#This Row],[补偿Coin]]&amp;",'"&amp;配置!$A$2&amp;"':"&amp;表1_8610[[#This Row],[补偿辎重]]&amp;"},"</f>
        <v>{'coin':1500,'item036':15},</v>
      </c>
      <c r="X7" s="388" t="str">
        <f t="shared" ref="X7" si="0">"      },"</f>
        <v>      },</v>
      </c>
    </row>
    <row r="8" ht="14.25" customHeight="1" spans="1:24">
      <c r="A8" s="606">
        <v>30</v>
      </c>
      <c r="B8" s="606">
        <f>VLOOKUP(表1_8610[[#This Row],[区服]],$O$23:$P$30,2,FALSE)</f>
        <v>55</v>
      </c>
      <c r="C8" s="607" t="s">
        <v>47</v>
      </c>
      <c r="D8" s="608" t="str">
        <f>表1_8610[[#This Row],[目标国家]]</f>
        <v>魏</v>
      </c>
      <c r="E8" s="609">
        <f>(VLOOKUP(表1_8610[[#This Row],[目标区服]],$Q$23:$R$24,2,FALSE)-表1_8610[[#This Row],[开服天数]])*配置!$B$1</f>
        <v>1000</v>
      </c>
      <c r="F8" s="609">
        <f>表1_8610[[#This Row],[补偿Coin]]*(表1_8610[[#This Row],[活跃高战玩家数]]+表1_8610[[#This Row],[活跃中坚玩家数]])</f>
        <v>22000</v>
      </c>
      <c r="G8" s="609">
        <f>(VLOOKUP(表1_8610[[#This Row],[目标区服]],$Q$23:$R$24,2,FALSE)-表1_8610[[#This Row],[开服天数]])*配置!$B$2</f>
        <v>10</v>
      </c>
      <c r="H8" s="608" t="s">
        <v>25</v>
      </c>
      <c r="I8" s="608">
        <f>IF(表1_8610[[#This Row],[原国家]]="魏",0,IF(表1_8610[[#This Row],[原国家]]="蜀",1,2))</f>
        <v>0</v>
      </c>
      <c r="J8" s="609">
        <v>0</v>
      </c>
      <c r="K8" s="609">
        <v>7</v>
      </c>
      <c r="L8" s="609">
        <v>1</v>
      </c>
      <c r="M8" s="609">
        <v>21</v>
      </c>
      <c r="N8" s="609">
        <v>80867</v>
      </c>
      <c r="O8" s="609">
        <v>2127179</v>
      </c>
      <c r="P8" s="616">
        <v>16388275</v>
      </c>
      <c r="Q8" s="619" t="s">
        <v>25</v>
      </c>
      <c r="R8" s="608">
        <f>IF(表1_8610[[#This Row],[目标国家]]="魏",0,IF(表1_8610[[#This Row],[目标国家]]="蜀",1,2))</f>
        <v>0</v>
      </c>
      <c r="S8" s="609">
        <v>39468</v>
      </c>
      <c r="T8" s="609">
        <v>6</v>
      </c>
      <c r="U8" s="609">
        <v>171312</v>
      </c>
      <c r="V8" s="609">
        <v>5595</v>
      </c>
      <c r="W8" s="621" t="str">
        <f>"{"&amp;"'coin':"&amp;表1_8610[[#This Row],[补偿Coin]]&amp;",'"&amp;配置!$A$2&amp;"':"&amp;表1_8610[[#This Row],[补偿辎重]]&amp;"},"</f>
        <v>{'coin':1000,'item036':10},</v>
      </c>
      <c r="X8" s="624" t="str">
        <f>"      '"&amp;表1_8610[[#This Row],[区服]]&amp;"':{"</f>
        <v>      '30':{</v>
      </c>
    </row>
    <row r="9" ht="14.25" customHeight="1" spans="1:24">
      <c r="A9" s="606">
        <v>30</v>
      </c>
      <c r="B9" s="606">
        <f>VLOOKUP(表1_8610[[#This Row],[区服]],$O$23:$P$30,2,FALSE)</f>
        <v>55</v>
      </c>
      <c r="C9" s="607" t="s">
        <v>47</v>
      </c>
      <c r="D9" s="608" t="str">
        <f>表1_8610[[#This Row],[目标国家]]</f>
        <v>蜀</v>
      </c>
      <c r="E9" s="609">
        <f>(VLOOKUP(表1_8610[[#This Row],[目标区服]],$Q$23:$R$24,2,FALSE)-表1_8610[[#This Row],[开服天数]])*配置!$B$1</f>
        <v>1000</v>
      </c>
      <c r="F9" s="609">
        <f>表1_8610[[#This Row],[补偿Coin]]*(表1_8610[[#This Row],[活跃高战玩家数]]+表1_8610[[#This Row],[活跃中坚玩家数]])</f>
        <v>27000</v>
      </c>
      <c r="G9" s="609">
        <f>(VLOOKUP(表1_8610[[#This Row],[目标区服]],$Q$23:$R$24,2,FALSE)-表1_8610[[#This Row],[开服天数]])*配置!$B$2</f>
        <v>10</v>
      </c>
      <c r="H9" s="608" t="s">
        <v>26</v>
      </c>
      <c r="I9" s="608">
        <f>IF(表1_8610[[#This Row],[原国家]]="魏",0,IF(表1_8610[[#This Row],[原国家]]="蜀",1,2))</f>
        <v>1</v>
      </c>
      <c r="J9" s="609">
        <v>9</v>
      </c>
      <c r="K9" s="609">
        <v>381</v>
      </c>
      <c r="L9" s="609">
        <v>8</v>
      </c>
      <c r="M9" s="609">
        <v>19</v>
      </c>
      <c r="N9" s="609">
        <v>170219</v>
      </c>
      <c r="O9" s="609">
        <v>3166024</v>
      </c>
      <c r="P9" s="616">
        <v>30789769</v>
      </c>
      <c r="Q9" s="619" t="s">
        <v>26</v>
      </c>
      <c r="R9" s="608">
        <f>IF(表1_8610[[#This Row],[目标国家]]="魏",0,IF(表1_8610[[#This Row],[目标国家]]="蜀",1,2))</f>
        <v>1</v>
      </c>
      <c r="S9" s="609">
        <v>124882</v>
      </c>
      <c r="T9" s="609">
        <v>104</v>
      </c>
      <c r="U9" s="609">
        <v>753579</v>
      </c>
      <c r="V9" s="609">
        <v>16307</v>
      </c>
      <c r="W9" s="621" t="str">
        <f>"{"&amp;"'coin':"&amp;表1_8610[[#This Row],[补偿Coin]]&amp;",'"&amp;配置!$A$2&amp;"':"&amp;表1_8610[[#This Row],[补偿辎重]]&amp;"},"</f>
        <v>{'coin':1000,'item036':10},</v>
      </c>
      <c r="X9" s="624" t="str">
        <f>"            'reward':"&amp;表1_8610[[#This Row],[辅助导出]]&amp;"
            'country':["&amp;R8&amp;","&amp;R9&amp;","&amp;R10&amp;"],"</f>
        <v>            'reward':{'coin':1000,'item036':10},
            'country':[0,1,2],</v>
      </c>
    </row>
    <row r="10" ht="14.25" customHeight="1" spans="1:24">
      <c r="A10" s="606">
        <v>30</v>
      </c>
      <c r="B10" s="606">
        <f>VLOOKUP(表1_8610[[#This Row],[区服]],$O$23:$P$30,2,FALSE)</f>
        <v>55</v>
      </c>
      <c r="C10" s="607" t="s">
        <v>47</v>
      </c>
      <c r="D10" s="608" t="str">
        <f>表1_8610[[#This Row],[目标国家]]</f>
        <v>吴</v>
      </c>
      <c r="E10" s="609">
        <f>(VLOOKUP(表1_8610[[#This Row],[目标区服]],$Q$23:$R$24,2,FALSE)-表1_8610[[#This Row],[开服天数]])*配置!$B$1</f>
        <v>1000</v>
      </c>
      <c r="F10" s="609">
        <f>表1_8610[[#This Row],[补偿Coin]]*(表1_8610[[#This Row],[活跃高战玩家数]]+表1_8610[[#This Row],[活跃中坚玩家数]])</f>
        <v>12000</v>
      </c>
      <c r="G10" s="609">
        <f>(VLOOKUP(表1_8610[[#This Row],[目标区服]],$Q$23:$R$24,2,FALSE)-表1_8610[[#This Row],[开服天数]])*配置!$B$2</f>
        <v>10</v>
      </c>
      <c r="H10" s="608" t="s">
        <v>27</v>
      </c>
      <c r="I10" s="608">
        <f>IF(表1_8610[[#This Row],[原国家]]="魏",0,IF(表1_8610[[#This Row],[原国家]]="蜀",1,2))</f>
        <v>2</v>
      </c>
      <c r="J10" s="609">
        <v>0</v>
      </c>
      <c r="K10" s="609">
        <v>7</v>
      </c>
      <c r="L10" s="609">
        <v>0</v>
      </c>
      <c r="M10" s="609">
        <v>12</v>
      </c>
      <c r="N10" s="609">
        <v>29588</v>
      </c>
      <c r="O10" s="609">
        <v>1125629</v>
      </c>
      <c r="P10" s="616">
        <v>6835612</v>
      </c>
      <c r="Q10" s="619" t="s">
        <v>27</v>
      </c>
      <c r="R10" s="608">
        <f>IF(表1_8610[[#This Row],[目标国家]]="魏",0,IF(表1_8610[[#This Row],[目标国家]]="蜀",1,2))</f>
        <v>2</v>
      </c>
      <c r="S10" s="609">
        <v>3772</v>
      </c>
      <c r="T10" s="609">
        <v>0</v>
      </c>
      <c r="U10" s="609">
        <v>99405</v>
      </c>
      <c r="V10" s="609">
        <v>2239</v>
      </c>
      <c r="W10" s="621" t="str">
        <f>"{"&amp;"'coin':"&amp;表1_8610[[#This Row],[补偿Coin]]&amp;",'"&amp;配置!$A$2&amp;"':"&amp;表1_8610[[#This Row],[补偿辎重]]&amp;"},"</f>
        <v>{'coin':1000,'item036':10},</v>
      </c>
      <c r="X10" s="624" t="str">
        <f t="shared" ref="X10" si="1">"      },"</f>
        <v>      },</v>
      </c>
    </row>
    <row r="11" ht="14.25" customHeight="1" spans="1:24">
      <c r="A11" s="606">
        <v>31</v>
      </c>
      <c r="B11" s="606">
        <f>VLOOKUP(表1_8610[[#This Row],[区服]],$O$23:$P$30,2,FALSE)</f>
        <v>53</v>
      </c>
      <c r="C11" s="607" t="s">
        <v>47</v>
      </c>
      <c r="D11" s="608" t="str">
        <f>表1_8610[[#This Row],[目标国家]]</f>
        <v>吴</v>
      </c>
      <c r="E11" s="609">
        <f>(VLOOKUP(表1_8610[[#This Row],[目标区服]],$Q$23:$R$24,2,FALSE)-表1_8610[[#This Row],[开服天数]])*配置!$B$1</f>
        <v>2000</v>
      </c>
      <c r="F11" s="609">
        <f>表1_8610[[#This Row],[补偿Coin]]*(表1_8610[[#This Row],[活跃高战玩家数]]+表1_8610[[#This Row],[活跃中坚玩家数]])</f>
        <v>56000</v>
      </c>
      <c r="G11" s="609">
        <f>(VLOOKUP(表1_8610[[#This Row],[目标区服]],$Q$23:$R$24,2,FALSE)-表1_8610[[#This Row],[开服天数]])*配置!$B$2</f>
        <v>20</v>
      </c>
      <c r="H11" s="608" t="s">
        <v>25</v>
      </c>
      <c r="I11" s="608">
        <f>IF(表1_8610[[#This Row],[原国家]]="魏",0,IF(表1_8610[[#This Row],[原国家]]="蜀",1,2))</f>
        <v>0</v>
      </c>
      <c r="J11" s="609">
        <v>7</v>
      </c>
      <c r="K11" s="609">
        <v>289</v>
      </c>
      <c r="L11" s="609">
        <v>5</v>
      </c>
      <c r="M11" s="609">
        <v>23</v>
      </c>
      <c r="N11" s="609">
        <v>143828</v>
      </c>
      <c r="O11" s="609">
        <v>2577316</v>
      </c>
      <c r="P11" s="616">
        <v>24770372</v>
      </c>
      <c r="Q11" s="619" t="s">
        <v>27</v>
      </c>
      <c r="R11" s="608">
        <f>IF(表1_8610[[#This Row],[目标国家]]="魏",0,IF(表1_8610[[#This Row],[目标国家]]="蜀",1,2))</f>
        <v>2</v>
      </c>
      <c r="S11" s="609">
        <v>52112</v>
      </c>
      <c r="T11" s="609">
        <v>2056</v>
      </c>
      <c r="U11" s="609">
        <v>636351</v>
      </c>
      <c r="V11" s="609">
        <v>11583</v>
      </c>
      <c r="W11" s="621" t="str">
        <f>"{"&amp;"'coin':"&amp;表1_8610[[#This Row],[补偿Coin]]&amp;",'"&amp;配置!$A$2&amp;"':"&amp;表1_8610[[#This Row],[补偿辎重]]&amp;"},"</f>
        <v>{'coin':2000,'item036':20},</v>
      </c>
      <c r="X11" s="624" t="str">
        <f>"      '"&amp;表1_8610[[#This Row],[区服]]&amp;"':{"</f>
        <v>      '31':{</v>
      </c>
    </row>
    <row r="12" ht="14.25" customHeight="1" spans="1:24">
      <c r="A12" s="606">
        <v>31</v>
      </c>
      <c r="B12" s="606">
        <f>VLOOKUP(表1_8610[[#This Row],[区服]],$O$23:$P$30,2,FALSE)</f>
        <v>53</v>
      </c>
      <c r="C12" s="607" t="s">
        <v>47</v>
      </c>
      <c r="D12" s="608" t="str">
        <f>表1_8610[[#This Row],[目标国家]]</f>
        <v>魏</v>
      </c>
      <c r="E12" s="609">
        <f>(VLOOKUP(表1_8610[[#This Row],[目标区服]],$Q$23:$R$24,2,FALSE)-表1_8610[[#This Row],[开服天数]])*配置!$B$1</f>
        <v>2000</v>
      </c>
      <c r="F12" s="609">
        <f>表1_8610[[#This Row],[补偿Coin]]*(表1_8610[[#This Row],[活跃高战玩家数]]+表1_8610[[#This Row],[活跃中坚玩家数]])</f>
        <v>50000</v>
      </c>
      <c r="G12" s="609">
        <f>(VLOOKUP(表1_8610[[#This Row],[目标区服]],$Q$23:$R$24,2,FALSE)-表1_8610[[#This Row],[开服天数]])*配置!$B$2</f>
        <v>20</v>
      </c>
      <c r="H12" s="608" t="s">
        <v>26</v>
      </c>
      <c r="I12" s="608">
        <f>IF(表1_8610[[#This Row],[原国家]]="魏",0,IF(表1_8610[[#This Row],[原国家]]="蜀",1,2))</f>
        <v>1</v>
      </c>
      <c r="J12" s="609">
        <v>2</v>
      </c>
      <c r="K12" s="609">
        <v>91</v>
      </c>
      <c r="L12" s="609">
        <v>5</v>
      </c>
      <c r="M12" s="609">
        <v>20</v>
      </c>
      <c r="N12" s="609">
        <v>111585</v>
      </c>
      <c r="O12" s="609">
        <v>2311830</v>
      </c>
      <c r="P12" s="616">
        <v>19709280</v>
      </c>
      <c r="Q12" s="619" t="s">
        <v>25</v>
      </c>
      <c r="R12" s="608">
        <f>IF(表1_8610[[#This Row],[目标国家]]="魏",0,IF(表1_8610[[#This Row],[目标国家]]="蜀",1,2))</f>
        <v>0</v>
      </c>
      <c r="S12" s="609">
        <v>23702</v>
      </c>
      <c r="T12" s="609">
        <v>0</v>
      </c>
      <c r="U12" s="609">
        <v>430654</v>
      </c>
      <c r="V12" s="609">
        <v>7092</v>
      </c>
      <c r="W12" s="621" t="str">
        <f>"{"&amp;"'coin':"&amp;表1_8610[[#This Row],[补偿Coin]]&amp;",'"&amp;配置!$A$2&amp;"':"&amp;表1_8610[[#This Row],[补偿辎重]]&amp;"},"</f>
        <v>{'coin':2000,'item036':20},</v>
      </c>
      <c r="X12" s="624" t="str">
        <f>"            'reward':"&amp;表1_8610[[#This Row],[辅助导出]]&amp;"
            'country':["&amp;R11&amp;","&amp;R12&amp;","&amp;R13&amp;"],"</f>
        <v>            'reward':{'coin':2000,'item036':20},
            'country':[2,0,2],</v>
      </c>
    </row>
    <row r="13" ht="14.25" customHeight="1" spans="1:24">
      <c r="A13" s="606">
        <v>31</v>
      </c>
      <c r="B13" s="606">
        <f>VLOOKUP(表1_8610[[#This Row],[区服]],$O$23:$P$30,2,FALSE)</f>
        <v>53</v>
      </c>
      <c r="C13" s="607" t="s">
        <v>47</v>
      </c>
      <c r="D13" s="608" t="str">
        <f>表1_8610[[#This Row],[目标国家]]</f>
        <v>吴</v>
      </c>
      <c r="E13" s="609">
        <f>(VLOOKUP(表1_8610[[#This Row],[目标区服]],$Q$23:$R$24,2,FALSE)-表1_8610[[#This Row],[开服天数]])*配置!$B$1</f>
        <v>2000</v>
      </c>
      <c r="F13" s="609">
        <f>表1_8610[[#This Row],[补偿Coin]]*(表1_8610[[#This Row],[活跃高战玩家数]]+表1_8610[[#This Row],[活跃中坚玩家数]])</f>
        <v>18000</v>
      </c>
      <c r="G13" s="609">
        <f>(VLOOKUP(表1_8610[[#This Row],[目标区服]],$Q$23:$R$24,2,FALSE)-表1_8610[[#This Row],[开服天数]])*配置!$B$2</f>
        <v>20</v>
      </c>
      <c r="H13" s="608" t="s">
        <v>27</v>
      </c>
      <c r="I13" s="608">
        <f>IF(表1_8610[[#This Row],[原国家]]="魏",0,IF(表1_8610[[#This Row],[原国家]]="蜀",1,2))</f>
        <v>2</v>
      </c>
      <c r="J13" s="609">
        <v>0</v>
      </c>
      <c r="K13" s="609">
        <v>15</v>
      </c>
      <c r="L13" s="609">
        <v>0</v>
      </c>
      <c r="M13" s="609">
        <v>9</v>
      </c>
      <c r="N13" s="609">
        <v>19540</v>
      </c>
      <c r="O13" s="609">
        <v>1014733</v>
      </c>
      <c r="P13" s="616">
        <v>4704670</v>
      </c>
      <c r="Q13" s="619" t="s">
        <v>27</v>
      </c>
      <c r="R13" s="608">
        <f>IF(表1_8610[[#This Row],[目标国家]]="魏",0,IF(表1_8610[[#This Row],[目标国家]]="蜀",1,2))</f>
        <v>2</v>
      </c>
      <c r="S13" s="609">
        <v>968</v>
      </c>
      <c r="T13" s="609">
        <v>0</v>
      </c>
      <c r="U13" s="609">
        <v>128837</v>
      </c>
      <c r="V13" s="609">
        <v>1890</v>
      </c>
      <c r="W13" s="621" t="str">
        <f>"{"&amp;"'coin':"&amp;表1_8610[[#This Row],[补偿Coin]]&amp;",'"&amp;配置!$A$2&amp;"':"&amp;表1_8610[[#This Row],[补偿辎重]]&amp;"},"</f>
        <v>{'coin':2000,'item036':20},</v>
      </c>
      <c r="X13" s="624" t="str">
        <f t="shared" ref="X13" si="2">"      },"</f>
        <v>      },</v>
      </c>
    </row>
    <row r="14" ht="14.25" customHeight="1" spans="1:24">
      <c r="A14" s="700">
        <v>32</v>
      </c>
      <c r="B14" s="700">
        <f>VLOOKUP(表1_8610[[#This Row],[区服]],$O$23:$P$30,2,FALSE)</f>
        <v>51</v>
      </c>
      <c r="C14" s="701" t="s">
        <v>48</v>
      </c>
      <c r="D14" s="702" t="str">
        <f>表1_8610[[#This Row],[目标国家]]</f>
        <v>蜀</v>
      </c>
      <c r="E14" s="703" t="e">
        <f>(VLOOKUP(表1_8610[[#This Row],[目标区服]],$Q$23:$R$24,2,FALSE)-表1_8610[[#This Row],[开服天数]])*配置!$B$1</f>
        <v>#N/A</v>
      </c>
      <c r="F14" s="703" t="e">
        <f>表1_8610[[#This Row],[补偿Coin]]*(表1_8610[[#This Row],[活跃高战玩家数]]+表1_8610[[#This Row],[活跃中坚玩家数]])</f>
        <v>#N/A</v>
      </c>
      <c r="G14" s="703" t="e">
        <f>(VLOOKUP(表1_8610[[#This Row],[目标区服]],$Q$23:$R$24,2,FALSE)-表1_8610[[#This Row],[开服天数]])*配置!$B$2</f>
        <v>#N/A</v>
      </c>
      <c r="H14" s="702" t="s">
        <v>25</v>
      </c>
      <c r="I14" s="702">
        <f>IF(表1_8610[[#This Row],[原国家]]="魏",0,IF(表1_8610[[#This Row],[原国家]]="蜀",1,2))</f>
        <v>0</v>
      </c>
      <c r="J14" s="703">
        <v>8</v>
      </c>
      <c r="K14" s="703">
        <v>305</v>
      </c>
      <c r="L14" s="703">
        <v>5</v>
      </c>
      <c r="M14" s="703">
        <v>26</v>
      </c>
      <c r="N14" s="703">
        <v>163306</v>
      </c>
      <c r="O14" s="703">
        <v>2769833</v>
      </c>
      <c r="P14" s="706">
        <v>31690668</v>
      </c>
      <c r="Q14" s="679" t="s">
        <v>26</v>
      </c>
      <c r="R14" s="702">
        <f>IF(表1_8610[[#This Row],[目标国家]]="魏",0,IF(表1_8610[[#This Row],[目标国家]]="蜀",1,2))</f>
        <v>1</v>
      </c>
      <c r="S14" s="703">
        <v>94858</v>
      </c>
      <c r="T14" s="703">
        <v>2604</v>
      </c>
      <c r="U14" s="703">
        <v>845701</v>
      </c>
      <c r="V14" s="703">
        <v>14322</v>
      </c>
      <c r="W14" s="707" t="e">
        <f>"{"&amp;"'coin':"&amp;表1_8610[[#This Row],[补偿Coin]]&amp;",'"&amp;配置!$A$2&amp;"':"&amp;表1_8610[[#This Row],[补偿辎重]]&amp;"},"</f>
        <v>#N/A</v>
      </c>
      <c r="X14" s="708" t="str">
        <f>"      '"&amp;表1_8610[[#This Row],[区服]]&amp;"':{"</f>
        <v>      '32':{</v>
      </c>
    </row>
    <row r="15" ht="14.25" customHeight="1" spans="1:24">
      <c r="A15" s="700">
        <v>32</v>
      </c>
      <c r="B15" s="700">
        <f>VLOOKUP(表1_8610[[#This Row],[区服]],$O$23:$P$30,2,FALSE)</f>
        <v>51</v>
      </c>
      <c r="C15" s="701" t="s">
        <v>48</v>
      </c>
      <c r="D15" s="702" t="str">
        <f>表1_8610[[#This Row],[目标国家]]</f>
        <v>蜀</v>
      </c>
      <c r="E15" s="703" t="e">
        <f>(VLOOKUP(表1_8610[[#This Row],[目标区服]],$Q$23:$R$24,2,FALSE)-表1_8610[[#This Row],[开服天数]])*配置!$B$1</f>
        <v>#N/A</v>
      </c>
      <c r="F15" s="703" t="e">
        <f>表1_8610[[#This Row],[补偿Coin]]*(表1_8610[[#This Row],[活跃高战玩家数]]+表1_8610[[#This Row],[活跃中坚玩家数]])</f>
        <v>#N/A</v>
      </c>
      <c r="G15" s="703" t="e">
        <f>(VLOOKUP(表1_8610[[#This Row],[目标区服]],$Q$23:$R$24,2,FALSE)-表1_8610[[#This Row],[开服天数]])*配置!$B$2</f>
        <v>#N/A</v>
      </c>
      <c r="H15" s="702" t="s">
        <v>26</v>
      </c>
      <c r="I15" s="702">
        <f>IF(表1_8610[[#This Row],[原国家]]="魏",0,IF(表1_8610[[#This Row],[原国家]]="蜀",1,2))</f>
        <v>1</v>
      </c>
      <c r="J15" s="703">
        <v>1</v>
      </c>
      <c r="K15" s="703">
        <v>79</v>
      </c>
      <c r="L15" s="703">
        <v>4</v>
      </c>
      <c r="M15" s="703">
        <v>23</v>
      </c>
      <c r="N15" s="703">
        <v>118005</v>
      </c>
      <c r="O15" s="703">
        <v>2306737</v>
      </c>
      <c r="P15" s="706">
        <v>22861681</v>
      </c>
      <c r="Q15" s="679" t="s">
        <v>26</v>
      </c>
      <c r="R15" s="702">
        <f>IF(表1_8610[[#This Row],[目标国家]]="魏",0,IF(表1_8610[[#This Row],[目标国家]]="蜀",1,2))</f>
        <v>1</v>
      </c>
      <c r="S15" s="703">
        <v>55506</v>
      </c>
      <c r="T15" s="703">
        <v>128</v>
      </c>
      <c r="U15" s="703">
        <v>213285</v>
      </c>
      <c r="V15" s="703">
        <v>7952</v>
      </c>
      <c r="W15" s="707" t="e">
        <f>"{"&amp;"'coin':"&amp;表1_8610[[#This Row],[补偿Coin]]&amp;",'"&amp;配置!$A$2&amp;"':"&amp;表1_8610[[#This Row],[补偿辎重]]&amp;"},"</f>
        <v>#N/A</v>
      </c>
      <c r="X15" s="708" t="e">
        <f>"            'reward':"&amp;表1_8610[[#This Row],[辅助导出]]&amp;"
            'country':["&amp;R14&amp;","&amp;R15&amp;","&amp;R16&amp;"],"</f>
        <v>#N/A</v>
      </c>
    </row>
    <row r="16" ht="14.25" customHeight="1" spans="1:24">
      <c r="A16" s="700">
        <v>32</v>
      </c>
      <c r="B16" s="700">
        <f>VLOOKUP(表1_8610[[#This Row],[区服]],$O$23:$P$30,2,FALSE)</f>
        <v>51</v>
      </c>
      <c r="C16" s="701" t="s">
        <v>48</v>
      </c>
      <c r="D16" s="702" t="str">
        <f>表1_8610[[#This Row],[目标国家]]</f>
        <v>吴</v>
      </c>
      <c r="E16" s="703" t="e">
        <f>(VLOOKUP(表1_8610[[#This Row],[目标区服]],$Q$23:$R$24,2,FALSE)-表1_8610[[#This Row],[开服天数]])*配置!$B$1</f>
        <v>#N/A</v>
      </c>
      <c r="F16" s="703" t="e">
        <f>表1_8610[[#This Row],[补偿Coin]]*(表1_8610[[#This Row],[活跃高战玩家数]]+表1_8610[[#This Row],[活跃中坚玩家数]])</f>
        <v>#N/A</v>
      </c>
      <c r="G16" s="703" t="e">
        <f>(VLOOKUP(表1_8610[[#This Row],[目标区服]],$Q$23:$R$24,2,FALSE)-表1_8610[[#This Row],[开服天数]])*配置!$B$2</f>
        <v>#N/A</v>
      </c>
      <c r="H16" s="702" t="s">
        <v>27</v>
      </c>
      <c r="I16" s="702">
        <f>IF(表1_8610[[#This Row],[原国家]]="魏",0,IF(表1_8610[[#This Row],[原国家]]="蜀",1,2))</f>
        <v>2</v>
      </c>
      <c r="J16" s="703">
        <v>0</v>
      </c>
      <c r="K16" s="703">
        <v>11</v>
      </c>
      <c r="L16" s="703">
        <v>0</v>
      </c>
      <c r="M16" s="703">
        <v>8</v>
      </c>
      <c r="N16" s="703">
        <v>10929</v>
      </c>
      <c r="O16" s="703">
        <v>811190</v>
      </c>
      <c r="P16" s="706">
        <v>3577463</v>
      </c>
      <c r="Q16" s="679" t="s">
        <v>27</v>
      </c>
      <c r="R16" s="702">
        <f>IF(表1_8610[[#This Row],[目标国家]]="魏",0,IF(表1_8610[[#This Row],[目标国家]]="蜀",1,2))</f>
        <v>2</v>
      </c>
      <c r="S16" s="703">
        <v>1802</v>
      </c>
      <c r="T16" s="703">
        <v>0</v>
      </c>
      <c r="U16" s="703">
        <v>65095</v>
      </c>
      <c r="V16" s="703">
        <v>1452</v>
      </c>
      <c r="W16" s="707" t="e">
        <f>"{"&amp;"'coin':"&amp;表1_8610[[#This Row],[补偿Coin]]&amp;",'"&amp;配置!$A$2&amp;"':"&amp;表1_8610[[#This Row],[补偿辎重]]&amp;"},"</f>
        <v>#N/A</v>
      </c>
      <c r="X16" s="708" t="str">
        <f t="shared" ref="X16" si="3">"      },"</f>
        <v>      },</v>
      </c>
    </row>
    <row r="17" spans="1:24">
      <c r="A17" s="723"/>
      <c r="B17" s="723"/>
      <c r="C17" s="724"/>
      <c r="D17" s="725"/>
      <c r="E17" s="726"/>
      <c r="F17" s="726"/>
      <c r="G17" s="726"/>
      <c r="H17" s="725"/>
      <c r="I17" s="725"/>
      <c r="J17" s="726"/>
      <c r="K17" s="726"/>
      <c r="L17" s="726"/>
      <c r="M17" s="726"/>
      <c r="N17" s="726"/>
      <c r="O17" s="726"/>
      <c r="P17" s="735"/>
      <c r="Q17" s="740"/>
      <c r="R17" s="725"/>
      <c r="S17" s="726"/>
      <c r="T17" s="726"/>
      <c r="U17" s="726"/>
      <c r="V17" s="726"/>
      <c r="W17" s="741"/>
      <c r="X17" s="741"/>
    </row>
    <row r="18" spans="1:24">
      <c r="A18" s="723"/>
      <c r="B18" s="723"/>
      <c r="C18" s="724"/>
      <c r="D18" s="725"/>
      <c r="E18" s="726"/>
      <c r="F18" s="726"/>
      <c r="G18" s="726"/>
      <c r="H18" s="725"/>
      <c r="I18" s="725"/>
      <c r="J18" s="726"/>
      <c r="K18" s="726"/>
      <c r="L18" s="726"/>
      <c r="M18" s="726"/>
      <c r="N18" s="726"/>
      <c r="O18" s="726"/>
      <c r="P18" s="735"/>
      <c r="Q18" s="740"/>
      <c r="R18" s="725"/>
      <c r="S18" s="726"/>
      <c r="T18" s="726"/>
      <c r="U18" s="726"/>
      <c r="V18" s="726"/>
      <c r="W18" s="741"/>
      <c r="X18" s="741"/>
    </row>
    <row r="19" ht="37.5" customHeight="1" spans="1:24">
      <c r="A19" s="723"/>
      <c r="B19" s="723"/>
      <c r="C19" s="724"/>
      <c r="D19" s="725"/>
      <c r="E19" s="726"/>
      <c r="F19" s="726"/>
      <c r="G19" s="726"/>
      <c r="H19" s="725"/>
      <c r="I19" s="725"/>
      <c r="J19" s="726"/>
      <c r="K19" s="726"/>
      <c r="L19" s="726"/>
      <c r="M19" s="726"/>
      <c r="N19" s="726"/>
      <c r="O19" s="726"/>
      <c r="P19" s="735"/>
      <c r="Q19" s="740"/>
      <c r="R19" s="725"/>
      <c r="S19" s="726"/>
      <c r="T19" s="726"/>
      <c r="U19" s="726"/>
      <c r="V19" s="726"/>
      <c r="W19" s="741"/>
      <c r="X19" s="741"/>
    </row>
    <row r="22" ht="27" spans="1:18">
      <c r="A22" s="36" t="s">
        <v>28</v>
      </c>
      <c r="B22" s="37" t="s">
        <v>29</v>
      </c>
      <c r="C22" s="38" t="s">
        <v>30</v>
      </c>
      <c r="D22" s="38" t="s">
        <v>31</v>
      </c>
      <c r="E22" s="38" t="s">
        <v>32</v>
      </c>
      <c r="F22" s="38" t="s">
        <v>33</v>
      </c>
      <c r="G22" s="38" t="s">
        <v>15</v>
      </c>
      <c r="H22" s="37" t="s">
        <v>18</v>
      </c>
      <c r="I22" s="37" t="s">
        <v>19</v>
      </c>
      <c r="J22" s="37" t="s">
        <v>34</v>
      </c>
      <c r="K22" s="38" t="s">
        <v>35</v>
      </c>
      <c r="L22" s="38" t="s">
        <v>36</v>
      </c>
      <c r="M22" s="38" t="s">
        <v>37</v>
      </c>
      <c r="O22" s="51" t="s">
        <v>0</v>
      </c>
      <c r="P22" s="51" t="s">
        <v>1</v>
      </c>
      <c r="Q22" s="51"/>
      <c r="R22" s="51" t="s">
        <v>38</v>
      </c>
    </row>
    <row r="23" ht="15" spans="1:18">
      <c r="A23" s="704" t="s">
        <v>46</v>
      </c>
      <c r="B23" s="704" t="s">
        <v>25</v>
      </c>
      <c r="C23" s="704">
        <f>COUNTIFS(表1_8610[目标区服],表2_9711[[#This Row],[合区区服]],表1_8610[目标国家（映射）],表2_9711[[#This Row],[国家]])</f>
        <v>2</v>
      </c>
      <c r="D23" s="704">
        <f>SUMIFS(表1_8610[活跃高战玩家数],表1_8610[目标区服],表2_9711[[#This Row],[合区区服]],表1_8610[目标国家（映射）],表2_9711[[#This Row],[国家]])</f>
        <v>3</v>
      </c>
      <c r="E23" s="704">
        <f>SUMIFS(表1_8610[活跃中坚玩家数],表1_8610[目标区服],表2_9711[[#This Row],[合区区服]],表1_8610[目标国家（映射）],表2_9711[[#This Row],[国家]])</f>
        <v>36</v>
      </c>
      <c r="F23" s="704">
        <f t="array" ref="F23">MAX((表1_8610[目标区服]=表2_9711[[#This Row],[合区区服]])*(表1_8610[目标国家（映射）]=表2_9711[[#This Row],[国家]])*表1_8610[活跃尖端战力])</f>
        <v>2360699</v>
      </c>
      <c r="G23" s="705">
        <f>SUMIFS(表1_8610[活跃总战力],表1_8610[目标区服],表2_9711[[#This Row],[合区区服]],表1_8610[目标国家（映射）],表2_9711[[#This Row],[国家]])</f>
        <v>27316989</v>
      </c>
      <c r="H23" s="704">
        <f>SUMIFS(表1_8610[活跃实际充值],表1_8610[目标区服],表2_9711[[#This Row],[合区区服]],表1_8610[目标国家（映射）],表2_9711[[#This Row],[国家]])</f>
        <v>78276</v>
      </c>
      <c r="I23" s="704">
        <f>SUMIFS(表1_8610[活跃虚拟充值],表1_8610[目标区服],表2_9711[[#This Row],[合区区服]],表1_8610[目标国家（映射）],表2_9711[[#This Row],[国家]])</f>
        <v>4074</v>
      </c>
      <c r="J23" s="704">
        <f>SUMIFS(表1_8610[活跃Coin],表1_8610[目标区服],表2_9711[[#This Row],[合区区服]],表1_8610[目标国家（映射）],表2_9711[[#This Row],[国家]])</f>
        <v>498040</v>
      </c>
      <c r="K23" s="704">
        <f>SUMIFS(表1_8610[共计补偿Coin],表1_8610[目标区服],表2_9711[[#This Row],[合区区服]],表1_8610[目标国家（映射）],表2_9711[[#This Row],[国家]])</f>
        <v>50000</v>
      </c>
      <c r="L23" s="704">
        <f>表2_9711[[#This Row],[活跃Coin]]+表2_9711[[#This Row],[共计补偿Coin]]</f>
        <v>548040</v>
      </c>
      <c r="M23" s="704">
        <f>SUMIFS(表1_8610[综合国力],表1_8610[目标区服],表2_9711[[#This Row],[合区区服]],表1_8610[目标国家（映射）],表2_9711[[#This Row],[国家]])</f>
        <v>12077</v>
      </c>
      <c r="O23" s="51">
        <v>28</v>
      </c>
      <c r="P23" s="51">
        <v>58</v>
      </c>
      <c r="Q23" s="51" t="s">
        <v>46</v>
      </c>
      <c r="R23" s="51">
        <v>60</v>
      </c>
    </row>
    <row r="24" ht="15" spans="1:18">
      <c r="A24" s="704" t="s">
        <v>46</v>
      </c>
      <c r="B24" s="704" t="s">
        <v>26</v>
      </c>
      <c r="C24" s="704">
        <f>COUNTIFS(表1_8610[目标区服],表2_9711[[#This Row],[合区区服]],表1_8610[目标国家（映射）],表2_9711[[#This Row],[国家]])</f>
        <v>1</v>
      </c>
      <c r="D24" s="704">
        <f>SUMIFS(表1_8610[活跃高战玩家数],表1_8610[目标区服],表2_9711[[#This Row],[合区区服]],表1_8610[目标国家（映射）],表2_9711[[#This Row],[国家]])</f>
        <v>8</v>
      </c>
      <c r="E24" s="704">
        <f>SUMIFS(表1_8610[活跃中坚玩家数],表1_8610[目标区服],表2_9711[[#This Row],[合区区服]],表1_8610[目标国家（映射）],表2_9711[[#This Row],[国家]])</f>
        <v>34</v>
      </c>
      <c r="F24" s="704">
        <f t="array" ref="F24">MAX((表1_8610[目标区服]=表2_9711[[#This Row],[合区区服]])*(表1_8610[目标国家（映射）]=表2_9711[[#This Row],[国家]])*表1_8610[活跃尖端战力])</f>
        <v>3113419</v>
      </c>
      <c r="G24" s="705">
        <f>SUMIFS(表1_8610[活跃总战力],表1_8610[目标区服],表2_9711[[#This Row],[合区区服]],表1_8610[目标国家（映射）],表2_9711[[#This Row],[国家]])</f>
        <v>40311953</v>
      </c>
      <c r="H24" s="704">
        <f>SUMIFS(表1_8610[活跃实际充值],表1_8610[目标区服],表2_9711[[#This Row],[合区区服]],表1_8610[目标国家（映射）],表2_9711[[#This Row],[国家]])</f>
        <v>166964</v>
      </c>
      <c r="I24" s="704">
        <f>SUMIFS(表1_8610[活跃虚拟充值],表1_8610[目标区服],表2_9711[[#This Row],[合区区服]],表1_8610[目标国家（映射）],表2_9711[[#This Row],[国家]])</f>
        <v>68</v>
      </c>
      <c r="J24" s="704">
        <f>SUMIFS(表1_8610[活跃Coin],表1_8610[目标区服],表2_9711[[#This Row],[合区区服]],表1_8610[目标国家（映射）],表2_9711[[#This Row],[国家]])</f>
        <v>833582</v>
      </c>
      <c r="K24" s="704">
        <f>SUMIFS(表1_8610[共计补偿Coin],表1_8610[目标区服],表2_9711[[#This Row],[合区区服]],表1_8610[目标国家（映射）],表2_9711[[#This Row],[国家]])</f>
        <v>42000</v>
      </c>
      <c r="L24" s="704">
        <f>表2_9711[[#This Row],[活跃Coin]]+表2_9711[[#This Row],[共计补偿Coin]]</f>
        <v>875582</v>
      </c>
      <c r="M24" s="704">
        <f>SUMIFS(表1_8610[综合国力],表1_8610[目标区服],表2_9711[[#This Row],[合区区服]],表1_8610[目标国家（映射）],表2_9711[[#This Row],[国家]])</f>
        <v>18596</v>
      </c>
      <c r="O24" s="51">
        <v>29</v>
      </c>
      <c r="P24" s="51">
        <v>57</v>
      </c>
      <c r="Q24" s="51" t="s">
        <v>47</v>
      </c>
      <c r="R24" s="51">
        <v>57</v>
      </c>
    </row>
    <row r="25" ht="15" spans="1:16">
      <c r="A25" s="704" t="s">
        <v>46</v>
      </c>
      <c r="B25" s="704" t="s">
        <v>27</v>
      </c>
      <c r="C25" s="704">
        <f>COUNTIFS(表1_8610[目标区服],表2_9711[[#This Row],[合区区服]],表1_8610[目标国家（映射）],表2_9711[[#This Row],[国家]])</f>
        <v>3</v>
      </c>
      <c r="D25" s="704">
        <f>SUMIFS(表1_8610[活跃高战玩家数],表1_8610[目标区服],表2_9711[[#This Row],[合区区服]],表1_8610[目标国家（映射）],表2_9711[[#This Row],[国家]])</f>
        <v>6</v>
      </c>
      <c r="E25" s="704">
        <f>SUMIFS(表1_8610[活跃中坚玩家数],表1_8610[目标区服],表2_9711[[#This Row],[合区区服]],表1_8610[目标国家（映射）],表2_9711[[#This Row],[国家]])</f>
        <v>42</v>
      </c>
      <c r="F25" s="704">
        <f t="array" ref="F25">MAX((表1_8610[目标区服]=表2_9711[[#This Row],[合区区服]])*(表1_8610[目标国家（映射）]=表2_9711[[#This Row],[国家]])*表1_8610[活跃尖端战力])</f>
        <v>2430023</v>
      </c>
      <c r="G25" s="705">
        <f>SUMIFS(表1_8610[活跃总战力],表1_8610[目标区服],表2_9711[[#This Row],[合区区服]],表1_8610[目标国家（映射）],表2_9711[[#This Row],[国家]])</f>
        <v>34063634</v>
      </c>
      <c r="H25" s="704">
        <f>SUMIFS(表1_8610[活跃实际充值],表1_8610[目标区服],表2_9711[[#This Row],[合区区服]],表1_8610[目标国家（映射）],表2_9711[[#This Row],[国家]])</f>
        <v>39632</v>
      </c>
      <c r="I25" s="704">
        <f>SUMIFS(表1_8610[活跃虚拟充值],表1_8610[目标区服],表2_9711[[#This Row],[合区区服]],表1_8610[目标国家（映射）],表2_9711[[#This Row],[国家]])</f>
        <v>27342</v>
      </c>
      <c r="J25" s="704">
        <f>SUMIFS(表1_8610[活跃Coin],表1_8610[目标区服],表2_9711[[#This Row],[合区区服]],表1_8610[目标国家（映射）],表2_9711[[#This Row],[国家]])</f>
        <v>784786</v>
      </c>
      <c r="K25" s="704">
        <f>SUMIFS(表1_8610[共计补偿Coin],表1_8610[目标区服],表2_9711[[#This Row],[合区区服]],表1_8610[目标国家（映射）],表2_9711[[#This Row],[国家]])</f>
        <v>66000</v>
      </c>
      <c r="L25" s="704">
        <f>表2_9711[[#This Row],[活跃Coin]]+表2_9711[[#This Row],[共计补偿Coin]]</f>
        <v>850786</v>
      </c>
      <c r="M25" s="704">
        <f>SUMIFS(表1_8610[综合国力],表1_8610[目标区服],表2_9711[[#This Row],[合区区服]],表1_8610[目标国家（映射）],表2_9711[[#This Row],[国家]])</f>
        <v>14134</v>
      </c>
      <c r="O25" s="51">
        <v>30</v>
      </c>
      <c r="P25" s="51">
        <v>55</v>
      </c>
    </row>
    <row r="26" ht="15" spans="1:16">
      <c r="A26" s="672" t="s">
        <v>47</v>
      </c>
      <c r="B26" s="672" t="s">
        <v>25</v>
      </c>
      <c r="C26" s="672">
        <f>COUNTIFS(表1_8610[目标区服],表2_9711[[#This Row],[合区区服]],表1_8610[目标国家（映射）],表2_9711[[#This Row],[国家]])</f>
        <v>2</v>
      </c>
      <c r="D26" s="672">
        <f>SUMIFS(表1_8610[活跃高战玩家数],表1_8610[目标区服],表2_9711[[#This Row],[合区区服]],表1_8610[目标国家（映射）],表2_9711[[#This Row],[国家]])</f>
        <v>6</v>
      </c>
      <c r="E26" s="672">
        <f>SUMIFS(表1_8610[活跃中坚玩家数],表1_8610[目标区服],表2_9711[[#This Row],[合区区服]],表1_8610[目标国家（映射）],表2_9711[[#This Row],[国家]])</f>
        <v>41</v>
      </c>
      <c r="F26" s="672">
        <f t="array" ref="F26">MAX((表1_8610[目标区服]=表2_9711[[#This Row],[合区区服]])*(表1_8610[目标国家（映射）]=表2_9711[[#This Row],[国家]])*表1_8610[活跃尖端战力])</f>
        <v>2311830</v>
      </c>
      <c r="G26" s="673">
        <f>SUMIFS(表1_8610[活跃总战力],表1_8610[目标区服],表2_9711[[#This Row],[合区区服]],表1_8610[目标国家（映射）],表2_9711[[#This Row],[国家]])</f>
        <v>36097555</v>
      </c>
      <c r="H26" s="672">
        <f>SUMIFS(表1_8610[活跃实际充值],表1_8610[目标区服],表2_9711[[#This Row],[合区区服]],表1_8610[目标国家（映射）],表2_9711[[#This Row],[国家]])</f>
        <v>63170</v>
      </c>
      <c r="I26" s="672">
        <f>SUMIFS(表1_8610[活跃虚拟充值],表1_8610[目标区服],表2_9711[[#This Row],[合区区服]],表1_8610[目标国家（映射）],表2_9711[[#This Row],[国家]])</f>
        <v>6</v>
      </c>
      <c r="J26" s="672">
        <f>SUMIFS(表1_8610[活跃Coin],表1_8610[目标区服],表2_9711[[#This Row],[合区区服]],表1_8610[目标国家（映射）],表2_9711[[#This Row],[国家]])</f>
        <v>601966</v>
      </c>
      <c r="K26" s="672">
        <f>SUMIFS(表1_8610[共计补偿Coin],表1_8610[目标区服],表2_9711[[#This Row],[合区区服]],表1_8610[目标国家（映射）],表2_9711[[#This Row],[国家]])</f>
        <v>72000</v>
      </c>
      <c r="L26" s="672">
        <f>表2_9711[[#This Row],[活跃Coin]]+表2_9711[[#This Row],[共计补偿Coin]]</f>
        <v>673966</v>
      </c>
      <c r="M26" s="672">
        <f>SUMIFS(表1_8610[综合国力],表1_8610[目标区服],表2_9711[[#This Row],[合区区服]],表1_8610[目标国家（映射）],表2_9711[[#This Row],[国家]])</f>
        <v>12687</v>
      </c>
      <c r="O26" s="51">
        <v>31</v>
      </c>
      <c r="P26" s="51">
        <v>53</v>
      </c>
    </row>
    <row r="27" ht="15" spans="1:16">
      <c r="A27" s="672" t="s">
        <v>47</v>
      </c>
      <c r="B27" s="672" t="s">
        <v>26</v>
      </c>
      <c r="C27" s="672">
        <f>COUNTIFS(表1_8610[目标区服],表2_9711[[#This Row],[合区区服]],表1_8610[目标国家（映射）],表2_9711[[#This Row],[国家]])</f>
        <v>1</v>
      </c>
      <c r="D27" s="672">
        <f>SUMIFS(表1_8610[活跃高战玩家数],表1_8610[目标区服],表2_9711[[#This Row],[合区区服]],表1_8610[目标国家（映射）],表2_9711[[#This Row],[国家]])</f>
        <v>8</v>
      </c>
      <c r="E27" s="672">
        <f>SUMIFS(表1_8610[活跃中坚玩家数],表1_8610[目标区服],表2_9711[[#This Row],[合区区服]],表1_8610[目标国家（映射）],表2_9711[[#This Row],[国家]])</f>
        <v>19</v>
      </c>
      <c r="F27" s="672">
        <f t="array" ref="F27">MAX((表1_8610[目标区服]=表2_9711[[#This Row],[合区区服]])*(表1_8610[目标国家（映射）]=表2_9711[[#This Row],[国家]])*表1_8610[活跃尖端战力])</f>
        <v>3166024</v>
      </c>
      <c r="G27" s="673">
        <f>SUMIFS(表1_8610[活跃总战力],表1_8610[目标区服],表2_9711[[#This Row],[合区区服]],表1_8610[目标国家（映射）],表2_9711[[#This Row],[国家]])</f>
        <v>30789769</v>
      </c>
      <c r="H27" s="672">
        <f>SUMIFS(表1_8610[活跃实际充值],表1_8610[目标区服],表2_9711[[#This Row],[合区区服]],表1_8610[目标国家（映射）],表2_9711[[#This Row],[国家]])</f>
        <v>124882</v>
      </c>
      <c r="I27" s="672">
        <f>SUMIFS(表1_8610[活跃虚拟充值],表1_8610[目标区服],表2_9711[[#This Row],[合区区服]],表1_8610[目标国家（映射）],表2_9711[[#This Row],[国家]])</f>
        <v>104</v>
      </c>
      <c r="J27" s="672">
        <f>SUMIFS(表1_8610[活跃Coin],表1_8610[目标区服],表2_9711[[#This Row],[合区区服]],表1_8610[目标国家（映射）],表2_9711[[#This Row],[国家]])</f>
        <v>753579</v>
      </c>
      <c r="K27" s="672">
        <f>SUMIFS(表1_8610[共计补偿Coin],表1_8610[目标区服],表2_9711[[#This Row],[合区区服]],表1_8610[目标国家（映射）],表2_9711[[#This Row],[国家]])</f>
        <v>27000</v>
      </c>
      <c r="L27" s="672">
        <f>表2_9711[[#This Row],[活跃Coin]]+表2_9711[[#This Row],[共计补偿Coin]]</f>
        <v>780579</v>
      </c>
      <c r="M27" s="672">
        <f>SUMIFS(表1_8610[综合国力],表1_8610[目标区服],表2_9711[[#This Row],[合区区服]],表1_8610[目标国家（映射）],表2_9711[[#This Row],[国家]])</f>
        <v>16307</v>
      </c>
      <c r="O27" s="51">
        <v>32</v>
      </c>
      <c r="P27" s="51">
        <v>51</v>
      </c>
    </row>
    <row r="28" ht="15" spans="1:16">
      <c r="A28" s="672" t="s">
        <v>47</v>
      </c>
      <c r="B28" s="674" t="s">
        <v>27</v>
      </c>
      <c r="C28" s="674">
        <f>COUNTIFS(表1_8610[目标区服],表2_9711[[#This Row],[合区区服]],表1_8610[目标国家（映射）],表2_9711[[#This Row],[国家]])</f>
        <v>3</v>
      </c>
      <c r="D28" s="674">
        <f>SUMIFS(表1_8610[活跃高战玩家数],表1_8610[目标区服],表2_9711[[#This Row],[合区区服]],表1_8610[目标国家（映射）],表2_9711[[#This Row],[国家]])</f>
        <v>5</v>
      </c>
      <c r="E28" s="674">
        <f>SUMIFS(表1_8610[活跃中坚玩家数],表1_8610[目标区服],表2_9711[[#This Row],[合区区服]],表1_8610[目标国家（映射）],表2_9711[[#This Row],[国家]])</f>
        <v>44</v>
      </c>
      <c r="F28" s="674">
        <f t="array" ref="F28">MAX((表1_8610[目标区服]=表2_9711[[#This Row],[合区区服]])*(表1_8610[目标国家（映射）]=表2_9711[[#This Row],[国家]])*表1_8610[活跃尖端战力])</f>
        <v>2577316</v>
      </c>
      <c r="G28" s="675">
        <f>SUMIFS(表1_8610[活跃总战力],表1_8610[目标区服],表2_9711[[#This Row],[合区区服]],表1_8610[目标国家（映射）],表2_9711[[#This Row],[国家]])</f>
        <v>36310654</v>
      </c>
      <c r="H28" s="674">
        <f>SUMIFS(表1_8610[活跃实际充值],表1_8610[目标区服],表2_9711[[#This Row],[合区区服]],表1_8610[目标国家（映射）],表2_9711[[#This Row],[国家]])</f>
        <v>56852</v>
      </c>
      <c r="I28" s="674">
        <f>SUMIFS(表1_8610[活跃虚拟充值],表1_8610[目标区服],表2_9711[[#This Row],[合区区服]],表1_8610[目标国家（映射）],表2_9711[[#This Row],[国家]])</f>
        <v>2056</v>
      </c>
      <c r="J28" s="674">
        <f>SUMIFS(表1_8610[活跃Coin],表1_8610[目标区服],表2_9711[[#This Row],[合区区服]],表1_8610[目标国家（映射）],表2_9711[[#This Row],[国家]])</f>
        <v>864593</v>
      </c>
      <c r="K28" s="674">
        <f>SUMIFS(表1_8610[共计补偿Coin],表1_8610[目标区服],表2_9711[[#This Row],[合区区服]],表1_8610[目标国家（映射）],表2_9711[[#This Row],[国家]])</f>
        <v>86000</v>
      </c>
      <c r="L28" s="674">
        <f>表2_9711[[#This Row],[活跃Coin]]+表2_9711[[#This Row],[共计补偿Coin]]</f>
        <v>950593</v>
      </c>
      <c r="M28" s="674">
        <f>SUMIFS(表1_8610[综合国力],表1_8610[目标区服],表2_9711[[#This Row],[合区区服]],表1_8610[目标国家（映射）],表2_9711[[#This Row],[国家]])</f>
        <v>15712</v>
      </c>
      <c r="O28" s="51"/>
      <c r="P28" s="51"/>
    </row>
    <row r="29" spans="15:16">
      <c r="O29" s="51"/>
      <c r="P29" s="51"/>
    </row>
    <row r="30" spans="15:16">
      <c r="O30" s="51"/>
      <c r="P30" s="51"/>
    </row>
    <row r="33" ht="27" spans="1:12">
      <c r="A33" s="49"/>
      <c r="B33" s="50" t="s">
        <v>9</v>
      </c>
      <c r="C33" s="50" t="s">
        <v>10</v>
      </c>
      <c r="D33" s="50" t="s">
        <v>11</v>
      </c>
      <c r="E33" s="50" t="s">
        <v>12</v>
      </c>
      <c r="F33" s="50" t="s">
        <v>13</v>
      </c>
      <c r="G33" s="50" t="s">
        <v>14</v>
      </c>
      <c r="H33" s="50" t="s">
        <v>15</v>
      </c>
      <c r="I33" s="50" t="s">
        <v>18</v>
      </c>
      <c r="J33" s="50" t="s">
        <v>19</v>
      </c>
      <c r="K33" s="50" t="s">
        <v>20</v>
      </c>
      <c r="L33" s="50" t="s">
        <v>21</v>
      </c>
    </row>
    <row r="34" spans="1:12">
      <c r="A34" s="50" t="s">
        <v>25</v>
      </c>
      <c r="B34" s="50">
        <v>0</v>
      </c>
      <c r="C34" s="50">
        <v>15</v>
      </c>
      <c r="D34" s="50">
        <v>0</v>
      </c>
      <c r="E34" s="50">
        <v>17</v>
      </c>
      <c r="F34" s="50">
        <v>38546</v>
      </c>
      <c r="G34" s="50">
        <v>1499927</v>
      </c>
      <c r="H34" s="50">
        <v>10490373</v>
      </c>
      <c r="I34" s="50">
        <v>21326</v>
      </c>
      <c r="J34" s="50">
        <v>0</v>
      </c>
      <c r="K34" s="50">
        <v>167532</v>
      </c>
      <c r="L34" s="50">
        <v>3699</v>
      </c>
    </row>
    <row r="35" spans="1:12">
      <c r="A35" s="50" t="s">
        <v>26</v>
      </c>
      <c r="B35" s="50">
        <v>9</v>
      </c>
      <c r="C35" s="50">
        <v>373</v>
      </c>
      <c r="D35" s="50">
        <v>8</v>
      </c>
      <c r="E35" s="50">
        <v>34</v>
      </c>
      <c r="F35" s="50">
        <v>195743</v>
      </c>
      <c r="G35" s="50">
        <v>3113419</v>
      </c>
      <c r="H35" s="50">
        <v>40311953</v>
      </c>
      <c r="I35" s="50">
        <v>166964</v>
      </c>
      <c r="J35" s="50">
        <v>68</v>
      </c>
      <c r="K35" s="50">
        <v>833582</v>
      </c>
      <c r="L35" s="50">
        <v>18596</v>
      </c>
    </row>
    <row r="36" spans="1:12">
      <c r="A36" s="50" t="s">
        <v>27</v>
      </c>
      <c r="B36" s="50">
        <v>0</v>
      </c>
      <c r="C36" s="50">
        <v>6</v>
      </c>
      <c r="D36" s="50">
        <v>0</v>
      </c>
      <c r="E36" s="50">
        <v>12</v>
      </c>
      <c r="F36" s="50">
        <v>26061</v>
      </c>
      <c r="G36" s="50">
        <v>1305526</v>
      </c>
      <c r="H36" s="50">
        <v>7338306</v>
      </c>
      <c r="I36" s="50">
        <v>23218</v>
      </c>
      <c r="J36" s="50">
        <v>0</v>
      </c>
      <c r="K36" s="50">
        <v>62444</v>
      </c>
      <c r="L36" s="50">
        <v>2988</v>
      </c>
    </row>
    <row r="37" spans="1:12">
      <c r="A37" s="50" t="s">
        <v>25</v>
      </c>
      <c r="B37" s="50">
        <v>3</v>
      </c>
      <c r="C37" s="50">
        <v>146</v>
      </c>
      <c r="D37" s="50">
        <v>3</v>
      </c>
      <c r="E37" s="50">
        <v>19</v>
      </c>
      <c r="F37" s="50">
        <v>99076</v>
      </c>
      <c r="G37" s="50">
        <v>2360699</v>
      </c>
      <c r="H37" s="50">
        <v>16826616</v>
      </c>
      <c r="I37" s="50">
        <v>56950</v>
      </c>
      <c r="J37" s="50">
        <v>4074</v>
      </c>
      <c r="K37" s="50">
        <v>330508</v>
      </c>
      <c r="L37" s="50">
        <v>8378</v>
      </c>
    </row>
    <row r="38" spans="1:12">
      <c r="A38" s="50" t="s">
        <v>26</v>
      </c>
      <c r="B38" s="50">
        <v>6</v>
      </c>
      <c r="C38" s="50">
        <v>225</v>
      </c>
      <c r="D38" s="50">
        <v>6</v>
      </c>
      <c r="E38" s="50">
        <v>24</v>
      </c>
      <c r="F38" s="50">
        <v>152574</v>
      </c>
      <c r="G38" s="50">
        <v>2430023</v>
      </c>
      <c r="H38" s="50">
        <v>24094844</v>
      </c>
      <c r="I38" s="50">
        <v>15426</v>
      </c>
      <c r="J38" s="50">
        <v>27342</v>
      </c>
      <c r="K38" s="50">
        <v>651059</v>
      </c>
      <c r="L38" s="50">
        <v>9839</v>
      </c>
    </row>
    <row r="39" spans="1:12">
      <c r="A39" s="50" t="s">
        <v>27</v>
      </c>
      <c r="B39" s="50">
        <v>0</v>
      </c>
      <c r="C39" s="50">
        <v>24</v>
      </c>
      <c r="D39" s="50">
        <v>0</v>
      </c>
      <c r="E39" s="50">
        <v>6</v>
      </c>
      <c r="F39" s="50">
        <v>11827</v>
      </c>
      <c r="G39" s="50">
        <v>644299</v>
      </c>
      <c r="H39" s="50">
        <v>2630484</v>
      </c>
      <c r="I39" s="50">
        <v>988</v>
      </c>
      <c r="J39" s="50">
        <v>0</v>
      </c>
      <c r="K39" s="50">
        <v>71283</v>
      </c>
      <c r="L39" s="50">
        <v>1307</v>
      </c>
    </row>
    <row r="40" spans="1:12">
      <c r="A40" s="50" t="s">
        <v>25</v>
      </c>
      <c r="B40" s="50">
        <v>0</v>
      </c>
      <c r="C40" s="50">
        <v>7</v>
      </c>
      <c r="D40" s="50">
        <v>1</v>
      </c>
      <c r="E40" s="50">
        <v>21</v>
      </c>
      <c r="F40" s="50">
        <v>80867</v>
      </c>
      <c r="G40" s="50">
        <v>2127179</v>
      </c>
      <c r="H40" s="50">
        <v>16388275</v>
      </c>
      <c r="I40" s="50">
        <v>39468</v>
      </c>
      <c r="J40" s="50">
        <v>6</v>
      </c>
      <c r="K40" s="50">
        <v>171312</v>
      </c>
      <c r="L40" s="50">
        <v>5595</v>
      </c>
    </row>
    <row r="41" spans="1:12">
      <c r="A41" s="50" t="s">
        <v>26</v>
      </c>
      <c r="B41" s="50">
        <v>9</v>
      </c>
      <c r="C41" s="50">
        <v>381</v>
      </c>
      <c r="D41" s="50">
        <v>8</v>
      </c>
      <c r="E41" s="50">
        <v>19</v>
      </c>
      <c r="F41" s="50">
        <v>170219</v>
      </c>
      <c r="G41" s="50">
        <v>3166024</v>
      </c>
      <c r="H41" s="50">
        <v>30789769</v>
      </c>
      <c r="I41" s="50">
        <v>124882</v>
      </c>
      <c r="J41" s="50">
        <v>104</v>
      </c>
      <c r="K41" s="50">
        <v>753579</v>
      </c>
      <c r="L41" s="50">
        <v>16307</v>
      </c>
    </row>
    <row r="42" spans="1:12">
      <c r="A42" s="50" t="s">
        <v>27</v>
      </c>
      <c r="B42" s="50">
        <v>0</v>
      </c>
      <c r="C42" s="50">
        <v>7</v>
      </c>
      <c r="D42" s="50">
        <v>0</v>
      </c>
      <c r="E42" s="50">
        <v>12</v>
      </c>
      <c r="F42" s="50">
        <v>29588</v>
      </c>
      <c r="G42" s="50">
        <v>1125629</v>
      </c>
      <c r="H42" s="50">
        <v>6835612</v>
      </c>
      <c r="I42" s="50">
        <v>3772</v>
      </c>
      <c r="J42" s="50">
        <v>0</v>
      </c>
      <c r="K42" s="50">
        <v>99405</v>
      </c>
      <c r="L42" s="50">
        <v>2239</v>
      </c>
    </row>
    <row r="43" spans="1:12">
      <c r="A43" s="50" t="s">
        <v>25</v>
      </c>
      <c r="B43" s="50">
        <v>7</v>
      </c>
      <c r="C43" s="50">
        <v>289</v>
      </c>
      <c r="D43" s="50">
        <v>5</v>
      </c>
      <c r="E43" s="50">
        <v>23</v>
      </c>
      <c r="F43" s="50">
        <v>143828</v>
      </c>
      <c r="G43" s="50">
        <v>2577316</v>
      </c>
      <c r="H43" s="50">
        <v>24770372</v>
      </c>
      <c r="I43" s="50">
        <v>52112</v>
      </c>
      <c r="J43" s="50">
        <v>2056</v>
      </c>
      <c r="K43" s="50">
        <v>636351</v>
      </c>
      <c r="L43" s="50">
        <v>11583</v>
      </c>
    </row>
    <row r="44" spans="1:12">
      <c r="A44" s="50" t="s">
        <v>26</v>
      </c>
      <c r="B44" s="50">
        <v>2</v>
      </c>
      <c r="C44" s="50">
        <v>91</v>
      </c>
      <c r="D44" s="50">
        <v>5</v>
      </c>
      <c r="E44" s="50">
        <v>20</v>
      </c>
      <c r="F44" s="50">
        <v>111585</v>
      </c>
      <c r="G44" s="50">
        <v>2311830</v>
      </c>
      <c r="H44" s="50">
        <v>19709280</v>
      </c>
      <c r="I44" s="50">
        <v>23702</v>
      </c>
      <c r="J44" s="50">
        <v>0</v>
      </c>
      <c r="K44" s="50">
        <v>430654</v>
      </c>
      <c r="L44" s="50">
        <v>7092</v>
      </c>
    </row>
    <row r="45" spans="1:12">
      <c r="A45" s="50" t="s">
        <v>27</v>
      </c>
      <c r="B45" s="50">
        <v>0</v>
      </c>
      <c r="C45" s="50">
        <v>15</v>
      </c>
      <c r="D45" s="50">
        <v>0</v>
      </c>
      <c r="E45" s="50">
        <v>9</v>
      </c>
      <c r="F45" s="50">
        <v>19540</v>
      </c>
      <c r="G45" s="50">
        <v>1014733</v>
      </c>
      <c r="H45" s="50">
        <v>4704670</v>
      </c>
      <c r="I45" s="50">
        <v>968</v>
      </c>
      <c r="J45" s="50">
        <v>0</v>
      </c>
      <c r="K45" s="50">
        <v>128837</v>
      </c>
      <c r="L45" s="50">
        <v>1890</v>
      </c>
    </row>
    <row r="46" spans="1:12">
      <c r="A46" s="50" t="s">
        <v>25</v>
      </c>
      <c r="B46" s="50">
        <v>8</v>
      </c>
      <c r="C46" s="50">
        <v>305</v>
      </c>
      <c r="D46" s="50">
        <v>5</v>
      </c>
      <c r="E46" s="50">
        <v>26</v>
      </c>
      <c r="F46" s="50">
        <v>163306</v>
      </c>
      <c r="G46" s="50">
        <v>2769833</v>
      </c>
      <c r="H46" s="50">
        <v>31690668</v>
      </c>
      <c r="I46" s="50">
        <v>94858</v>
      </c>
      <c r="J46" s="50">
        <v>2604</v>
      </c>
      <c r="K46" s="50">
        <v>845701</v>
      </c>
      <c r="L46" s="50">
        <v>14322</v>
      </c>
    </row>
    <row r="47" spans="1:12">
      <c r="A47" s="50" t="s">
        <v>26</v>
      </c>
      <c r="B47" s="50">
        <v>1</v>
      </c>
      <c r="C47" s="50">
        <v>79</v>
      </c>
      <c r="D47" s="50">
        <v>4</v>
      </c>
      <c r="E47" s="50">
        <v>23</v>
      </c>
      <c r="F47" s="50">
        <v>118005</v>
      </c>
      <c r="G47" s="50">
        <v>2306737</v>
      </c>
      <c r="H47" s="50">
        <v>22861681</v>
      </c>
      <c r="I47" s="50">
        <v>55506</v>
      </c>
      <c r="J47" s="50">
        <v>128</v>
      </c>
      <c r="K47" s="50">
        <v>213285</v>
      </c>
      <c r="L47" s="50">
        <v>7952</v>
      </c>
    </row>
    <row r="48" spans="1:12">
      <c r="A48" s="50" t="s">
        <v>27</v>
      </c>
      <c r="B48" s="50">
        <v>0</v>
      </c>
      <c r="C48" s="50">
        <v>11</v>
      </c>
      <c r="D48" s="50">
        <v>0</v>
      </c>
      <c r="E48" s="50">
        <v>8</v>
      </c>
      <c r="F48" s="50">
        <v>10929</v>
      </c>
      <c r="G48" s="50">
        <v>811190</v>
      </c>
      <c r="H48" s="50">
        <v>3577463</v>
      </c>
      <c r="I48" s="50">
        <v>1802</v>
      </c>
      <c r="J48" s="50">
        <v>0</v>
      </c>
      <c r="K48" s="50">
        <v>65095</v>
      </c>
      <c r="L48" s="50">
        <v>1452</v>
      </c>
    </row>
  </sheetData>
  <conditionalFormatting sqref="F23:F25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{dad674f8-cead-446e-bff3-dd77708e2550}</x14:id>
        </ext>
      </extLst>
    </cfRule>
  </conditionalFormatting>
  <conditionalFormatting sqref="F26:F28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{ad0e4d3a-e97f-4d0a-93f2-967a4ec72393}</x14:id>
        </ext>
      </extLst>
    </cfRule>
  </conditionalFormatting>
  <conditionalFormatting sqref="G23:G25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{ef65c888-2721-41aa-b00f-a21401fd8735}</x14:id>
        </ext>
      </extLst>
    </cfRule>
  </conditionalFormatting>
  <conditionalFormatting sqref="G26:G28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{76bbc217-c55d-4c3f-8678-e82a30ccc485}</x14:id>
        </ext>
      </extLst>
    </cfRule>
  </conditionalFormatting>
  <conditionalFormatting sqref="O2:O19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{f549ab23-b740-4806-a385-554f09d7b321}</x14:id>
        </ext>
      </extLst>
    </cfRule>
  </conditionalFormatting>
  <conditionalFormatting sqref="O23:O30">
    <cfRule type="cellIs" dxfId="37" priority="4" operator="equal">
      <formula>$S$23</formula>
    </cfRule>
  </conditionalFormatting>
  <conditionalFormatting sqref="P2:P19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{0e2e8078-4556-4ba7-b9b6-d9d30e6bbb1f}</x14:id>
        </ext>
      </extLst>
    </cfRule>
  </conditionalFormatting>
  <conditionalFormatting sqref="Q2:Q16">
    <cfRule type="cellIs" dxfId="38" priority="1" operator="equal">
      <formula>配置!$D$4</formula>
    </cfRule>
    <cfRule type="cellIs" dxfId="39" priority="2" operator="equal">
      <formula>配置!$D$3</formula>
    </cfRule>
    <cfRule type="cellIs" dxfId="37" priority="3" operator="equal">
      <formula>配置!$D$2</formula>
    </cfRule>
  </conditionalFormatting>
  <conditionalFormatting sqref="Q17:Q19">
    <cfRule type="cellIs" dxfId="38" priority="13" operator="equal">
      <formula>配置!$D$4</formula>
    </cfRule>
  </conditionalFormatting>
  <conditionalFormatting sqref="Q23:Q24">
    <cfRule type="cellIs" dxfId="37" priority="5" operator="equal">
      <formula>$S$23</formula>
    </cfRule>
  </conditionalFormatting>
  <conditionalFormatting sqref="O20:O21 Q1:R1">
    <cfRule type="cellIs" dxfId="37" priority="14" operator="equal">
      <formula>配置!$D$2</formula>
    </cfRule>
  </conditionalFormatting>
  <conditionalFormatting sqref="O31:O32 Q17:Q19">
    <cfRule type="cellIs" dxfId="37" priority="12" operator="equal">
      <formula>配置!$D$2</formula>
    </cfRule>
  </conditionalFormatting>
  <dataValidations count="1">
    <dataValidation type="list" allowBlank="1" showInputMessage="1" showErrorMessage="1" sqref="Q2:Q19">
      <formula1>配置!$D$2:$D$4</formula1>
    </dataValidation>
  </dataValidations>
  <pageMargins left="0.7" right="0.7" top="0.75" bottom="0.75" header="0.3" footer="0.3"/>
  <pageSetup paperSize="9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d674f8-cead-446e-bff3-dd77708e25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F23:F25</xm:sqref>
        </x14:conditionalFormatting>
        <x14:conditionalFormatting xmlns:xm="http://schemas.microsoft.com/office/excel/2006/main">
          <x14:cfRule type="dataBar" id="{ad0e4d3a-e97f-4d0a-93f2-967a4ec723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ef65c888-2721-41aa-b00f-a21401fd87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G23:G25</xm:sqref>
        </x14:conditionalFormatting>
        <x14:conditionalFormatting xmlns:xm="http://schemas.microsoft.com/office/excel/2006/main">
          <x14:cfRule type="dataBar" id="{76bbc217-c55d-4c3f-8678-e82a30ccc4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f549ab23-b740-4806-a385-554f09d7b3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0e2e8078-4556-4ba7-b9b6-d9d30e6bbb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72"/>
  <sheetViews>
    <sheetView workbookViewId="0">
      <selection activeCell="Q4" sqref="Q4"/>
    </sheetView>
  </sheetViews>
  <sheetFormatPr defaultColWidth="9" defaultRowHeight="13.5"/>
  <sheetData>
    <row r="1" s="1" customFormat="1" ht="27.75" spans="1:24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22</v>
      </c>
      <c r="X1" s="22" t="s">
        <v>23</v>
      </c>
    </row>
    <row r="2" s="354" customFormat="1" ht="14.25" customHeight="1" spans="1:24">
      <c r="A2" s="709">
        <v>32</v>
      </c>
      <c r="B2" s="709">
        <f>VLOOKUP(表1_861014[[#This Row],[区服]],$O$32:$P$39,2,FALSE)</f>
        <v>59</v>
      </c>
      <c r="C2" s="710" t="s">
        <v>48</v>
      </c>
      <c r="D2" s="711" t="str">
        <f>表1_861014[[#This Row],[目标国家]]</f>
        <v>魏</v>
      </c>
      <c r="E2" s="712">
        <f>(VLOOKUP(表1_861014[[#This Row],[目标区服]],$Q$32:$R$36,2,FALSE)-表1_861014[[#This Row],[开服天数]])*配置!$B$1</f>
        <v>1000</v>
      </c>
      <c r="F2" s="712">
        <f>表1_861014[[#This Row],[补偿Coin]]*(表1_861014[[#This Row],[活跃高战玩家数]]+表1_861014[[#This Row],[活跃中坚玩家数]])</f>
        <v>31000</v>
      </c>
      <c r="G2" s="712">
        <f>(VLOOKUP(表1_861014[[#This Row],[目标区服]],$Q$32:$R$36,2,FALSE)-表1_861014[[#This Row],[开服天数]])*配置!$B$2</f>
        <v>10</v>
      </c>
      <c r="H2" s="713" t="s">
        <v>25</v>
      </c>
      <c r="I2" s="713">
        <f>IF(表1_861014[[#This Row],[原国家]]="魏",0,IF(表1_861014[[#This Row],[原国家]]="蜀",1,2))</f>
        <v>0</v>
      </c>
      <c r="J2" s="715">
        <v>7</v>
      </c>
      <c r="K2" s="715">
        <v>316</v>
      </c>
      <c r="L2" s="715">
        <v>5</v>
      </c>
      <c r="M2" s="715">
        <v>26</v>
      </c>
      <c r="N2" s="715">
        <v>167028</v>
      </c>
      <c r="O2" s="715">
        <v>2906379</v>
      </c>
      <c r="P2" s="729">
        <v>35318326</v>
      </c>
      <c r="Q2" s="736" t="s">
        <v>25</v>
      </c>
      <c r="R2" s="713">
        <f>IF(表1_861014[[#This Row],[目标国家]]="魏",0,IF(表1_861014[[#This Row],[目标国家]]="蜀",1,2))</f>
        <v>0</v>
      </c>
      <c r="S2" s="715">
        <v>93036</v>
      </c>
      <c r="T2" s="715">
        <v>2672</v>
      </c>
      <c r="U2" s="715">
        <v>992674</v>
      </c>
      <c r="V2" s="715">
        <v>14943</v>
      </c>
      <c r="W2" s="737" t="str">
        <f>"{"&amp;"'coin':"&amp;表1_861014[[#This Row],[补偿Coin]]&amp;",'"&amp;配置!$A$2&amp;"':"&amp;表1_861014[[#This Row],[补偿辎重]]&amp;"},"</f>
        <v>{'coin':1000,'item036':10},</v>
      </c>
      <c r="X2" s="738" t="str">
        <f>"      '"&amp;表1_861014[[#This Row],[区服]]&amp;"':{"</f>
        <v>      '32':{</v>
      </c>
    </row>
    <row r="3" s="354" customFormat="1" ht="14.25" customHeight="1" spans="1:24">
      <c r="A3" s="714">
        <v>32</v>
      </c>
      <c r="B3" s="709">
        <f>VLOOKUP(表1_861014[[#This Row],[区服]],$O$32:$P$39,2,FALSE)</f>
        <v>59</v>
      </c>
      <c r="C3" s="710" t="s">
        <v>48</v>
      </c>
      <c r="D3" s="713" t="str">
        <f>表1_861014[[#This Row],[目标国家]]</f>
        <v>吴</v>
      </c>
      <c r="E3" s="715">
        <f>(VLOOKUP(表1_861014[[#This Row],[目标区服]],$Q$32:$R$36,2,FALSE)-表1_861014[[#This Row],[开服天数]])*配置!$B$1</f>
        <v>1000</v>
      </c>
      <c r="F3" s="715">
        <f>表1_861014[[#This Row],[补偿Coin]]*(表1_861014[[#This Row],[活跃高战玩家数]]+表1_861014[[#This Row],[活跃中坚玩家数]])</f>
        <v>24000</v>
      </c>
      <c r="G3" s="715">
        <f>(VLOOKUP(表1_861014[[#This Row],[目标区服]],$Q$32:$R$36,2,FALSE)-表1_861014[[#This Row],[开服天数]])*配置!$B$2</f>
        <v>10</v>
      </c>
      <c r="H3" s="713" t="s">
        <v>26</v>
      </c>
      <c r="I3" s="713">
        <f>IF(表1_861014[[#This Row],[原国家]]="魏",0,IF(表1_861014[[#This Row],[原国家]]="蜀",1,2))</f>
        <v>1</v>
      </c>
      <c r="J3" s="715">
        <v>2</v>
      </c>
      <c r="K3" s="715">
        <v>70</v>
      </c>
      <c r="L3" s="715">
        <v>4</v>
      </c>
      <c r="M3" s="715">
        <v>20</v>
      </c>
      <c r="N3" s="715">
        <v>112505</v>
      </c>
      <c r="O3" s="715">
        <v>2471615</v>
      </c>
      <c r="P3" s="729">
        <v>23177278</v>
      </c>
      <c r="Q3" s="31" t="s">
        <v>27</v>
      </c>
      <c r="R3" s="713">
        <f>IF(表1_861014[[#This Row],[目标国家]]="魏",0,IF(表1_861014[[#This Row],[目标国家]]="蜀",1,2))</f>
        <v>2</v>
      </c>
      <c r="S3" s="715">
        <v>57614</v>
      </c>
      <c r="T3" s="715">
        <v>0</v>
      </c>
      <c r="U3" s="715">
        <v>204155</v>
      </c>
      <c r="V3" s="715">
        <v>8184</v>
      </c>
      <c r="W3" s="737" t="str">
        <f>"{"&amp;"'coin':"&amp;表1_861014[[#This Row],[补偿Coin]]&amp;",'"&amp;配置!$A$2&amp;"':"&amp;表1_861014[[#This Row],[补偿辎重]]&amp;"},"</f>
        <v>{'coin':1000,'item036':10},</v>
      </c>
      <c r="X3" s="738" t="str">
        <f>"            'reward':"&amp;表1_861014[[#This Row],[辅助导出]]&amp;"
            'country':["&amp;R2&amp;","&amp;R3&amp;","&amp;R4&amp;"],"</f>
        <v>            'reward':{'coin':1000,'item036':10},
            'country':[0,2,1],</v>
      </c>
    </row>
    <row r="4" s="354" customFormat="1" ht="14.25" customHeight="1" spans="1:24">
      <c r="A4" s="714">
        <v>32</v>
      </c>
      <c r="B4" s="709">
        <f>VLOOKUP(表1_861014[[#This Row],[区服]],$O$32:$P$39,2,FALSE)</f>
        <v>59</v>
      </c>
      <c r="C4" s="710" t="s">
        <v>48</v>
      </c>
      <c r="D4" s="713" t="str">
        <f>表1_861014[[#This Row],[目标国家]]</f>
        <v>蜀</v>
      </c>
      <c r="E4" s="715">
        <f>(VLOOKUP(表1_861014[[#This Row],[目标区服]],$Q$32:$R$36,2,FALSE)-表1_861014[[#This Row],[开服天数]])*配置!$B$1</f>
        <v>1000</v>
      </c>
      <c r="F4" s="715">
        <f>表1_861014[[#This Row],[补偿Coin]]*(表1_861014[[#This Row],[活跃高战玩家数]]+表1_861014[[#This Row],[活跃中坚玩家数]])</f>
        <v>8000</v>
      </c>
      <c r="G4" s="715">
        <f>(VLOOKUP(表1_861014[[#This Row],[目标区服]],$Q$32:$R$36,2,FALSE)-表1_861014[[#This Row],[开服天数]])*配置!$B$2</f>
        <v>10</v>
      </c>
      <c r="H4" s="713" t="s">
        <v>27</v>
      </c>
      <c r="I4" s="713">
        <f>IF(表1_861014[[#This Row],[原国家]]="魏",0,IF(表1_861014[[#This Row],[原国家]]="蜀",1,2))</f>
        <v>2</v>
      </c>
      <c r="J4" s="715">
        <v>0</v>
      </c>
      <c r="K4" s="715">
        <v>9</v>
      </c>
      <c r="L4" s="715">
        <v>0</v>
      </c>
      <c r="M4" s="715">
        <v>8</v>
      </c>
      <c r="N4" s="715">
        <v>12687</v>
      </c>
      <c r="O4" s="715">
        <v>883830</v>
      </c>
      <c r="P4" s="729">
        <v>4053940</v>
      </c>
      <c r="Q4" s="31" t="s">
        <v>26</v>
      </c>
      <c r="R4" s="713">
        <f>IF(表1_861014[[#This Row],[目标国家]]="魏",0,IF(表1_861014[[#This Row],[目标国家]]="蜀",1,2))</f>
        <v>1</v>
      </c>
      <c r="S4" s="715">
        <v>2096</v>
      </c>
      <c r="T4" s="715">
        <v>0</v>
      </c>
      <c r="U4" s="715">
        <v>59123</v>
      </c>
      <c r="V4" s="715">
        <v>1564</v>
      </c>
      <c r="W4" s="737" t="str">
        <f>"{"&amp;"'coin':"&amp;表1_861014[[#This Row],[补偿Coin]]&amp;",'"&amp;配置!$A$2&amp;"':"&amp;表1_861014[[#This Row],[补偿辎重]]&amp;"},"</f>
        <v>{'coin':1000,'item036':10},</v>
      </c>
      <c r="X4" s="738" t="str">
        <f>"      },"</f>
        <v>      },</v>
      </c>
    </row>
    <row r="5" s="354" customFormat="1" ht="14.25" customHeight="1" spans="1:24">
      <c r="A5" s="714">
        <v>33</v>
      </c>
      <c r="B5" s="709">
        <f>VLOOKUP(表1_861014[[#This Row],[区服]],$O$32:$P$39,2,FALSE)</f>
        <v>57</v>
      </c>
      <c r="C5" s="710" t="s">
        <v>48</v>
      </c>
      <c r="D5" s="713" t="str">
        <f>表1_861014[[#This Row],[目标国家]]</f>
        <v>蜀</v>
      </c>
      <c r="E5" s="715">
        <f>(VLOOKUP(表1_861014[[#This Row],[目标区服]],$Q$32:$R$36,2,FALSE)-表1_861014[[#This Row],[开服天数]])*配置!$B$1</f>
        <v>2000</v>
      </c>
      <c r="F5" s="715">
        <f>表1_861014[[#This Row],[补偿Coin]]*(表1_861014[[#This Row],[活跃高战玩家数]]+表1_861014[[#This Row],[活跃中坚玩家数]])</f>
        <v>42000</v>
      </c>
      <c r="G5" s="715">
        <f>(VLOOKUP(表1_861014[[#This Row],[目标区服]],$Q$32:$R$36,2,FALSE)-表1_861014[[#This Row],[开服天数]])*配置!$B$2</f>
        <v>20</v>
      </c>
      <c r="H5" s="713" t="s">
        <v>25</v>
      </c>
      <c r="I5" s="713">
        <f>IF(表1_861014[[#This Row],[原国家]]="魏",0,IF(表1_861014[[#This Row],[原国家]]="蜀",1,2))</f>
        <v>0</v>
      </c>
      <c r="J5" s="715">
        <v>4</v>
      </c>
      <c r="K5" s="715">
        <v>182</v>
      </c>
      <c r="L5" s="715">
        <v>6</v>
      </c>
      <c r="M5" s="715">
        <v>15</v>
      </c>
      <c r="N5" s="715">
        <v>103763</v>
      </c>
      <c r="O5" s="715">
        <v>3559941</v>
      </c>
      <c r="P5" s="729">
        <v>24847518</v>
      </c>
      <c r="Q5" s="736" t="s">
        <v>26</v>
      </c>
      <c r="R5" s="713">
        <f>IF(表1_861014[[#This Row],[目标国家]]="魏",0,IF(表1_861014[[#This Row],[目标国家]]="蜀",1,2))</f>
        <v>1</v>
      </c>
      <c r="S5" s="715">
        <v>190804</v>
      </c>
      <c r="T5" s="715">
        <v>4272</v>
      </c>
      <c r="U5" s="715">
        <v>851593</v>
      </c>
      <c r="V5" s="715">
        <v>15401</v>
      </c>
      <c r="W5" s="737" t="str">
        <f>"{"&amp;"'coin':"&amp;表1_861014[[#This Row],[补偿Coin]]&amp;",'"&amp;配置!$A$2&amp;"':"&amp;表1_861014[[#This Row],[补偿辎重]]&amp;"},"</f>
        <v>{'coin':2000,'item036':20},</v>
      </c>
      <c r="X5" s="738" t="str">
        <f>"      '"&amp;表1_861014[[#This Row],[区服]]&amp;"':{"</f>
        <v>      '33':{</v>
      </c>
    </row>
    <row r="6" s="354" customFormat="1" ht="14.25" customHeight="1" spans="1:24">
      <c r="A6" s="714">
        <v>33</v>
      </c>
      <c r="B6" s="709">
        <f>VLOOKUP(表1_861014[[#This Row],[区服]],$O$32:$P$39,2,FALSE)</f>
        <v>57</v>
      </c>
      <c r="C6" s="710" t="s">
        <v>48</v>
      </c>
      <c r="D6" s="713" t="str">
        <f>表1_861014[[#This Row],[目标国家]]</f>
        <v>魏</v>
      </c>
      <c r="E6" s="715">
        <f>(VLOOKUP(表1_861014[[#This Row],[目标区服]],$Q$32:$R$36,2,FALSE)-表1_861014[[#This Row],[开服天数]])*配置!$B$1</f>
        <v>2000</v>
      </c>
      <c r="F6" s="715">
        <f>表1_861014[[#This Row],[补偿Coin]]*(表1_861014[[#This Row],[活跃高战玩家数]]+表1_861014[[#This Row],[活跃中坚玩家数]])</f>
        <v>46000</v>
      </c>
      <c r="G6" s="716">
        <f>(VLOOKUP(表1_861014[[#This Row],[目标区服]],$Q$32:$R$36,2,FALSE)-表1_861014[[#This Row],[开服天数]])*配置!$B$2</f>
        <v>20</v>
      </c>
      <c r="H6" s="713" t="s">
        <v>26</v>
      </c>
      <c r="I6" s="730">
        <f>IF(表1_861014[[#This Row],[原国家]]="魏",0,IF(表1_861014[[#This Row],[原国家]]="蜀",1,2))</f>
        <v>1</v>
      </c>
      <c r="J6" s="715">
        <v>1</v>
      </c>
      <c r="K6" s="715">
        <v>62</v>
      </c>
      <c r="L6" s="715">
        <v>0</v>
      </c>
      <c r="M6" s="715">
        <v>23</v>
      </c>
      <c r="N6" s="715">
        <v>73118</v>
      </c>
      <c r="O6" s="731">
        <v>1358422</v>
      </c>
      <c r="P6" s="729">
        <v>14988993</v>
      </c>
      <c r="Q6" s="31" t="s">
        <v>25</v>
      </c>
      <c r="R6" s="713">
        <f>IF(表1_861014[[#This Row],[目标国家]]="魏",0,IF(表1_861014[[#This Row],[目标国家]]="蜀",1,2))</f>
        <v>0</v>
      </c>
      <c r="S6" s="715">
        <v>32178</v>
      </c>
      <c r="T6" s="715">
        <v>6</v>
      </c>
      <c r="U6" s="715">
        <v>320765</v>
      </c>
      <c r="V6" s="715">
        <v>5229</v>
      </c>
      <c r="W6" s="737" t="str">
        <f>"{"&amp;"'coin':"&amp;表1_861014[[#This Row],[补偿Coin]]&amp;",'"&amp;配置!$A$2&amp;"':"&amp;表1_861014[[#This Row],[补偿辎重]]&amp;"},"</f>
        <v>{'coin':2000,'item036':20},</v>
      </c>
      <c r="X6" s="738" t="str">
        <f>"            'reward':"&amp;表1_861014[[#This Row],[辅助导出]]&amp;"
            'country':["&amp;R5&amp;","&amp;R6&amp;","&amp;R7&amp;"],"</f>
        <v>            'reward':{'coin':2000,'item036':20},
            'country':[1,0,2],</v>
      </c>
    </row>
    <row r="7" s="354" customFormat="1" ht="14.25" customHeight="1" spans="1:24">
      <c r="A7" s="714">
        <v>33</v>
      </c>
      <c r="B7" s="709">
        <f>VLOOKUP(表1_861014[[#This Row],[区服]],$O$32:$P$39,2,FALSE)</f>
        <v>57</v>
      </c>
      <c r="C7" s="710" t="s">
        <v>48</v>
      </c>
      <c r="D7" s="713" t="str">
        <f>表1_861014[[#This Row],[目标国家]]</f>
        <v>吴</v>
      </c>
      <c r="E7" s="715">
        <f>(VLOOKUP(表1_861014[[#This Row],[目标区服]],$Q$32:$R$36,2,FALSE)-表1_861014[[#This Row],[开服天数]])*配置!$B$1</f>
        <v>2000</v>
      </c>
      <c r="F7" s="715">
        <f>表1_861014[[#This Row],[补偿Coin]]*(表1_861014[[#This Row],[活跃高战玩家数]]+表1_861014[[#This Row],[活跃中坚玩家数]])</f>
        <v>48000</v>
      </c>
      <c r="G7" s="716">
        <f>(VLOOKUP(表1_861014[[#This Row],[目标区服]],$Q$32:$R$36,2,FALSE)-表1_861014[[#This Row],[开服天数]])*配置!$B$2</f>
        <v>20</v>
      </c>
      <c r="H7" s="713" t="s">
        <v>27</v>
      </c>
      <c r="I7" s="730">
        <f>IF(表1_861014[[#This Row],[原国家]]="魏",0,IF(表1_861014[[#This Row],[原国家]]="蜀",1,2))</f>
        <v>2</v>
      </c>
      <c r="J7" s="715">
        <v>4</v>
      </c>
      <c r="K7" s="715">
        <v>151</v>
      </c>
      <c r="L7" s="715">
        <v>4</v>
      </c>
      <c r="M7" s="715">
        <v>20</v>
      </c>
      <c r="N7" s="715">
        <v>100983</v>
      </c>
      <c r="O7" s="731">
        <v>3544597</v>
      </c>
      <c r="P7" s="729">
        <v>23496332</v>
      </c>
      <c r="Q7" s="31" t="s">
        <v>27</v>
      </c>
      <c r="R7" s="713">
        <f>IF(表1_861014[[#This Row],[目标国家]]="魏",0,IF(表1_861014[[#This Row],[目标国家]]="蜀",1,2))</f>
        <v>2</v>
      </c>
      <c r="S7" s="715">
        <v>117686</v>
      </c>
      <c r="T7" s="715">
        <v>1018</v>
      </c>
      <c r="U7" s="715">
        <v>261194</v>
      </c>
      <c r="V7" s="715">
        <v>12111</v>
      </c>
      <c r="W7" s="737" t="str">
        <f>"{"&amp;"'coin':"&amp;表1_861014[[#This Row],[补偿Coin]]&amp;",'"&amp;配置!$A$2&amp;"':"&amp;表1_861014[[#This Row],[补偿辎重]]&amp;"},"</f>
        <v>{'coin':2000,'item036':20},</v>
      </c>
      <c r="X7" s="738" t="str">
        <f>"      },"</f>
        <v>      },</v>
      </c>
    </row>
    <row r="8" s="354" customFormat="1" ht="14.25" customHeight="1" spans="1:24">
      <c r="A8" s="717">
        <v>34</v>
      </c>
      <c r="B8" s="718">
        <f>VLOOKUP(表1_861014[[#This Row],[区服]],$O$32:$P$39,2,FALSE)</f>
        <v>55</v>
      </c>
      <c r="C8" s="719" t="s">
        <v>49</v>
      </c>
      <c r="D8" s="720" t="str">
        <f>表1_861014[[#This Row],[目标国家]]</f>
        <v>魏</v>
      </c>
      <c r="E8" s="721">
        <f>(VLOOKUP(表1_861014[[#This Row],[目标区服]],$Q$32:$R$36,2,FALSE)-表1_861014[[#This Row],[开服天数]])*配置!$B$1</f>
        <v>1000</v>
      </c>
      <c r="F8" s="721">
        <f>表1_861014[[#This Row],[补偿Coin]]*(表1_861014[[#This Row],[活跃高战玩家数]]+表1_861014[[#This Row],[活跃中坚玩家数]])</f>
        <v>39000</v>
      </c>
      <c r="G8" s="722">
        <f>(VLOOKUP(表1_861014[[#This Row],[目标区服]],$Q$32:$R$36,2,FALSE)-表1_861014[[#This Row],[开服天数]])*配置!$B$2</f>
        <v>10</v>
      </c>
      <c r="H8" s="720" t="s">
        <v>25</v>
      </c>
      <c r="I8" s="732">
        <f>IF(表1_861014[[#This Row],[原国家]]="魏",0,IF(表1_861014[[#This Row],[原国家]]="蜀",1,2))</f>
        <v>0</v>
      </c>
      <c r="J8" s="721">
        <v>7</v>
      </c>
      <c r="K8" s="721">
        <v>294</v>
      </c>
      <c r="L8" s="721">
        <v>5</v>
      </c>
      <c r="M8" s="721">
        <v>34</v>
      </c>
      <c r="N8" s="721">
        <v>176681</v>
      </c>
      <c r="O8" s="733">
        <v>3311671</v>
      </c>
      <c r="P8" s="734">
        <v>39102070</v>
      </c>
      <c r="Q8" s="736" t="s">
        <v>25</v>
      </c>
      <c r="R8" s="720">
        <f>IF(表1_861014[[#This Row],[目标国家]]="魏",0,IF(表1_861014[[#This Row],[目标国家]]="蜀",1,2))</f>
        <v>0</v>
      </c>
      <c r="S8" s="721">
        <v>172438</v>
      </c>
      <c r="T8" s="721">
        <v>7294</v>
      </c>
      <c r="U8" s="721">
        <v>638732</v>
      </c>
      <c r="V8" s="721">
        <v>17630</v>
      </c>
      <c r="W8" s="739" t="str">
        <f>"{"&amp;"'coin':"&amp;表1_861014[[#This Row],[补偿Coin]]&amp;",'"&amp;配置!$A$2&amp;"':"&amp;表1_861014[[#This Row],[补偿辎重]]&amp;"},"</f>
        <v>{'coin':1000,'item036':10},</v>
      </c>
      <c r="X8" s="739" t="str">
        <f>"      '"&amp;表1_861014[[#This Row],[区服]]&amp;"':{"</f>
        <v>      '34':{</v>
      </c>
    </row>
    <row r="9" s="354" customFormat="1" ht="14.25" customHeight="1" spans="1:24">
      <c r="A9" s="717">
        <v>34</v>
      </c>
      <c r="B9" s="718">
        <f>VLOOKUP(表1_861014[[#This Row],[区服]],$O$32:$P$39,2,FALSE)</f>
        <v>55</v>
      </c>
      <c r="C9" s="719" t="s">
        <v>49</v>
      </c>
      <c r="D9" s="720" t="str">
        <f>表1_861014[[#This Row],[目标国家]]</f>
        <v>蜀</v>
      </c>
      <c r="E9" s="721">
        <f>(VLOOKUP(表1_861014[[#This Row],[目标区服]],$Q$32:$R$36,2,FALSE)-表1_861014[[#This Row],[开服天数]])*配置!$B$1</f>
        <v>1000</v>
      </c>
      <c r="F9" s="721">
        <f>表1_861014[[#This Row],[补偿Coin]]*(表1_861014[[#This Row],[活跃高战玩家数]]+表1_861014[[#This Row],[活跃中坚玩家数]])</f>
        <v>23000</v>
      </c>
      <c r="G9" s="722">
        <f>(VLOOKUP(表1_861014[[#This Row],[目标区服]],$Q$32:$R$36,2,FALSE)-表1_861014[[#This Row],[开服天数]])*配置!$B$2</f>
        <v>10</v>
      </c>
      <c r="H9" s="720" t="s">
        <v>26</v>
      </c>
      <c r="I9" s="732">
        <f>IF(表1_861014[[#This Row],[原国家]]="魏",0,IF(表1_861014[[#This Row],[原国家]]="蜀",1,2))</f>
        <v>1</v>
      </c>
      <c r="J9" s="721">
        <v>2</v>
      </c>
      <c r="K9" s="721">
        <v>76</v>
      </c>
      <c r="L9" s="721">
        <v>1</v>
      </c>
      <c r="M9" s="721">
        <v>22</v>
      </c>
      <c r="N9" s="721">
        <v>72694</v>
      </c>
      <c r="O9" s="733">
        <v>1973248</v>
      </c>
      <c r="P9" s="734">
        <v>18204393</v>
      </c>
      <c r="Q9" s="31" t="s">
        <v>26</v>
      </c>
      <c r="R9" s="720">
        <f>IF(表1_861014[[#This Row],[目标国家]]="魏",0,IF(表1_861014[[#This Row],[目标国家]]="蜀",1,2))</f>
        <v>1</v>
      </c>
      <c r="S9" s="721">
        <v>5984</v>
      </c>
      <c r="T9" s="721">
        <v>36138</v>
      </c>
      <c r="U9" s="721">
        <v>237130</v>
      </c>
      <c r="V9" s="721">
        <v>5895</v>
      </c>
      <c r="W9" s="739" t="str">
        <f>"{"&amp;"'coin':"&amp;表1_861014[[#This Row],[补偿Coin]]&amp;",'"&amp;配置!$A$2&amp;"':"&amp;表1_861014[[#This Row],[补偿辎重]]&amp;"},"</f>
        <v>{'coin':1000,'item036':10},</v>
      </c>
      <c r="X9" s="739" t="str">
        <f>"            'reward':"&amp;表1_861014[[#This Row],[辅助导出]]&amp;"
            'country':["&amp;R8&amp;","&amp;R9&amp;","&amp;R10&amp;"],"</f>
        <v>            'reward':{'coin':1000,'item036':10},
            'country':[0,1,1],</v>
      </c>
    </row>
    <row r="10" s="354" customFormat="1" ht="14.25" customHeight="1" spans="1:24">
      <c r="A10" s="717">
        <v>34</v>
      </c>
      <c r="B10" s="718">
        <f>VLOOKUP(表1_861014[[#This Row],[区服]],$O$32:$P$39,2,FALSE)</f>
        <v>55</v>
      </c>
      <c r="C10" s="719" t="s">
        <v>49</v>
      </c>
      <c r="D10" s="720" t="str">
        <f>表1_861014[[#This Row],[目标国家]]</f>
        <v>蜀</v>
      </c>
      <c r="E10" s="721">
        <f>(VLOOKUP(表1_861014[[#This Row],[目标区服]],$Q$32:$R$36,2,FALSE)-表1_861014[[#This Row],[开服天数]])*配置!$B$1</f>
        <v>1000</v>
      </c>
      <c r="F10" s="721">
        <f>表1_861014[[#This Row],[补偿Coin]]*(表1_861014[[#This Row],[活跃高战玩家数]]+表1_861014[[#This Row],[活跃中坚玩家数]])</f>
        <v>12000</v>
      </c>
      <c r="G10" s="722">
        <f>(VLOOKUP(表1_861014[[#This Row],[目标区服]],$Q$32:$R$36,2,FALSE)-表1_861014[[#This Row],[开服天数]])*配置!$B$2</f>
        <v>10</v>
      </c>
      <c r="H10" s="720" t="s">
        <v>27</v>
      </c>
      <c r="I10" s="732">
        <f>IF(表1_861014[[#This Row],[原国家]]="魏",0,IF(表1_861014[[#This Row],[原国家]]="蜀",1,2))</f>
        <v>2</v>
      </c>
      <c r="J10" s="721">
        <v>0</v>
      </c>
      <c r="K10" s="721">
        <v>25</v>
      </c>
      <c r="L10" s="721">
        <v>2</v>
      </c>
      <c r="M10" s="721">
        <v>10</v>
      </c>
      <c r="N10" s="721">
        <v>36153</v>
      </c>
      <c r="O10" s="733">
        <v>2092647</v>
      </c>
      <c r="P10" s="734">
        <v>9856288</v>
      </c>
      <c r="Q10" s="31" t="s">
        <v>26</v>
      </c>
      <c r="R10" s="720">
        <f>IF(表1_861014[[#This Row],[目标国家]]="魏",0,IF(表1_861014[[#This Row],[目标国家]]="蜀",1,2))</f>
        <v>1</v>
      </c>
      <c r="S10" s="721">
        <v>20802</v>
      </c>
      <c r="T10" s="721">
        <v>34522</v>
      </c>
      <c r="U10" s="721">
        <v>79092</v>
      </c>
      <c r="V10" s="721">
        <v>4557</v>
      </c>
      <c r="W10" s="739" t="str">
        <f>"{"&amp;"'coin':"&amp;表1_861014[[#This Row],[补偿Coin]]&amp;",'"&amp;配置!$A$2&amp;"':"&amp;表1_861014[[#This Row],[补偿辎重]]&amp;"},"</f>
        <v>{'coin':1000,'item036':10},</v>
      </c>
      <c r="X10" s="739" t="str">
        <f>"      },"</f>
        <v>      },</v>
      </c>
    </row>
    <row r="11" s="354" customFormat="1" ht="14.25" customHeight="1" spans="1:24">
      <c r="A11" s="717">
        <v>35</v>
      </c>
      <c r="B11" s="718">
        <f>VLOOKUP(表1_861014[[#This Row],[区服]],$O$32:$P$39,2,FALSE)</f>
        <v>53</v>
      </c>
      <c r="C11" s="719" t="s">
        <v>49</v>
      </c>
      <c r="D11" s="720" t="str">
        <f>表1_861014[[#This Row],[目标国家]]</f>
        <v>吴</v>
      </c>
      <c r="E11" s="721">
        <f>(VLOOKUP(表1_861014[[#This Row],[目标区服]],$Q$32:$R$36,2,FALSE)-表1_861014[[#This Row],[开服天数]])*配置!$B$1</f>
        <v>2000</v>
      </c>
      <c r="F11" s="721">
        <f>表1_861014[[#This Row],[补偿Coin]]*(表1_861014[[#This Row],[活跃高战玩家数]]+表1_861014[[#This Row],[活跃中坚玩家数]])</f>
        <v>62000</v>
      </c>
      <c r="G11" s="722">
        <f>(VLOOKUP(表1_861014[[#This Row],[目标区服]],$Q$32:$R$36,2,FALSE)-表1_861014[[#This Row],[开服天数]])*配置!$B$2</f>
        <v>20</v>
      </c>
      <c r="H11" s="720" t="s">
        <v>25</v>
      </c>
      <c r="I11" s="732">
        <f>IF(表1_861014[[#This Row],[原国家]]="魏",0,IF(表1_861014[[#This Row],[原国家]]="蜀",1,2))</f>
        <v>0</v>
      </c>
      <c r="J11" s="721">
        <v>9</v>
      </c>
      <c r="K11" s="721">
        <v>363</v>
      </c>
      <c r="L11" s="721">
        <v>8</v>
      </c>
      <c r="M11" s="721">
        <v>23</v>
      </c>
      <c r="N11" s="721">
        <v>171643</v>
      </c>
      <c r="O11" s="733">
        <v>3795349</v>
      </c>
      <c r="P11" s="734">
        <v>35727764</v>
      </c>
      <c r="Q11" s="736" t="s">
        <v>27</v>
      </c>
      <c r="R11" s="720">
        <f>IF(表1_861014[[#This Row],[目标国家]]="魏",0,IF(表1_861014[[#This Row],[目标国家]]="蜀",1,2))</f>
        <v>2</v>
      </c>
      <c r="S11" s="721">
        <v>161700</v>
      </c>
      <c r="T11" s="721">
        <v>97618</v>
      </c>
      <c r="U11" s="721">
        <v>817848</v>
      </c>
      <c r="V11" s="721">
        <v>19401</v>
      </c>
      <c r="W11" s="739" t="str">
        <f>"{"&amp;"'coin':"&amp;表1_861014[[#This Row],[补偿Coin]]&amp;",'"&amp;配置!$A$2&amp;"':"&amp;表1_861014[[#This Row],[补偿辎重]]&amp;"},"</f>
        <v>{'coin':2000,'item036':20},</v>
      </c>
      <c r="X11" s="739" t="str">
        <f>"      '"&amp;表1_861014[[#This Row],[区服]]&amp;"':{"</f>
        <v>      '35':{</v>
      </c>
    </row>
    <row r="12" s="354" customFormat="1" ht="14.25" customHeight="1" spans="1:24">
      <c r="A12" s="717">
        <v>35</v>
      </c>
      <c r="B12" s="718">
        <f>VLOOKUP(表1_861014[[#This Row],[区服]],$O$32:$P$39,2,FALSE)</f>
        <v>53</v>
      </c>
      <c r="C12" s="719" t="s">
        <v>49</v>
      </c>
      <c r="D12" s="720" t="str">
        <f>表1_861014[[#This Row],[目标国家]]</f>
        <v>蜀</v>
      </c>
      <c r="E12" s="721">
        <f>(VLOOKUP(表1_861014[[#This Row],[目标区服]],$Q$32:$R$36,2,FALSE)-表1_861014[[#This Row],[开服天数]])*配置!$B$1</f>
        <v>2000</v>
      </c>
      <c r="F12" s="721">
        <f>表1_861014[[#This Row],[补偿Coin]]*(表1_861014[[#This Row],[活跃高战玩家数]]+表1_861014[[#This Row],[活跃中坚玩家数]])</f>
        <v>44000</v>
      </c>
      <c r="G12" s="722">
        <f>(VLOOKUP(表1_861014[[#This Row],[目标区服]],$Q$32:$R$36,2,FALSE)-表1_861014[[#This Row],[开服天数]])*配置!$B$2</f>
        <v>20</v>
      </c>
      <c r="H12" s="720" t="s">
        <v>26</v>
      </c>
      <c r="I12" s="732">
        <f>IF(表1_861014[[#This Row],[原国家]]="魏",0,IF(表1_861014[[#This Row],[原国家]]="蜀",1,2))</f>
        <v>1</v>
      </c>
      <c r="J12" s="721">
        <v>0</v>
      </c>
      <c r="K12" s="721">
        <v>18</v>
      </c>
      <c r="L12" s="721">
        <v>1</v>
      </c>
      <c r="M12" s="721">
        <v>21</v>
      </c>
      <c r="N12" s="721">
        <v>71895</v>
      </c>
      <c r="O12" s="733">
        <v>2117220</v>
      </c>
      <c r="P12" s="734">
        <v>16817433</v>
      </c>
      <c r="Q12" s="31" t="s">
        <v>26</v>
      </c>
      <c r="R12" s="720">
        <f>IF(表1_861014[[#This Row],[目标国家]]="魏",0,IF(表1_861014[[#This Row],[目标国家]]="蜀",1,2))</f>
        <v>1</v>
      </c>
      <c r="S12" s="721">
        <v>71304</v>
      </c>
      <c r="T12" s="721">
        <v>812</v>
      </c>
      <c r="U12" s="721">
        <v>180118</v>
      </c>
      <c r="V12" s="721">
        <v>6665</v>
      </c>
      <c r="W12" s="739" t="str">
        <f>"{"&amp;"'coin':"&amp;表1_861014[[#This Row],[补偿Coin]]&amp;",'"&amp;配置!$A$2&amp;"':"&amp;表1_861014[[#This Row],[补偿辎重]]&amp;"},"</f>
        <v>{'coin':2000,'item036':20},</v>
      </c>
      <c r="X12" s="739" t="str">
        <f>"            'reward':"&amp;表1_861014[[#This Row],[辅助导出]]&amp;"
            'country':["&amp;R11&amp;","&amp;R12&amp;","&amp;R13&amp;"],"</f>
        <v>            'reward':{'coin':2000,'item036':20},
            'country':[2,1,0],</v>
      </c>
    </row>
    <row r="13" s="354" customFormat="1" ht="14.25" customHeight="1" spans="1:24">
      <c r="A13" s="717">
        <v>35</v>
      </c>
      <c r="B13" s="718">
        <f>VLOOKUP(表1_861014[[#This Row],[区服]],$O$32:$P$39,2,FALSE)</f>
        <v>53</v>
      </c>
      <c r="C13" s="719" t="s">
        <v>49</v>
      </c>
      <c r="D13" s="720" t="str">
        <f>表1_861014[[#This Row],[目标国家]]</f>
        <v>魏</v>
      </c>
      <c r="E13" s="721">
        <f>(VLOOKUP(表1_861014[[#This Row],[目标区服]],$Q$32:$R$36,2,FALSE)-表1_861014[[#This Row],[开服天数]])*配置!$B$1</f>
        <v>2000</v>
      </c>
      <c r="F13" s="721">
        <f>表1_861014[[#This Row],[补偿Coin]]*(表1_861014[[#This Row],[活跃高战玩家数]]+表1_861014[[#This Row],[活跃中坚玩家数]])</f>
        <v>20000</v>
      </c>
      <c r="G13" s="722">
        <f>(VLOOKUP(表1_861014[[#This Row],[目标区服]],$Q$32:$R$36,2,FALSE)-表1_861014[[#This Row],[开服天数]])*配置!$B$2</f>
        <v>20</v>
      </c>
      <c r="H13" s="720" t="s">
        <v>27</v>
      </c>
      <c r="I13" s="732">
        <f>IF(表1_861014[[#This Row],[原国家]]="魏",0,IF(表1_861014[[#This Row],[原国家]]="蜀",1,2))</f>
        <v>2</v>
      </c>
      <c r="J13" s="721">
        <v>0</v>
      </c>
      <c r="K13" s="721">
        <v>14</v>
      </c>
      <c r="L13" s="721">
        <v>0</v>
      </c>
      <c r="M13" s="721">
        <v>10</v>
      </c>
      <c r="N13" s="721">
        <v>24131</v>
      </c>
      <c r="O13" s="733">
        <v>1383467</v>
      </c>
      <c r="P13" s="734">
        <v>6259811</v>
      </c>
      <c r="Q13" s="31" t="s">
        <v>25</v>
      </c>
      <c r="R13" s="720">
        <f>IF(表1_861014[[#This Row],[目标国家]]="魏",0,IF(表1_861014[[#This Row],[目标国家]]="蜀",1,2))</f>
        <v>0</v>
      </c>
      <c r="S13" s="721">
        <v>13362</v>
      </c>
      <c r="T13" s="721">
        <v>158</v>
      </c>
      <c r="U13" s="721">
        <v>125856</v>
      </c>
      <c r="V13" s="721">
        <v>2798</v>
      </c>
      <c r="W13" s="739" t="str">
        <f>"{"&amp;"'coin':"&amp;表1_861014[[#This Row],[补偿Coin]]&amp;",'"&amp;配置!$A$2&amp;"':"&amp;表1_861014[[#This Row],[补偿辎重]]&amp;"},"</f>
        <v>{'coin':2000,'item036':20},</v>
      </c>
      <c r="X13" s="739" t="str">
        <f>"      },"</f>
        <v>      },</v>
      </c>
    </row>
    <row r="14" s="354" customFormat="1" ht="14.25" customHeight="1" spans="1:24">
      <c r="A14" s="259">
        <v>36</v>
      </c>
      <c r="B14" s="210">
        <f>VLOOKUP(表1_861014[[#This Row],[区服]],$O$32:$P$39,2,FALSE)</f>
        <v>51</v>
      </c>
      <c r="C14" s="296" t="s">
        <v>50</v>
      </c>
      <c r="D14" s="212" t="str">
        <f>表1_861014[[#This Row],[目标国家]]</f>
        <v>魏</v>
      </c>
      <c r="E14" s="213">
        <f>(VLOOKUP(表1_861014[[#This Row],[目标区服]],$Q$32:$R$36,2,FALSE)-表1_861014[[#This Row],[开服天数]])*配置!$B$1</f>
        <v>1000</v>
      </c>
      <c r="F14" s="213">
        <f>表1_861014[[#This Row],[补偿Coin]]*(表1_861014[[#This Row],[活跃高战玩家数]]+表1_861014[[#This Row],[活跃中坚玩家数]])</f>
        <v>19000</v>
      </c>
      <c r="G14" s="260">
        <f>(VLOOKUP(表1_861014[[#This Row],[目标区服]],$Q$32:$R$36,2,FALSE)-表1_861014[[#This Row],[开服天数]])*配置!$B$2</f>
        <v>10</v>
      </c>
      <c r="H14" s="212" t="s">
        <v>25</v>
      </c>
      <c r="I14" s="268">
        <f>IF(表1_861014[[#This Row],[原国家]]="魏",0,IF(表1_861014[[#This Row],[原国家]]="蜀",1,2))</f>
        <v>0</v>
      </c>
      <c r="J14" s="213">
        <v>2</v>
      </c>
      <c r="K14" s="213">
        <v>63</v>
      </c>
      <c r="L14" s="213">
        <v>1</v>
      </c>
      <c r="M14" s="213">
        <v>18</v>
      </c>
      <c r="N14" s="213">
        <v>66214</v>
      </c>
      <c r="O14" s="419">
        <v>2041275</v>
      </c>
      <c r="P14" s="420">
        <v>14195878</v>
      </c>
      <c r="Q14" s="736" t="s">
        <v>25</v>
      </c>
      <c r="R14" s="212">
        <f>IF(表1_861014[[#This Row],[目标国家]]="魏",0,IF(表1_861014[[#This Row],[目标国家]]="蜀",1,2))</f>
        <v>0</v>
      </c>
      <c r="S14" s="213">
        <v>52150</v>
      </c>
      <c r="T14" s="213">
        <v>1028</v>
      </c>
      <c r="U14" s="213">
        <v>220712</v>
      </c>
      <c r="V14" s="213">
        <v>6417</v>
      </c>
      <c r="W14" s="278" t="str">
        <f>"{"&amp;"'coin':"&amp;表1_861014[[#This Row],[补偿Coin]]&amp;",'"&amp;配置!$A$2&amp;"':"&amp;表1_861014[[#This Row],[补偿辎重]]&amp;"},"</f>
        <v>{'coin':1000,'item036':10},</v>
      </c>
      <c r="X14" s="278" t="str">
        <f>"      '"&amp;表1_861014[[#This Row],[区服]]&amp;"':{"</f>
        <v>      '36':{</v>
      </c>
    </row>
    <row r="15" s="354" customFormat="1" ht="14.25" customHeight="1" spans="1:24">
      <c r="A15" s="210">
        <v>36</v>
      </c>
      <c r="B15" s="210">
        <f>VLOOKUP(表1_861014[[#This Row],[区服]],$O$32:$P$39,2,FALSE)</f>
        <v>51</v>
      </c>
      <c r="C15" s="296" t="s">
        <v>50</v>
      </c>
      <c r="D15" s="212" t="str">
        <f>表1_861014[[#This Row],[目标国家]]</f>
        <v>魏</v>
      </c>
      <c r="E15" s="213">
        <f>(VLOOKUP(表1_861014[[#This Row],[目标区服]],$Q$32:$R$36,2,FALSE)-表1_861014[[#This Row],[开服天数]])*配置!$B$1</f>
        <v>1000</v>
      </c>
      <c r="F15" s="213">
        <f>表1_861014[[#This Row],[补偿Coin]]*(表1_861014[[#This Row],[活跃高战玩家数]]+表1_861014[[#This Row],[活跃中坚玩家数]])</f>
        <v>27000</v>
      </c>
      <c r="G15" s="213">
        <f>(VLOOKUP(表1_861014[[#This Row],[目标区服]],$Q$32:$R$36,2,FALSE)-表1_861014[[#This Row],[开服天数]])*配置!$B$2</f>
        <v>10</v>
      </c>
      <c r="H15" s="212" t="s">
        <v>26</v>
      </c>
      <c r="I15" s="212">
        <f>IF(表1_861014[[#This Row],[原国家]]="魏",0,IF(表1_861014[[#This Row],[原国家]]="蜀",1,2))</f>
        <v>1</v>
      </c>
      <c r="J15" s="213">
        <v>4</v>
      </c>
      <c r="K15" s="213">
        <v>197</v>
      </c>
      <c r="L15" s="213">
        <v>4</v>
      </c>
      <c r="M15" s="213">
        <v>23</v>
      </c>
      <c r="N15" s="213">
        <v>106768</v>
      </c>
      <c r="O15" s="213">
        <v>2921913</v>
      </c>
      <c r="P15" s="420">
        <v>23443100</v>
      </c>
      <c r="Q15" s="31" t="s">
        <v>25</v>
      </c>
      <c r="R15" s="212">
        <f>IF(表1_861014[[#This Row],[目标国家]]="魏",0,IF(表1_861014[[#This Row],[目标国家]]="蜀",1,2))</f>
        <v>0</v>
      </c>
      <c r="S15" s="213">
        <v>114904</v>
      </c>
      <c r="T15" s="213">
        <v>194</v>
      </c>
      <c r="U15" s="213">
        <v>545724</v>
      </c>
      <c r="V15" s="213">
        <v>12164</v>
      </c>
      <c r="W15" s="245" t="str">
        <f>"{"&amp;"'coin':"&amp;表1_861014[[#This Row],[补偿Coin]]&amp;",'"&amp;配置!$A$2&amp;"':"&amp;表1_861014[[#This Row],[补偿辎重]]&amp;"},"</f>
        <v>{'coin':1000,'item036':10},</v>
      </c>
      <c r="X15" s="254" t="str">
        <f>"            'reward':"&amp;表1_861014[[#This Row],[辅助导出]]&amp;"
            'country':["&amp;R14&amp;","&amp;R15&amp;","&amp;R16&amp;"],"</f>
        <v>            'reward':{'coin':1000,'item036':10},
            'country':[0,0,2],</v>
      </c>
    </row>
    <row r="16" s="354" customFormat="1" ht="14.25" customHeight="1" spans="1:24">
      <c r="A16" s="210">
        <v>36</v>
      </c>
      <c r="B16" s="210">
        <f>VLOOKUP(表1_861014[[#This Row],[区服]],$O$32:$P$39,2,FALSE)</f>
        <v>51</v>
      </c>
      <c r="C16" s="296" t="s">
        <v>50</v>
      </c>
      <c r="D16" s="212" t="str">
        <f>表1_861014[[#This Row],[目标国家]]</f>
        <v>吴</v>
      </c>
      <c r="E16" s="213">
        <f>(VLOOKUP(表1_861014[[#This Row],[目标区服]],$Q$32:$R$36,2,FALSE)-表1_861014[[#This Row],[开服天数]])*配置!$B$1</f>
        <v>1000</v>
      </c>
      <c r="F16" s="213">
        <f>表1_861014[[#This Row],[补偿Coin]]*(表1_861014[[#This Row],[活跃高战玩家数]]+表1_861014[[#This Row],[活跃中坚玩家数]])</f>
        <v>29000</v>
      </c>
      <c r="G16" s="213">
        <f>(VLOOKUP(表1_861014[[#This Row],[目标区服]],$Q$32:$R$36,2,FALSE)-表1_861014[[#This Row],[开服天数]])*配置!$B$2</f>
        <v>10</v>
      </c>
      <c r="H16" s="212" t="s">
        <v>27</v>
      </c>
      <c r="I16" s="212">
        <f>IF(表1_861014[[#This Row],[原国家]]="魏",0,IF(表1_861014[[#This Row],[原国家]]="蜀",1,2))</f>
        <v>2</v>
      </c>
      <c r="J16" s="213">
        <v>3</v>
      </c>
      <c r="K16" s="213">
        <v>135</v>
      </c>
      <c r="L16" s="213">
        <v>4</v>
      </c>
      <c r="M16" s="213">
        <v>25</v>
      </c>
      <c r="N16" s="213">
        <v>114056</v>
      </c>
      <c r="O16" s="213">
        <v>2478360</v>
      </c>
      <c r="P16" s="420">
        <v>23194398</v>
      </c>
      <c r="Q16" s="31" t="s">
        <v>27</v>
      </c>
      <c r="R16" s="212">
        <f>IF(表1_861014[[#This Row],[目标国家]]="魏",0,IF(表1_861014[[#This Row],[目标国家]]="蜀",1,2))</f>
        <v>2</v>
      </c>
      <c r="S16" s="213">
        <v>122336</v>
      </c>
      <c r="T16" s="213">
        <v>0</v>
      </c>
      <c r="U16" s="213">
        <v>354424</v>
      </c>
      <c r="V16" s="213">
        <v>11042</v>
      </c>
      <c r="W16" s="245" t="str">
        <f>"{"&amp;"'coin':"&amp;表1_861014[[#This Row],[补偿Coin]]&amp;",'"&amp;配置!$A$2&amp;"':"&amp;表1_861014[[#This Row],[补偿辎重]]&amp;"},"</f>
        <v>{'coin':1000,'item036':10},</v>
      </c>
      <c r="X16" s="254" t="str">
        <f>"      },"</f>
        <v>      },</v>
      </c>
    </row>
    <row r="17" ht="14.25" customHeight="1" spans="1:24">
      <c r="A17" s="210">
        <v>37</v>
      </c>
      <c r="B17" s="210">
        <f>VLOOKUP(表1_861014[[#This Row],[区服]],$O$32:$P$39,2,FALSE)</f>
        <v>49</v>
      </c>
      <c r="C17" s="296" t="s">
        <v>50</v>
      </c>
      <c r="D17" s="212" t="str">
        <f>表1_861014[[#This Row],[目标国家]]</f>
        <v>吴</v>
      </c>
      <c r="E17" s="213">
        <f>(VLOOKUP(表1_861014[[#This Row],[目标区服]],$Q$32:$R$36,2,FALSE)-表1_861014[[#This Row],[开服天数]])*配置!$B$1</f>
        <v>2000</v>
      </c>
      <c r="F17" s="213">
        <f>表1_861014[[#This Row],[补偿Coin]]*(表1_861014[[#This Row],[活跃高战玩家数]]+表1_861014[[#This Row],[活跃中坚玩家数]])</f>
        <v>22000</v>
      </c>
      <c r="G17" s="213">
        <f>(VLOOKUP(表1_861014[[#This Row],[目标区服]],$Q$32:$R$36,2,FALSE)-表1_861014[[#This Row],[开服天数]])*配置!$B$2</f>
        <v>20</v>
      </c>
      <c r="H17" s="212" t="s">
        <v>25</v>
      </c>
      <c r="I17" s="212">
        <f>IF(表1_861014[[#This Row],[原国家]]="魏",0,IF(表1_861014[[#This Row],[原国家]]="蜀",1,2))</f>
        <v>0</v>
      </c>
      <c r="J17" s="213">
        <v>0</v>
      </c>
      <c r="K17" s="213">
        <v>6</v>
      </c>
      <c r="L17" s="213">
        <v>0</v>
      </c>
      <c r="M17" s="213">
        <v>11</v>
      </c>
      <c r="N17" s="213">
        <v>26342</v>
      </c>
      <c r="O17" s="213">
        <v>893663</v>
      </c>
      <c r="P17" s="420">
        <v>5031007</v>
      </c>
      <c r="Q17" s="736" t="s">
        <v>27</v>
      </c>
      <c r="R17" s="212">
        <f>IF(表1_861014[[#This Row],[目标国家]]="魏",0,IF(表1_861014[[#This Row],[目标国家]]="蜀",1,2))</f>
        <v>2</v>
      </c>
      <c r="S17" s="213">
        <v>2394</v>
      </c>
      <c r="T17" s="213">
        <v>0</v>
      </c>
      <c r="U17" s="213">
        <v>50352</v>
      </c>
      <c r="V17" s="213">
        <v>1710</v>
      </c>
      <c r="W17" s="245" t="str">
        <f>"{"&amp;"'coin':"&amp;表1_861014[[#This Row],[补偿Coin]]&amp;",'"&amp;配置!$A$2&amp;"':"&amp;表1_861014[[#This Row],[补偿辎重]]&amp;"},"</f>
        <v>{'coin':2000,'item036':20},</v>
      </c>
      <c r="X17" s="254" t="str">
        <f>"      '"&amp;表1_861014[[#This Row],[区服]]&amp;"':{"</f>
        <v>      '37':{</v>
      </c>
    </row>
    <row r="18" ht="14.25" customHeight="1" spans="1:24">
      <c r="A18" s="210">
        <v>37</v>
      </c>
      <c r="B18" s="210">
        <f>VLOOKUP(表1_861014[[#This Row],[区服]],$O$32:$P$39,2,FALSE)</f>
        <v>49</v>
      </c>
      <c r="C18" s="296" t="s">
        <v>50</v>
      </c>
      <c r="D18" s="212" t="str">
        <f>表1_861014[[#This Row],[目标国家]]</f>
        <v>蜀</v>
      </c>
      <c r="E18" s="213">
        <f>(VLOOKUP(表1_861014[[#This Row],[目标区服]],$Q$32:$R$36,2,FALSE)-表1_861014[[#This Row],[开服天数]])*配置!$B$1</f>
        <v>2000</v>
      </c>
      <c r="F18" s="213">
        <f>表1_861014[[#This Row],[补偿Coin]]*(表1_861014[[#This Row],[活跃高战玩家数]]+表1_861014[[#This Row],[活跃中坚玩家数]])</f>
        <v>66000</v>
      </c>
      <c r="G18" s="213">
        <f>(VLOOKUP(表1_861014[[#This Row],[目标区服]],$Q$32:$R$36,2,FALSE)-表1_861014[[#This Row],[开服天数]])*配置!$B$2</f>
        <v>20</v>
      </c>
      <c r="H18" s="212" t="s">
        <v>26</v>
      </c>
      <c r="I18" s="212">
        <f>IF(表1_861014[[#This Row],[原国家]]="魏",0,IF(表1_861014[[#This Row],[原国家]]="蜀",1,2))</f>
        <v>1</v>
      </c>
      <c r="J18" s="213">
        <v>9</v>
      </c>
      <c r="K18" s="213">
        <v>383</v>
      </c>
      <c r="L18" s="213">
        <v>9</v>
      </c>
      <c r="M18" s="213">
        <v>24</v>
      </c>
      <c r="N18" s="213">
        <v>182264</v>
      </c>
      <c r="O18" s="213">
        <v>3219207</v>
      </c>
      <c r="P18" s="420">
        <v>31719059</v>
      </c>
      <c r="Q18" s="31" t="s">
        <v>26</v>
      </c>
      <c r="R18" s="212">
        <f>IF(表1_861014[[#This Row],[目标国家]]="魏",0,IF(表1_861014[[#This Row],[目标国家]]="蜀",1,2))</f>
        <v>1</v>
      </c>
      <c r="S18" s="213">
        <v>192602</v>
      </c>
      <c r="T18" s="213">
        <v>4654</v>
      </c>
      <c r="U18" s="213">
        <v>1189194</v>
      </c>
      <c r="V18" s="213">
        <v>19046</v>
      </c>
      <c r="W18" s="245" t="str">
        <f>"{"&amp;"'coin':"&amp;表1_861014[[#This Row],[补偿Coin]]&amp;",'"&amp;配置!$A$2&amp;"':"&amp;表1_861014[[#This Row],[补偿辎重]]&amp;"},"</f>
        <v>{'coin':2000,'item036':20},</v>
      </c>
      <c r="X18" s="254" t="str">
        <f>"            'reward':"&amp;表1_861014[[#This Row],[辅助导出]]&amp;"
            'country':["&amp;R17&amp;","&amp;R18&amp;","&amp;R19&amp;"],"</f>
        <v>            'reward':{'coin':2000,'item036':20},
            'country':[2,1,2],</v>
      </c>
    </row>
    <row r="19" ht="14.25" customHeight="1" spans="1:24">
      <c r="A19" s="210">
        <v>37</v>
      </c>
      <c r="B19" s="210">
        <f>VLOOKUP(表1_861014[[#This Row],[区服]],$O$32:$P$39,2,FALSE)</f>
        <v>49</v>
      </c>
      <c r="C19" s="296" t="s">
        <v>50</v>
      </c>
      <c r="D19" s="212" t="str">
        <f>表1_861014[[#This Row],[目标国家]]</f>
        <v>吴</v>
      </c>
      <c r="E19" s="213">
        <f>(VLOOKUP(表1_861014[[#This Row],[目标区服]],$Q$32:$R$36,2,FALSE)-表1_861014[[#This Row],[开服天数]])*配置!$B$1</f>
        <v>2000</v>
      </c>
      <c r="F19" s="213">
        <f>表1_861014[[#This Row],[补偿Coin]]*(表1_861014[[#This Row],[活跃高战玩家数]]+表1_861014[[#This Row],[活跃中坚玩家数]])</f>
        <v>32000</v>
      </c>
      <c r="G19" s="213">
        <f>(VLOOKUP(表1_861014[[#This Row],[目标区服]],$Q$32:$R$36,2,FALSE)-表1_861014[[#This Row],[开服天数]])*配置!$B$2</f>
        <v>20</v>
      </c>
      <c r="H19" s="212" t="s">
        <v>27</v>
      </c>
      <c r="I19" s="212">
        <f>IF(表1_861014[[#This Row],[原国家]]="魏",0,IF(表1_861014[[#This Row],[原国家]]="蜀",1,2))</f>
        <v>2</v>
      </c>
      <c r="J19" s="213">
        <v>0</v>
      </c>
      <c r="K19" s="213">
        <v>6</v>
      </c>
      <c r="L19" s="213">
        <v>1</v>
      </c>
      <c r="M19" s="213">
        <v>15</v>
      </c>
      <c r="N19" s="213">
        <v>52457</v>
      </c>
      <c r="O19" s="213">
        <v>1264131</v>
      </c>
      <c r="P19" s="420">
        <v>8817357</v>
      </c>
      <c r="Q19" s="31" t="s">
        <v>27</v>
      </c>
      <c r="R19" s="212">
        <f>IF(表1_861014[[#This Row],[目标国家]]="魏",0,IF(表1_861014[[#This Row],[目标国家]]="蜀",1,2))</f>
        <v>2</v>
      </c>
      <c r="S19" s="213">
        <v>23084</v>
      </c>
      <c r="T19" s="213">
        <v>1208</v>
      </c>
      <c r="U19" s="213">
        <v>69953</v>
      </c>
      <c r="V19" s="213">
        <v>3242</v>
      </c>
      <c r="W19" s="245" t="str">
        <f>"{"&amp;"'coin':"&amp;表1_861014[[#This Row],[补偿Coin]]&amp;",'"&amp;配置!$A$2&amp;"':"&amp;表1_861014[[#This Row],[补偿辎重]]&amp;"},"</f>
        <v>{'coin':2000,'item036':20},</v>
      </c>
      <c r="X19" s="254" t="str">
        <f>"      },"</f>
        <v>      },</v>
      </c>
    </row>
    <row r="20" ht="14.25" customHeight="1" spans="1:24">
      <c r="A20" s="91">
        <v>38</v>
      </c>
      <c r="B20" s="91">
        <f>VLOOKUP(表1_861014[[#This Row],[区服]],$O$32:$P$39,2,FALSE)</f>
        <v>47</v>
      </c>
      <c r="C20" s="92" t="s">
        <v>51</v>
      </c>
      <c r="D20" s="93" t="str">
        <f>表1_861014[[#This Row],[目标国家]]</f>
        <v>魏</v>
      </c>
      <c r="E20" s="95">
        <f>(VLOOKUP(表1_861014[[#This Row],[目标区服]],$Q$32:$R$36,2,FALSE)-表1_861014[[#This Row],[开服天数]])*配置!$B$1</f>
        <v>2000</v>
      </c>
      <c r="F20" s="95">
        <f>表1_861014[[#This Row],[补偿Coin]]*(表1_861014[[#This Row],[活跃高战玩家数]]+表1_861014[[#This Row],[活跃中坚玩家数]])</f>
        <v>86000</v>
      </c>
      <c r="G20" s="95">
        <f>(VLOOKUP(表1_861014[[#This Row],[目标区服]],$Q$32:$R$36,2,FALSE)-表1_861014[[#This Row],[开服天数]])*配置!$B$2</f>
        <v>20</v>
      </c>
      <c r="H20" s="93" t="s">
        <v>25</v>
      </c>
      <c r="I20" s="93">
        <f>IF(表1_861014[[#This Row],[原国家]]="魏",0,IF(表1_861014[[#This Row],[原国家]]="蜀",1,2))</f>
        <v>0</v>
      </c>
      <c r="J20" s="95">
        <v>8</v>
      </c>
      <c r="K20" s="95">
        <v>311</v>
      </c>
      <c r="L20" s="95">
        <v>9</v>
      </c>
      <c r="M20" s="95">
        <v>34</v>
      </c>
      <c r="N20" s="95">
        <v>199621</v>
      </c>
      <c r="O20" s="95">
        <v>2787654</v>
      </c>
      <c r="P20" s="326">
        <v>38471149</v>
      </c>
      <c r="Q20" s="736" t="s">
        <v>25</v>
      </c>
      <c r="R20" s="93">
        <f>IF(表1_861014[[#This Row],[目标国家]]="魏",0,IF(表1_861014[[#This Row],[目标国家]]="蜀",1,2))</f>
        <v>0</v>
      </c>
      <c r="S20" s="95">
        <v>137414</v>
      </c>
      <c r="T20" s="95">
        <v>21116</v>
      </c>
      <c r="U20" s="95">
        <v>429931</v>
      </c>
      <c r="V20" s="95">
        <v>16306</v>
      </c>
      <c r="W20" s="140" t="str">
        <f>"{"&amp;"'coin':"&amp;表1_861014[[#This Row],[补偿Coin]]&amp;",'"&amp;配置!$A$2&amp;"':"&amp;表1_861014[[#This Row],[补偿辎重]]&amp;"},"</f>
        <v>{'coin':2000,'item036':20},</v>
      </c>
      <c r="X20" s="138" t="str">
        <f>"      '"&amp;表1_861014[[#This Row],[区服]]&amp;"':{"</f>
        <v>      '38':{</v>
      </c>
    </row>
    <row r="21" ht="14.25" customHeight="1" spans="1:24">
      <c r="A21" s="91">
        <v>38</v>
      </c>
      <c r="B21" s="91">
        <f>VLOOKUP(表1_861014[[#This Row],[区服]],$O$32:$P$39,2,FALSE)</f>
        <v>47</v>
      </c>
      <c r="C21" s="92" t="s">
        <v>51</v>
      </c>
      <c r="D21" s="93" t="str">
        <f>表1_861014[[#This Row],[目标国家]]</f>
        <v>蜀</v>
      </c>
      <c r="E21" s="95">
        <f>(VLOOKUP(表1_861014[[#This Row],[目标区服]],$Q$32:$R$36,2,FALSE)-表1_861014[[#This Row],[开服天数]])*配置!$B$1</f>
        <v>2000</v>
      </c>
      <c r="F21" s="95">
        <f>表1_861014[[#This Row],[补偿Coin]]*(表1_861014[[#This Row],[活跃高战玩家数]]+表1_861014[[#This Row],[活跃中坚玩家数]])</f>
        <v>36000</v>
      </c>
      <c r="G21" s="95">
        <f>(VLOOKUP(表1_861014[[#This Row],[目标区服]],$Q$32:$R$36,2,FALSE)-表1_861014[[#This Row],[开服天数]])*配置!$B$2</f>
        <v>20</v>
      </c>
      <c r="H21" s="93" t="s">
        <v>26</v>
      </c>
      <c r="I21" s="93">
        <f>IF(表1_861014[[#This Row],[原国家]]="魏",0,IF(表1_861014[[#This Row],[原国家]]="蜀",1,2))</f>
        <v>1</v>
      </c>
      <c r="J21" s="95">
        <v>1</v>
      </c>
      <c r="K21" s="95">
        <v>57</v>
      </c>
      <c r="L21" s="95">
        <v>1</v>
      </c>
      <c r="M21" s="95">
        <v>17</v>
      </c>
      <c r="N21" s="95">
        <v>69473</v>
      </c>
      <c r="O21" s="95">
        <v>2300627</v>
      </c>
      <c r="P21" s="326">
        <v>14240511</v>
      </c>
      <c r="Q21" s="31" t="s">
        <v>26</v>
      </c>
      <c r="R21" s="93">
        <f>IF(表1_861014[[#This Row],[目标国家]]="魏",0,IF(表1_861014[[#This Row],[目标国家]]="蜀",1,2))</f>
        <v>1</v>
      </c>
      <c r="S21" s="95">
        <v>67172</v>
      </c>
      <c r="T21" s="95">
        <v>6988</v>
      </c>
      <c r="U21" s="95">
        <v>451879</v>
      </c>
      <c r="V21" s="95">
        <v>7278</v>
      </c>
      <c r="W21" s="140" t="str">
        <f>"{"&amp;"'coin':"&amp;表1_861014[[#This Row],[补偿Coin]]&amp;",'"&amp;配置!$A$2&amp;"':"&amp;表1_861014[[#This Row],[补偿辎重]]&amp;"},"</f>
        <v>{'coin':2000,'item036':20},</v>
      </c>
      <c r="X21" s="138" t="str">
        <f>"            'reward':"&amp;表1_861014[[#This Row],[辅助导出]]&amp;"
            'country':["&amp;R20&amp;","&amp;R21&amp;","&amp;R22&amp;"],"</f>
        <v>            'reward':{'coin':2000,'item036':20},
            'country':[0,1,0],</v>
      </c>
    </row>
    <row r="22" ht="14.25" customHeight="1" spans="1:24">
      <c r="A22" s="91">
        <v>38</v>
      </c>
      <c r="B22" s="91">
        <f>VLOOKUP(表1_861014[[#This Row],[区服]],$O$32:$P$39,2,FALSE)</f>
        <v>47</v>
      </c>
      <c r="C22" s="92" t="s">
        <v>51</v>
      </c>
      <c r="D22" s="93" t="str">
        <f>表1_861014[[#This Row],[目标国家]]</f>
        <v>魏</v>
      </c>
      <c r="E22" s="95">
        <f>(VLOOKUP(表1_861014[[#This Row],[目标区服]],$Q$32:$R$36,2,FALSE)-表1_861014[[#This Row],[开服天数]])*配置!$B$1</f>
        <v>2000</v>
      </c>
      <c r="F22" s="95">
        <f>表1_861014[[#This Row],[补偿Coin]]*(表1_861014[[#This Row],[活跃高战玩家数]]+表1_861014[[#This Row],[活跃中坚玩家数]])</f>
        <v>28000</v>
      </c>
      <c r="G22" s="95">
        <f>(VLOOKUP(表1_861014[[#This Row],[目标区服]],$Q$32:$R$36,2,FALSE)-表1_861014[[#This Row],[开服天数]])*配置!$B$2</f>
        <v>20</v>
      </c>
      <c r="H22" s="93" t="s">
        <v>27</v>
      </c>
      <c r="I22" s="93">
        <f>IF(表1_861014[[#This Row],[原国家]]="魏",0,IF(表1_861014[[#This Row],[原国家]]="蜀",1,2))</f>
        <v>2</v>
      </c>
      <c r="J22" s="95">
        <v>0</v>
      </c>
      <c r="K22" s="95">
        <v>27</v>
      </c>
      <c r="L22" s="95">
        <v>0</v>
      </c>
      <c r="M22" s="95">
        <v>14</v>
      </c>
      <c r="N22" s="95">
        <v>33722</v>
      </c>
      <c r="O22" s="95">
        <v>900437</v>
      </c>
      <c r="P22" s="326">
        <v>7689453</v>
      </c>
      <c r="Q22" s="31" t="s">
        <v>25</v>
      </c>
      <c r="R22" s="93">
        <f>IF(表1_861014[[#This Row],[目标国家]]="魏",0,IF(表1_861014[[#This Row],[目标国家]]="蜀",1,2))</f>
        <v>0</v>
      </c>
      <c r="S22" s="95">
        <v>5806</v>
      </c>
      <c r="T22" s="95">
        <v>6</v>
      </c>
      <c r="U22" s="95">
        <v>40756</v>
      </c>
      <c r="V22" s="95">
        <v>2322</v>
      </c>
      <c r="W22" s="140" t="str">
        <f>"{"&amp;"'coin':"&amp;表1_861014[[#This Row],[补偿Coin]]&amp;",'"&amp;配置!$A$2&amp;"':"&amp;表1_861014[[#This Row],[补偿辎重]]&amp;"},"</f>
        <v>{'coin':2000,'item036':20},</v>
      </c>
      <c r="X22" s="138" t="str">
        <f>"      },"</f>
        <v>      },</v>
      </c>
    </row>
    <row r="23" ht="14.25" customHeight="1" spans="1:24">
      <c r="A23" s="91">
        <v>39</v>
      </c>
      <c r="B23" s="91">
        <f>VLOOKUP(表1_861014[[#This Row],[区服]],$O$32:$P$39,2,FALSE)</f>
        <v>45</v>
      </c>
      <c r="C23" s="92" t="s">
        <v>51</v>
      </c>
      <c r="D23" s="93" t="str">
        <f>表1_861014[[#This Row],[目标国家]]</f>
        <v>吴</v>
      </c>
      <c r="E23" s="95">
        <f>(VLOOKUP(表1_861014[[#This Row],[目标区服]],$Q$32:$R$36,2,FALSE)-表1_861014[[#This Row],[开服天数]])*配置!$B$1</f>
        <v>3000</v>
      </c>
      <c r="F23" s="95">
        <f>表1_861014[[#This Row],[补偿Coin]]*(表1_861014[[#This Row],[活跃高战玩家数]]+表1_861014[[#This Row],[活跃中坚玩家数]])</f>
        <v>117000</v>
      </c>
      <c r="G23" s="95">
        <f>(VLOOKUP(表1_861014[[#This Row],[目标区服]],$Q$32:$R$36,2,FALSE)-表1_861014[[#This Row],[开服天数]])*配置!$B$2</f>
        <v>30</v>
      </c>
      <c r="H23" s="93" t="s">
        <v>25</v>
      </c>
      <c r="I23" s="93">
        <f>IF(表1_861014[[#This Row],[原国家]]="魏",0,IF(表1_861014[[#This Row],[原国家]]="蜀",1,2))</f>
        <v>0</v>
      </c>
      <c r="J23" s="95">
        <v>4</v>
      </c>
      <c r="K23" s="95">
        <v>180</v>
      </c>
      <c r="L23" s="95">
        <v>5</v>
      </c>
      <c r="M23" s="95">
        <v>34</v>
      </c>
      <c r="N23" s="95">
        <v>140177</v>
      </c>
      <c r="O23" s="95">
        <v>2063721</v>
      </c>
      <c r="P23" s="326">
        <v>31723596</v>
      </c>
      <c r="Q23" s="736" t="s">
        <v>27</v>
      </c>
      <c r="R23" s="93">
        <f>IF(表1_861014[[#This Row],[目标国家]]="魏",0,IF(表1_861014[[#This Row],[目标国家]]="蜀",1,2))</f>
        <v>2</v>
      </c>
      <c r="S23" s="95">
        <v>63530</v>
      </c>
      <c r="T23" s="95">
        <v>2382</v>
      </c>
      <c r="U23" s="95">
        <v>413578</v>
      </c>
      <c r="V23" s="95">
        <v>10480</v>
      </c>
      <c r="W23" s="140" t="str">
        <f>"{"&amp;"'coin':"&amp;表1_861014[[#This Row],[补偿Coin]]&amp;",'"&amp;配置!$A$2&amp;"':"&amp;表1_861014[[#This Row],[补偿辎重]]&amp;"},"</f>
        <v>{'coin':3000,'item036':30},</v>
      </c>
      <c r="X23" s="138" t="str">
        <f>"      '"&amp;表1_861014[[#This Row],[区服]]&amp;"':{"</f>
        <v>      '39':{</v>
      </c>
    </row>
    <row r="24" ht="14.25" customHeight="1" spans="1:24">
      <c r="A24" s="91">
        <v>39</v>
      </c>
      <c r="B24" s="91">
        <f>VLOOKUP(表1_861014[[#This Row],[区服]],$O$32:$P$39,2,FALSE)</f>
        <v>45</v>
      </c>
      <c r="C24" s="92" t="s">
        <v>51</v>
      </c>
      <c r="D24" s="93" t="str">
        <f>表1_861014[[#This Row],[目标国家]]</f>
        <v>吴</v>
      </c>
      <c r="E24" s="95">
        <f>(VLOOKUP(表1_861014[[#This Row],[目标区服]],$Q$32:$R$36,2,FALSE)-表1_861014[[#This Row],[开服天数]])*配置!$B$1</f>
        <v>3000</v>
      </c>
      <c r="F24" s="95">
        <f>表1_861014[[#This Row],[补偿Coin]]*(表1_861014[[#This Row],[活跃高战玩家数]]+表1_861014[[#This Row],[活跃中坚玩家数]])</f>
        <v>63000</v>
      </c>
      <c r="G24" s="95">
        <f>(VLOOKUP(表1_861014[[#This Row],[目标区服]],$Q$32:$R$36,2,FALSE)-表1_861014[[#This Row],[开服天数]])*配置!$B$2</f>
        <v>30</v>
      </c>
      <c r="H24" s="93" t="s">
        <v>26</v>
      </c>
      <c r="I24" s="93">
        <f>IF(表1_861014[[#This Row],[原国家]]="魏",0,IF(表1_861014[[#This Row],[原国家]]="蜀",1,2))</f>
        <v>1</v>
      </c>
      <c r="J24" s="95">
        <v>2</v>
      </c>
      <c r="K24" s="95">
        <v>120</v>
      </c>
      <c r="L24" s="95">
        <v>2</v>
      </c>
      <c r="M24" s="95">
        <v>19</v>
      </c>
      <c r="N24" s="95">
        <v>71319</v>
      </c>
      <c r="O24" s="95">
        <v>2472819</v>
      </c>
      <c r="P24" s="326">
        <v>17941700</v>
      </c>
      <c r="Q24" s="31" t="s">
        <v>27</v>
      </c>
      <c r="R24" s="93">
        <f>IF(表1_861014[[#This Row],[目标国家]]="魏",0,IF(表1_861014[[#This Row],[目标国家]]="蜀",1,2))</f>
        <v>2</v>
      </c>
      <c r="S24" s="95">
        <v>76452</v>
      </c>
      <c r="T24" s="95">
        <v>0</v>
      </c>
      <c r="U24" s="95">
        <v>198843</v>
      </c>
      <c r="V24" s="95">
        <v>8515</v>
      </c>
      <c r="W24" s="140" t="str">
        <f>"{"&amp;"'coin':"&amp;表1_861014[[#This Row],[补偿Coin]]&amp;",'"&amp;配置!$A$2&amp;"':"&amp;表1_861014[[#This Row],[补偿辎重]]&amp;"},"</f>
        <v>{'coin':3000,'item036':30},</v>
      </c>
      <c r="X24" s="138" t="str">
        <f>"            'reward':"&amp;表1_861014[[#This Row],[辅助导出]]&amp;"
            'country':["&amp;R23&amp;","&amp;R24&amp;","&amp;R25&amp;"],"</f>
        <v>            'reward':{'coin':3000,'item036':30},
            'country':[2,2,1],</v>
      </c>
    </row>
    <row r="25" ht="14.25" customHeight="1" spans="1:24">
      <c r="A25" s="91">
        <v>39</v>
      </c>
      <c r="B25" s="91">
        <f>VLOOKUP(表1_861014[[#This Row],[区服]],$O$32:$P$39,2,FALSE)</f>
        <v>45</v>
      </c>
      <c r="C25" s="92" t="s">
        <v>51</v>
      </c>
      <c r="D25" s="93" t="str">
        <f>表1_861014[[#This Row],[目标国家]]</f>
        <v>蜀</v>
      </c>
      <c r="E25" s="95">
        <f>(VLOOKUP(表1_861014[[#This Row],[目标区服]],$Q$32:$R$36,2,FALSE)-表1_861014[[#This Row],[开服天数]])*配置!$B$1</f>
        <v>3000</v>
      </c>
      <c r="F25" s="95">
        <f>表1_861014[[#This Row],[补偿Coin]]*(表1_861014[[#This Row],[活跃高战玩家数]]+表1_861014[[#This Row],[活跃中坚玩家数]])</f>
        <v>87000</v>
      </c>
      <c r="G25" s="95">
        <f>(VLOOKUP(表1_861014[[#This Row],[目标区服]],$Q$32:$R$36,2,FALSE)-表1_861014[[#This Row],[开服天数]])*配置!$B$2</f>
        <v>30</v>
      </c>
      <c r="H25" s="93" t="s">
        <v>27</v>
      </c>
      <c r="I25" s="93">
        <f>IF(表1_861014[[#This Row],[原国家]]="魏",0,IF(表1_861014[[#This Row],[原国家]]="蜀",1,2))</f>
        <v>2</v>
      </c>
      <c r="J25" s="95">
        <v>3</v>
      </c>
      <c r="K25" s="95">
        <v>95</v>
      </c>
      <c r="L25" s="95">
        <v>3</v>
      </c>
      <c r="M25" s="95">
        <v>26</v>
      </c>
      <c r="N25" s="95">
        <v>104795</v>
      </c>
      <c r="O25" s="95">
        <v>2292399</v>
      </c>
      <c r="P25" s="326">
        <v>24625775</v>
      </c>
      <c r="Q25" s="31" t="s">
        <v>26</v>
      </c>
      <c r="R25" s="93">
        <f>IF(表1_861014[[#This Row],[目标国家]]="魏",0,IF(表1_861014[[#This Row],[目标国家]]="蜀",1,2))</f>
        <v>1</v>
      </c>
      <c r="S25" s="95">
        <v>93264</v>
      </c>
      <c r="T25" s="95">
        <v>55734</v>
      </c>
      <c r="U25" s="95">
        <v>400410</v>
      </c>
      <c r="V25" s="95">
        <v>10284</v>
      </c>
      <c r="W25" s="140" t="str">
        <f>"{"&amp;"'coin':"&amp;表1_861014[[#This Row],[补偿Coin]]&amp;",'"&amp;配置!$A$2&amp;"':"&amp;表1_861014[[#This Row],[补偿辎重]]&amp;"},"</f>
        <v>{'coin':3000,'item036':30},</v>
      </c>
      <c r="X25" s="138" t="str">
        <f>"      },"</f>
        <v>      },</v>
      </c>
    </row>
    <row r="26" spans="1:24">
      <c r="A26" s="723"/>
      <c r="B26" s="723"/>
      <c r="C26" s="724"/>
      <c r="D26" s="725"/>
      <c r="E26" s="726"/>
      <c r="F26" s="726"/>
      <c r="G26" s="726"/>
      <c r="H26" s="725"/>
      <c r="I26" s="725"/>
      <c r="J26" s="726"/>
      <c r="K26" s="726"/>
      <c r="L26" s="726"/>
      <c r="M26" s="726"/>
      <c r="N26" s="726"/>
      <c r="O26" s="726"/>
      <c r="P26" s="735"/>
      <c r="Q26" s="740"/>
      <c r="R26" s="725"/>
      <c r="S26" s="726"/>
      <c r="T26" s="726"/>
      <c r="U26" s="726"/>
      <c r="V26" s="726"/>
      <c r="W26" s="741"/>
      <c r="X26" s="741"/>
    </row>
    <row r="27" spans="1:24">
      <c r="A27" s="723"/>
      <c r="B27" s="723"/>
      <c r="C27" s="724"/>
      <c r="D27" s="725"/>
      <c r="E27" s="726"/>
      <c r="F27" s="726"/>
      <c r="G27" s="726"/>
      <c r="H27" s="725"/>
      <c r="I27" s="725"/>
      <c r="J27" s="726"/>
      <c r="K27" s="726"/>
      <c r="L27" s="726"/>
      <c r="M27" s="726"/>
      <c r="N27" s="726"/>
      <c r="O27" s="726"/>
      <c r="P27" s="735"/>
      <c r="Q27" s="740"/>
      <c r="R27" s="725"/>
      <c r="S27" s="726"/>
      <c r="T27" s="726"/>
      <c r="U27" s="726"/>
      <c r="V27" s="726"/>
      <c r="W27" s="741"/>
      <c r="X27" s="741"/>
    </row>
    <row r="28" ht="37.5" customHeight="1" spans="1:24">
      <c r="A28" s="723"/>
      <c r="B28" s="723"/>
      <c r="C28" s="724"/>
      <c r="D28" s="725"/>
      <c r="E28" s="726"/>
      <c r="F28" s="726"/>
      <c r="G28" s="726"/>
      <c r="H28" s="725"/>
      <c r="I28" s="725"/>
      <c r="J28" s="726"/>
      <c r="K28" s="726"/>
      <c r="L28" s="726"/>
      <c r="M28" s="726"/>
      <c r="N28" s="726"/>
      <c r="O28" s="726"/>
      <c r="P28" s="735"/>
      <c r="Q28" s="740"/>
      <c r="R28" s="725"/>
      <c r="S28" s="726"/>
      <c r="T28" s="726"/>
      <c r="U28" s="726"/>
      <c r="V28" s="726"/>
      <c r="W28" s="741"/>
      <c r="X28" s="741"/>
    </row>
    <row r="31" ht="27" spans="1:18">
      <c r="A31" s="36" t="s">
        <v>28</v>
      </c>
      <c r="B31" s="37" t="s">
        <v>29</v>
      </c>
      <c r="C31" s="38" t="s">
        <v>30</v>
      </c>
      <c r="D31" s="38" t="s">
        <v>31</v>
      </c>
      <c r="E31" s="38" t="s">
        <v>32</v>
      </c>
      <c r="F31" s="38" t="s">
        <v>33</v>
      </c>
      <c r="G31" s="38" t="s">
        <v>15</v>
      </c>
      <c r="H31" s="37" t="s">
        <v>18</v>
      </c>
      <c r="I31" s="37" t="s">
        <v>19</v>
      </c>
      <c r="J31" s="37" t="s">
        <v>34</v>
      </c>
      <c r="K31" s="38" t="s">
        <v>35</v>
      </c>
      <c r="L31" s="38" t="s">
        <v>36</v>
      </c>
      <c r="M31" s="38" t="s">
        <v>37</v>
      </c>
      <c r="O31" s="51" t="s">
        <v>0</v>
      </c>
      <c r="P31" s="51" t="s">
        <v>1</v>
      </c>
      <c r="Q31" s="51"/>
      <c r="R31" s="51" t="s">
        <v>38</v>
      </c>
    </row>
    <row r="32" ht="15" spans="1:18">
      <c r="A32" s="672" t="s">
        <v>48</v>
      </c>
      <c r="B32" s="672" t="s">
        <v>25</v>
      </c>
      <c r="C32" s="672">
        <f>COUNTIFS(表1_861014[目标区服],表2_971115[[#This Row],[合区区服]],表1_861014[目标国家（映射）],表2_971115[[#This Row],[国家]])</f>
        <v>2</v>
      </c>
      <c r="D32" s="672">
        <f>SUMIFS(表1_861014[活跃高战玩家数],表1_861014[目标区服],表2_971115[[#This Row],[合区区服]],表1_861014[目标国家（映射）],表2_971115[[#This Row],[国家]])</f>
        <v>5</v>
      </c>
      <c r="E32" s="672">
        <f>SUMIFS(表1_861014[活跃中坚玩家数],表1_861014[目标区服],表2_971115[[#This Row],[合区区服]],表1_861014[目标国家（映射）],表2_971115[[#This Row],[国家]])</f>
        <v>49</v>
      </c>
      <c r="F32" s="672">
        <f t="array" ref="F32">MAX((表1_861014[目标区服]=表2_971115[[#This Row],[合区区服]])*(表1_861014[目标国家（映射）]=表2_971115[[#This Row],[国家]])*表1_861014[活跃尖端战力])</f>
        <v>2906379</v>
      </c>
      <c r="G32" s="673">
        <f>SUMIFS(表1_861014[活跃总战力],表1_861014[目标区服],表2_971115[[#This Row],[合区区服]],表1_861014[目标国家（映射）],表2_971115[[#This Row],[国家]])</f>
        <v>50307319</v>
      </c>
      <c r="H32" s="672">
        <f>SUMIFS(表1_861014[活跃实际充值],表1_861014[目标区服],表2_971115[[#This Row],[合区区服]],表1_861014[目标国家（映射）],表2_971115[[#This Row],[国家]])</f>
        <v>125214</v>
      </c>
      <c r="I32" s="672">
        <f>SUMIFS(表1_861014[活跃虚拟充值],表1_861014[目标区服],表2_971115[[#This Row],[合区区服]],表1_861014[目标国家（映射）],表2_971115[[#This Row],[国家]])</f>
        <v>2678</v>
      </c>
      <c r="J32" s="672">
        <f>SUMIFS(表1_861014[活跃Coin],表1_861014[目标区服],表2_971115[[#This Row],[合区区服]],表1_861014[目标国家（映射）],表2_971115[[#This Row],[国家]])</f>
        <v>1313439</v>
      </c>
      <c r="K32" s="672">
        <f>SUMIFS(表1_861014[共计补偿Coin],表1_861014[目标区服],表2_971115[[#This Row],[合区区服]],表1_861014[目标国家（映射）],表2_971115[[#This Row],[国家]])</f>
        <v>77000</v>
      </c>
      <c r="L32" s="672">
        <f>表2_971115[[#This Row],[活跃Coin]]+表2_971115[[#This Row],[共计补偿Coin]]</f>
        <v>1390439</v>
      </c>
      <c r="M32" s="672">
        <f>SUMIFS(表1_861014[综合国力],表1_861014[目标区服],表2_971115[[#This Row],[合区区服]],表1_861014[目标国家（映射）],表2_971115[[#This Row],[国家]])</f>
        <v>20172</v>
      </c>
      <c r="O32" s="51">
        <v>32</v>
      </c>
      <c r="P32" s="51">
        <v>59</v>
      </c>
      <c r="Q32" s="51" t="s">
        <v>48</v>
      </c>
      <c r="R32" s="51">
        <v>61</v>
      </c>
    </row>
    <row r="33" ht="15" spans="1:18">
      <c r="A33" s="672" t="s">
        <v>48</v>
      </c>
      <c r="B33" s="672" t="s">
        <v>26</v>
      </c>
      <c r="C33" s="672">
        <f>COUNTIFS(表1_861014[目标区服],表2_971115[[#This Row],[合区区服]],表1_861014[目标国家（映射）],表2_971115[[#This Row],[国家]])</f>
        <v>2</v>
      </c>
      <c r="D33" s="672">
        <f>SUMIFS(表1_861014[活跃高战玩家数],表1_861014[目标区服],表2_971115[[#This Row],[合区区服]],表1_861014[目标国家（映射）],表2_971115[[#This Row],[国家]])</f>
        <v>6</v>
      </c>
      <c r="E33" s="672">
        <f>SUMIFS(表1_861014[活跃中坚玩家数],表1_861014[目标区服],表2_971115[[#This Row],[合区区服]],表1_861014[目标国家（映射）],表2_971115[[#This Row],[国家]])</f>
        <v>23</v>
      </c>
      <c r="F33" s="672">
        <f t="array" ref="F33">MAX((表1_861014[目标区服]=表2_971115[[#This Row],[合区区服]])*(表1_861014[目标国家（映射）]=表2_971115[[#This Row],[国家]])*表1_861014[活跃尖端战力])</f>
        <v>3559941</v>
      </c>
      <c r="G33" s="673">
        <f>SUMIFS(表1_861014[活跃总战力],表1_861014[目标区服],表2_971115[[#This Row],[合区区服]],表1_861014[目标国家（映射）],表2_971115[[#This Row],[国家]])</f>
        <v>28901458</v>
      </c>
      <c r="H33" s="672">
        <f>SUMIFS(表1_861014[活跃实际充值],表1_861014[目标区服],表2_971115[[#This Row],[合区区服]],表1_861014[目标国家（映射）],表2_971115[[#This Row],[国家]])</f>
        <v>192900</v>
      </c>
      <c r="I33" s="672">
        <f>SUMIFS(表1_861014[活跃虚拟充值],表1_861014[目标区服],表2_971115[[#This Row],[合区区服]],表1_861014[目标国家（映射）],表2_971115[[#This Row],[国家]])</f>
        <v>4272</v>
      </c>
      <c r="J33" s="672">
        <f>SUMIFS(表1_861014[活跃Coin],表1_861014[目标区服],表2_971115[[#This Row],[合区区服]],表1_861014[目标国家（映射）],表2_971115[[#This Row],[国家]])</f>
        <v>910716</v>
      </c>
      <c r="K33" s="672">
        <f>SUMIFS(表1_861014[共计补偿Coin],表1_861014[目标区服],表2_971115[[#This Row],[合区区服]],表1_861014[目标国家（映射）],表2_971115[[#This Row],[国家]])</f>
        <v>50000</v>
      </c>
      <c r="L33" s="672">
        <f>表2_971115[[#This Row],[活跃Coin]]+表2_971115[[#This Row],[共计补偿Coin]]</f>
        <v>960716</v>
      </c>
      <c r="M33" s="672">
        <f>SUMIFS(表1_861014[综合国力],表1_861014[目标区服],表2_971115[[#This Row],[合区区服]],表1_861014[目标国家（映射）],表2_971115[[#This Row],[国家]])</f>
        <v>16965</v>
      </c>
      <c r="O33" s="51">
        <v>33</v>
      </c>
      <c r="P33" s="51">
        <v>57</v>
      </c>
      <c r="Q33" s="51" t="s">
        <v>49</v>
      </c>
      <c r="R33" s="51">
        <v>57</v>
      </c>
    </row>
    <row r="34" ht="15" spans="1:18">
      <c r="A34" s="672" t="s">
        <v>48</v>
      </c>
      <c r="B34" s="672" t="s">
        <v>27</v>
      </c>
      <c r="C34" s="672">
        <f>COUNTIFS(表1_861014[目标区服],表2_971115[[#This Row],[合区区服]],表1_861014[目标国家（映射）],表2_971115[[#This Row],[国家]])</f>
        <v>2</v>
      </c>
      <c r="D34" s="672">
        <f>SUMIFS(表1_861014[活跃高战玩家数],表1_861014[目标区服],表2_971115[[#This Row],[合区区服]],表1_861014[目标国家（映射）],表2_971115[[#This Row],[国家]])</f>
        <v>8</v>
      </c>
      <c r="E34" s="672">
        <f>SUMIFS(表1_861014[活跃中坚玩家数],表1_861014[目标区服],表2_971115[[#This Row],[合区区服]],表1_861014[目标国家（映射）],表2_971115[[#This Row],[国家]])</f>
        <v>40</v>
      </c>
      <c r="F34" s="672">
        <f t="array" ref="F34">MAX((表1_861014[目标区服]=表2_971115[[#This Row],[合区区服]])*(表1_861014[目标国家（映射）]=表2_971115[[#This Row],[国家]])*表1_861014[活跃尖端战力])</f>
        <v>3544597</v>
      </c>
      <c r="G34" s="673">
        <f>SUMIFS(表1_861014[活跃总战力],表1_861014[目标区服],表2_971115[[#This Row],[合区区服]],表1_861014[目标国家（映射）],表2_971115[[#This Row],[国家]])</f>
        <v>46673610</v>
      </c>
      <c r="H34" s="672">
        <f>SUMIFS(表1_861014[活跃实际充值],表1_861014[目标区服],表2_971115[[#This Row],[合区区服]],表1_861014[目标国家（映射）],表2_971115[[#This Row],[国家]])</f>
        <v>175300</v>
      </c>
      <c r="I34" s="672">
        <f>SUMIFS(表1_861014[活跃虚拟充值],表1_861014[目标区服],表2_971115[[#This Row],[合区区服]],表1_861014[目标国家（映射）],表2_971115[[#This Row],[国家]])</f>
        <v>1018</v>
      </c>
      <c r="J34" s="672">
        <f>SUMIFS(表1_861014[活跃Coin],表1_861014[目标区服],表2_971115[[#This Row],[合区区服]],表1_861014[目标国家（映射）],表2_971115[[#This Row],[国家]])</f>
        <v>465349</v>
      </c>
      <c r="K34" s="672">
        <f>SUMIFS(表1_861014[共计补偿Coin],表1_861014[目标区服],表2_971115[[#This Row],[合区区服]],表1_861014[目标国家（映射）],表2_971115[[#This Row],[国家]])</f>
        <v>72000</v>
      </c>
      <c r="L34" s="672">
        <f>表2_971115[[#This Row],[活跃Coin]]+表2_971115[[#This Row],[共计补偿Coin]]</f>
        <v>537349</v>
      </c>
      <c r="M34" s="672">
        <f>SUMIFS(表1_861014[综合国力],表1_861014[目标区服],表2_971115[[#This Row],[合区区服]],表1_861014[目标国家（映射）],表2_971115[[#This Row],[国家]])</f>
        <v>20295</v>
      </c>
      <c r="O34" s="51">
        <v>34</v>
      </c>
      <c r="P34" s="51">
        <v>55</v>
      </c>
      <c r="Q34" s="51" t="s">
        <v>50</v>
      </c>
      <c r="R34" s="51">
        <v>53</v>
      </c>
    </row>
    <row r="35" ht="15" spans="1:18">
      <c r="A35" s="727" t="s">
        <v>49</v>
      </c>
      <c r="B35" s="727" t="s">
        <v>25</v>
      </c>
      <c r="C35" s="727">
        <f>COUNTIFS(表1_861014[目标区服],表2_971115[[#This Row],[合区区服]],表1_861014[目标国家（映射）],表2_971115[[#This Row],[国家]])</f>
        <v>2</v>
      </c>
      <c r="D35" s="727">
        <f>SUMIFS(表1_861014[活跃高战玩家数],表1_861014[目标区服],表2_971115[[#This Row],[合区区服]],表1_861014[目标国家（映射）],表2_971115[[#This Row],[国家]])</f>
        <v>5</v>
      </c>
      <c r="E35" s="727">
        <f>SUMIFS(表1_861014[活跃中坚玩家数],表1_861014[目标区服],表2_971115[[#This Row],[合区区服]],表1_861014[目标国家（映射）],表2_971115[[#This Row],[国家]])</f>
        <v>44</v>
      </c>
      <c r="F35" s="727">
        <f t="array" ref="F35">MAX((表1_861014[目标区服]=表2_971115[[#This Row],[合区区服]])*(表1_861014[目标国家（映射）]=表2_971115[[#This Row],[国家]])*表1_861014[活跃尖端战力])</f>
        <v>3311671</v>
      </c>
      <c r="G35" s="728">
        <f>SUMIFS(表1_861014[活跃总战力],表1_861014[目标区服],表2_971115[[#This Row],[合区区服]],表1_861014[目标国家（映射）],表2_971115[[#This Row],[国家]])</f>
        <v>45361881</v>
      </c>
      <c r="H35" s="727">
        <f>SUMIFS(表1_861014[活跃实际充值],表1_861014[目标区服],表2_971115[[#This Row],[合区区服]],表1_861014[目标国家（映射）],表2_971115[[#This Row],[国家]])</f>
        <v>185800</v>
      </c>
      <c r="I35" s="727">
        <f>SUMIFS(表1_861014[活跃虚拟充值],表1_861014[目标区服],表2_971115[[#This Row],[合区区服]],表1_861014[目标国家（映射）],表2_971115[[#This Row],[国家]])</f>
        <v>7452</v>
      </c>
      <c r="J35" s="727">
        <f>SUMIFS(表1_861014[活跃Coin],表1_861014[目标区服],表2_971115[[#This Row],[合区区服]],表1_861014[目标国家（映射）],表2_971115[[#This Row],[国家]])</f>
        <v>764588</v>
      </c>
      <c r="K35" s="727">
        <f>SUMIFS(表1_861014[共计补偿Coin],表1_861014[目标区服],表2_971115[[#This Row],[合区区服]],表1_861014[目标国家（映射）],表2_971115[[#This Row],[国家]])</f>
        <v>59000</v>
      </c>
      <c r="L35" s="727">
        <f>表2_971115[[#This Row],[活跃Coin]]+表2_971115[[#This Row],[共计补偿Coin]]</f>
        <v>823588</v>
      </c>
      <c r="M35" s="727">
        <f>SUMIFS(表1_861014[综合国力],表1_861014[目标区服],表2_971115[[#This Row],[合区区服]],表1_861014[目标国家（映射）],表2_971115[[#This Row],[国家]])</f>
        <v>20428</v>
      </c>
      <c r="O35" s="51">
        <v>35</v>
      </c>
      <c r="P35" s="51">
        <v>53</v>
      </c>
      <c r="Q35" s="51" t="s">
        <v>51</v>
      </c>
      <c r="R35" s="51">
        <v>51</v>
      </c>
    </row>
    <row r="36" ht="15" spans="1:18">
      <c r="A36" s="727" t="s">
        <v>49</v>
      </c>
      <c r="B36" s="727" t="s">
        <v>26</v>
      </c>
      <c r="C36" s="727">
        <f>COUNTIFS(表1_861014[目标区服],表2_971115[[#This Row],[合区区服]],表1_861014[目标国家（映射）],表2_971115[[#This Row],[国家]])</f>
        <v>3</v>
      </c>
      <c r="D36" s="727">
        <f>SUMIFS(表1_861014[活跃高战玩家数],表1_861014[目标区服],表2_971115[[#This Row],[合区区服]],表1_861014[目标国家（映射）],表2_971115[[#This Row],[国家]])</f>
        <v>4</v>
      </c>
      <c r="E36" s="727">
        <f>SUMIFS(表1_861014[活跃中坚玩家数],表1_861014[目标区服],表2_971115[[#This Row],[合区区服]],表1_861014[目标国家（映射）],表2_971115[[#This Row],[国家]])</f>
        <v>53</v>
      </c>
      <c r="F36" s="727">
        <f t="array" ref="F36">MAX((表1_861014[目标区服]=表2_971115[[#This Row],[合区区服]])*(表1_861014[目标国家（映射）]=表2_971115[[#This Row],[国家]])*表1_861014[活跃尖端战力])</f>
        <v>2117220</v>
      </c>
      <c r="G36" s="728">
        <f>SUMIFS(表1_861014[活跃总战力],表1_861014[目标区服],表2_971115[[#This Row],[合区区服]],表1_861014[目标国家（映射）],表2_971115[[#This Row],[国家]])</f>
        <v>44878114</v>
      </c>
      <c r="H36" s="727">
        <f>SUMIFS(表1_861014[活跃实际充值],表1_861014[目标区服],表2_971115[[#This Row],[合区区服]],表1_861014[目标国家（映射）],表2_971115[[#This Row],[国家]])</f>
        <v>98090</v>
      </c>
      <c r="I36" s="727">
        <f>SUMIFS(表1_861014[活跃虚拟充值],表1_861014[目标区服],表2_971115[[#This Row],[合区区服]],表1_861014[目标国家（映射）],表2_971115[[#This Row],[国家]])</f>
        <v>71472</v>
      </c>
      <c r="J36" s="727">
        <f>SUMIFS(表1_861014[活跃Coin],表1_861014[目标区服],表2_971115[[#This Row],[合区区服]],表1_861014[目标国家（映射）],表2_971115[[#This Row],[国家]])</f>
        <v>496340</v>
      </c>
      <c r="K36" s="727">
        <f>SUMIFS(表1_861014[共计补偿Coin],表1_861014[目标区服],表2_971115[[#This Row],[合区区服]],表1_861014[目标国家（映射）],表2_971115[[#This Row],[国家]])</f>
        <v>79000</v>
      </c>
      <c r="L36" s="727">
        <f>表2_971115[[#This Row],[活跃Coin]]+表2_971115[[#This Row],[共计补偿Coin]]</f>
        <v>575340</v>
      </c>
      <c r="M36" s="727">
        <f>SUMIFS(表1_861014[综合国力],表1_861014[目标区服],表2_971115[[#This Row],[合区区服]],表1_861014[目标国家（映射）],表2_971115[[#This Row],[国家]])</f>
        <v>17117</v>
      </c>
      <c r="O36" s="51">
        <v>36</v>
      </c>
      <c r="P36" s="51">
        <v>51</v>
      </c>
      <c r="Q36" s="51"/>
      <c r="R36" s="51"/>
    </row>
    <row r="37" ht="15" spans="1:16">
      <c r="A37" s="727" t="s">
        <v>49</v>
      </c>
      <c r="B37" s="727" t="s">
        <v>27</v>
      </c>
      <c r="C37" s="727">
        <f>COUNTIFS(表1_861014[目标区服],表2_971115[[#This Row],[合区区服]],表1_861014[目标国家（映射）],表2_971115[[#This Row],[国家]])</f>
        <v>1</v>
      </c>
      <c r="D37" s="727">
        <f>SUMIFS(表1_861014[活跃高战玩家数],表1_861014[目标区服],表2_971115[[#This Row],[合区区服]],表1_861014[目标国家（映射）],表2_971115[[#This Row],[国家]])</f>
        <v>8</v>
      </c>
      <c r="E37" s="727">
        <f>SUMIFS(表1_861014[活跃中坚玩家数],表1_861014[目标区服],表2_971115[[#This Row],[合区区服]],表1_861014[目标国家（映射）],表2_971115[[#This Row],[国家]])</f>
        <v>23</v>
      </c>
      <c r="F37" s="727">
        <f t="array" ref="F37">MAX((表1_861014[目标区服]=表2_971115[[#This Row],[合区区服]])*(表1_861014[目标国家（映射）]=表2_971115[[#This Row],[国家]])*表1_861014[活跃尖端战力])</f>
        <v>3795349</v>
      </c>
      <c r="G37" s="728">
        <f>SUMIFS(表1_861014[活跃总战力],表1_861014[目标区服],表2_971115[[#This Row],[合区区服]],表1_861014[目标国家（映射）],表2_971115[[#This Row],[国家]])</f>
        <v>35727764</v>
      </c>
      <c r="H37" s="727">
        <f>SUMIFS(表1_861014[活跃实际充值],表1_861014[目标区服],表2_971115[[#This Row],[合区区服]],表1_861014[目标国家（映射）],表2_971115[[#This Row],[国家]])</f>
        <v>161700</v>
      </c>
      <c r="I37" s="727">
        <f>SUMIFS(表1_861014[活跃虚拟充值],表1_861014[目标区服],表2_971115[[#This Row],[合区区服]],表1_861014[目标国家（映射）],表2_971115[[#This Row],[国家]])</f>
        <v>97618</v>
      </c>
      <c r="J37" s="727">
        <f>SUMIFS(表1_861014[活跃Coin],表1_861014[目标区服],表2_971115[[#This Row],[合区区服]],表1_861014[目标国家（映射）],表2_971115[[#This Row],[国家]])</f>
        <v>817848</v>
      </c>
      <c r="K37" s="727">
        <f>SUMIFS(表1_861014[共计补偿Coin],表1_861014[目标区服],表2_971115[[#This Row],[合区区服]],表1_861014[目标国家（映射）],表2_971115[[#This Row],[国家]])</f>
        <v>62000</v>
      </c>
      <c r="L37" s="727">
        <f>表2_971115[[#This Row],[活跃Coin]]+表2_971115[[#This Row],[共计补偿Coin]]</f>
        <v>879848</v>
      </c>
      <c r="M37" s="727">
        <f>SUMIFS(表1_861014[综合国力],表1_861014[目标区服],表2_971115[[#This Row],[合区区服]],表1_861014[目标国家（映射）],表2_971115[[#This Row],[国家]])</f>
        <v>19401</v>
      </c>
      <c r="O37" s="51">
        <v>37</v>
      </c>
      <c r="P37" s="51">
        <v>49</v>
      </c>
    </row>
    <row r="38" ht="15" spans="1:16">
      <c r="A38" s="41" t="s">
        <v>50</v>
      </c>
      <c r="B38" s="41" t="s">
        <v>25</v>
      </c>
      <c r="C38" s="41">
        <f>COUNTIFS(表1_861014[目标区服],表2_971115[[#This Row],[合区区服]],表1_861014[目标国家（映射）],表2_971115[[#This Row],[国家]])</f>
        <v>2</v>
      </c>
      <c r="D38" s="41">
        <f>SUMIFS(表1_861014[活跃高战玩家数],表1_861014[目标区服],表2_971115[[#This Row],[合区区服]],表1_861014[目标国家（映射）],表2_971115[[#This Row],[国家]])</f>
        <v>5</v>
      </c>
      <c r="E38" s="41">
        <f>SUMIFS(表1_861014[活跃中坚玩家数],表1_861014[目标区服],表2_971115[[#This Row],[合区区服]],表1_861014[目标国家（映射）],表2_971115[[#This Row],[国家]])</f>
        <v>41</v>
      </c>
      <c r="F38" s="41">
        <f t="array" ref="F38">MAX((表1_861014[目标区服]=表2_971115[[#This Row],[合区区服]])*(表1_861014[目标国家（映射）]=表2_971115[[#This Row],[国家]])*表1_861014[活跃尖端战力])</f>
        <v>2921913</v>
      </c>
      <c r="G38" s="42">
        <f>SUMIFS(表1_861014[活跃总战力],表1_861014[目标区服],表2_971115[[#This Row],[合区区服]],表1_861014[目标国家（映射）],表2_971115[[#This Row],[国家]])</f>
        <v>37638978</v>
      </c>
      <c r="H38" s="41">
        <f>SUMIFS(表1_861014[活跃实际充值],表1_861014[目标区服],表2_971115[[#This Row],[合区区服]],表1_861014[目标国家（映射）],表2_971115[[#This Row],[国家]])</f>
        <v>167054</v>
      </c>
      <c r="I38" s="41">
        <f>SUMIFS(表1_861014[活跃虚拟充值],表1_861014[目标区服],表2_971115[[#This Row],[合区区服]],表1_861014[目标国家（映射）],表2_971115[[#This Row],[国家]])</f>
        <v>1222</v>
      </c>
      <c r="J38" s="41">
        <f>SUMIFS(表1_861014[活跃Coin],表1_861014[目标区服],表2_971115[[#This Row],[合区区服]],表1_861014[目标国家（映射）],表2_971115[[#This Row],[国家]])</f>
        <v>766436</v>
      </c>
      <c r="K38" s="41">
        <f>SUMIFS(表1_861014[共计补偿Coin],表1_861014[目标区服],表2_971115[[#This Row],[合区区服]],表1_861014[目标国家（映射）],表2_971115[[#This Row],[国家]])</f>
        <v>46000</v>
      </c>
      <c r="L38" s="41">
        <f>表2_971115[[#This Row],[活跃Coin]]+表2_971115[[#This Row],[共计补偿Coin]]</f>
        <v>812436</v>
      </c>
      <c r="M38" s="41">
        <f>SUMIFS(表1_861014[综合国力],表1_861014[目标区服],表2_971115[[#This Row],[合区区服]],表1_861014[目标国家（映射）],表2_971115[[#This Row],[国家]])</f>
        <v>18581</v>
      </c>
      <c r="O38" s="51">
        <v>38</v>
      </c>
      <c r="P38" s="51">
        <v>47</v>
      </c>
    </row>
    <row r="39" ht="15" spans="1:16">
      <c r="A39" s="41" t="s">
        <v>50</v>
      </c>
      <c r="B39" s="41" t="s">
        <v>26</v>
      </c>
      <c r="C39" s="41">
        <f>COUNTIFS(表1_861014[目标区服],表2_971115[[#This Row],[合区区服]],表1_861014[目标国家（映射）],表2_971115[[#This Row],[国家]])</f>
        <v>1</v>
      </c>
      <c r="D39" s="41">
        <f>SUMIFS(表1_861014[活跃高战玩家数],表1_861014[目标区服],表2_971115[[#This Row],[合区区服]],表1_861014[目标国家（映射）],表2_971115[[#This Row],[国家]])</f>
        <v>9</v>
      </c>
      <c r="E39" s="41">
        <f>SUMIFS(表1_861014[活跃中坚玩家数],表1_861014[目标区服],表2_971115[[#This Row],[合区区服]],表1_861014[目标国家（映射）],表2_971115[[#This Row],[国家]])</f>
        <v>24</v>
      </c>
      <c r="F39" s="41">
        <f t="array" ref="F39">MAX((表1_861014[目标区服]=表2_971115[[#This Row],[合区区服]])*(表1_861014[目标国家（映射）]=表2_971115[[#This Row],[国家]])*表1_861014[活跃尖端战力])</f>
        <v>3219207</v>
      </c>
      <c r="G39" s="42">
        <f>SUMIFS(表1_861014[活跃总战力],表1_861014[目标区服],表2_971115[[#This Row],[合区区服]],表1_861014[目标国家（映射）],表2_971115[[#This Row],[国家]])</f>
        <v>31719059</v>
      </c>
      <c r="H39" s="41">
        <f>SUMIFS(表1_861014[活跃实际充值],表1_861014[目标区服],表2_971115[[#This Row],[合区区服]],表1_861014[目标国家（映射）],表2_971115[[#This Row],[国家]])</f>
        <v>192602</v>
      </c>
      <c r="I39" s="41">
        <f>SUMIFS(表1_861014[活跃虚拟充值],表1_861014[目标区服],表2_971115[[#This Row],[合区区服]],表1_861014[目标国家（映射）],表2_971115[[#This Row],[国家]])</f>
        <v>4654</v>
      </c>
      <c r="J39" s="41">
        <f>SUMIFS(表1_861014[活跃Coin],表1_861014[目标区服],表2_971115[[#This Row],[合区区服]],表1_861014[目标国家（映射）],表2_971115[[#This Row],[国家]])</f>
        <v>1189194</v>
      </c>
      <c r="K39" s="41">
        <f>SUMIFS(表1_861014[共计补偿Coin],表1_861014[目标区服],表2_971115[[#This Row],[合区区服]],表1_861014[目标国家（映射）],表2_971115[[#This Row],[国家]])</f>
        <v>66000</v>
      </c>
      <c r="L39" s="41">
        <f>表2_971115[[#This Row],[活跃Coin]]+表2_971115[[#This Row],[共计补偿Coin]]</f>
        <v>1255194</v>
      </c>
      <c r="M39" s="41">
        <f>SUMIFS(表1_861014[综合国力],表1_861014[目标区服],表2_971115[[#This Row],[合区区服]],表1_861014[目标国家（映射）],表2_971115[[#This Row],[国家]])</f>
        <v>19046</v>
      </c>
      <c r="O39" s="51">
        <v>39</v>
      </c>
      <c r="P39" s="51">
        <v>45</v>
      </c>
    </row>
    <row r="40" ht="15" spans="1:13">
      <c r="A40" s="41" t="s">
        <v>50</v>
      </c>
      <c r="B40" s="41" t="s">
        <v>27</v>
      </c>
      <c r="C40" s="41">
        <f>COUNTIFS(表1_861014[目标区服],表2_971115[[#This Row],[合区区服]],表1_861014[目标国家（映射）],表2_971115[[#This Row],[国家]])</f>
        <v>3</v>
      </c>
      <c r="D40" s="41">
        <f>SUMIFS(表1_861014[活跃高战玩家数],表1_861014[目标区服],表2_971115[[#This Row],[合区区服]],表1_861014[目标国家（映射）],表2_971115[[#This Row],[国家]])</f>
        <v>5</v>
      </c>
      <c r="E40" s="41">
        <f>SUMIFS(表1_861014[活跃中坚玩家数],表1_861014[目标区服],表2_971115[[#This Row],[合区区服]],表1_861014[目标国家（映射）],表2_971115[[#This Row],[国家]])</f>
        <v>51</v>
      </c>
      <c r="F40" s="41">
        <f t="array" ref="F40">MAX((表1_861014[目标区服]=表2_971115[[#This Row],[合区区服]])*(表1_861014[目标国家（映射）]=表2_971115[[#This Row],[国家]])*表1_861014[活跃尖端战力])</f>
        <v>2478360</v>
      </c>
      <c r="G40" s="42">
        <f>SUMIFS(表1_861014[活跃总战力],表1_861014[目标区服],表2_971115[[#This Row],[合区区服]],表1_861014[目标国家（映射）],表2_971115[[#This Row],[国家]])</f>
        <v>37042762</v>
      </c>
      <c r="H40" s="41">
        <f>SUMIFS(表1_861014[活跃实际充值],表1_861014[目标区服],表2_971115[[#This Row],[合区区服]],表1_861014[目标国家（映射）],表2_971115[[#This Row],[国家]])</f>
        <v>147814</v>
      </c>
      <c r="I40" s="41">
        <f>SUMIFS(表1_861014[活跃虚拟充值],表1_861014[目标区服],表2_971115[[#This Row],[合区区服]],表1_861014[目标国家（映射）],表2_971115[[#This Row],[国家]])</f>
        <v>1208</v>
      </c>
      <c r="J40" s="41">
        <f>SUMIFS(表1_861014[活跃Coin],表1_861014[目标区服],表2_971115[[#This Row],[合区区服]],表1_861014[目标国家（映射）],表2_971115[[#This Row],[国家]])</f>
        <v>474729</v>
      </c>
      <c r="K40" s="41">
        <f>SUMIFS(表1_861014[共计补偿Coin],表1_861014[目标区服],表2_971115[[#This Row],[合区区服]],表1_861014[目标国家（映射）],表2_971115[[#This Row],[国家]])</f>
        <v>83000</v>
      </c>
      <c r="L40" s="41">
        <f>表2_971115[[#This Row],[活跃Coin]]+表2_971115[[#This Row],[共计补偿Coin]]</f>
        <v>557729</v>
      </c>
      <c r="M40" s="41">
        <f>SUMIFS(表1_861014[综合国力],表1_861014[目标区服],表2_971115[[#This Row],[合区区服]],表1_861014[目标国家（映射）],表2_971115[[#This Row],[国家]])</f>
        <v>15994</v>
      </c>
    </row>
    <row r="41" ht="15" spans="1:13">
      <c r="A41" s="178" t="s">
        <v>51</v>
      </c>
      <c r="B41" s="178" t="s">
        <v>25</v>
      </c>
      <c r="C41" s="178">
        <f>COUNTIFS(表1_861014[目标区服],表2_971115[[#This Row],[合区区服]],表1_861014[目标国家（映射）],表2_971115[[#This Row],[国家]])</f>
        <v>2</v>
      </c>
      <c r="D41" s="178">
        <f>SUMIFS(表1_861014[活跃高战玩家数],表1_861014[目标区服],表2_971115[[#This Row],[合区区服]],表1_861014[目标国家（映射）],表2_971115[[#This Row],[国家]])</f>
        <v>9</v>
      </c>
      <c r="E41" s="178">
        <f>SUMIFS(表1_861014[活跃中坚玩家数],表1_861014[目标区服],表2_971115[[#This Row],[合区区服]],表1_861014[目标国家（映射）],表2_971115[[#This Row],[国家]])</f>
        <v>48</v>
      </c>
      <c r="F41" s="178">
        <f t="array" ref="F41">MAX((表1_861014[目标区服]=表2_971115[[#This Row],[合区区服]])*(表1_861014[目标国家（映射）]=表2_971115[[#This Row],[国家]])*表1_861014[活跃尖端战力])</f>
        <v>2787654</v>
      </c>
      <c r="G41" s="179">
        <f>SUMIFS(表1_861014[活跃总战力],表1_861014[目标区服],表2_971115[[#This Row],[合区区服]],表1_861014[目标国家（映射）],表2_971115[[#This Row],[国家]])</f>
        <v>46160602</v>
      </c>
      <c r="H41" s="178">
        <f>SUMIFS(表1_861014[活跃实际充值],表1_861014[目标区服],表2_971115[[#This Row],[合区区服]],表1_861014[目标国家（映射）],表2_971115[[#This Row],[国家]])</f>
        <v>143220</v>
      </c>
      <c r="I41" s="178">
        <f>SUMIFS(表1_861014[活跃虚拟充值],表1_861014[目标区服],表2_971115[[#This Row],[合区区服]],表1_861014[目标国家（映射）],表2_971115[[#This Row],[国家]])</f>
        <v>21122</v>
      </c>
      <c r="J41" s="178">
        <f>SUMIFS(表1_861014[活跃Coin],表1_861014[目标区服],表2_971115[[#This Row],[合区区服]],表1_861014[目标国家（映射）],表2_971115[[#This Row],[国家]])</f>
        <v>470687</v>
      </c>
      <c r="K41" s="178">
        <f>SUMIFS(表1_861014[共计补偿Coin],表1_861014[目标区服],表2_971115[[#This Row],[合区区服]],表1_861014[目标国家（映射）],表2_971115[[#This Row],[国家]])</f>
        <v>114000</v>
      </c>
      <c r="L41" s="178">
        <f>表2_971115[[#This Row],[活跃Coin]]+表2_971115[[#This Row],[共计补偿Coin]]</f>
        <v>584687</v>
      </c>
      <c r="M41" s="178">
        <f>SUMIFS(表1_861014[综合国力],表1_861014[目标区服],表2_971115[[#This Row],[合区区服]],表1_861014[目标国家（映射）],表2_971115[[#This Row],[国家]])</f>
        <v>18628</v>
      </c>
    </row>
    <row r="42" ht="15" spans="1:13">
      <c r="A42" s="178" t="s">
        <v>51</v>
      </c>
      <c r="B42" s="178" t="s">
        <v>26</v>
      </c>
      <c r="C42" s="178">
        <f>COUNTIFS(表1_861014[目标区服],表2_971115[[#This Row],[合区区服]],表1_861014[目标国家（映射）],表2_971115[[#This Row],[国家]])</f>
        <v>2</v>
      </c>
      <c r="D42" s="178">
        <f>SUMIFS(表1_861014[活跃高战玩家数],表1_861014[目标区服],表2_971115[[#This Row],[合区区服]],表1_861014[目标国家（映射）],表2_971115[[#This Row],[国家]])</f>
        <v>4</v>
      </c>
      <c r="E42" s="178">
        <f>SUMIFS(表1_861014[活跃中坚玩家数],表1_861014[目标区服],表2_971115[[#This Row],[合区区服]],表1_861014[目标国家（映射）],表2_971115[[#This Row],[国家]])</f>
        <v>43</v>
      </c>
      <c r="F42" s="178">
        <f t="array" ref="F42">MAX((表1_861014[目标区服]=表2_971115[[#This Row],[合区区服]])*(表1_861014[目标国家（映射）]=表2_971115[[#This Row],[国家]])*表1_861014[活跃尖端战力])</f>
        <v>2300627</v>
      </c>
      <c r="G42" s="179">
        <f>SUMIFS(表1_861014[活跃总战力],表1_861014[目标区服],表2_971115[[#This Row],[合区区服]],表1_861014[目标国家（映射）],表2_971115[[#This Row],[国家]])</f>
        <v>38866286</v>
      </c>
      <c r="H42" s="178">
        <f>SUMIFS(表1_861014[活跃实际充值],表1_861014[目标区服],表2_971115[[#This Row],[合区区服]],表1_861014[目标国家（映射）],表2_971115[[#This Row],[国家]])</f>
        <v>160436</v>
      </c>
      <c r="I42" s="178">
        <f>SUMIFS(表1_861014[活跃虚拟充值],表1_861014[目标区服],表2_971115[[#This Row],[合区区服]],表1_861014[目标国家（映射）],表2_971115[[#This Row],[国家]])</f>
        <v>62722</v>
      </c>
      <c r="J42" s="178">
        <f>SUMIFS(表1_861014[活跃Coin],表1_861014[目标区服],表2_971115[[#This Row],[合区区服]],表1_861014[目标国家（映射）],表2_971115[[#This Row],[国家]])</f>
        <v>852289</v>
      </c>
      <c r="K42" s="178">
        <f>SUMIFS(表1_861014[共计补偿Coin],表1_861014[目标区服],表2_971115[[#This Row],[合区区服]],表1_861014[目标国家（映射）],表2_971115[[#This Row],[国家]])</f>
        <v>123000</v>
      </c>
      <c r="L42" s="178">
        <f>表2_971115[[#This Row],[活跃Coin]]+表2_971115[[#This Row],[共计补偿Coin]]</f>
        <v>975289</v>
      </c>
      <c r="M42" s="178">
        <f>SUMIFS(表1_861014[综合国力],表1_861014[目标区服],表2_971115[[#This Row],[合区区服]],表1_861014[目标国家（映射）],表2_971115[[#This Row],[国家]])</f>
        <v>17562</v>
      </c>
    </row>
    <row r="43" ht="15" spans="1:13">
      <c r="A43" s="178" t="s">
        <v>51</v>
      </c>
      <c r="B43" s="180" t="s">
        <v>27</v>
      </c>
      <c r="C43" s="180">
        <f>COUNTIFS(表1_861014[目标区服],表2_971115[[#This Row],[合区区服]],表1_861014[目标国家（映射）],表2_971115[[#This Row],[国家]])</f>
        <v>2</v>
      </c>
      <c r="D43" s="180">
        <f>SUMIFS(表1_861014[活跃高战玩家数],表1_861014[目标区服],表2_971115[[#This Row],[合区区服]],表1_861014[目标国家（映射）],表2_971115[[#This Row],[国家]])</f>
        <v>7</v>
      </c>
      <c r="E43" s="180">
        <f>SUMIFS(表1_861014[活跃中坚玩家数],表1_861014[目标区服],表2_971115[[#This Row],[合区区服]],表1_861014[目标国家（映射）],表2_971115[[#This Row],[国家]])</f>
        <v>53</v>
      </c>
      <c r="F43" s="180">
        <f t="array" ref="F43">MAX((表1_861014[目标区服]=表2_971115[[#This Row],[合区区服]])*(表1_861014[目标国家（映射）]=表2_971115[[#This Row],[国家]])*表1_861014[活跃尖端战力])</f>
        <v>2472819</v>
      </c>
      <c r="G43" s="262">
        <f>SUMIFS(表1_861014[活跃总战力],表1_861014[目标区服],表2_971115[[#This Row],[合区区服]],表1_861014[目标国家（映射）],表2_971115[[#This Row],[国家]])</f>
        <v>49665296</v>
      </c>
      <c r="H43" s="180">
        <f>SUMIFS(表1_861014[活跃实际充值],表1_861014[目标区服],表2_971115[[#This Row],[合区区服]],表1_861014[目标国家（映射）],表2_971115[[#This Row],[国家]])</f>
        <v>139982</v>
      </c>
      <c r="I43" s="180">
        <f>SUMIFS(表1_861014[活跃虚拟充值],表1_861014[目标区服],表2_971115[[#This Row],[合区区服]],表1_861014[目标国家（映射）],表2_971115[[#This Row],[国家]])</f>
        <v>2382</v>
      </c>
      <c r="J43" s="180">
        <f>SUMIFS(表1_861014[活跃Coin],表1_861014[目标区服],表2_971115[[#This Row],[合区区服]],表1_861014[目标国家（映射）],表2_971115[[#This Row],[国家]])</f>
        <v>612421</v>
      </c>
      <c r="K43" s="180">
        <f>SUMIFS(表1_861014[共计补偿Coin],表1_861014[目标区服],表2_971115[[#This Row],[合区区服]],表1_861014[目标国家（映射）],表2_971115[[#This Row],[国家]])</f>
        <v>180000</v>
      </c>
      <c r="L43" s="180">
        <f>表2_971115[[#This Row],[活跃Coin]]+表2_971115[[#This Row],[共计补偿Coin]]</f>
        <v>792421</v>
      </c>
      <c r="M43" s="180">
        <f>SUMIFS(表1_861014[综合国力],表1_861014[目标区服],表2_971115[[#This Row],[合区区服]],表1_861014[目标国家（映射）],表2_971115[[#This Row],[国家]])</f>
        <v>18995</v>
      </c>
    </row>
    <row r="48" ht="27" spans="1:12">
      <c r="A48" s="49"/>
      <c r="B48" s="50" t="s">
        <v>9</v>
      </c>
      <c r="C48" s="50" t="s">
        <v>10</v>
      </c>
      <c r="D48" s="50" t="s">
        <v>11</v>
      </c>
      <c r="E48" s="50" t="s">
        <v>12</v>
      </c>
      <c r="F48" s="50" t="s">
        <v>13</v>
      </c>
      <c r="G48" s="50" t="s">
        <v>14</v>
      </c>
      <c r="H48" s="50" t="s">
        <v>15</v>
      </c>
      <c r="I48" s="50" t="s">
        <v>18</v>
      </c>
      <c r="J48" s="50" t="s">
        <v>19</v>
      </c>
      <c r="K48" s="50" t="s">
        <v>20</v>
      </c>
      <c r="L48" s="50" t="s">
        <v>21</v>
      </c>
    </row>
    <row r="49" spans="1:12">
      <c r="A49" s="50" t="s">
        <v>25</v>
      </c>
      <c r="B49" s="50">
        <v>7</v>
      </c>
      <c r="C49" s="50">
        <v>316</v>
      </c>
      <c r="D49" s="50">
        <v>5</v>
      </c>
      <c r="E49" s="50">
        <v>26</v>
      </c>
      <c r="F49" s="50">
        <v>167028</v>
      </c>
      <c r="G49" s="50">
        <v>2906379</v>
      </c>
      <c r="H49" s="50">
        <v>35318326</v>
      </c>
      <c r="I49" s="50">
        <v>93036</v>
      </c>
      <c r="J49" s="50">
        <v>2672</v>
      </c>
      <c r="K49" s="50">
        <v>992674</v>
      </c>
      <c r="L49" s="50">
        <v>14943</v>
      </c>
    </row>
    <row r="50" spans="1:12">
      <c r="A50" s="50" t="s">
        <v>26</v>
      </c>
      <c r="B50" s="50">
        <v>2</v>
      </c>
      <c r="C50" s="50">
        <v>70</v>
      </c>
      <c r="D50" s="50">
        <v>4</v>
      </c>
      <c r="E50" s="50">
        <v>20</v>
      </c>
      <c r="F50" s="50">
        <v>112505</v>
      </c>
      <c r="G50" s="50">
        <v>2471615</v>
      </c>
      <c r="H50" s="50">
        <v>23177278</v>
      </c>
      <c r="I50" s="50">
        <v>57614</v>
      </c>
      <c r="J50" s="50">
        <v>0</v>
      </c>
      <c r="K50" s="50">
        <v>204155</v>
      </c>
      <c r="L50" s="50">
        <v>8184</v>
      </c>
    </row>
    <row r="51" spans="1:12">
      <c r="A51" s="50" t="s">
        <v>27</v>
      </c>
      <c r="B51" s="50">
        <v>0</v>
      </c>
      <c r="C51" s="50">
        <v>9</v>
      </c>
      <c r="D51" s="50">
        <v>0</v>
      </c>
      <c r="E51" s="50">
        <v>8</v>
      </c>
      <c r="F51" s="50">
        <v>12687</v>
      </c>
      <c r="G51" s="50">
        <v>883830</v>
      </c>
      <c r="H51" s="50">
        <v>4053940</v>
      </c>
      <c r="I51" s="50">
        <v>2096</v>
      </c>
      <c r="J51" s="50">
        <v>0</v>
      </c>
      <c r="K51" s="50">
        <v>59123</v>
      </c>
      <c r="L51" s="50">
        <v>1564</v>
      </c>
    </row>
    <row r="52" spans="1:12">
      <c r="A52" s="50" t="s">
        <v>25</v>
      </c>
      <c r="B52" s="50">
        <v>4</v>
      </c>
      <c r="C52" s="50">
        <v>182</v>
      </c>
      <c r="D52" s="50">
        <v>6</v>
      </c>
      <c r="E52" s="50">
        <v>15</v>
      </c>
      <c r="F52" s="50">
        <v>103763</v>
      </c>
      <c r="G52" s="50">
        <v>3559941</v>
      </c>
      <c r="H52" s="50">
        <v>24847518</v>
      </c>
      <c r="I52" s="50">
        <v>190804</v>
      </c>
      <c r="J52" s="50">
        <v>4272</v>
      </c>
      <c r="K52" s="50">
        <v>851593</v>
      </c>
      <c r="L52" s="50">
        <v>15401</v>
      </c>
    </row>
    <row r="53" spans="1:12">
      <c r="A53" s="50" t="s">
        <v>26</v>
      </c>
      <c r="B53" s="50">
        <v>1</v>
      </c>
      <c r="C53" s="50">
        <v>62</v>
      </c>
      <c r="D53" s="50">
        <v>0</v>
      </c>
      <c r="E53" s="50">
        <v>23</v>
      </c>
      <c r="F53" s="50">
        <v>73118</v>
      </c>
      <c r="G53" s="50">
        <v>1358422</v>
      </c>
      <c r="H53" s="50">
        <v>14988993</v>
      </c>
      <c r="I53" s="50">
        <v>32178</v>
      </c>
      <c r="J53" s="50">
        <v>6</v>
      </c>
      <c r="K53" s="50">
        <v>320765</v>
      </c>
      <c r="L53" s="50">
        <v>5229</v>
      </c>
    </row>
    <row r="54" spans="1:12">
      <c r="A54" s="50" t="s">
        <v>27</v>
      </c>
      <c r="B54" s="50">
        <v>4</v>
      </c>
      <c r="C54" s="50">
        <v>151</v>
      </c>
      <c r="D54" s="50">
        <v>4</v>
      </c>
      <c r="E54" s="50">
        <v>20</v>
      </c>
      <c r="F54" s="50">
        <v>100983</v>
      </c>
      <c r="G54" s="50">
        <v>3544597</v>
      </c>
      <c r="H54" s="50">
        <v>23496332</v>
      </c>
      <c r="I54" s="50">
        <v>117686</v>
      </c>
      <c r="J54" s="50">
        <v>1018</v>
      </c>
      <c r="K54" s="50">
        <v>261194</v>
      </c>
      <c r="L54" s="50">
        <v>12111</v>
      </c>
    </row>
    <row r="55" spans="1:12">
      <c r="A55" s="50" t="s">
        <v>25</v>
      </c>
      <c r="B55" s="50">
        <v>7</v>
      </c>
      <c r="C55" s="50">
        <v>294</v>
      </c>
      <c r="D55" s="50">
        <v>5</v>
      </c>
      <c r="E55" s="50">
        <v>34</v>
      </c>
      <c r="F55" s="50">
        <v>176681</v>
      </c>
      <c r="G55" s="50">
        <v>3311671</v>
      </c>
      <c r="H55" s="50">
        <v>39102070</v>
      </c>
      <c r="I55" s="50">
        <v>172438</v>
      </c>
      <c r="J55" s="50">
        <v>7294</v>
      </c>
      <c r="K55" s="50">
        <v>638732</v>
      </c>
      <c r="L55" s="50">
        <v>17630</v>
      </c>
    </row>
    <row r="56" spans="1:12">
      <c r="A56" s="50" t="s">
        <v>26</v>
      </c>
      <c r="B56" s="50">
        <v>2</v>
      </c>
      <c r="C56" s="50">
        <v>76</v>
      </c>
      <c r="D56" s="50">
        <v>1</v>
      </c>
      <c r="E56" s="50">
        <v>22</v>
      </c>
      <c r="F56" s="50">
        <v>72694</v>
      </c>
      <c r="G56" s="50">
        <v>1973248</v>
      </c>
      <c r="H56" s="50">
        <v>18204393</v>
      </c>
      <c r="I56" s="50">
        <v>5984</v>
      </c>
      <c r="J56" s="50">
        <v>36138</v>
      </c>
      <c r="K56" s="50">
        <v>237130</v>
      </c>
      <c r="L56" s="50">
        <v>5895</v>
      </c>
    </row>
    <row r="57" spans="1:12">
      <c r="A57" s="50" t="s">
        <v>27</v>
      </c>
      <c r="B57" s="50">
        <v>0</v>
      </c>
      <c r="C57" s="50">
        <v>25</v>
      </c>
      <c r="D57" s="50">
        <v>2</v>
      </c>
      <c r="E57" s="50">
        <v>10</v>
      </c>
      <c r="F57" s="50">
        <v>36153</v>
      </c>
      <c r="G57" s="50">
        <v>2092647</v>
      </c>
      <c r="H57" s="50">
        <v>9856288</v>
      </c>
      <c r="I57" s="50">
        <v>20802</v>
      </c>
      <c r="J57" s="50">
        <v>34522</v>
      </c>
      <c r="K57" s="50">
        <v>79092</v>
      </c>
      <c r="L57" s="50">
        <v>4557</v>
      </c>
    </row>
    <row r="58" spans="1:12">
      <c r="A58" s="50" t="s">
        <v>25</v>
      </c>
      <c r="B58" s="50">
        <v>9</v>
      </c>
      <c r="C58" s="50">
        <v>363</v>
      </c>
      <c r="D58" s="50">
        <v>8</v>
      </c>
      <c r="E58" s="50">
        <v>23</v>
      </c>
      <c r="F58" s="50">
        <v>171643</v>
      </c>
      <c r="G58" s="50">
        <v>3795349</v>
      </c>
      <c r="H58" s="50">
        <v>35727764</v>
      </c>
      <c r="I58" s="50">
        <v>161700</v>
      </c>
      <c r="J58" s="50">
        <v>97618</v>
      </c>
      <c r="K58" s="50">
        <v>817848</v>
      </c>
      <c r="L58" s="50">
        <v>19401</v>
      </c>
    </row>
    <row r="59" spans="1:12">
      <c r="A59" s="50" t="s">
        <v>26</v>
      </c>
      <c r="B59" s="50">
        <v>0</v>
      </c>
      <c r="C59" s="50">
        <v>18</v>
      </c>
      <c r="D59" s="50">
        <v>1</v>
      </c>
      <c r="E59" s="50">
        <v>21</v>
      </c>
      <c r="F59" s="50">
        <v>71895</v>
      </c>
      <c r="G59" s="50">
        <v>2117220</v>
      </c>
      <c r="H59" s="50">
        <v>16817433</v>
      </c>
      <c r="I59" s="50">
        <v>71304</v>
      </c>
      <c r="J59" s="50">
        <v>812</v>
      </c>
      <c r="K59" s="50">
        <v>180118</v>
      </c>
      <c r="L59" s="50">
        <v>6665</v>
      </c>
    </row>
    <row r="60" spans="1:12">
      <c r="A60" s="50" t="s">
        <v>27</v>
      </c>
      <c r="B60" s="50">
        <v>0</v>
      </c>
      <c r="C60" s="50">
        <v>14</v>
      </c>
      <c r="D60" s="50">
        <v>0</v>
      </c>
      <c r="E60" s="50">
        <v>10</v>
      </c>
      <c r="F60" s="50">
        <v>24131</v>
      </c>
      <c r="G60" s="50">
        <v>1383467</v>
      </c>
      <c r="H60" s="50">
        <v>6259811</v>
      </c>
      <c r="I60" s="50">
        <v>13362</v>
      </c>
      <c r="J60" s="50">
        <v>158</v>
      </c>
      <c r="K60" s="50">
        <v>125856</v>
      </c>
      <c r="L60" s="50">
        <v>2798</v>
      </c>
    </row>
    <row r="61" spans="1:12">
      <c r="A61" s="50" t="s">
        <v>25</v>
      </c>
      <c r="B61" s="50">
        <v>2</v>
      </c>
      <c r="C61" s="50">
        <v>63</v>
      </c>
      <c r="D61" s="50">
        <v>1</v>
      </c>
      <c r="E61" s="50">
        <v>18</v>
      </c>
      <c r="F61" s="50">
        <v>66214</v>
      </c>
      <c r="G61" s="50">
        <v>2041275</v>
      </c>
      <c r="H61" s="50">
        <v>14195878</v>
      </c>
      <c r="I61" s="50">
        <v>52150</v>
      </c>
      <c r="J61" s="50">
        <v>1028</v>
      </c>
      <c r="K61" s="50">
        <v>220712</v>
      </c>
      <c r="L61" s="50">
        <v>6417</v>
      </c>
    </row>
    <row r="62" spans="1:12">
      <c r="A62" s="50" t="s">
        <v>26</v>
      </c>
      <c r="B62" s="50">
        <v>4</v>
      </c>
      <c r="C62" s="50">
        <v>197</v>
      </c>
      <c r="D62" s="50">
        <v>4</v>
      </c>
      <c r="E62" s="50">
        <v>23</v>
      </c>
      <c r="F62" s="50">
        <v>106768</v>
      </c>
      <c r="G62" s="50">
        <v>2921913</v>
      </c>
      <c r="H62" s="50">
        <v>23443100</v>
      </c>
      <c r="I62" s="50">
        <v>114904</v>
      </c>
      <c r="J62" s="50">
        <v>194</v>
      </c>
      <c r="K62" s="50">
        <v>545724</v>
      </c>
      <c r="L62" s="50">
        <v>12164</v>
      </c>
    </row>
    <row r="63" spans="1:12">
      <c r="A63" s="50" t="s">
        <v>27</v>
      </c>
      <c r="B63" s="50">
        <v>3</v>
      </c>
      <c r="C63" s="50">
        <v>135</v>
      </c>
      <c r="D63" s="50">
        <v>4</v>
      </c>
      <c r="E63" s="50">
        <v>25</v>
      </c>
      <c r="F63" s="50">
        <v>114056</v>
      </c>
      <c r="G63" s="50">
        <v>2478360</v>
      </c>
      <c r="H63" s="50">
        <v>23194398</v>
      </c>
      <c r="I63" s="50">
        <v>122336</v>
      </c>
      <c r="J63" s="50">
        <v>0</v>
      </c>
      <c r="K63" s="50">
        <v>354424</v>
      </c>
      <c r="L63" s="50">
        <v>11042</v>
      </c>
    </row>
    <row r="64" spans="1:12">
      <c r="A64" s="50" t="s">
        <v>25</v>
      </c>
      <c r="B64" s="50">
        <v>0</v>
      </c>
      <c r="C64" s="50">
        <v>6</v>
      </c>
      <c r="D64" s="50">
        <v>0</v>
      </c>
      <c r="E64" s="50">
        <v>11</v>
      </c>
      <c r="F64" s="50">
        <v>26342</v>
      </c>
      <c r="G64" s="50">
        <v>893663</v>
      </c>
      <c r="H64" s="50">
        <v>5031007</v>
      </c>
      <c r="I64" s="50">
        <v>2394</v>
      </c>
      <c r="J64" s="50">
        <v>0</v>
      </c>
      <c r="K64" s="50">
        <v>50352</v>
      </c>
      <c r="L64" s="50">
        <v>1710</v>
      </c>
    </row>
    <row r="65" spans="1:12">
      <c r="A65" s="50" t="s">
        <v>26</v>
      </c>
      <c r="B65" s="50">
        <v>9</v>
      </c>
      <c r="C65" s="50">
        <v>383</v>
      </c>
      <c r="D65" s="50">
        <v>9</v>
      </c>
      <c r="E65" s="50">
        <v>24</v>
      </c>
      <c r="F65" s="50">
        <v>182264</v>
      </c>
      <c r="G65" s="50">
        <v>3219207</v>
      </c>
      <c r="H65" s="50">
        <v>31719059</v>
      </c>
      <c r="I65" s="50">
        <v>192602</v>
      </c>
      <c r="J65" s="50">
        <v>4654</v>
      </c>
      <c r="K65" s="50">
        <v>1189194</v>
      </c>
      <c r="L65" s="50">
        <v>19046</v>
      </c>
    </row>
    <row r="66" spans="1:12">
      <c r="A66" s="50" t="s">
        <v>27</v>
      </c>
      <c r="B66" s="50">
        <v>0</v>
      </c>
      <c r="C66" s="50">
        <v>6</v>
      </c>
      <c r="D66" s="50">
        <v>1</v>
      </c>
      <c r="E66" s="50">
        <v>15</v>
      </c>
      <c r="F66" s="50">
        <v>52457</v>
      </c>
      <c r="G66" s="50">
        <v>1264131</v>
      </c>
      <c r="H66" s="50">
        <v>8817357</v>
      </c>
      <c r="I66" s="50">
        <v>23084</v>
      </c>
      <c r="J66" s="50">
        <v>1208</v>
      </c>
      <c r="K66" s="50">
        <v>69953</v>
      </c>
      <c r="L66" s="50">
        <v>3242</v>
      </c>
    </row>
    <row r="67" spans="1:12">
      <c r="A67" s="50" t="s">
        <v>25</v>
      </c>
      <c r="B67" s="50">
        <v>8</v>
      </c>
      <c r="C67" s="50">
        <v>311</v>
      </c>
      <c r="D67" s="50">
        <v>9</v>
      </c>
      <c r="E67" s="50">
        <v>34</v>
      </c>
      <c r="F67" s="50">
        <v>199621</v>
      </c>
      <c r="G67" s="50">
        <v>2787654</v>
      </c>
      <c r="H67" s="50">
        <v>38471149</v>
      </c>
      <c r="I67" s="50">
        <v>137414</v>
      </c>
      <c r="J67" s="50">
        <v>21116</v>
      </c>
      <c r="K67" s="50">
        <v>429931</v>
      </c>
      <c r="L67" s="50">
        <v>16306</v>
      </c>
    </row>
    <row r="68" spans="1:12">
      <c r="A68" s="50" t="s">
        <v>26</v>
      </c>
      <c r="B68" s="50">
        <v>1</v>
      </c>
      <c r="C68" s="50">
        <v>57</v>
      </c>
      <c r="D68" s="50">
        <v>1</v>
      </c>
      <c r="E68" s="50">
        <v>17</v>
      </c>
      <c r="F68" s="50">
        <v>69473</v>
      </c>
      <c r="G68" s="50">
        <v>2300627</v>
      </c>
      <c r="H68" s="50">
        <v>14240511</v>
      </c>
      <c r="I68" s="50">
        <v>67172</v>
      </c>
      <c r="J68" s="50">
        <v>6988</v>
      </c>
      <c r="K68" s="50">
        <v>451879</v>
      </c>
      <c r="L68" s="50">
        <v>7278</v>
      </c>
    </row>
    <row r="69" spans="1:12">
      <c r="A69" s="50" t="s">
        <v>27</v>
      </c>
      <c r="B69" s="50">
        <v>0</v>
      </c>
      <c r="C69" s="50">
        <v>27</v>
      </c>
      <c r="D69" s="50">
        <v>0</v>
      </c>
      <c r="E69" s="50">
        <v>14</v>
      </c>
      <c r="F69" s="50">
        <v>33722</v>
      </c>
      <c r="G69" s="50">
        <v>900437</v>
      </c>
      <c r="H69" s="50">
        <v>7689453</v>
      </c>
      <c r="I69" s="50">
        <v>5806</v>
      </c>
      <c r="J69" s="50">
        <v>6</v>
      </c>
      <c r="K69" s="50">
        <v>40756</v>
      </c>
      <c r="L69" s="50">
        <v>2322</v>
      </c>
    </row>
    <row r="70" spans="1:12">
      <c r="A70" s="50" t="s">
        <v>25</v>
      </c>
      <c r="B70" s="50">
        <v>4</v>
      </c>
      <c r="C70" s="50">
        <v>180</v>
      </c>
      <c r="D70" s="50">
        <v>5</v>
      </c>
      <c r="E70" s="50">
        <v>34</v>
      </c>
      <c r="F70" s="50">
        <v>140177</v>
      </c>
      <c r="G70" s="50">
        <v>2063721</v>
      </c>
      <c r="H70" s="50">
        <v>31723596</v>
      </c>
      <c r="I70" s="50">
        <v>63530</v>
      </c>
      <c r="J70" s="50">
        <v>2382</v>
      </c>
      <c r="K70" s="50">
        <v>413578</v>
      </c>
      <c r="L70" s="50">
        <v>10480</v>
      </c>
    </row>
    <row r="71" spans="1:12">
      <c r="A71" s="50" t="s">
        <v>26</v>
      </c>
      <c r="B71" s="50">
        <v>2</v>
      </c>
      <c r="C71" s="50">
        <v>120</v>
      </c>
      <c r="D71" s="50">
        <v>2</v>
      </c>
      <c r="E71" s="50">
        <v>19</v>
      </c>
      <c r="F71" s="50">
        <v>71319</v>
      </c>
      <c r="G71" s="50">
        <v>2472819</v>
      </c>
      <c r="H71" s="50">
        <v>17941700</v>
      </c>
      <c r="I71" s="50">
        <v>76452</v>
      </c>
      <c r="J71" s="50">
        <v>0</v>
      </c>
      <c r="K71" s="50">
        <v>198843</v>
      </c>
      <c r="L71" s="50">
        <v>8515</v>
      </c>
    </row>
    <row r="72" spans="1:12">
      <c r="A72" s="50" t="s">
        <v>27</v>
      </c>
      <c r="B72" s="50">
        <v>3</v>
      </c>
      <c r="C72" s="50">
        <v>95</v>
      </c>
      <c r="D72" s="50">
        <v>3</v>
      </c>
      <c r="E72" s="50">
        <v>26</v>
      </c>
      <c r="F72" s="50">
        <v>104795</v>
      </c>
      <c r="G72" s="50">
        <v>2292399</v>
      </c>
      <c r="H72" s="50">
        <v>24625775</v>
      </c>
      <c r="I72" s="50">
        <v>93264</v>
      </c>
      <c r="J72" s="50">
        <v>55734</v>
      </c>
      <c r="K72" s="50">
        <v>400410</v>
      </c>
      <c r="L72" s="50">
        <v>10284</v>
      </c>
    </row>
  </sheetData>
  <conditionalFormatting sqref="O32">
    <cfRule type="cellIs" dxfId="37" priority="1" operator="equal">
      <formula>$S$32</formula>
    </cfRule>
  </conditionalFormatting>
  <conditionalFormatting sqref="O33">
    <cfRule type="cellIs" dxfId="37" priority="5" operator="equal">
      <formula>$S$32</formula>
    </cfRule>
  </conditionalFormatting>
  <conditionalFormatting sqref="F32:F40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{f115b7a9-476b-4d2d-9df5-148c3aed0e63}</x14:id>
        </ext>
      </extLst>
    </cfRule>
  </conditionalFormatting>
  <conditionalFormatting sqref="F41:F43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{aa81a599-7e61-4289-95de-7665c883040f}</x14:id>
        </ext>
      </extLst>
    </cfRule>
  </conditionalFormatting>
  <conditionalFormatting sqref="G32:G40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{1311f998-89bd-467b-831c-b05ccf178361}</x14:id>
        </ext>
      </extLst>
    </cfRule>
  </conditionalFormatting>
  <conditionalFormatting sqref="G41:G43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{39f297da-362b-4bca-8a92-786dd718f271}</x14:id>
        </ext>
      </extLst>
    </cfRule>
  </conditionalFormatting>
  <conditionalFormatting sqref="O2:O28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{82c70854-daec-4776-8fcb-a466cbf48ed0}</x14:id>
        </ext>
      </extLst>
    </cfRule>
  </conditionalFormatting>
  <conditionalFormatting sqref="P2:P28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{a0fe889c-e594-4bb7-8566-664a88f96a90}</x14:id>
        </ext>
      </extLst>
    </cfRule>
  </conditionalFormatting>
  <conditionalFormatting sqref="Q2:Q25">
    <cfRule type="cellIs" dxfId="38" priority="2" operator="equal">
      <formula>配置!$D$4</formula>
    </cfRule>
    <cfRule type="cellIs" dxfId="39" priority="3" operator="equal">
      <formula>配置!$D$3</formula>
    </cfRule>
    <cfRule type="cellIs" dxfId="37" priority="4" operator="equal">
      <formula>配置!$D$2</formula>
    </cfRule>
  </conditionalFormatting>
  <conditionalFormatting sqref="Q26:Q28">
    <cfRule type="cellIs" dxfId="38" priority="12" operator="equal">
      <formula>配置!$D$4</formula>
    </cfRule>
  </conditionalFormatting>
  <conditionalFormatting sqref="O29:O30 Q1:R1">
    <cfRule type="cellIs" dxfId="37" priority="13" operator="equal">
      <formula>配置!$D$2</formula>
    </cfRule>
  </conditionalFormatting>
  <conditionalFormatting sqref="O40:O41 Q26:Q28">
    <cfRule type="cellIs" dxfId="37" priority="11" operator="equal">
      <formula>配置!$D$2</formula>
    </cfRule>
  </conditionalFormatting>
  <conditionalFormatting sqref="O34:O39 Q32:Q36">
    <cfRule type="cellIs" dxfId="37" priority="6" operator="equal">
      <formula>$S$32</formula>
    </cfRule>
  </conditionalFormatting>
  <dataValidations count="1">
    <dataValidation type="list" allowBlank="1" showInputMessage="1" showErrorMessage="1" sqref="Q2:Q28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115b7a9-476b-4d2d-9df5-148c3aed0e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F32:F40</xm:sqref>
        </x14:conditionalFormatting>
        <x14:conditionalFormatting xmlns:xm="http://schemas.microsoft.com/office/excel/2006/main">
          <x14:cfRule type="dataBar" id="{aa81a599-7e61-4289-95de-7665c88304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F41:F43</xm:sqref>
        </x14:conditionalFormatting>
        <x14:conditionalFormatting xmlns:xm="http://schemas.microsoft.com/office/excel/2006/main">
          <x14:cfRule type="dataBar" id="{1311f998-89bd-467b-831c-b05ccf1783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G32:G40</xm:sqref>
        </x14:conditionalFormatting>
        <x14:conditionalFormatting xmlns:xm="http://schemas.microsoft.com/office/excel/2006/main">
          <x14:cfRule type="dataBar" id="{39f297da-362b-4bca-8a92-786dd718f2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G41:G43</xm:sqref>
        </x14:conditionalFormatting>
        <x14:conditionalFormatting xmlns:xm="http://schemas.microsoft.com/office/excel/2006/main">
          <x14:cfRule type="dataBar" id="{82c70854-daec-4776-8fcb-a466cbf48e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O2:O28</xm:sqref>
        </x14:conditionalFormatting>
        <x14:conditionalFormatting xmlns:xm="http://schemas.microsoft.com/office/excel/2006/main">
          <x14:cfRule type="dataBar" id="{a0fe889c-e594-4bb7-8566-664a88f96a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P2:P28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40"/>
  <sheetViews>
    <sheetView workbookViewId="0">
      <selection activeCell="A1" sqref="$A1:$XFD1048576"/>
    </sheetView>
  </sheetViews>
  <sheetFormatPr defaultColWidth="9" defaultRowHeight="13.5"/>
  <sheetData>
    <row r="1" s="1" customFormat="1" ht="27.75" spans="1:24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22</v>
      </c>
      <c r="X1" s="22" t="s">
        <v>23</v>
      </c>
    </row>
    <row r="2" s="354" customFormat="1" ht="14.25" customHeight="1" spans="1:24">
      <c r="A2" s="371">
        <v>40</v>
      </c>
      <c r="B2" s="371">
        <f>VLOOKUP(表1_8612[[#This Row],[区服]],$O$17:$P$24,2,FALSE)</f>
        <v>47</v>
      </c>
      <c r="C2" s="372" t="s">
        <v>52</v>
      </c>
      <c r="D2" s="373" t="str">
        <f>表1_8612[[#This Row],[目标国家]]</f>
        <v>魏</v>
      </c>
      <c r="E2" s="374">
        <f>(VLOOKUP(表1_8612[[#This Row],[目标区服]],$Q$17:$R$18,2,FALSE)-表1_8612[[#This Row],[开服天数]])*配置!$B$1</f>
        <v>1000</v>
      </c>
      <c r="F2" s="374">
        <f>表1_8612[[#This Row],[补偿Coin]]*(表1_8612[[#This Row],[活跃高战玩家数]]+表1_8612[[#This Row],[活跃中坚玩家数]])</f>
        <v>23000</v>
      </c>
      <c r="G2" s="374">
        <f>(VLOOKUP(表1_8612[[#This Row],[目标区服]],$Q$17:$R$18,2,FALSE)-表1_8612[[#This Row],[开服天数]])*配置!$B$2</f>
        <v>10</v>
      </c>
      <c r="H2" s="376" t="s">
        <v>25</v>
      </c>
      <c r="I2" s="376">
        <f>IF(表1_8612[[#This Row],[原国家]]="魏",0,IF(表1_8612[[#This Row],[原国家]]="蜀",1,2))</f>
        <v>0</v>
      </c>
      <c r="J2" s="380">
        <v>2</v>
      </c>
      <c r="K2" s="380">
        <v>84</v>
      </c>
      <c r="L2" s="380">
        <v>2</v>
      </c>
      <c r="M2" s="380">
        <v>21</v>
      </c>
      <c r="N2" s="380">
        <v>83466</v>
      </c>
      <c r="O2" s="380">
        <v>2811151</v>
      </c>
      <c r="P2" s="381">
        <v>21694377</v>
      </c>
      <c r="Q2" s="31" t="s">
        <v>25</v>
      </c>
      <c r="R2" s="376">
        <f>IF(表1_8612[[#This Row],[目标国家]]="魏",0,IF(表1_8612[[#This Row],[目标国家]]="蜀",1,2))</f>
        <v>0</v>
      </c>
      <c r="S2" s="380">
        <v>42250</v>
      </c>
      <c r="T2" s="380">
        <v>0</v>
      </c>
      <c r="U2" s="380">
        <v>280224</v>
      </c>
      <c r="V2" s="380">
        <v>7845</v>
      </c>
      <c r="W2" s="387" t="str">
        <f>"{"&amp;"'coin':"&amp;表1_8612[[#This Row],[补偿Coin]]&amp;",'"&amp;配置!$A$2&amp;"':"&amp;表1_8612[[#This Row],[补偿辎重]]&amp;"},"</f>
        <v>{'coin':1000,'item036':10},</v>
      </c>
      <c r="X2" s="388" t="str">
        <f>"      '"&amp;表1_8612[[#This Row],[区服]]&amp;"':{"</f>
        <v>      '40':{</v>
      </c>
    </row>
    <row r="3" s="354" customFormat="1" ht="14.25" customHeight="1" spans="1:24">
      <c r="A3" s="375">
        <v>40</v>
      </c>
      <c r="B3" s="371">
        <f>VLOOKUP(表1_8612[[#This Row],[区服]],$O$17:$P$24,2,FALSE)</f>
        <v>47</v>
      </c>
      <c r="C3" s="372" t="s">
        <v>52</v>
      </c>
      <c r="D3" s="376" t="str">
        <f>表1_8612[[#This Row],[目标国家]]</f>
        <v>蜀</v>
      </c>
      <c r="E3" s="380">
        <f>(VLOOKUP(表1_8612[[#This Row],[目标区服]],$Q$17:$R$18,2,FALSE)-表1_8612[[#This Row],[开服天数]])*配置!$B$1</f>
        <v>1000</v>
      </c>
      <c r="F3" s="380">
        <f>表1_8612[[#This Row],[补偿Coin]]*(表1_8612[[#This Row],[活跃高战玩家数]]+表1_8612[[#This Row],[活跃中坚玩家数]])</f>
        <v>29000</v>
      </c>
      <c r="G3" s="380">
        <f>(VLOOKUP(表1_8612[[#This Row],[目标区服]],$Q$17:$R$18,2,FALSE)-表1_8612[[#This Row],[开服天数]])*配置!$B$2</f>
        <v>10</v>
      </c>
      <c r="H3" s="376" t="s">
        <v>26</v>
      </c>
      <c r="I3" s="376">
        <f>IF(表1_8612[[#This Row],[原国家]]="魏",0,IF(表1_8612[[#This Row],[原国家]]="蜀",1,2))</f>
        <v>1</v>
      </c>
      <c r="J3" s="380">
        <v>4</v>
      </c>
      <c r="K3" s="380">
        <v>196</v>
      </c>
      <c r="L3" s="380">
        <v>4</v>
      </c>
      <c r="M3" s="380">
        <v>25</v>
      </c>
      <c r="N3" s="380">
        <v>134471</v>
      </c>
      <c r="O3" s="380">
        <v>3825004</v>
      </c>
      <c r="P3" s="381">
        <v>33969180</v>
      </c>
      <c r="Q3" s="31" t="s">
        <v>26</v>
      </c>
      <c r="R3" s="376">
        <f>IF(表1_8612[[#This Row],[目标国家]]="魏",0,IF(表1_8612[[#This Row],[目标国家]]="蜀",1,2))</f>
        <v>1</v>
      </c>
      <c r="S3" s="380">
        <v>156312</v>
      </c>
      <c r="T3" s="380">
        <v>0</v>
      </c>
      <c r="U3" s="380">
        <v>701283</v>
      </c>
      <c r="V3" s="380">
        <v>15294</v>
      </c>
      <c r="W3" s="387" t="str">
        <f>"{"&amp;"'coin':"&amp;表1_8612[[#This Row],[补偿Coin]]&amp;",'"&amp;配置!$A$2&amp;"':"&amp;表1_8612[[#This Row],[补偿辎重]]&amp;"},"</f>
        <v>{'coin':1000,'item036':10},</v>
      </c>
      <c r="X3" s="388" t="str">
        <f>"            'to_zone':'"&amp;表1_8612[[#This Row],[目标区服]]&amp;"',
            'reward':"&amp;表1_8612[[#This Row],[辅助导出]]&amp;"
            'country':["&amp;R2&amp;","&amp;R3&amp;","&amp;R4&amp;"],"</f>
        <v>            'to_zone':'h1_15',
            'reward':{'coin':1000,'item036':10},
            'country':[0,1,2],</v>
      </c>
    </row>
    <row r="4" s="354" customFormat="1" ht="14.25" customHeight="1" spans="1:24">
      <c r="A4" s="375">
        <v>40</v>
      </c>
      <c r="B4" s="371">
        <f>VLOOKUP(表1_8612[[#This Row],[区服]],$O$17:$P$24,2,FALSE)</f>
        <v>47</v>
      </c>
      <c r="C4" s="372" t="s">
        <v>52</v>
      </c>
      <c r="D4" s="376" t="str">
        <f>表1_8612[[#This Row],[目标国家]]</f>
        <v>吴</v>
      </c>
      <c r="E4" s="380">
        <f>(VLOOKUP(表1_8612[[#This Row],[目标区服]],$Q$17:$R$18,2,FALSE)-表1_8612[[#This Row],[开服天数]])*配置!$B$1</f>
        <v>1000</v>
      </c>
      <c r="F4" s="380">
        <f>表1_8612[[#This Row],[补偿Coin]]*(表1_8612[[#This Row],[活跃高战玩家数]]+表1_8612[[#This Row],[活跃中坚玩家数]])</f>
        <v>21000</v>
      </c>
      <c r="G4" s="380">
        <f>(VLOOKUP(表1_8612[[#This Row],[目标区服]],$Q$17:$R$18,2,FALSE)-表1_8612[[#This Row],[开服天数]])*配置!$B$2</f>
        <v>10</v>
      </c>
      <c r="H4" s="376" t="s">
        <v>27</v>
      </c>
      <c r="I4" s="376">
        <f>IF(表1_8612[[#This Row],[原国家]]="魏",0,IF(表1_8612[[#This Row],[原国家]]="蜀",1,2))</f>
        <v>2</v>
      </c>
      <c r="J4" s="380">
        <v>3</v>
      </c>
      <c r="K4" s="380">
        <v>115</v>
      </c>
      <c r="L4" s="380">
        <v>3</v>
      </c>
      <c r="M4" s="380">
        <v>18</v>
      </c>
      <c r="N4" s="380">
        <v>83396</v>
      </c>
      <c r="O4" s="380">
        <v>2829846</v>
      </c>
      <c r="P4" s="381">
        <v>21214741</v>
      </c>
      <c r="Q4" s="31" t="s">
        <v>27</v>
      </c>
      <c r="R4" s="376">
        <f>IF(表1_8612[[#This Row],[目标国家]]="魏",0,IF(表1_8612[[#This Row],[目标国家]]="蜀",1,2))</f>
        <v>2</v>
      </c>
      <c r="S4" s="380">
        <v>119508</v>
      </c>
      <c r="T4" s="380">
        <v>98</v>
      </c>
      <c r="U4" s="380">
        <v>753302</v>
      </c>
      <c r="V4" s="380">
        <v>10781</v>
      </c>
      <c r="W4" s="387" t="str">
        <f>"{"&amp;"'coin':"&amp;表1_8612[[#This Row],[补偿Coin]]&amp;",'"&amp;配置!$A$2&amp;"':"&amp;表1_8612[[#This Row],[补偿辎重]]&amp;"},"</f>
        <v>{'coin':1000,'item036':10},</v>
      </c>
      <c r="X4" s="388" t="str">
        <f>"      },"</f>
        <v>      },</v>
      </c>
    </row>
    <row r="5" s="354" customFormat="1" ht="14.25" customHeight="1" spans="1:24">
      <c r="A5" s="375">
        <v>41</v>
      </c>
      <c r="B5" s="371">
        <f>VLOOKUP(表1_8612[[#This Row],[区服]],$O$17:$P$24,2,FALSE)</f>
        <v>45</v>
      </c>
      <c r="C5" s="372" t="s">
        <v>52</v>
      </c>
      <c r="D5" s="376" t="str">
        <f>表1_8612[[#This Row],[目标国家]]</f>
        <v>蜀</v>
      </c>
      <c r="E5" s="380">
        <f>(VLOOKUP(表1_8612[[#This Row],[目标区服]],$Q$17:$R$18,2,FALSE)-表1_8612[[#This Row],[开服天数]])*配置!$B$1</f>
        <v>2000</v>
      </c>
      <c r="F5" s="380">
        <f>表1_8612[[#This Row],[补偿Coin]]*(表1_8612[[#This Row],[活跃高战玩家数]]+表1_8612[[#This Row],[活跃中坚玩家数]])</f>
        <v>54000</v>
      </c>
      <c r="G5" s="380">
        <f>(VLOOKUP(表1_8612[[#This Row],[目标区服]],$Q$17:$R$18,2,FALSE)-表1_8612[[#This Row],[开服天数]])*配置!$B$2</f>
        <v>20</v>
      </c>
      <c r="H5" s="376" t="s">
        <v>25</v>
      </c>
      <c r="I5" s="376">
        <f>IF(表1_8612[[#This Row],[原国家]]="魏",0,IF(表1_8612[[#This Row],[原国家]]="蜀",1,2))</f>
        <v>0</v>
      </c>
      <c r="J5" s="380">
        <v>3</v>
      </c>
      <c r="K5" s="380">
        <v>80</v>
      </c>
      <c r="L5" s="380">
        <v>2</v>
      </c>
      <c r="M5" s="380">
        <v>25</v>
      </c>
      <c r="N5" s="380">
        <v>86455</v>
      </c>
      <c r="O5" s="380">
        <v>2078173</v>
      </c>
      <c r="P5" s="381">
        <v>23839312</v>
      </c>
      <c r="Q5" s="31" t="s">
        <v>26</v>
      </c>
      <c r="R5" s="376">
        <f>IF(表1_8612[[#This Row],[目标国家]]="魏",0,IF(表1_8612[[#This Row],[目标国家]]="蜀",1,2))</f>
        <v>1</v>
      </c>
      <c r="S5" s="380">
        <v>49926</v>
      </c>
      <c r="T5" s="380">
        <v>678</v>
      </c>
      <c r="U5" s="380">
        <v>338385</v>
      </c>
      <c r="V5" s="380">
        <v>7668</v>
      </c>
      <c r="W5" s="387" t="str">
        <f>"{"&amp;"'coin':"&amp;表1_8612[[#This Row],[补偿Coin]]&amp;",'"&amp;配置!$A$2&amp;"':"&amp;表1_8612[[#This Row],[补偿辎重]]&amp;"},"</f>
        <v>{'coin':2000,'item036':20},</v>
      </c>
      <c r="X5" s="388" t="str">
        <f>"      '"&amp;表1_8612[[#This Row],[区服]]&amp;"':{"</f>
        <v>      '41':{</v>
      </c>
    </row>
    <row r="6" s="354" customFormat="1" ht="14.25" customHeight="1" spans="1:24">
      <c r="A6" s="371">
        <v>41</v>
      </c>
      <c r="B6" s="371">
        <f>VLOOKUP(表1_8612[[#This Row],[区服]],$O$17:$P$24,2,FALSE)</f>
        <v>45</v>
      </c>
      <c r="C6" s="372" t="s">
        <v>52</v>
      </c>
      <c r="D6" s="376" t="str">
        <f>表1_8612[[#This Row],[目标国家]]</f>
        <v>吴</v>
      </c>
      <c r="E6" s="380">
        <f>(VLOOKUP(表1_8612[[#This Row],[目标区服]],$Q$17:$R$18,2,FALSE)-表1_8612[[#This Row],[开服天数]])*配置!$B$1</f>
        <v>2000</v>
      </c>
      <c r="F6" s="380">
        <f>表1_8612[[#This Row],[补偿Coin]]*(表1_8612[[#This Row],[活跃高战玩家数]]+表1_8612[[#This Row],[活跃中坚玩家数]])</f>
        <v>54000</v>
      </c>
      <c r="G6" s="380">
        <f>(VLOOKUP(表1_8612[[#This Row],[目标区服]],$Q$17:$R$18,2,FALSE)-表1_8612[[#This Row],[开服天数]])*配置!$B$2</f>
        <v>20</v>
      </c>
      <c r="H6" s="376" t="s">
        <v>26</v>
      </c>
      <c r="I6" s="376">
        <f>IF(表1_8612[[#This Row],[原国家]]="魏",0,IF(表1_8612[[#This Row],[原国家]]="蜀",1,2))</f>
        <v>1</v>
      </c>
      <c r="J6" s="380">
        <v>1</v>
      </c>
      <c r="K6" s="380">
        <v>114</v>
      </c>
      <c r="L6" s="380">
        <v>3</v>
      </c>
      <c r="M6" s="380">
        <v>24</v>
      </c>
      <c r="N6" s="380">
        <v>102628</v>
      </c>
      <c r="O6" s="380">
        <v>3018819</v>
      </c>
      <c r="P6" s="381">
        <v>27277335</v>
      </c>
      <c r="Q6" s="31" t="s">
        <v>27</v>
      </c>
      <c r="R6" s="376">
        <f>IF(表1_8612[[#This Row],[目标国家]]="魏",0,IF(表1_8612[[#This Row],[目标国家]]="蜀",1,2))</f>
        <v>2</v>
      </c>
      <c r="S6" s="380">
        <v>149886</v>
      </c>
      <c r="T6" s="380">
        <v>0</v>
      </c>
      <c r="U6" s="380">
        <v>374424</v>
      </c>
      <c r="V6" s="380">
        <v>12183</v>
      </c>
      <c r="W6" s="387" t="str">
        <f>"{"&amp;"'coin':"&amp;表1_8612[[#This Row],[补偿Coin]]&amp;",'"&amp;配置!$A$2&amp;"':"&amp;表1_8612[[#This Row],[补偿辎重]]&amp;"},"</f>
        <v>{'coin':2000,'item036':20},</v>
      </c>
      <c r="X6" s="388" t="str">
        <f>"            'to_zone':'"&amp;表1_8612[[#This Row],[目标区服]]&amp;"',
            'reward':"&amp;表1_8612[[#This Row],[辅助导出]]&amp;"
            'country':["&amp;R5&amp;","&amp;R6&amp;","&amp;R7&amp;"],"</f>
        <v>            'to_zone':'h1_15',
            'reward':{'coin':2000,'item036':20},
            'country':[1,2,0],</v>
      </c>
    </row>
    <row r="7" s="354" customFormat="1" ht="14.25" customHeight="1" spans="1:24">
      <c r="A7" s="371">
        <v>41</v>
      </c>
      <c r="B7" s="371">
        <f>VLOOKUP(表1_8612[[#This Row],[区服]],$O$17:$P$24,2,FALSE)</f>
        <v>45</v>
      </c>
      <c r="C7" s="372" t="s">
        <v>52</v>
      </c>
      <c r="D7" s="376" t="str">
        <f>表1_8612[[#This Row],[目标国家]]</f>
        <v>魏</v>
      </c>
      <c r="E7" s="380">
        <f>(VLOOKUP(表1_8612[[#This Row],[目标区服]],$Q$17:$R$18,2,FALSE)-表1_8612[[#This Row],[开服天数]])*配置!$B$1</f>
        <v>2000</v>
      </c>
      <c r="F7" s="380">
        <f>表1_8612[[#This Row],[补偿Coin]]*(表1_8612[[#This Row],[活跃高战玩家数]]+表1_8612[[#This Row],[活跃中坚玩家数]])</f>
        <v>54000</v>
      </c>
      <c r="G7" s="380">
        <f>(VLOOKUP(表1_8612[[#This Row],[目标区服]],$Q$17:$R$18,2,FALSE)-表1_8612[[#This Row],[开服天数]])*配置!$B$2</f>
        <v>20</v>
      </c>
      <c r="H7" s="376" t="s">
        <v>27</v>
      </c>
      <c r="I7" s="376">
        <f>IF(表1_8612[[#This Row],[原国家]]="魏",0,IF(表1_8612[[#This Row],[原国家]]="蜀",1,2))</f>
        <v>2</v>
      </c>
      <c r="J7" s="380">
        <v>5</v>
      </c>
      <c r="K7" s="380">
        <v>201</v>
      </c>
      <c r="L7" s="380">
        <v>4</v>
      </c>
      <c r="M7" s="380">
        <v>23</v>
      </c>
      <c r="N7" s="380">
        <v>119936</v>
      </c>
      <c r="O7" s="380">
        <v>3671214</v>
      </c>
      <c r="P7" s="381">
        <v>31947010</v>
      </c>
      <c r="Q7" s="31" t="s">
        <v>25</v>
      </c>
      <c r="R7" s="376">
        <f>IF(表1_8612[[#This Row],[目标国家]]="魏",0,IF(表1_8612[[#This Row],[目标国家]]="蜀",1,2))</f>
        <v>0</v>
      </c>
      <c r="S7" s="380">
        <v>164692</v>
      </c>
      <c r="T7" s="380">
        <v>0</v>
      </c>
      <c r="U7" s="380">
        <v>212957</v>
      </c>
      <c r="V7" s="380">
        <v>15022</v>
      </c>
      <c r="W7" s="387" t="str">
        <f>"{"&amp;"'coin':"&amp;表1_8612[[#This Row],[补偿Coin]]&amp;",'"&amp;配置!$A$2&amp;"':"&amp;表1_8612[[#This Row],[补偿辎重]]&amp;"},"</f>
        <v>{'coin':2000,'item036':20},</v>
      </c>
      <c r="X7" s="388" t="str">
        <f t="shared" ref="X7" si="0">"      },"</f>
        <v>      },</v>
      </c>
    </row>
    <row r="8" ht="14.25" customHeight="1" spans="1:24">
      <c r="A8" s="700">
        <v>42</v>
      </c>
      <c r="B8" s="700">
        <f>VLOOKUP(表1_8612[[#This Row],[区服]],$O$17:$P$24,2,FALSE)</f>
        <v>42</v>
      </c>
      <c r="C8" s="701" t="s">
        <v>53</v>
      </c>
      <c r="D8" s="702" t="str">
        <f>表1_8612[[#This Row],[目标国家]]</f>
        <v>魏</v>
      </c>
      <c r="E8" s="703">
        <f>(VLOOKUP(表1_8612[[#This Row],[目标区服]],$Q$17:$R$18,2,FALSE)-表1_8612[[#This Row],[开服天数]])*配置!$B$1</f>
        <v>1000</v>
      </c>
      <c r="F8" s="703">
        <f>表1_8612[[#This Row],[补偿Coin]]*(表1_8612[[#This Row],[活跃高战玩家数]]+表1_8612[[#This Row],[活跃中坚玩家数]])</f>
        <v>27000</v>
      </c>
      <c r="G8" s="703">
        <f>(VLOOKUP(表1_8612[[#This Row],[目标区服]],$Q$17:$R$18,2,FALSE)-表1_8612[[#This Row],[开服天数]])*配置!$B$2</f>
        <v>10</v>
      </c>
      <c r="H8" s="702" t="s">
        <v>25</v>
      </c>
      <c r="I8" s="702">
        <f>IF(表1_8612[[#This Row],[原国家]]="魏",0,IF(表1_8612[[#This Row],[原国家]]="蜀",1,2))</f>
        <v>0</v>
      </c>
      <c r="J8" s="703">
        <v>7</v>
      </c>
      <c r="K8" s="703">
        <v>269</v>
      </c>
      <c r="L8" s="703">
        <v>8</v>
      </c>
      <c r="M8" s="703">
        <v>19</v>
      </c>
      <c r="N8" s="703">
        <v>158936</v>
      </c>
      <c r="O8" s="703">
        <v>2443544</v>
      </c>
      <c r="P8" s="706">
        <v>26818145</v>
      </c>
      <c r="Q8" s="31" t="s">
        <v>25</v>
      </c>
      <c r="R8" s="702">
        <f>IF(表1_8612[[#This Row],[目标国家]]="魏",0,IF(表1_8612[[#This Row],[目标国家]]="蜀",1,2))</f>
        <v>0</v>
      </c>
      <c r="S8" s="703">
        <v>59476</v>
      </c>
      <c r="T8" s="703">
        <v>1802</v>
      </c>
      <c r="U8" s="703">
        <v>257815</v>
      </c>
      <c r="V8" s="703">
        <v>11241</v>
      </c>
      <c r="W8" s="707" t="str">
        <f>"{"&amp;"'coin':"&amp;表1_8612[[#This Row],[补偿Coin]]&amp;",'"&amp;配置!$A$2&amp;"':"&amp;表1_8612[[#This Row],[补偿辎重]]&amp;"},"</f>
        <v>{'coin':1000,'item036':10},</v>
      </c>
      <c r="X8" s="708" t="str">
        <f>"      '"&amp;表1_8612[[#This Row],[区服]]&amp;"':{"</f>
        <v>      '42':{</v>
      </c>
    </row>
    <row r="9" ht="14.25" customHeight="1" spans="1:24">
      <c r="A9" s="700">
        <v>42</v>
      </c>
      <c r="B9" s="700">
        <f>VLOOKUP(表1_8612[[#This Row],[区服]],$O$17:$P$24,2,FALSE)</f>
        <v>42</v>
      </c>
      <c r="C9" s="701" t="s">
        <v>53</v>
      </c>
      <c r="D9" s="702" t="str">
        <f>表1_8612[[#This Row],[目标国家]]</f>
        <v>蜀</v>
      </c>
      <c r="E9" s="703">
        <f>(VLOOKUP(表1_8612[[#This Row],[目标区服]],$Q$17:$R$18,2,FALSE)-表1_8612[[#This Row],[开服天数]])*配置!$B$1</f>
        <v>1000</v>
      </c>
      <c r="F9" s="703">
        <f>表1_8612[[#This Row],[补偿Coin]]*(表1_8612[[#This Row],[活跃高战玩家数]]+表1_8612[[#This Row],[活跃中坚玩家数]])</f>
        <v>25000</v>
      </c>
      <c r="G9" s="703">
        <f>(VLOOKUP(表1_8612[[#This Row],[目标区服]],$Q$17:$R$18,2,FALSE)-表1_8612[[#This Row],[开服天数]])*配置!$B$2</f>
        <v>10</v>
      </c>
      <c r="H9" s="702" t="s">
        <v>26</v>
      </c>
      <c r="I9" s="702">
        <f>IF(表1_8612[[#This Row],[原国家]]="魏",0,IF(表1_8612[[#This Row],[原国家]]="蜀",1,2))</f>
        <v>1</v>
      </c>
      <c r="J9" s="703">
        <v>1</v>
      </c>
      <c r="K9" s="703">
        <v>66</v>
      </c>
      <c r="L9" s="703">
        <v>1</v>
      </c>
      <c r="M9" s="703">
        <v>24</v>
      </c>
      <c r="N9" s="703">
        <v>81888</v>
      </c>
      <c r="O9" s="703">
        <v>1561813</v>
      </c>
      <c r="P9" s="706">
        <v>16207680</v>
      </c>
      <c r="Q9" s="31" t="s">
        <v>26</v>
      </c>
      <c r="R9" s="702">
        <f>IF(表1_8612[[#This Row],[目标国家]]="魏",0,IF(表1_8612[[#This Row],[目标国家]]="蜀",1,2))</f>
        <v>1</v>
      </c>
      <c r="S9" s="703">
        <v>24488</v>
      </c>
      <c r="T9" s="703">
        <v>98</v>
      </c>
      <c r="U9" s="703">
        <v>215683</v>
      </c>
      <c r="V9" s="703">
        <v>5195</v>
      </c>
      <c r="W9" s="707" t="str">
        <f>"{"&amp;"'coin':"&amp;表1_8612[[#This Row],[补偿Coin]]&amp;",'"&amp;配置!$A$2&amp;"':"&amp;表1_8612[[#This Row],[补偿辎重]]&amp;"},"</f>
        <v>{'coin':1000,'item036':10},</v>
      </c>
      <c r="X9" s="708" t="str">
        <f>"            'to_zone':'"&amp;表1_8612[[#This Row],[目标区服]]&amp;"',
            'reward':"&amp;表1_8612[[#This Row],[辅助导出]]&amp;"
            'country':["&amp;R8&amp;","&amp;R9&amp;","&amp;R10&amp;"],"</f>
        <v>            'to_zone':'h1_16',
            'reward':{'coin':1000,'item036':10},
            'country':[0,1,2],</v>
      </c>
    </row>
    <row r="10" ht="14.25" customHeight="1" spans="1:24">
      <c r="A10" s="700">
        <v>42</v>
      </c>
      <c r="B10" s="700">
        <f>VLOOKUP(表1_8612[[#This Row],[区服]],$O$17:$P$24,2,FALSE)</f>
        <v>42</v>
      </c>
      <c r="C10" s="701" t="s">
        <v>53</v>
      </c>
      <c r="D10" s="702" t="str">
        <f>表1_8612[[#This Row],[目标国家]]</f>
        <v>吴</v>
      </c>
      <c r="E10" s="703">
        <f>(VLOOKUP(表1_8612[[#This Row],[目标区服]],$Q$17:$R$18,2,FALSE)-表1_8612[[#This Row],[开服天数]])*配置!$B$1</f>
        <v>1000</v>
      </c>
      <c r="F10" s="703">
        <f>表1_8612[[#This Row],[补偿Coin]]*(表1_8612[[#This Row],[活跃高战玩家数]]+表1_8612[[#This Row],[活跃中坚玩家数]])</f>
        <v>18000</v>
      </c>
      <c r="G10" s="703">
        <f>(VLOOKUP(表1_8612[[#This Row],[目标区服]],$Q$17:$R$18,2,FALSE)-表1_8612[[#This Row],[开服天数]])*配置!$B$2</f>
        <v>10</v>
      </c>
      <c r="H10" s="702" t="s">
        <v>27</v>
      </c>
      <c r="I10" s="702">
        <f>IF(表1_8612[[#This Row],[原国家]]="魏",0,IF(表1_8612[[#This Row],[原国家]]="蜀",1,2))</f>
        <v>2</v>
      </c>
      <c r="J10" s="703">
        <v>1</v>
      </c>
      <c r="K10" s="703">
        <v>60</v>
      </c>
      <c r="L10" s="703">
        <v>1</v>
      </c>
      <c r="M10" s="703">
        <v>17</v>
      </c>
      <c r="N10" s="703">
        <v>58076</v>
      </c>
      <c r="O10" s="703">
        <v>1640717</v>
      </c>
      <c r="P10" s="706">
        <v>11756899</v>
      </c>
      <c r="Q10" s="31" t="s">
        <v>27</v>
      </c>
      <c r="R10" s="702">
        <f>IF(表1_8612[[#This Row],[目标国家]]="魏",0,IF(表1_8612[[#This Row],[目标国家]]="蜀",1,2))</f>
        <v>2</v>
      </c>
      <c r="S10" s="703">
        <v>12416</v>
      </c>
      <c r="T10" s="703">
        <v>0</v>
      </c>
      <c r="U10" s="703">
        <v>168399</v>
      </c>
      <c r="V10" s="703">
        <v>4263</v>
      </c>
      <c r="W10" s="707" t="str">
        <f>"{"&amp;"'coin':"&amp;表1_8612[[#This Row],[补偿Coin]]&amp;",'"&amp;配置!$A$2&amp;"':"&amp;表1_8612[[#This Row],[补偿辎重]]&amp;"},"</f>
        <v>{'coin':1000,'item036':10},</v>
      </c>
      <c r="X10" s="708" t="str">
        <f t="shared" ref="X10" si="1">"      },"</f>
        <v>      },</v>
      </c>
    </row>
    <row r="11" ht="14.25" customHeight="1" spans="1:24">
      <c r="A11" s="700">
        <v>43</v>
      </c>
      <c r="B11" s="700">
        <f>VLOOKUP(表1_8612[[#This Row],[区服]],$O$17:$P$24,2,FALSE)</f>
        <v>40</v>
      </c>
      <c r="C11" s="701" t="s">
        <v>53</v>
      </c>
      <c r="D11" s="702" t="str">
        <f>表1_8612[[#This Row],[目标国家]]</f>
        <v>蜀</v>
      </c>
      <c r="E11" s="703">
        <f>(VLOOKUP(表1_8612[[#This Row],[目标区服]],$Q$17:$R$18,2,FALSE)-表1_8612[[#This Row],[开服天数]])*配置!$B$1</f>
        <v>2000</v>
      </c>
      <c r="F11" s="703">
        <f>表1_8612[[#This Row],[补偿Coin]]*(表1_8612[[#This Row],[活跃高战玩家数]]+表1_8612[[#This Row],[活跃中坚玩家数]])</f>
        <v>62000</v>
      </c>
      <c r="G11" s="703">
        <f>(VLOOKUP(表1_8612[[#This Row],[目标区服]],$Q$17:$R$18,2,FALSE)-表1_8612[[#This Row],[开服天数]])*配置!$B$2</f>
        <v>20</v>
      </c>
      <c r="H11" s="702" t="s">
        <v>25</v>
      </c>
      <c r="I11" s="702">
        <f>IF(表1_8612[[#This Row],[原国家]]="魏",0,IF(表1_8612[[#This Row],[原国家]]="蜀",1,2))</f>
        <v>0</v>
      </c>
      <c r="J11" s="703">
        <v>3</v>
      </c>
      <c r="K11" s="703">
        <v>153</v>
      </c>
      <c r="L11" s="703">
        <v>3</v>
      </c>
      <c r="M11" s="703">
        <v>28</v>
      </c>
      <c r="N11" s="703">
        <v>100848</v>
      </c>
      <c r="O11" s="703">
        <v>2423087</v>
      </c>
      <c r="P11" s="706">
        <v>21429627</v>
      </c>
      <c r="Q11" s="31" t="s">
        <v>26</v>
      </c>
      <c r="R11" s="702">
        <f>IF(表1_8612[[#This Row],[目标国家]]="魏",0,IF(表1_8612[[#This Row],[目标国家]]="蜀",1,2))</f>
        <v>1</v>
      </c>
      <c r="S11" s="703">
        <v>68788</v>
      </c>
      <c r="T11" s="703">
        <v>60</v>
      </c>
      <c r="U11" s="703">
        <v>315925</v>
      </c>
      <c r="V11" s="703">
        <v>9122</v>
      </c>
      <c r="W11" s="707" t="str">
        <f>"{"&amp;"'coin':"&amp;表1_8612[[#This Row],[补偿Coin]]&amp;",'"&amp;配置!$A$2&amp;"':"&amp;表1_8612[[#This Row],[补偿辎重]]&amp;"},"</f>
        <v>{'coin':2000,'item036':20},</v>
      </c>
      <c r="X11" s="708" t="str">
        <f>"      '"&amp;表1_8612[[#This Row],[区服]]&amp;"':{"</f>
        <v>      '43':{</v>
      </c>
    </row>
    <row r="12" ht="14.25" customHeight="1" spans="1:24">
      <c r="A12" s="700">
        <v>43</v>
      </c>
      <c r="B12" s="700">
        <f>VLOOKUP(表1_8612[[#This Row],[区服]],$O$17:$P$24,2,FALSE)</f>
        <v>40</v>
      </c>
      <c r="C12" s="701" t="s">
        <v>53</v>
      </c>
      <c r="D12" s="702" t="str">
        <f>表1_8612[[#This Row],[目标国家]]</f>
        <v>魏</v>
      </c>
      <c r="E12" s="703">
        <f>(VLOOKUP(表1_8612[[#This Row],[目标区服]],$Q$17:$R$18,2,FALSE)-表1_8612[[#This Row],[开服天数]])*配置!$B$1</f>
        <v>2000</v>
      </c>
      <c r="F12" s="703">
        <f>表1_8612[[#This Row],[补偿Coin]]*(表1_8612[[#This Row],[活跃高战玩家数]]+表1_8612[[#This Row],[活跃中坚玩家数]])</f>
        <v>26000</v>
      </c>
      <c r="G12" s="703">
        <f>(VLOOKUP(表1_8612[[#This Row],[目标区服]],$Q$17:$R$18,2,FALSE)-表1_8612[[#This Row],[开服天数]])*配置!$B$2</f>
        <v>20</v>
      </c>
      <c r="H12" s="702" t="s">
        <v>26</v>
      </c>
      <c r="I12" s="702">
        <f>IF(表1_8612[[#This Row],[原国家]]="魏",0,IF(表1_8612[[#This Row],[原国家]]="蜀",1,2))</f>
        <v>1</v>
      </c>
      <c r="J12" s="703">
        <v>1</v>
      </c>
      <c r="K12" s="703">
        <v>54</v>
      </c>
      <c r="L12" s="703">
        <v>0</v>
      </c>
      <c r="M12" s="703">
        <v>13</v>
      </c>
      <c r="N12" s="703">
        <v>40354</v>
      </c>
      <c r="O12" s="703">
        <v>1293102</v>
      </c>
      <c r="P12" s="706">
        <v>8242970</v>
      </c>
      <c r="Q12" s="31" t="s">
        <v>25</v>
      </c>
      <c r="R12" s="702">
        <f>IF(表1_8612[[#This Row],[目标国家]]="魏",0,IF(表1_8612[[#This Row],[目标国家]]="蜀",1,2))</f>
        <v>0</v>
      </c>
      <c r="S12" s="703">
        <v>22626</v>
      </c>
      <c r="T12" s="703">
        <v>68</v>
      </c>
      <c r="U12" s="703">
        <v>72034</v>
      </c>
      <c r="V12" s="703">
        <v>3674</v>
      </c>
      <c r="W12" s="707" t="str">
        <f>"{"&amp;"'coin':"&amp;表1_8612[[#This Row],[补偿Coin]]&amp;",'"&amp;配置!$A$2&amp;"':"&amp;表1_8612[[#This Row],[补偿辎重]]&amp;"},"</f>
        <v>{'coin':2000,'item036':20},</v>
      </c>
      <c r="X12" s="708" t="str">
        <f>"            'to_zone':'"&amp;表1_8612[[#This Row],[目标区服]]&amp;"',
            'reward':"&amp;表1_8612[[#This Row],[辅助导出]]&amp;"
            'country':["&amp;R11&amp;","&amp;R12&amp;","&amp;R13&amp;"],"</f>
        <v>            'to_zone':'h1_16',
            'reward':{'coin':2000,'item036':20},
            'country':[1,0,2],</v>
      </c>
    </row>
    <row r="13" ht="14.25" customHeight="1" spans="1:24">
      <c r="A13" s="700">
        <v>43</v>
      </c>
      <c r="B13" s="700">
        <f>VLOOKUP(表1_8612[[#This Row],[区服]],$O$17:$P$24,2,FALSE)</f>
        <v>40</v>
      </c>
      <c r="C13" s="701" t="s">
        <v>53</v>
      </c>
      <c r="D13" s="702" t="str">
        <f>表1_8612[[#This Row],[目标国家]]</f>
        <v>吴</v>
      </c>
      <c r="E13" s="703">
        <f>(VLOOKUP(表1_8612[[#This Row],[目标区服]],$Q$17:$R$18,2,FALSE)-表1_8612[[#This Row],[开服天数]])*配置!$B$1</f>
        <v>2000</v>
      </c>
      <c r="F13" s="703">
        <f>表1_8612[[#This Row],[补偿Coin]]*(表1_8612[[#This Row],[活跃高战玩家数]]+表1_8612[[#This Row],[活跃中坚玩家数]])</f>
        <v>70000</v>
      </c>
      <c r="G13" s="703">
        <f>(VLOOKUP(表1_8612[[#This Row],[目标区服]],$Q$17:$R$18,2,FALSE)-表1_8612[[#This Row],[开服天数]])*配置!$B$2</f>
        <v>20</v>
      </c>
      <c r="H13" s="702" t="s">
        <v>27</v>
      </c>
      <c r="I13" s="702">
        <f>IF(表1_8612[[#This Row],[原国家]]="魏",0,IF(表1_8612[[#This Row],[原国家]]="蜀",1,2))</f>
        <v>2</v>
      </c>
      <c r="J13" s="703">
        <v>5</v>
      </c>
      <c r="K13" s="703">
        <v>188</v>
      </c>
      <c r="L13" s="703">
        <v>7</v>
      </c>
      <c r="M13" s="703">
        <v>28</v>
      </c>
      <c r="N13" s="703">
        <v>159134</v>
      </c>
      <c r="O13" s="703">
        <v>2802318</v>
      </c>
      <c r="P13" s="706">
        <v>28943868</v>
      </c>
      <c r="Q13" s="31" t="s">
        <v>27</v>
      </c>
      <c r="R13" s="702">
        <f>IF(表1_8612[[#This Row],[目标国家]]="魏",0,IF(表1_8612[[#This Row],[目标国家]]="蜀",1,2))</f>
        <v>2</v>
      </c>
      <c r="S13" s="703">
        <v>32158</v>
      </c>
      <c r="T13" s="703">
        <v>31296</v>
      </c>
      <c r="U13" s="703">
        <v>494174</v>
      </c>
      <c r="V13" s="703">
        <v>10397</v>
      </c>
      <c r="W13" s="707" t="str">
        <f>"{"&amp;"'coin':"&amp;表1_8612[[#This Row],[补偿Coin]]&amp;",'"&amp;配置!$A$2&amp;"':"&amp;表1_8612[[#This Row],[补偿辎重]]&amp;"},"</f>
        <v>{'coin':2000,'item036':20},</v>
      </c>
      <c r="X13" s="708" t="str">
        <f t="shared" ref="X13" si="2">"      },"</f>
        <v>      },</v>
      </c>
    </row>
    <row r="16" ht="37.5" customHeight="1" spans="1:18">
      <c r="A16" s="36" t="s">
        <v>28</v>
      </c>
      <c r="B16" s="37" t="s">
        <v>29</v>
      </c>
      <c r="C16" s="38" t="s">
        <v>30</v>
      </c>
      <c r="D16" s="38" t="s">
        <v>31</v>
      </c>
      <c r="E16" s="38" t="s">
        <v>32</v>
      </c>
      <c r="F16" s="38" t="s">
        <v>33</v>
      </c>
      <c r="G16" s="38" t="s">
        <v>15</v>
      </c>
      <c r="H16" s="37" t="s">
        <v>18</v>
      </c>
      <c r="I16" s="37" t="s">
        <v>19</v>
      </c>
      <c r="J16" s="37" t="s">
        <v>34</v>
      </c>
      <c r="K16" s="38" t="s">
        <v>35</v>
      </c>
      <c r="L16" s="38" t="s">
        <v>36</v>
      </c>
      <c r="M16" s="38" t="s">
        <v>37</v>
      </c>
      <c r="O16" s="51" t="s">
        <v>0</v>
      </c>
      <c r="P16" s="51" t="s">
        <v>1</v>
      </c>
      <c r="Q16" s="51"/>
      <c r="R16" s="51" t="s">
        <v>38</v>
      </c>
    </row>
    <row r="17" ht="15" spans="1:18">
      <c r="A17" s="704" t="s">
        <v>52</v>
      </c>
      <c r="B17" s="704" t="s">
        <v>25</v>
      </c>
      <c r="C17" s="704">
        <f>COUNTIFS(表1_8612[目标区服],表2_9713[[#This Row],[合区区服]],表1_8612[目标国家（映射）],表2_9713[[#This Row],[国家]])</f>
        <v>2</v>
      </c>
      <c r="D17" s="704">
        <f>SUMIFS(表1_8612[活跃高战玩家数],表1_8612[目标区服],表2_9713[[#This Row],[合区区服]],表1_8612[目标国家（映射）],表2_9713[[#This Row],[国家]])</f>
        <v>6</v>
      </c>
      <c r="E17" s="704">
        <f>SUMIFS(表1_8612[活跃中坚玩家数],表1_8612[目标区服],表2_9713[[#This Row],[合区区服]],表1_8612[目标国家（映射）],表2_9713[[#This Row],[国家]])</f>
        <v>44</v>
      </c>
      <c r="F17" s="704">
        <f t="array" ref="F17">MAX((表1_8612[目标区服]=表2_9713[[#This Row],[合区区服]])*(表1_8612[目标国家（映射）]=表2_9713[[#This Row],[国家]])*表1_8612[活跃尖端战力])</f>
        <v>3671214</v>
      </c>
      <c r="G17" s="705">
        <f>SUMIFS(表1_8612[活跃总战力],表1_8612[目标区服],表2_9713[[#This Row],[合区区服]],表1_8612[目标国家（映射）],表2_9713[[#This Row],[国家]])</f>
        <v>53641387</v>
      </c>
      <c r="H17" s="704">
        <f>SUMIFS(表1_8612[活跃实际充值],表1_8612[目标区服],表2_9713[[#This Row],[合区区服]],表1_8612[目标国家（映射）],表2_9713[[#This Row],[国家]])</f>
        <v>206942</v>
      </c>
      <c r="I17" s="704">
        <f>SUMIFS(表1_8612[活跃虚拟充值],表1_8612[目标区服],表2_9713[[#This Row],[合区区服]],表1_8612[目标国家（映射）],表2_9713[[#This Row],[国家]])</f>
        <v>0</v>
      </c>
      <c r="J17" s="704">
        <f>SUMIFS(表1_8612[活跃Coin],表1_8612[目标区服],表2_9713[[#This Row],[合区区服]],表1_8612[目标国家（映射）],表2_9713[[#This Row],[国家]])</f>
        <v>493181</v>
      </c>
      <c r="K17" s="704">
        <f>SUMIFS(表1_8612[共计补偿Coin],表1_8612[目标区服],表2_9713[[#This Row],[合区区服]],表1_8612[目标国家（映射）],表2_9713[[#This Row],[国家]])</f>
        <v>77000</v>
      </c>
      <c r="L17" s="704">
        <f>表2_9713[[#This Row],[活跃Coin]]+表2_9713[[#This Row],[共计补偿Coin]]</f>
        <v>570181</v>
      </c>
      <c r="M17" s="704">
        <f>SUMIFS(表1_8612[综合国力],表1_8612[目标区服],表2_9713[[#This Row],[合区区服]],表1_8612[目标国家（映射）],表2_9713[[#This Row],[国家]])</f>
        <v>22867</v>
      </c>
      <c r="O17" s="51">
        <v>40</v>
      </c>
      <c r="P17" s="51">
        <v>47</v>
      </c>
      <c r="Q17" s="51" t="s">
        <v>52</v>
      </c>
      <c r="R17" s="51">
        <v>49</v>
      </c>
    </row>
    <row r="18" ht="15" spans="1:18">
      <c r="A18" s="704" t="s">
        <v>52</v>
      </c>
      <c r="B18" s="704" t="s">
        <v>26</v>
      </c>
      <c r="C18" s="704">
        <f>COUNTIFS(表1_8612[目标区服],表2_9713[[#This Row],[合区区服]],表1_8612[目标国家（映射）],表2_9713[[#This Row],[国家]])</f>
        <v>2</v>
      </c>
      <c r="D18" s="704">
        <f>SUMIFS(表1_8612[活跃高战玩家数],表1_8612[目标区服],表2_9713[[#This Row],[合区区服]],表1_8612[目标国家（映射）],表2_9713[[#This Row],[国家]])</f>
        <v>6</v>
      </c>
      <c r="E18" s="704">
        <f>SUMIFS(表1_8612[活跃中坚玩家数],表1_8612[目标区服],表2_9713[[#This Row],[合区区服]],表1_8612[目标国家（映射）],表2_9713[[#This Row],[国家]])</f>
        <v>50</v>
      </c>
      <c r="F18" s="704">
        <f t="array" ref="F18">MAX((表1_8612[目标区服]=表2_9713[[#This Row],[合区区服]])*(表1_8612[目标国家（映射）]=表2_9713[[#This Row],[国家]])*表1_8612[活跃尖端战力])</f>
        <v>3825004</v>
      </c>
      <c r="G18" s="705">
        <f>SUMIFS(表1_8612[活跃总战力],表1_8612[目标区服],表2_9713[[#This Row],[合区区服]],表1_8612[目标国家（映射）],表2_9713[[#This Row],[国家]])</f>
        <v>57808492</v>
      </c>
      <c r="H18" s="704">
        <f>SUMIFS(表1_8612[活跃实际充值],表1_8612[目标区服],表2_9713[[#This Row],[合区区服]],表1_8612[目标国家（映射）],表2_9713[[#This Row],[国家]])</f>
        <v>206238</v>
      </c>
      <c r="I18" s="704">
        <f>SUMIFS(表1_8612[活跃虚拟充值],表1_8612[目标区服],表2_9713[[#This Row],[合区区服]],表1_8612[目标国家（映射）],表2_9713[[#This Row],[国家]])</f>
        <v>678</v>
      </c>
      <c r="J18" s="704">
        <f>SUMIFS(表1_8612[活跃Coin],表1_8612[目标区服],表2_9713[[#This Row],[合区区服]],表1_8612[目标国家（映射）],表2_9713[[#This Row],[国家]])</f>
        <v>1039668</v>
      </c>
      <c r="K18" s="704">
        <f>SUMIFS(表1_8612[共计补偿Coin],表1_8612[目标区服],表2_9713[[#This Row],[合区区服]],表1_8612[目标国家（映射）],表2_9713[[#This Row],[国家]])</f>
        <v>83000</v>
      </c>
      <c r="L18" s="704">
        <f>表2_9713[[#This Row],[活跃Coin]]+表2_9713[[#This Row],[共计补偿Coin]]</f>
        <v>1122668</v>
      </c>
      <c r="M18" s="704">
        <f>SUMIFS(表1_8612[综合国力],表1_8612[目标区服],表2_9713[[#This Row],[合区区服]],表1_8612[目标国家（映射）],表2_9713[[#This Row],[国家]])</f>
        <v>22962</v>
      </c>
      <c r="O18" s="51">
        <v>41</v>
      </c>
      <c r="P18" s="51">
        <v>45</v>
      </c>
      <c r="Q18" s="51" t="s">
        <v>53</v>
      </c>
      <c r="R18" s="51">
        <v>44</v>
      </c>
    </row>
    <row r="19" ht="15" spans="1:16">
      <c r="A19" s="704" t="s">
        <v>52</v>
      </c>
      <c r="B19" s="704" t="s">
        <v>27</v>
      </c>
      <c r="C19" s="704">
        <f>COUNTIFS(表1_8612[目标区服],表2_9713[[#This Row],[合区区服]],表1_8612[目标国家（映射）],表2_9713[[#This Row],[国家]])</f>
        <v>2</v>
      </c>
      <c r="D19" s="704">
        <f>SUMIFS(表1_8612[活跃高战玩家数],表1_8612[目标区服],表2_9713[[#This Row],[合区区服]],表1_8612[目标国家（映射）],表2_9713[[#This Row],[国家]])</f>
        <v>6</v>
      </c>
      <c r="E19" s="704">
        <f>SUMIFS(表1_8612[活跃中坚玩家数],表1_8612[目标区服],表2_9713[[#This Row],[合区区服]],表1_8612[目标国家（映射）],表2_9713[[#This Row],[国家]])</f>
        <v>42</v>
      </c>
      <c r="F19" s="704">
        <f t="array" ref="F19">MAX((表1_8612[目标区服]=表2_9713[[#This Row],[合区区服]])*(表1_8612[目标国家（映射）]=表2_9713[[#This Row],[国家]])*表1_8612[活跃尖端战力])</f>
        <v>3018819</v>
      </c>
      <c r="G19" s="705">
        <f>SUMIFS(表1_8612[活跃总战力],表1_8612[目标区服],表2_9713[[#This Row],[合区区服]],表1_8612[目标国家（映射）],表2_9713[[#This Row],[国家]])</f>
        <v>48492076</v>
      </c>
      <c r="H19" s="704">
        <f>SUMIFS(表1_8612[活跃实际充值],表1_8612[目标区服],表2_9713[[#This Row],[合区区服]],表1_8612[目标国家（映射）],表2_9713[[#This Row],[国家]])</f>
        <v>269394</v>
      </c>
      <c r="I19" s="704">
        <f>SUMIFS(表1_8612[活跃虚拟充值],表1_8612[目标区服],表2_9713[[#This Row],[合区区服]],表1_8612[目标国家（映射）],表2_9713[[#This Row],[国家]])</f>
        <v>98</v>
      </c>
      <c r="J19" s="704">
        <f>SUMIFS(表1_8612[活跃Coin],表1_8612[目标区服],表2_9713[[#This Row],[合区区服]],表1_8612[目标国家（映射）],表2_9713[[#This Row],[国家]])</f>
        <v>1127726</v>
      </c>
      <c r="K19" s="704">
        <f>SUMIFS(表1_8612[共计补偿Coin],表1_8612[目标区服],表2_9713[[#This Row],[合区区服]],表1_8612[目标国家（映射）],表2_9713[[#This Row],[国家]])</f>
        <v>75000</v>
      </c>
      <c r="L19" s="704">
        <f>表2_9713[[#This Row],[活跃Coin]]+表2_9713[[#This Row],[共计补偿Coin]]</f>
        <v>1202726</v>
      </c>
      <c r="M19" s="704">
        <f>SUMIFS(表1_8612[综合国力],表1_8612[目标区服],表2_9713[[#This Row],[合区区服]],表1_8612[目标国家（映射）],表2_9713[[#This Row],[国家]])</f>
        <v>22964</v>
      </c>
      <c r="O19" s="51">
        <v>42</v>
      </c>
      <c r="P19" s="51">
        <v>42</v>
      </c>
    </row>
    <row r="20" ht="15" spans="1:16">
      <c r="A20" s="672" t="s">
        <v>53</v>
      </c>
      <c r="B20" s="672" t="s">
        <v>25</v>
      </c>
      <c r="C20" s="672">
        <f>COUNTIFS(表1_8612[目标区服],表2_9713[[#This Row],[合区区服]],表1_8612[目标国家（映射）],表2_9713[[#This Row],[国家]])</f>
        <v>2</v>
      </c>
      <c r="D20" s="672">
        <f>SUMIFS(表1_8612[活跃高战玩家数],表1_8612[目标区服],表2_9713[[#This Row],[合区区服]],表1_8612[目标国家（映射）],表2_9713[[#This Row],[国家]])</f>
        <v>8</v>
      </c>
      <c r="E20" s="672">
        <f>SUMIFS(表1_8612[活跃中坚玩家数],表1_8612[目标区服],表2_9713[[#This Row],[合区区服]],表1_8612[目标国家（映射）],表2_9713[[#This Row],[国家]])</f>
        <v>32</v>
      </c>
      <c r="F20" s="672">
        <f t="array" ref="F20">MAX((表1_8612[目标区服]=表2_9713[[#This Row],[合区区服]])*(表1_8612[目标国家（映射）]=表2_9713[[#This Row],[国家]])*表1_8612[活跃尖端战力])</f>
        <v>2443544</v>
      </c>
      <c r="G20" s="673">
        <f>SUMIFS(表1_8612[活跃总战力],表1_8612[目标区服],表2_9713[[#This Row],[合区区服]],表1_8612[目标国家（映射）],表2_9713[[#This Row],[国家]])</f>
        <v>35061115</v>
      </c>
      <c r="H20" s="672">
        <f>SUMIFS(表1_8612[活跃实际充值],表1_8612[目标区服],表2_9713[[#This Row],[合区区服]],表1_8612[目标国家（映射）],表2_9713[[#This Row],[国家]])</f>
        <v>82102</v>
      </c>
      <c r="I20" s="672">
        <f>SUMIFS(表1_8612[活跃虚拟充值],表1_8612[目标区服],表2_9713[[#This Row],[合区区服]],表1_8612[目标国家（映射）],表2_9713[[#This Row],[国家]])</f>
        <v>1870</v>
      </c>
      <c r="J20" s="672">
        <f>SUMIFS(表1_8612[活跃Coin],表1_8612[目标区服],表2_9713[[#This Row],[合区区服]],表1_8612[目标国家（映射）],表2_9713[[#This Row],[国家]])</f>
        <v>329849</v>
      </c>
      <c r="K20" s="672">
        <f>SUMIFS(表1_8612[共计补偿Coin],表1_8612[目标区服],表2_9713[[#This Row],[合区区服]],表1_8612[目标国家（映射）],表2_9713[[#This Row],[国家]])</f>
        <v>53000</v>
      </c>
      <c r="L20" s="672">
        <f>表2_9713[[#This Row],[活跃Coin]]+表2_9713[[#This Row],[共计补偿Coin]]</f>
        <v>382849</v>
      </c>
      <c r="M20" s="672">
        <f>SUMIFS(表1_8612[综合国力],表1_8612[目标区服],表2_9713[[#This Row],[合区区服]],表1_8612[目标国家（映射）],表2_9713[[#This Row],[国家]])</f>
        <v>14915</v>
      </c>
      <c r="O20" s="51">
        <v>43</v>
      </c>
      <c r="P20" s="51">
        <v>40</v>
      </c>
    </row>
    <row r="21" ht="15" spans="1:16">
      <c r="A21" s="672" t="s">
        <v>53</v>
      </c>
      <c r="B21" s="672" t="s">
        <v>26</v>
      </c>
      <c r="C21" s="672">
        <f>COUNTIFS(表1_8612[目标区服],表2_9713[[#This Row],[合区区服]],表1_8612[目标国家（映射）],表2_9713[[#This Row],[国家]])</f>
        <v>2</v>
      </c>
      <c r="D21" s="672">
        <f>SUMIFS(表1_8612[活跃高战玩家数],表1_8612[目标区服],表2_9713[[#This Row],[合区区服]],表1_8612[目标国家（映射）],表2_9713[[#This Row],[国家]])</f>
        <v>4</v>
      </c>
      <c r="E21" s="672">
        <f>SUMIFS(表1_8612[活跃中坚玩家数],表1_8612[目标区服],表2_9713[[#This Row],[合区区服]],表1_8612[目标国家（映射）],表2_9713[[#This Row],[国家]])</f>
        <v>52</v>
      </c>
      <c r="F21" s="672">
        <f t="array" ref="F21">MAX((表1_8612[目标区服]=表2_9713[[#This Row],[合区区服]])*(表1_8612[目标国家（映射）]=表2_9713[[#This Row],[国家]])*表1_8612[活跃尖端战力])</f>
        <v>2423087</v>
      </c>
      <c r="G21" s="673">
        <f>SUMIFS(表1_8612[活跃总战力],表1_8612[目标区服],表2_9713[[#This Row],[合区区服]],表1_8612[目标国家（映射）],表2_9713[[#This Row],[国家]])</f>
        <v>37637307</v>
      </c>
      <c r="H21" s="672">
        <f>SUMIFS(表1_8612[活跃实际充值],表1_8612[目标区服],表2_9713[[#This Row],[合区区服]],表1_8612[目标国家（映射）],表2_9713[[#This Row],[国家]])</f>
        <v>93276</v>
      </c>
      <c r="I21" s="672">
        <f>SUMIFS(表1_8612[活跃虚拟充值],表1_8612[目标区服],表2_9713[[#This Row],[合区区服]],表1_8612[目标国家（映射）],表2_9713[[#This Row],[国家]])</f>
        <v>158</v>
      </c>
      <c r="J21" s="672">
        <f>SUMIFS(表1_8612[活跃Coin],表1_8612[目标区服],表2_9713[[#This Row],[合区区服]],表1_8612[目标国家（映射）],表2_9713[[#This Row],[国家]])</f>
        <v>531608</v>
      </c>
      <c r="K21" s="672">
        <f>SUMIFS(表1_8612[共计补偿Coin],表1_8612[目标区服],表2_9713[[#This Row],[合区区服]],表1_8612[目标国家（映射）],表2_9713[[#This Row],[国家]])</f>
        <v>87000</v>
      </c>
      <c r="L21" s="672">
        <f>表2_9713[[#This Row],[活跃Coin]]+表2_9713[[#This Row],[共计补偿Coin]]</f>
        <v>618608</v>
      </c>
      <c r="M21" s="672">
        <f>SUMIFS(表1_8612[综合国力],表1_8612[目标区服],表2_9713[[#This Row],[合区区服]],表1_8612[目标国家（映射）],表2_9713[[#This Row],[国家]])</f>
        <v>14317</v>
      </c>
      <c r="O21" s="51"/>
      <c r="P21" s="51"/>
    </row>
    <row r="22" ht="15" spans="1:16">
      <c r="A22" s="672" t="s">
        <v>53</v>
      </c>
      <c r="B22" s="674" t="s">
        <v>27</v>
      </c>
      <c r="C22" s="674">
        <f>COUNTIFS(表1_8612[目标区服],表2_9713[[#This Row],[合区区服]],表1_8612[目标国家（映射）],表2_9713[[#This Row],[国家]])</f>
        <v>2</v>
      </c>
      <c r="D22" s="674">
        <f>SUMIFS(表1_8612[活跃高战玩家数],表1_8612[目标区服],表2_9713[[#This Row],[合区区服]],表1_8612[目标国家（映射）],表2_9713[[#This Row],[国家]])</f>
        <v>8</v>
      </c>
      <c r="E22" s="674">
        <f>SUMIFS(表1_8612[活跃中坚玩家数],表1_8612[目标区服],表2_9713[[#This Row],[合区区服]],表1_8612[目标国家（映射）],表2_9713[[#This Row],[国家]])</f>
        <v>45</v>
      </c>
      <c r="F22" s="674">
        <f t="array" ref="F22">MAX((表1_8612[目标区服]=表2_9713[[#This Row],[合区区服]])*(表1_8612[目标国家（映射）]=表2_9713[[#This Row],[国家]])*表1_8612[活跃尖端战力])</f>
        <v>2802318</v>
      </c>
      <c r="G22" s="675">
        <f>SUMIFS(表1_8612[活跃总战力],表1_8612[目标区服],表2_9713[[#This Row],[合区区服]],表1_8612[目标国家（映射）],表2_9713[[#This Row],[国家]])</f>
        <v>40700767</v>
      </c>
      <c r="H22" s="674">
        <f>SUMIFS(表1_8612[活跃实际充值],表1_8612[目标区服],表2_9713[[#This Row],[合区区服]],表1_8612[目标国家（映射）],表2_9713[[#This Row],[国家]])</f>
        <v>44574</v>
      </c>
      <c r="I22" s="674">
        <f>SUMIFS(表1_8612[活跃虚拟充值],表1_8612[目标区服],表2_9713[[#This Row],[合区区服]],表1_8612[目标国家（映射）],表2_9713[[#This Row],[国家]])</f>
        <v>31296</v>
      </c>
      <c r="J22" s="674">
        <f>SUMIFS(表1_8612[活跃Coin],表1_8612[目标区服],表2_9713[[#This Row],[合区区服]],表1_8612[目标国家（映射）],表2_9713[[#This Row],[国家]])</f>
        <v>662573</v>
      </c>
      <c r="K22" s="674">
        <f>SUMIFS(表1_8612[共计补偿Coin],表1_8612[目标区服],表2_9713[[#This Row],[合区区服]],表1_8612[目标国家（映射）],表2_9713[[#This Row],[国家]])</f>
        <v>88000</v>
      </c>
      <c r="L22" s="674">
        <f>表2_9713[[#This Row],[活跃Coin]]+表2_9713[[#This Row],[共计补偿Coin]]</f>
        <v>750573</v>
      </c>
      <c r="M22" s="674">
        <f>SUMIFS(表1_8612[综合国力],表1_8612[目标区服],表2_9713[[#This Row],[合区区服]],表1_8612[目标国家（映射）],表2_9713[[#This Row],[国家]])</f>
        <v>14660</v>
      </c>
      <c r="O22" s="51"/>
      <c r="P22" s="51"/>
    </row>
    <row r="23" spans="15:16">
      <c r="O23" s="51"/>
      <c r="P23" s="51"/>
    </row>
    <row r="24" spans="15:16">
      <c r="O24" s="51"/>
      <c r="P24" s="51"/>
    </row>
    <row r="28" ht="27" spans="1:12">
      <c r="A28" s="49"/>
      <c r="B28" s="50" t="s">
        <v>9</v>
      </c>
      <c r="C28" s="50" t="s">
        <v>10</v>
      </c>
      <c r="D28" s="50" t="s">
        <v>11</v>
      </c>
      <c r="E28" s="50" t="s">
        <v>12</v>
      </c>
      <c r="F28" s="50" t="s">
        <v>13</v>
      </c>
      <c r="G28" s="50" t="s">
        <v>14</v>
      </c>
      <c r="H28" s="50" t="s">
        <v>15</v>
      </c>
      <c r="I28" s="50" t="s">
        <v>18</v>
      </c>
      <c r="J28" s="50" t="s">
        <v>19</v>
      </c>
      <c r="K28" s="50" t="s">
        <v>20</v>
      </c>
      <c r="L28" s="50" t="s">
        <v>21</v>
      </c>
    </row>
    <row r="29" spans="1:12">
      <c r="A29" s="50" t="s">
        <v>25</v>
      </c>
      <c r="B29" s="50">
        <v>2</v>
      </c>
      <c r="C29" s="50">
        <v>84</v>
      </c>
      <c r="D29" s="50">
        <v>2</v>
      </c>
      <c r="E29" s="50">
        <v>21</v>
      </c>
      <c r="F29" s="50">
        <v>83466</v>
      </c>
      <c r="G29" s="50">
        <v>2811151</v>
      </c>
      <c r="H29" s="50">
        <v>21694377</v>
      </c>
      <c r="I29" s="50">
        <v>42250</v>
      </c>
      <c r="J29" s="50">
        <v>0</v>
      </c>
      <c r="K29" s="50">
        <v>280224</v>
      </c>
      <c r="L29" s="50">
        <v>7845</v>
      </c>
    </row>
    <row r="30" spans="1:12">
      <c r="A30" s="50" t="s">
        <v>26</v>
      </c>
      <c r="B30" s="50">
        <v>4</v>
      </c>
      <c r="C30" s="50">
        <v>196</v>
      </c>
      <c r="D30" s="50">
        <v>4</v>
      </c>
      <c r="E30" s="50">
        <v>25</v>
      </c>
      <c r="F30" s="50">
        <v>134471</v>
      </c>
      <c r="G30" s="50">
        <v>3825004</v>
      </c>
      <c r="H30" s="50">
        <v>33969180</v>
      </c>
      <c r="I30" s="50">
        <v>156312</v>
      </c>
      <c r="J30" s="50">
        <v>0</v>
      </c>
      <c r="K30" s="50">
        <v>701283</v>
      </c>
      <c r="L30" s="50">
        <v>15294</v>
      </c>
    </row>
    <row r="31" spans="1:12">
      <c r="A31" s="50" t="s">
        <v>27</v>
      </c>
      <c r="B31" s="50">
        <v>3</v>
      </c>
      <c r="C31" s="50">
        <v>115</v>
      </c>
      <c r="D31" s="50">
        <v>3</v>
      </c>
      <c r="E31" s="50">
        <v>18</v>
      </c>
      <c r="F31" s="50">
        <v>83396</v>
      </c>
      <c r="G31" s="50">
        <v>2829846</v>
      </c>
      <c r="H31" s="50">
        <v>21214741</v>
      </c>
      <c r="I31" s="50">
        <v>119508</v>
      </c>
      <c r="J31" s="50">
        <v>98</v>
      </c>
      <c r="K31" s="50">
        <v>753302</v>
      </c>
      <c r="L31" s="50">
        <v>10781</v>
      </c>
    </row>
    <row r="32" spans="1:12">
      <c r="A32" s="50" t="s">
        <v>25</v>
      </c>
      <c r="B32" s="50">
        <v>3</v>
      </c>
      <c r="C32" s="50">
        <v>80</v>
      </c>
      <c r="D32" s="50">
        <v>2</v>
      </c>
      <c r="E32" s="50">
        <v>25</v>
      </c>
      <c r="F32" s="50">
        <v>86455</v>
      </c>
      <c r="G32" s="50">
        <v>2078173</v>
      </c>
      <c r="H32" s="50">
        <v>23839312</v>
      </c>
      <c r="I32" s="50">
        <v>49926</v>
      </c>
      <c r="J32" s="50">
        <v>678</v>
      </c>
      <c r="K32" s="50">
        <v>338385</v>
      </c>
      <c r="L32" s="50">
        <v>7668</v>
      </c>
    </row>
    <row r="33" spans="1:12">
      <c r="A33" s="50" t="s">
        <v>26</v>
      </c>
      <c r="B33" s="50">
        <v>1</v>
      </c>
      <c r="C33" s="50">
        <v>114</v>
      </c>
      <c r="D33" s="50">
        <v>3</v>
      </c>
      <c r="E33" s="50">
        <v>24</v>
      </c>
      <c r="F33" s="50">
        <v>102628</v>
      </c>
      <c r="G33" s="50">
        <v>3018819</v>
      </c>
      <c r="H33" s="50">
        <v>27277335</v>
      </c>
      <c r="I33" s="50">
        <v>149886</v>
      </c>
      <c r="J33" s="50">
        <v>0</v>
      </c>
      <c r="K33" s="50">
        <v>374424</v>
      </c>
      <c r="L33" s="50">
        <v>12183</v>
      </c>
    </row>
    <row r="34" spans="1:12">
      <c r="A34" s="50" t="s">
        <v>27</v>
      </c>
      <c r="B34" s="50">
        <v>5</v>
      </c>
      <c r="C34" s="50">
        <v>201</v>
      </c>
      <c r="D34" s="50">
        <v>4</v>
      </c>
      <c r="E34" s="50">
        <v>23</v>
      </c>
      <c r="F34" s="50">
        <v>119936</v>
      </c>
      <c r="G34" s="50">
        <v>3671214</v>
      </c>
      <c r="H34" s="50">
        <v>31947010</v>
      </c>
      <c r="I34" s="50">
        <v>164692</v>
      </c>
      <c r="J34" s="50">
        <v>0</v>
      </c>
      <c r="K34" s="50">
        <v>212957</v>
      </c>
      <c r="L34" s="50">
        <v>15022</v>
      </c>
    </row>
    <row r="35" spans="1:12">
      <c r="A35" s="50" t="s">
        <v>25</v>
      </c>
      <c r="B35" s="50">
        <v>7</v>
      </c>
      <c r="C35" s="50">
        <v>269</v>
      </c>
      <c r="D35" s="50">
        <v>8</v>
      </c>
      <c r="E35" s="50">
        <v>19</v>
      </c>
      <c r="F35" s="50">
        <v>158936</v>
      </c>
      <c r="G35" s="50">
        <v>2443544</v>
      </c>
      <c r="H35" s="50">
        <v>26818145</v>
      </c>
      <c r="I35" s="50">
        <v>59476</v>
      </c>
      <c r="J35" s="50">
        <v>1802</v>
      </c>
      <c r="K35" s="50">
        <v>257815</v>
      </c>
      <c r="L35" s="50">
        <v>11241</v>
      </c>
    </row>
    <row r="36" spans="1:12">
      <c r="A36" s="50" t="s">
        <v>26</v>
      </c>
      <c r="B36" s="50">
        <v>1</v>
      </c>
      <c r="C36" s="50">
        <v>66</v>
      </c>
      <c r="D36" s="50">
        <v>1</v>
      </c>
      <c r="E36" s="50">
        <v>24</v>
      </c>
      <c r="F36" s="50">
        <v>81888</v>
      </c>
      <c r="G36" s="50">
        <v>1561813</v>
      </c>
      <c r="H36" s="50">
        <v>16207680</v>
      </c>
      <c r="I36" s="50">
        <v>24488</v>
      </c>
      <c r="J36" s="50">
        <v>98</v>
      </c>
      <c r="K36" s="50">
        <v>215683</v>
      </c>
      <c r="L36" s="50">
        <v>5195</v>
      </c>
    </row>
    <row r="37" spans="1:12">
      <c r="A37" s="50" t="s">
        <v>27</v>
      </c>
      <c r="B37" s="50">
        <v>1</v>
      </c>
      <c r="C37" s="50">
        <v>60</v>
      </c>
      <c r="D37" s="50">
        <v>1</v>
      </c>
      <c r="E37" s="50">
        <v>17</v>
      </c>
      <c r="F37" s="50">
        <v>58076</v>
      </c>
      <c r="G37" s="50">
        <v>1640717</v>
      </c>
      <c r="H37" s="50">
        <v>11756899</v>
      </c>
      <c r="I37" s="50">
        <v>12416</v>
      </c>
      <c r="J37" s="50">
        <v>0</v>
      </c>
      <c r="K37" s="50">
        <v>168399</v>
      </c>
      <c r="L37" s="50">
        <v>4263</v>
      </c>
    </row>
    <row r="38" spans="1:12">
      <c r="A38" s="50" t="s">
        <v>25</v>
      </c>
      <c r="B38" s="50">
        <v>3</v>
      </c>
      <c r="C38" s="50">
        <v>153</v>
      </c>
      <c r="D38" s="50">
        <v>3</v>
      </c>
      <c r="E38" s="50">
        <v>28</v>
      </c>
      <c r="F38" s="50">
        <v>100848</v>
      </c>
      <c r="G38" s="50">
        <v>2423087</v>
      </c>
      <c r="H38" s="50">
        <v>21429627</v>
      </c>
      <c r="I38" s="50">
        <v>68788</v>
      </c>
      <c r="J38" s="50">
        <v>60</v>
      </c>
      <c r="K38" s="50">
        <v>315925</v>
      </c>
      <c r="L38" s="50">
        <v>9122</v>
      </c>
    </row>
    <row r="39" spans="1:12">
      <c r="A39" s="50" t="s">
        <v>26</v>
      </c>
      <c r="B39" s="50">
        <v>1</v>
      </c>
      <c r="C39" s="50">
        <v>54</v>
      </c>
      <c r="D39" s="50">
        <v>0</v>
      </c>
      <c r="E39" s="50">
        <v>13</v>
      </c>
      <c r="F39" s="50">
        <v>40354</v>
      </c>
      <c r="G39" s="50">
        <v>1293102</v>
      </c>
      <c r="H39" s="50">
        <v>8242970</v>
      </c>
      <c r="I39" s="50">
        <v>22626</v>
      </c>
      <c r="J39" s="50">
        <v>68</v>
      </c>
      <c r="K39" s="50">
        <v>72034</v>
      </c>
      <c r="L39" s="50">
        <v>3674</v>
      </c>
    </row>
    <row r="40" spans="1:12">
      <c r="A40" s="50" t="s">
        <v>27</v>
      </c>
      <c r="B40" s="50">
        <v>5</v>
      </c>
      <c r="C40" s="50">
        <v>188</v>
      </c>
      <c r="D40" s="50">
        <v>7</v>
      </c>
      <c r="E40" s="50">
        <v>28</v>
      </c>
      <c r="F40" s="50">
        <v>159134</v>
      </c>
      <c r="G40" s="50">
        <v>2802318</v>
      </c>
      <c r="H40" s="50">
        <v>28943868</v>
      </c>
      <c r="I40" s="50">
        <v>32158</v>
      </c>
      <c r="J40" s="50">
        <v>31296</v>
      </c>
      <c r="K40" s="50">
        <v>494174</v>
      </c>
      <c r="L40" s="50">
        <v>10397</v>
      </c>
    </row>
  </sheetData>
  <conditionalFormatting sqref="F17:F19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{74e6f8d5-0158-4846-b665-3a1827b5c24e}</x14:id>
        </ext>
      </extLst>
    </cfRule>
  </conditionalFormatting>
  <conditionalFormatting sqref="F20:F22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{1f1b2374-72a0-4570-a09f-6b808597dda0}</x14:id>
        </ext>
      </extLst>
    </cfRule>
  </conditionalFormatting>
  <conditionalFormatting sqref="G17:G19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{6a564fbd-7bda-4cf4-a901-8880d117a8e4}</x14:id>
        </ext>
      </extLst>
    </cfRule>
  </conditionalFormatting>
  <conditionalFormatting sqref="G20:G22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{74fdfc61-ac06-4534-a9eb-3ad1b68ea5a4}</x14:id>
        </ext>
      </extLst>
    </cfRule>
  </conditionalFormatting>
  <conditionalFormatting sqref="O2:O13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{529ba80e-0a94-42a3-9f09-97fe783461c0}</x14:id>
        </ext>
      </extLst>
    </cfRule>
  </conditionalFormatting>
  <conditionalFormatting sqref="O17:O24">
    <cfRule type="cellIs" dxfId="37" priority="4" operator="equal">
      <formula>$S$17</formula>
    </cfRule>
  </conditionalFormatting>
  <conditionalFormatting sqref="P2:P13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{9305fcc6-e5c4-41a3-b67f-ed93816e8200}</x14:id>
        </ext>
      </extLst>
    </cfRule>
  </conditionalFormatting>
  <conditionalFormatting sqref="Q2:Q13">
    <cfRule type="cellIs" dxfId="38" priority="1" operator="equal">
      <formula>配置!$D$4</formula>
    </cfRule>
    <cfRule type="cellIs" dxfId="39" priority="2" operator="equal">
      <formula>配置!$D$3</formula>
    </cfRule>
    <cfRule type="cellIs" dxfId="37" priority="3" operator="equal">
      <formula>配置!$D$2</formula>
    </cfRule>
  </conditionalFormatting>
  <conditionalFormatting sqref="Q17:Q18">
    <cfRule type="cellIs" dxfId="37" priority="5" operator="equal">
      <formula>$S$17</formula>
    </cfRule>
  </conditionalFormatting>
  <conditionalFormatting sqref="O14:O15 Q1:R1 Q2 Q4:Q13">
    <cfRule type="cellIs" dxfId="37" priority="13" operator="equal">
      <formula>配置!$D$2</formula>
    </cfRule>
  </conditionalFormatting>
  <conditionalFormatting sqref="Q2 Q4:Q13">
    <cfRule type="cellIs" dxfId="38" priority="12" operator="equal">
      <formula>配置!$D$4</formula>
    </cfRule>
  </conditionalFormatting>
  <dataValidations count="1">
    <dataValidation type="list" allowBlank="1" showInputMessage="1" showErrorMessage="1" sqref="Q2:Q13">
      <formula1>配置!$D$2:$D$4</formula1>
    </dataValidation>
  </dataValidations>
  <pageMargins left="0.7" right="0.7" top="0.75" bottom="0.75" header="0.3" footer="0.3"/>
  <pageSetup paperSize="9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4e6f8d5-0158-4846-b665-3a1827b5c2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F17:F19</xm:sqref>
        </x14:conditionalFormatting>
        <x14:conditionalFormatting xmlns:xm="http://schemas.microsoft.com/office/excel/2006/main">
          <x14:cfRule type="dataBar" id="{1f1b2374-72a0-4570-a09f-6b808597dd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F20:F22</xm:sqref>
        </x14:conditionalFormatting>
        <x14:conditionalFormatting xmlns:xm="http://schemas.microsoft.com/office/excel/2006/main">
          <x14:cfRule type="dataBar" id="{6a564fbd-7bda-4cf4-a901-8880d117a8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G17:G19</xm:sqref>
        </x14:conditionalFormatting>
        <x14:conditionalFormatting xmlns:xm="http://schemas.microsoft.com/office/excel/2006/main">
          <x14:cfRule type="dataBar" id="{74fdfc61-ac06-4534-a9eb-3ad1b68ea5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G20:G22</xm:sqref>
        </x14:conditionalFormatting>
        <x14:conditionalFormatting xmlns:xm="http://schemas.microsoft.com/office/excel/2006/main">
          <x14:cfRule type="dataBar" id="{529ba80e-0a94-42a3-9f09-97fe783461c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O2:O13</xm:sqref>
        </x14:conditionalFormatting>
        <x14:conditionalFormatting xmlns:xm="http://schemas.microsoft.com/office/excel/2006/main">
          <x14:cfRule type="dataBar" id="{9305fcc6-e5c4-41a3-b67f-ed93816e82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P2:P13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1"/>
  <sheetViews>
    <sheetView topLeftCell="B1" workbookViewId="0">
      <selection activeCell="B1" sqref="$A1:$XFD1048576"/>
    </sheetView>
  </sheetViews>
  <sheetFormatPr defaultColWidth="9" defaultRowHeight="13.5"/>
  <sheetData>
    <row r="1" s="1" customFormat="1" ht="27.75" spans="1:24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22</v>
      </c>
      <c r="X1" s="22" t="s">
        <v>23</v>
      </c>
    </row>
    <row r="2" s="354" customFormat="1" ht="14.25" customHeight="1" spans="1:24">
      <c r="A2" s="371">
        <v>44</v>
      </c>
      <c r="B2" s="371">
        <f>VLOOKUP(表1_861218[[#This Row],[区服]],$O$26:$P$33,2,FALSE)</f>
        <v>52</v>
      </c>
      <c r="C2" s="372" t="s">
        <v>54</v>
      </c>
      <c r="D2" s="373" t="str">
        <f>表1_861218[[#This Row],[目标国家]]</f>
        <v>魏</v>
      </c>
      <c r="E2" s="374">
        <f>(VLOOKUP(表1_861218[[#This Row],[目标区服]],$Q$26:$R$29,2,FALSE)-表1_861218[[#This Row],[开服天数]])*配置!$B$1</f>
        <v>1000</v>
      </c>
      <c r="F2" s="374">
        <f>表1_861218[[#This Row],[补偿Coin]]*(表1_861218[[#This Row],[活跃高战玩家数]]+表1_861218[[#This Row],[活跃中坚玩家数]])</f>
        <v>28000</v>
      </c>
      <c r="G2" s="374">
        <f>(VLOOKUP(表1_861218[[#This Row],[目标区服]],$Q$26:$R$29,2,FALSE)-表1_861218[[#This Row],[开服天数]])*配置!$B$2</f>
        <v>10</v>
      </c>
      <c r="H2" s="376" t="s">
        <v>25</v>
      </c>
      <c r="I2" s="376">
        <f>IF(表1_861218[[#This Row],[原国家]]="魏",0,IF(表1_861218[[#This Row],[原国家]]="蜀",1,2))</f>
        <v>0</v>
      </c>
      <c r="J2" s="380">
        <v>5</v>
      </c>
      <c r="K2" s="380">
        <v>184</v>
      </c>
      <c r="L2" s="380">
        <v>3</v>
      </c>
      <c r="M2" s="380">
        <v>25</v>
      </c>
      <c r="N2" s="380">
        <v>120464</v>
      </c>
      <c r="O2" s="380">
        <v>2851449</v>
      </c>
      <c r="P2" s="381">
        <v>25726744</v>
      </c>
      <c r="Q2" s="31" t="s">
        <v>25</v>
      </c>
      <c r="R2" s="376">
        <f>IF(表1_861218[[#This Row],[目标国家]]="魏",0,IF(表1_861218[[#This Row],[目标国家]]="蜀",1,2))</f>
        <v>0</v>
      </c>
      <c r="S2" s="380">
        <v>96870</v>
      </c>
      <c r="T2" s="380">
        <v>0</v>
      </c>
      <c r="U2" s="380">
        <v>379002</v>
      </c>
      <c r="V2" s="380">
        <v>11462</v>
      </c>
      <c r="W2" s="387" t="str">
        <f>"{"&amp;"'coin':"&amp;表1_861218[[#This Row],[补偿Coin]]&amp;",'"&amp;配置!$A$2&amp;"':"&amp;表1_861218[[#This Row],[补偿辎重]]&amp;"},"</f>
        <v>{'coin':1000,'item036':10},</v>
      </c>
      <c r="X2" s="388" t="str">
        <f>"      '"&amp;表1_861218[[#This Row],[区服]]&amp;"':{"</f>
        <v>      '44':{</v>
      </c>
    </row>
    <row r="3" s="354" customFormat="1" ht="14.25" customHeight="1" spans="1:24">
      <c r="A3" s="375">
        <v>44</v>
      </c>
      <c r="B3" s="371">
        <f>VLOOKUP(表1_861218[[#This Row],[区服]],$O$26:$P$33,2,FALSE)</f>
        <v>52</v>
      </c>
      <c r="C3" s="372" t="s">
        <v>54</v>
      </c>
      <c r="D3" s="376" t="str">
        <f>表1_861218[[#This Row],[目标国家]]</f>
        <v>蜀</v>
      </c>
      <c r="E3" s="380">
        <f>(VLOOKUP(表1_861218[[#This Row],[目标区服]],$Q$26:$R$29,2,FALSE)-表1_861218[[#This Row],[开服天数]])*配置!$B$1</f>
        <v>1000</v>
      </c>
      <c r="F3" s="380">
        <f>表1_861218[[#This Row],[补偿Coin]]*(表1_861218[[#This Row],[活跃高战玩家数]]+表1_861218[[#This Row],[活跃中坚玩家数]])</f>
        <v>22000</v>
      </c>
      <c r="G3" s="380">
        <f>(VLOOKUP(表1_861218[[#This Row],[目标区服]],$Q$26:$R$29,2,FALSE)-表1_861218[[#This Row],[开服天数]])*配置!$B$2</f>
        <v>10</v>
      </c>
      <c r="H3" s="376" t="s">
        <v>26</v>
      </c>
      <c r="I3" s="376">
        <f>IF(表1_861218[[#This Row],[原国家]]="魏",0,IF(表1_861218[[#This Row],[原国家]]="蜀",1,2))</f>
        <v>1</v>
      </c>
      <c r="J3" s="380">
        <v>1</v>
      </c>
      <c r="K3" s="380">
        <v>112</v>
      </c>
      <c r="L3" s="380">
        <v>1</v>
      </c>
      <c r="M3" s="380">
        <v>21</v>
      </c>
      <c r="N3" s="380">
        <v>76908</v>
      </c>
      <c r="O3" s="380">
        <v>2468436</v>
      </c>
      <c r="P3" s="381">
        <v>18025908</v>
      </c>
      <c r="Q3" s="31" t="s">
        <v>26</v>
      </c>
      <c r="R3" s="376">
        <f>IF(表1_861218[[#This Row],[目标国家]]="魏",0,IF(表1_861218[[#This Row],[目标国家]]="蜀",1,2))</f>
        <v>1</v>
      </c>
      <c r="S3" s="380">
        <v>80160</v>
      </c>
      <c r="T3" s="380">
        <v>0</v>
      </c>
      <c r="U3" s="380">
        <v>163684</v>
      </c>
      <c r="V3" s="380">
        <v>8362</v>
      </c>
      <c r="W3" s="387" t="str">
        <f>"{"&amp;"'coin':"&amp;表1_861218[[#This Row],[补偿Coin]]&amp;",'"&amp;配置!$A$2&amp;"':"&amp;表1_861218[[#This Row],[补偿辎重]]&amp;"},"</f>
        <v>{'coin':1000,'item036':10},</v>
      </c>
      <c r="X3" s="388" t="str">
        <f>"            'to_zone':'"&amp;表1_861218[[#This Row],[目标区服]]&amp;"',
            'reward':"&amp;表1_861218[[#This Row],[辅助导出]]&amp;"
            'country':["&amp;R2&amp;","&amp;R3&amp;","&amp;R4&amp;"],"</f>
        <v>            'to_zone':'h1_17',
            'reward':{'coin':1000,'item036':10},
            'country':[0,1,2],</v>
      </c>
    </row>
    <row r="4" s="354" customFormat="1" ht="14.25" customHeight="1" spans="1:24">
      <c r="A4" s="375">
        <v>44</v>
      </c>
      <c r="B4" s="371">
        <f>VLOOKUP(表1_861218[[#This Row],[区服]],$O$26:$P$33,2,FALSE)</f>
        <v>52</v>
      </c>
      <c r="C4" s="372" t="s">
        <v>54</v>
      </c>
      <c r="D4" s="376" t="str">
        <f>表1_861218[[#This Row],[目标国家]]</f>
        <v>吴</v>
      </c>
      <c r="E4" s="380">
        <f>(VLOOKUP(表1_861218[[#This Row],[目标区服]],$Q$26:$R$29,2,FALSE)-表1_861218[[#This Row],[开服天数]])*配置!$B$1</f>
        <v>1000</v>
      </c>
      <c r="F4" s="380">
        <f>表1_861218[[#This Row],[补偿Coin]]*(表1_861218[[#This Row],[活跃高战玩家数]]+表1_861218[[#This Row],[活跃中坚玩家数]])</f>
        <v>19000</v>
      </c>
      <c r="G4" s="380">
        <f>(VLOOKUP(表1_861218[[#This Row],[目标区服]],$Q$26:$R$29,2,FALSE)-表1_861218[[#This Row],[开服天数]])*配置!$B$2</f>
        <v>10</v>
      </c>
      <c r="H4" s="376" t="s">
        <v>27</v>
      </c>
      <c r="I4" s="376">
        <f>IF(表1_861218[[#This Row],[原国家]]="魏",0,IF(表1_861218[[#This Row],[原国家]]="蜀",1,2))</f>
        <v>2</v>
      </c>
      <c r="J4" s="380">
        <v>3</v>
      </c>
      <c r="K4" s="380">
        <v>99</v>
      </c>
      <c r="L4" s="380">
        <v>5</v>
      </c>
      <c r="M4" s="380">
        <v>14</v>
      </c>
      <c r="N4" s="380">
        <v>89295</v>
      </c>
      <c r="O4" s="380">
        <v>2728020</v>
      </c>
      <c r="P4" s="381">
        <v>18484725</v>
      </c>
      <c r="Q4" s="31" t="s">
        <v>27</v>
      </c>
      <c r="R4" s="376">
        <f>IF(表1_861218[[#This Row],[目标国家]]="魏",0,IF(表1_861218[[#This Row],[目标国家]]="蜀",1,2))</f>
        <v>2</v>
      </c>
      <c r="S4" s="380">
        <v>89670</v>
      </c>
      <c r="T4" s="380">
        <v>0</v>
      </c>
      <c r="U4" s="380">
        <v>369100</v>
      </c>
      <c r="V4" s="380">
        <v>9187</v>
      </c>
      <c r="W4" s="387" t="str">
        <f>"{"&amp;"'coin':"&amp;表1_861218[[#This Row],[补偿Coin]]&amp;",'"&amp;配置!$A$2&amp;"':"&amp;表1_861218[[#This Row],[补偿辎重]]&amp;"},"</f>
        <v>{'coin':1000,'item036':10},</v>
      </c>
      <c r="X4" s="388" t="str">
        <f>"      },"</f>
        <v>      },</v>
      </c>
    </row>
    <row r="5" s="354" customFormat="1" ht="14.25" customHeight="1" spans="1:24">
      <c r="A5" s="375">
        <v>45</v>
      </c>
      <c r="B5" s="371">
        <f>VLOOKUP(表1_861218[[#This Row],[区服]],$O$26:$P$33,2,FALSE)</f>
        <v>50</v>
      </c>
      <c r="C5" s="372" t="s">
        <v>54</v>
      </c>
      <c r="D5" s="376" t="str">
        <f>表1_861218[[#This Row],[目标国家]]</f>
        <v>魏</v>
      </c>
      <c r="E5" s="380">
        <f>(VLOOKUP(表1_861218[[#This Row],[目标区服]],$Q$26:$R$29,2,FALSE)-表1_861218[[#This Row],[开服天数]])*配置!$B$1</f>
        <v>2000</v>
      </c>
      <c r="F5" s="380">
        <f>表1_861218[[#This Row],[补偿Coin]]*(表1_861218[[#This Row],[活跃高战玩家数]]+表1_861218[[#This Row],[活跃中坚玩家数]])</f>
        <v>52000</v>
      </c>
      <c r="G5" s="380">
        <f>(VLOOKUP(表1_861218[[#This Row],[目标区服]],$Q$26:$R$29,2,FALSE)-表1_861218[[#This Row],[开服天数]])*配置!$B$2</f>
        <v>20</v>
      </c>
      <c r="H5" s="376" t="s">
        <v>25</v>
      </c>
      <c r="I5" s="376">
        <f>IF(表1_861218[[#This Row],[原国家]]="魏",0,IF(表1_861218[[#This Row],[原国家]]="蜀",1,2))</f>
        <v>0</v>
      </c>
      <c r="J5" s="380">
        <v>2</v>
      </c>
      <c r="K5" s="380">
        <v>82</v>
      </c>
      <c r="L5" s="380">
        <v>3</v>
      </c>
      <c r="M5" s="380">
        <v>23</v>
      </c>
      <c r="N5" s="380">
        <v>92281</v>
      </c>
      <c r="O5" s="380">
        <v>2567639</v>
      </c>
      <c r="P5" s="381">
        <v>19120286</v>
      </c>
      <c r="Q5" s="31" t="s">
        <v>25</v>
      </c>
      <c r="R5" s="376">
        <f>IF(表1_861218[[#This Row],[目标国家]]="魏",0,IF(表1_861218[[#This Row],[目标国家]]="蜀",1,2))</f>
        <v>0</v>
      </c>
      <c r="S5" s="380">
        <v>39114</v>
      </c>
      <c r="T5" s="380">
        <v>96</v>
      </c>
      <c r="U5" s="380">
        <v>218905</v>
      </c>
      <c r="V5" s="380">
        <v>7244</v>
      </c>
      <c r="W5" s="387" t="str">
        <f>"{"&amp;"'coin':"&amp;表1_861218[[#This Row],[补偿Coin]]&amp;",'"&amp;配置!$A$2&amp;"':"&amp;表1_861218[[#This Row],[补偿辎重]]&amp;"},"</f>
        <v>{'coin':2000,'item036':20},</v>
      </c>
      <c r="X5" s="388" t="str">
        <f>"      '"&amp;表1_861218[[#This Row],[区服]]&amp;"':{"</f>
        <v>      '45':{</v>
      </c>
    </row>
    <row r="6" s="354" customFormat="1" ht="14.25" customHeight="1" spans="1:24">
      <c r="A6" s="371">
        <v>45</v>
      </c>
      <c r="B6" s="371">
        <f>VLOOKUP(表1_861218[[#This Row],[区服]],$O$26:$P$33,2,FALSE)</f>
        <v>50</v>
      </c>
      <c r="C6" s="372" t="s">
        <v>54</v>
      </c>
      <c r="D6" s="376" t="str">
        <f>表1_861218[[#This Row],[目标国家]]</f>
        <v>蜀</v>
      </c>
      <c r="E6" s="380">
        <f>(VLOOKUP(表1_861218[[#This Row],[目标区服]],$Q$26:$R$29,2,FALSE)-表1_861218[[#This Row],[开服天数]])*配置!$B$1</f>
        <v>2000</v>
      </c>
      <c r="F6" s="380">
        <f>表1_861218[[#This Row],[补偿Coin]]*(表1_861218[[#This Row],[活跃高战玩家数]]+表1_861218[[#This Row],[活跃中坚玩家数]])</f>
        <v>42000</v>
      </c>
      <c r="G6" s="380">
        <f>(VLOOKUP(表1_861218[[#This Row],[目标区服]],$Q$26:$R$29,2,FALSE)-表1_861218[[#This Row],[开服天数]])*配置!$B$2</f>
        <v>20</v>
      </c>
      <c r="H6" s="376" t="s">
        <v>26</v>
      </c>
      <c r="I6" s="376">
        <f>IF(表1_861218[[#This Row],[原国家]]="魏",0,IF(表1_861218[[#This Row],[原国家]]="蜀",1,2))</f>
        <v>1</v>
      </c>
      <c r="J6" s="380">
        <v>4</v>
      </c>
      <c r="K6" s="380">
        <v>180</v>
      </c>
      <c r="L6" s="380">
        <v>3</v>
      </c>
      <c r="M6" s="380">
        <v>18</v>
      </c>
      <c r="N6" s="380">
        <v>87347</v>
      </c>
      <c r="O6" s="380">
        <v>2806121</v>
      </c>
      <c r="P6" s="381">
        <v>18653655</v>
      </c>
      <c r="Q6" s="31" t="s">
        <v>26</v>
      </c>
      <c r="R6" s="376">
        <f>IF(表1_861218[[#This Row],[目标国家]]="魏",0,IF(表1_861218[[#This Row],[目标国家]]="蜀",1,2))</f>
        <v>1</v>
      </c>
      <c r="S6" s="380">
        <v>66164</v>
      </c>
      <c r="T6" s="380">
        <v>0</v>
      </c>
      <c r="U6" s="380">
        <v>357461</v>
      </c>
      <c r="V6" s="380">
        <v>9471</v>
      </c>
      <c r="W6" s="387" t="str">
        <f>"{"&amp;"'coin':"&amp;表1_861218[[#This Row],[补偿Coin]]&amp;",'"&amp;配置!$A$2&amp;"':"&amp;表1_861218[[#This Row],[补偿辎重]]&amp;"},"</f>
        <v>{'coin':2000,'item036':20},</v>
      </c>
      <c r="X6" s="388" t="str">
        <f>"            'to_zone':'"&amp;表1_861218[[#This Row],[目标区服]]&amp;"',
            'reward':"&amp;表1_861218[[#This Row],[辅助导出]]&amp;"
            'country':["&amp;R5&amp;","&amp;R6&amp;","&amp;R7&amp;"],"</f>
        <v>            'to_zone':'h1_17',
            'reward':{'coin':2000,'item036':20},
            'country':[0,1,2],</v>
      </c>
    </row>
    <row r="7" s="354" customFormat="1" ht="14.25" customHeight="1" spans="1:24">
      <c r="A7" s="371">
        <v>45</v>
      </c>
      <c r="B7" s="371">
        <f>VLOOKUP(表1_861218[[#This Row],[区服]],$O$26:$P$33,2,FALSE)</f>
        <v>50</v>
      </c>
      <c r="C7" s="372" t="s">
        <v>54</v>
      </c>
      <c r="D7" s="376" t="str">
        <f>表1_861218[[#This Row],[目标国家]]</f>
        <v>吴</v>
      </c>
      <c r="E7" s="380">
        <f>(VLOOKUP(表1_861218[[#This Row],[目标区服]],$Q$26:$R$29,2,FALSE)-表1_861218[[#This Row],[开服天数]])*配置!$B$1</f>
        <v>2000</v>
      </c>
      <c r="F7" s="380">
        <f>表1_861218[[#This Row],[补偿Coin]]*(表1_861218[[#This Row],[活跃高战玩家数]]+表1_861218[[#This Row],[活跃中坚玩家数]])</f>
        <v>38000</v>
      </c>
      <c r="G7" s="380">
        <f>(VLOOKUP(表1_861218[[#This Row],[目标区服]],$Q$26:$R$29,2,FALSE)-表1_861218[[#This Row],[开服天数]])*配置!$B$2</f>
        <v>20</v>
      </c>
      <c r="H7" s="376" t="s">
        <v>27</v>
      </c>
      <c r="I7" s="376">
        <f>IF(表1_861218[[#This Row],[原国家]]="魏",0,IF(表1_861218[[#This Row],[原国家]]="蜀",1,2))</f>
        <v>2</v>
      </c>
      <c r="J7" s="380">
        <v>3</v>
      </c>
      <c r="K7" s="380">
        <v>133</v>
      </c>
      <c r="L7" s="380">
        <v>3</v>
      </c>
      <c r="M7" s="380">
        <v>16</v>
      </c>
      <c r="N7" s="380">
        <v>97158</v>
      </c>
      <c r="O7" s="380">
        <v>2688730</v>
      </c>
      <c r="P7" s="381">
        <v>18008819</v>
      </c>
      <c r="Q7" s="31" t="s">
        <v>27</v>
      </c>
      <c r="R7" s="376">
        <f>IF(表1_861218[[#This Row],[目标国家]]="魏",0,IF(表1_861218[[#This Row],[目标国家]]="蜀",1,2))</f>
        <v>2</v>
      </c>
      <c r="S7" s="380">
        <v>53920</v>
      </c>
      <c r="T7" s="380">
        <v>0</v>
      </c>
      <c r="U7" s="380">
        <v>238005</v>
      </c>
      <c r="V7" s="380">
        <v>8342</v>
      </c>
      <c r="W7" s="387" t="str">
        <f>"{"&amp;"'coin':"&amp;表1_861218[[#This Row],[补偿Coin]]&amp;",'"&amp;配置!$A$2&amp;"':"&amp;表1_861218[[#This Row],[补偿辎重]]&amp;"},"</f>
        <v>{'coin':2000,'item036':20},</v>
      </c>
      <c r="X7" s="388" t="str">
        <f t="shared" ref="X7" si="0">"      },"</f>
        <v>      },</v>
      </c>
    </row>
    <row r="8" s="354" customFormat="1" ht="14.25" customHeight="1" spans="1:24">
      <c r="A8" s="259">
        <v>46</v>
      </c>
      <c r="B8" s="210">
        <f>VLOOKUP(表1_861218[[#This Row],[区服]],$O$26:$P$33,2,FALSE)</f>
        <v>48</v>
      </c>
      <c r="C8" s="296" t="s">
        <v>55</v>
      </c>
      <c r="D8" s="212" t="str">
        <f>表1_861218[[#This Row],[目标国家]]</f>
        <v>魏</v>
      </c>
      <c r="E8" s="213">
        <f>(VLOOKUP(表1_861218[[#This Row],[目标区服]],$Q$26:$R$29,2,FALSE)-表1_861218[[#This Row],[开服天数]])*配置!$B$1</f>
        <v>1000</v>
      </c>
      <c r="F8" s="213">
        <f>表1_861218[[#This Row],[补偿Coin]]*(表1_861218[[#This Row],[活跃高战玩家数]]+表1_861218[[#This Row],[活跃中坚玩家数]])</f>
        <v>18000</v>
      </c>
      <c r="G8" s="260">
        <f>(VLOOKUP(表1_861218[[#This Row],[目标区服]],$Q$26:$R$29,2,FALSE)-表1_861218[[#This Row],[开服天数]])*配置!$B$2</f>
        <v>10</v>
      </c>
      <c r="H8" s="212" t="s">
        <v>25</v>
      </c>
      <c r="I8" s="268">
        <f>IF(表1_861218[[#This Row],[原国家]]="魏",0,IF(表1_861218[[#This Row],[原国家]]="蜀",1,2))</f>
        <v>0</v>
      </c>
      <c r="J8" s="213">
        <v>1</v>
      </c>
      <c r="K8" s="213">
        <v>65</v>
      </c>
      <c r="L8" s="213">
        <v>1</v>
      </c>
      <c r="M8" s="213">
        <v>17</v>
      </c>
      <c r="N8" s="213">
        <v>36818</v>
      </c>
      <c r="O8" s="419">
        <v>1955774</v>
      </c>
      <c r="P8" s="420">
        <v>11148722</v>
      </c>
      <c r="Q8" s="31" t="s">
        <v>25</v>
      </c>
      <c r="R8" s="212">
        <f>IF(表1_861218[[#This Row],[目标国家]]="魏",0,IF(表1_861218[[#This Row],[目标国家]]="蜀",1,2))</f>
        <v>0</v>
      </c>
      <c r="S8" s="213">
        <v>49672</v>
      </c>
      <c r="T8" s="213">
        <v>0</v>
      </c>
      <c r="U8" s="213">
        <v>316546</v>
      </c>
      <c r="V8" s="213">
        <v>5653</v>
      </c>
      <c r="W8" s="278" t="str">
        <f>"{"&amp;"'coin':"&amp;表1_861218[[#This Row],[补偿Coin]]&amp;",'"&amp;配置!$A$2&amp;"':"&amp;表1_861218[[#This Row],[补偿辎重]]&amp;"},"</f>
        <v>{'coin':1000,'item036':10},</v>
      </c>
      <c r="X8" s="278" t="str">
        <f>"      '"&amp;表1_861218[[#This Row],[区服]]&amp;"':{"</f>
        <v>      '46':{</v>
      </c>
    </row>
    <row r="9" s="354" customFormat="1" ht="14.25" customHeight="1" spans="1:24">
      <c r="A9" s="259">
        <v>46</v>
      </c>
      <c r="B9" s="210">
        <f>VLOOKUP(表1_861218[[#This Row],[区服]],$O$26:$P$33,2,FALSE)</f>
        <v>48</v>
      </c>
      <c r="C9" s="296" t="s">
        <v>55</v>
      </c>
      <c r="D9" s="212" t="str">
        <f>表1_861218[[#This Row],[目标国家]]</f>
        <v>蜀</v>
      </c>
      <c r="E9" s="213">
        <f>(VLOOKUP(表1_861218[[#This Row],[目标区服]],$Q$26:$R$29,2,FALSE)-表1_861218[[#This Row],[开服天数]])*配置!$B$1</f>
        <v>1000</v>
      </c>
      <c r="F9" s="213">
        <f>表1_861218[[#This Row],[补偿Coin]]*(表1_861218[[#This Row],[活跃高战玩家数]]+表1_861218[[#This Row],[活跃中坚玩家数]])</f>
        <v>40000</v>
      </c>
      <c r="G9" s="260">
        <f>(VLOOKUP(表1_861218[[#This Row],[目标区服]],$Q$26:$R$29,2,FALSE)-表1_861218[[#This Row],[开服天数]])*配置!$B$2</f>
        <v>10</v>
      </c>
      <c r="H9" s="212" t="s">
        <v>26</v>
      </c>
      <c r="I9" s="268">
        <f>IF(表1_861218[[#This Row],[原国家]]="魏",0,IF(表1_861218[[#This Row],[原国家]]="蜀",1,2))</f>
        <v>1</v>
      </c>
      <c r="J9" s="213">
        <v>7</v>
      </c>
      <c r="K9" s="213">
        <v>273</v>
      </c>
      <c r="L9" s="213">
        <v>7</v>
      </c>
      <c r="M9" s="213">
        <v>33</v>
      </c>
      <c r="N9" s="213">
        <v>173326</v>
      </c>
      <c r="O9" s="419">
        <v>3741788</v>
      </c>
      <c r="P9" s="420">
        <v>38399998</v>
      </c>
      <c r="Q9" s="31" t="s">
        <v>26</v>
      </c>
      <c r="R9" s="212">
        <f>IF(表1_861218[[#This Row],[目标国家]]="魏",0,IF(表1_861218[[#This Row],[目标国家]]="蜀",1,2))</f>
        <v>1</v>
      </c>
      <c r="S9" s="213">
        <v>278706</v>
      </c>
      <c r="T9" s="213">
        <v>0</v>
      </c>
      <c r="U9" s="213">
        <v>774583</v>
      </c>
      <c r="V9" s="213">
        <v>20626</v>
      </c>
      <c r="W9" s="278" t="str">
        <f>"{"&amp;"'coin':"&amp;表1_861218[[#This Row],[补偿Coin]]&amp;",'"&amp;配置!$A$2&amp;"':"&amp;表1_861218[[#This Row],[补偿辎重]]&amp;"},"</f>
        <v>{'coin':1000,'item036':10},</v>
      </c>
      <c r="X9" s="278" t="str">
        <f>"            'to_zone':'"&amp;表1_861218[[#This Row],[目标区服]]&amp;"',
            'reward':"&amp;表1_861218[[#This Row],[辅助导出]]&amp;"
            'country':["&amp;R8&amp;","&amp;R9&amp;","&amp;R10&amp;"],"</f>
        <v>            'to_zone':'h1_18',
            'reward':{'coin':1000,'item036':10},
            'country':[0,1,2],</v>
      </c>
    </row>
    <row r="10" s="354" customFormat="1" ht="14.25" customHeight="1" spans="1:24">
      <c r="A10" s="259">
        <v>46</v>
      </c>
      <c r="B10" s="210">
        <f>VLOOKUP(表1_861218[[#This Row],[区服]],$O$26:$P$33,2,FALSE)</f>
        <v>48</v>
      </c>
      <c r="C10" s="296" t="s">
        <v>55</v>
      </c>
      <c r="D10" s="212" t="str">
        <f>表1_861218[[#This Row],[目标国家]]</f>
        <v>吴</v>
      </c>
      <c r="E10" s="213">
        <f>(VLOOKUP(表1_861218[[#This Row],[目标区服]],$Q$26:$R$29,2,FALSE)-表1_861218[[#This Row],[开服天数]])*配置!$B$1</f>
        <v>1000</v>
      </c>
      <c r="F10" s="213">
        <f>表1_861218[[#This Row],[补偿Coin]]*(表1_861218[[#This Row],[活跃高战玩家数]]+表1_861218[[#This Row],[活跃中坚玩家数]])</f>
        <v>27000</v>
      </c>
      <c r="G10" s="260">
        <f>(VLOOKUP(表1_861218[[#This Row],[目标区服]],$Q$26:$R$29,2,FALSE)-表1_861218[[#This Row],[开服天数]])*配置!$B$2</f>
        <v>10</v>
      </c>
      <c r="H10" s="212" t="s">
        <v>27</v>
      </c>
      <c r="I10" s="268">
        <f>IF(表1_861218[[#This Row],[原国家]]="魏",0,IF(表1_861218[[#This Row],[原国家]]="蜀",1,2))</f>
        <v>2</v>
      </c>
      <c r="J10" s="213">
        <v>1</v>
      </c>
      <c r="K10" s="213">
        <v>57</v>
      </c>
      <c r="L10" s="213">
        <v>2</v>
      </c>
      <c r="M10" s="213">
        <v>25</v>
      </c>
      <c r="N10" s="213">
        <v>100968</v>
      </c>
      <c r="O10" s="419">
        <v>2108643</v>
      </c>
      <c r="P10" s="420">
        <v>19650200</v>
      </c>
      <c r="Q10" s="31" t="s">
        <v>27</v>
      </c>
      <c r="R10" s="212">
        <f>IF(表1_861218[[#This Row],[目标国家]]="魏",0,IF(表1_861218[[#This Row],[目标国家]]="蜀",1,2))</f>
        <v>2</v>
      </c>
      <c r="S10" s="213">
        <v>49240</v>
      </c>
      <c r="T10" s="213">
        <v>68</v>
      </c>
      <c r="U10" s="213">
        <v>295618</v>
      </c>
      <c r="V10" s="213">
        <v>6874</v>
      </c>
      <c r="W10" s="278" t="str">
        <f>"{"&amp;"'coin':"&amp;表1_861218[[#This Row],[补偿Coin]]&amp;",'"&amp;配置!$A$2&amp;"':"&amp;表1_861218[[#This Row],[补偿辎重]]&amp;"},"</f>
        <v>{'coin':1000,'item036':10},</v>
      </c>
      <c r="X10" s="278" t="str">
        <f>"      },"</f>
        <v>      },</v>
      </c>
    </row>
    <row r="11" s="354" customFormat="1" ht="14.25" customHeight="1" spans="1:24">
      <c r="A11" s="259">
        <v>47</v>
      </c>
      <c r="B11" s="210">
        <f>VLOOKUP(表1_861218[[#This Row],[区服]],$O$26:$P$33,2,FALSE)</f>
        <v>46</v>
      </c>
      <c r="C11" s="296" t="s">
        <v>55</v>
      </c>
      <c r="D11" s="212" t="str">
        <f>表1_861218[[#This Row],[目标国家]]</f>
        <v>魏</v>
      </c>
      <c r="E11" s="213">
        <f>(VLOOKUP(表1_861218[[#This Row],[目标区服]],$Q$26:$R$29,2,FALSE)-表1_861218[[#This Row],[开服天数]])*配置!$B$1</f>
        <v>2000</v>
      </c>
      <c r="F11" s="213">
        <f>表1_861218[[#This Row],[补偿Coin]]*(表1_861218[[#This Row],[活跃高战玩家数]]+表1_861218[[#This Row],[活跃中坚玩家数]])</f>
        <v>34000</v>
      </c>
      <c r="G11" s="260">
        <f>(VLOOKUP(表1_861218[[#This Row],[目标区服]],$Q$26:$R$29,2,FALSE)-表1_861218[[#This Row],[开服天数]])*配置!$B$2</f>
        <v>20</v>
      </c>
      <c r="H11" s="212" t="s">
        <v>25</v>
      </c>
      <c r="I11" s="268">
        <f>IF(表1_861218[[#This Row],[原国家]]="魏",0,IF(表1_861218[[#This Row],[原国家]]="蜀",1,2))</f>
        <v>0</v>
      </c>
      <c r="J11" s="213">
        <v>3</v>
      </c>
      <c r="K11" s="213">
        <v>138</v>
      </c>
      <c r="L11" s="213">
        <v>3</v>
      </c>
      <c r="M11" s="213">
        <v>14</v>
      </c>
      <c r="N11" s="213">
        <v>83402</v>
      </c>
      <c r="O11" s="419">
        <v>2917674</v>
      </c>
      <c r="P11" s="420">
        <v>16232838</v>
      </c>
      <c r="Q11" s="31" t="s">
        <v>25</v>
      </c>
      <c r="R11" s="212">
        <f>IF(表1_861218[[#This Row],[目标国家]]="魏",0,IF(表1_861218[[#This Row],[目标国家]]="蜀",1,2))</f>
        <v>0</v>
      </c>
      <c r="S11" s="213">
        <v>51590</v>
      </c>
      <c r="T11" s="213">
        <v>0</v>
      </c>
      <c r="U11" s="213">
        <v>228085</v>
      </c>
      <c r="V11" s="213">
        <v>8299</v>
      </c>
      <c r="W11" s="278" t="str">
        <f>"{"&amp;"'coin':"&amp;表1_861218[[#This Row],[补偿Coin]]&amp;",'"&amp;配置!$A$2&amp;"':"&amp;表1_861218[[#This Row],[补偿辎重]]&amp;"},"</f>
        <v>{'coin':2000,'item036':20},</v>
      </c>
      <c r="X11" s="278" t="str">
        <f>"      '"&amp;表1_861218[[#This Row],[区服]]&amp;"':{"</f>
        <v>      '47':{</v>
      </c>
    </row>
    <row r="12" s="354" customFormat="1" ht="14.25" customHeight="1" spans="1:24">
      <c r="A12" s="259">
        <v>47</v>
      </c>
      <c r="B12" s="210">
        <f>VLOOKUP(表1_861218[[#This Row],[区服]],$O$26:$P$33,2,FALSE)</f>
        <v>46</v>
      </c>
      <c r="C12" s="296" t="s">
        <v>55</v>
      </c>
      <c r="D12" s="212" t="str">
        <f>表1_861218[[#This Row],[目标国家]]</f>
        <v>魏</v>
      </c>
      <c r="E12" s="213">
        <f>(VLOOKUP(表1_861218[[#This Row],[目标区服]],$Q$26:$R$29,2,FALSE)-表1_861218[[#This Row],[开服天数]])*配置!$B$1</f>
        <v>2000</v>
      </c>
      <c r="F12" s="213">
        <f>表1_861218[[#This Row],[补偿Coin]]*(表1_861218[[#This Row],[活跃高战玩家数]]+表1_861218[[#This Row],[活跃中坚玩家数]])</f>
        <v>50000</v>
      </c>
      <c r="G12" s="260">
        <f>(VLOOKUP(表1_861218[[#This Row],[目标区服]],$Q$26:$R$29,2,FALSE)-表1_861218[[#This Row],[开服天数]])*配置!$B$2</f>
        <v>20</v>
      </c>
      <c r="H12" s="212" t="s">
        <v>26</v>
      </c>
      <c r="I12" s="268">
        <f>IF(表1_861218[[#This Row],[原国家]]="魏",0,IF(表1_861218[[#This Row],[原国家]]="蜀",1,2))</f>
        <v>1</v>
      </c>
      <c r="J12" s="213">
        <v>3</v>
      </c>
      <c r="K12" s="213">
        <v>132</v>
      </c>
      <c r="L12" s="213">
        <v>4</v>
      </c>
      <c r="M12" s="213">
        <v>21</v>
      </c>
      <c r="N12" s="213">
        <v>88041</v>
      </c>
      <c r="O12" s="419">
        <v>2891621</v>
      </c>
      <c r="P12" s="420">
        <v>19409263</v>
      </c>
      <c r="Q12" s="31" t="s">
        <v>25</v>
      </c>
      <c r="R12" s="212">
        <f>IF(表1_861218[[#This Row],[目标国家]]="魏",0,IF(表1_861218[[#This Row],[目标国家]]="蜀",1,2))</f>
        <v>0</v>
      </c>
      <c r="S12" s="213">
        <v>75710</v>
      </c>
      <c r="T12" s="213">
        <v>134</v>
      </c>
      <c r="U12" s="213">
        <v>252595</v>
      </c>
      <c r="V12" s="213">
        <v>9291</v>
      </c>
      <c r="W12" s="278" t="str">
        <f>"{"&amp;"'coin':"&amp;表1_861218[[#This Row],[补偿Coin]]&amp;",'"&amp;配置!$A$2&amp;"':"&amp;表1_861218[[#This Row],[补偿辎重]]&amp;"},"</f>
        <v>{'coin':2000,'item036':20},</v>
      </c>
      <c r="X12" s="278" t="str">
        <f>"            'to_zone':'"&amp;表1_861218[[#This Row],[目标区服]]&amp;"',
            'reward':"&amp;表1_861218[[#This Row],[辅助导出]]&amp;"
            'country':["&amp;R11&amp;","&amp;R12&amp;","&amp;R13&amp;"],"</f>
        <v>            'to_zone':'h1_18',
            'reward':{'coin':2000,'item036':20},
            'country':[0,0,2],</v>
      </c>
    </row>
    <row r="13" s="354" customFormat="1" ht="14.25" customHeight="1" spans="1:24">
      <c r="A13" s="259">
        <v>47</v>
      </c>
      <c r="B13" s="210">
        <f>VLOOKUP(表1_861218[[#This Row],[区服]],$O$26:$P$33,2,FALSE)</f>
        <v>46</v>
      </c>
      <c r="C13" s="296" t="s">
        <v>55</v>
      </c>
      <c r="D13" s="212" t="str">
        <f>表1_861218[[#This Row],[目标国家]]</f>
        <v>吴</v>
      </c>
      <c r="E13" s="213">
        <f>(VLOOKUP(表1_861218[[#This Row],[目标区服]],$Q$26:$R$29,2,FALSE)-表1_861218[[#This Row],[开服天数]])*配置!$B$1</f>
        <v>2000</v>
      </c>
      <c r="F13" s="213">
        <f>表1_861218[[#This Row],[补偿Coin]]*(表1_861218[[#This Row],[活跃高战玩家数]]+表1_861218[[#This Row],[活跃中坚玩家数]])</f>
        <v>66000</v>
      </c>
      <c r="G13" s="260">
        <f>(VLOOKUP(表1_861218[[#This Row],[目标区服]],$Q$26:$R$29,2,FALSE)-表1_861218[[#This Row],[开服天数]])*配置!$B$2</f>
        <v>20</v>
      </c>
      <c r="H13" s="212" t="s">
        <v>27</v>
      </c>
      <c r="I13" s="268">
        <f>IF(表1_861218[[#This Row],[原国家]]="魏",0,IF(表1_861218[[#This Row],[原国家]]="蜀",1,2))</f>
        <v>2</v>
      </c>
      <c r="J13" s="213">
        <v>3</v>
      </c>
      <c r="K13" s="213">
        <v>125</v>
      </c>
      <c r="L13" s="213">
        <v>3</v>
      </c>
      <c r="M13" s="213">
        <v>30</v>
      </c>
      <c r="N13" s="213">
        <v>117363</v>
      </c>
      <c r="O13" s="419">
        <v>2899778</v>
      </c>
      <c r="P13" s="420">
        <v>25206816</v>
      </c>
      <c r="Q13" s="31" t="s">
        <v>27</v>
      </c>
      <c r="R13" s="212">
        <f>IF(表1_861218[[#This Row],[目标国家]]="魏",0,IF(表1_861218[[#This Row],[目标国家]]="蜀",1,2))</f>
        <v>2</v>
      </c>
      <c r="S13" s="213">
        <v>98794</v>
      </c>
      <c r="T13" s="213">
        <v>0</v>
      </c>
      <c r="U13" s="213">
        <v>275069</v>
      </c>
      <c r="V13" s="213">
        <v>10658</v>
      </c>
      <c r="W13" s="278" t="str">
        <f>"{"&amp;"'coin':"&amp;表1_861218[[#This Row],[补偿Coin]]&amp;",'"&amp;配置!$A$2&amp;"':"&amp;表1_861218[[#This Row],[补偿辎重]]&amp;"},"</f>
        <v>{'coin':2000,'item036':20},</v>
      </c>
      <c r="X13" s="278" t="str">
        <f t="shared" ref="X13" si="1">"      },"</f>
        <v>      },</v>
      </c>
    </row>
    <row r="14" ht="14.25" customHeight="1" spans="1:24">
      <c r="A14" s="17">
        <v>48</v>
      </c>
      <c r="B14" s="17">
        <f>VLOOKUP(表1_861218[[#This Row],[区服]],$O$26:$P$33,2,FALSE)</f>
        <v>44</v>
      </c>
      <c r="C14" s="18" t="s">
        <v>56</v>
      </c>
      <c r="D14" s="19" t="str">
        <f>表1_861218[[#This Row],[目标国家]]</f>
        <v>魏</v>
      </c>
      <c r="E14" s="20">
        <f>(VLOOKUP(表1_861218[[#This Row],[目标区服]],$Q$26:$R$29,2,FALSE)-表1_861218[[#This Row],[开服天数]])*配置!$B$1</f>
        <v>1000</v>
      </c>
      <c r="F14" s="20">
        <f>表1_861218[[#This Row],[补偿Coin]]*(表1_861218[[#This Row],[活跃高战玩家数]]+表1_861218[[#This Row],[活跃中坚玩家数]])</f>
        <v>14000</v>
      </c>
      <c r="G14" s="20">
        <f>(VLOOKUP(表1_861218[[#This Row],[目标区服]],$Q$26:$R$29,2,FALSE)-表1_861218[[#This Row],[开服天数]])*配置!$B$2</f>
        <v>10</v>
      </c>
      <c r="H14" s="19" t="s">
        <v>25</v>
      </c>
      <c r="I14" s="19">
        <f>IF(表1_861218[[#This Row],[原国家]]="魏",0,IF(表1_861218[[#This Row],[原国家]]="蜀",1,2))</f>
        <v>0</v>
      </c>
      <c r="J14" s="20">
        <v>1</v>
      </c>
      <c r="K14" s="20">
        <v>47</v>
      </c>
      <c r="L14" s="20">
        <v>2</v>
      </c>
      <c r="M14" s="20">
        <v>12</v>
      </c>
      <c r="N14" s="20">
        <v>58522</v>
      </c>
      <c r="O14" s="20">
        <v>1462658</v>
      </c>
      <c r="P14" s="26">
        <v>8027606</v>
      </c>
      <c r="Q14" s="496" t="s">
        <v>25</v>
      </c>
      <c r="R14" s="19">
        <f>IF(表1_861218[[#This Row],[目标国家]]="魏",0,IF(表1_861218[[#This Row],[目标国家]]="蜀",1,2))</f>
        <v>0</v>
      </c>
      <c r="S14" s="20">
        <v>13720</v>
      </c>
      <c r="T14" s="20">
        <v>0</v>
      </c>
      <c r="U14" s="20">
        <v>69088</v>
      </c>
      <c r="V14" s="20">
        <v>3574</v>
      </c>
      <c r="W14" s="33" t="str">
        <f>"{"&amp;"'coin':"&amp;表1_861218[[#This Row],[补偿Coin]]&amp;",'"&amp;配置!$A$2&amp;"':"&amp;表1_861218[[#This Row],[补偿辎重]]&amp;"},"</f>
        <v>{'coin':1000,'item036':10},</v>
      </c>
      <c r="X14" s="34" t="str">
        <f>"      '"&amp;表1_861218[[#This Row],[区服]]&amp;"':{"</f>
        <v>      '48':{</v>
      </c>
    </row>
    <row r="15" ht="14.25" customHeight="1" spans="1:24">
      <c r="A15" s="17">
        <v>48</v>
      </c>
      <c r="B15" s="17">
        <f>VLOOKUP(表1_861218[[#This Row],[区服]],$O$26:$P$33,2,FALSE)</f>
        <v>44</v>
      </c>
      <c r="C15" s="18" t="s">
        <v>56</v>
      </c>
      <c r="D15" s="19" t="str">
        <f>表1_861218[[#This Row],[目标国家]]</f>
        <v>蜀</v>
      </c>
      <c r="E15" s="20">
        <f>(VLOOKUP(表1_861218[[#This Row],[目标区服]],$Q$26:$R$29,2,FALSE)-表1_861218[[#This Row],[开服天数]])*配置!$B$1</f>
        <v>1000</v>
      </c>
      <c r="F15" s="20">
        <f>表1_861218[[#This Row],[补偿Coin]]*(表1_861218[[#This Row],[活跃高战玩家数]]+表1_861218[[#This Row],[活跃中坚玩家数]])</f>
        <v>22000</v>
      </c>
      <c r="G15" s="20">
        <f>(VLOOKUP(表1_861218[[#This Row],[目标区服]],$Q$26:$R$29,2,FALSE)-表1_861218[[#This Row],[开服天数]])*配置!$B$2</f>
        <v>10</v>
      </c>
      <c r="H15" s="19" t="s">
        <v>26</v>
      </c>
      <c r="I15" s="19">
        <f>IF(表1_861218[[#This Row],[原国家]]="魏",0,IF(表1_861218[[#This Row],[原国家]]="蜀",1,2))</f>
        <v>1</v>
      </c>
      <c r="J15" s="20">
        <v>5</v>
      </c>
      <c r="K15" s="20">
        <v>215</v>
      </c>
      <c r="L15" s="20">
        <v>5</v>
      </c>
      <c r="M15" s="20">
        <v>17</v>
      </c>
      <c r="N15" s="20">
        <v>127323</v>
      </c>
      <c r="O15" s="20">
        <v>1871083</v>
      </c>
      <c r="P15" s="26">
        <v>16711257</v>
      </c>
      <c r="Q15" s="496" t="s">
        <v>26</v>
      </c>
      <c r="R15" s="19">
        <f>IF(表1_861218[[#This Row],[目标国家]]="魏",0,IF(表1_861218[[#This Row],[目标国家]]="蜀",1,2))</f>
        <v>1</v>
      </c>
      <c r="S15" s="20">
        <v>43236</v>
      </c>
      <c r="T15" s="20">
        <v>0</v>
      </c>
      <c r="U15" s="20">
        <v>339286</v>
      </c>
      <c r="V15" s="20">
        <v>8295</v>
      </c>
      <c r="W15" s="33" t="str">
        <f>"{"&amp;"'coin':"&amp;表1_861218[[#This Row],[补偿Coin]]&amp;",'"&amp;配置!$A$2&amp;"':"&amp;表1_861218[[#This Row],[补偿辎重]]&amp;"},"</f>
        <v>{'coin':1000,'item036':10},</v>
      </c>
      <c r="X15" s="34" t="str">
        <f>"            'to_zone':'"&amp;表1_861218[[#This Row],[目标区服]]&amp;"',
            'reward':"&amp;表1_861218[[#This Row],[辅助导出]]&amp;"
            'country':["&amp;R14&amp;","&amp;R15&amp;","&amp;R16&amp;"],"</f>
        <v>            'to_zone':'h1_19',
            'reward':{'coin':1000,'item036':10},
            'country':[0,1,2],</v>
      </c>
    </row>
    <row r="16" ht="14.25" customHeight="1" spans="1:24">
      <c r="A16" s="17">
        <v>48</v>
      </c>
      <c r="B16" s="17">
        <f>VLOOKUP(表1_861218[[#This Row],[区服]],$O$26:$P$33,2,FALSE)</f>
        <v>44</v>
      </c>
      <c r="C16" s="18" t="s">
        <v>56</v>
      </c>
      <c r="D16" s="19" t="str">
        <f>表1_861218[[#This Row],[目标国家]]</f>
        <v>吴</v>
      </c>
      <c r="E16" s="20">
        <f>(VLOOKUP(表1_861218[[#This Row],[目标区服]],$Q$26:$R$29,2,FALSE)-表1_861218[[#This Row],[开服天数]])*配置!$B$1</f>
        <v>1000</v>
      </c>
      <c r="F16" s="20">
        <f>表1_861218[[#This Row],[补偿Coin]]*(表1_861218[[#This Row],[活跃高战玩家数]]+表1_861218[[#This Row],[活跃中坚玩家数]])</f>
        <v>18000</v>
      </c>
      <c r="G16" s="20">
        <f>(VLOOKUP(表1_861218[[#This Row],[目标区服]],$Q$26:$R$29,2,FALSE)-表1_861218[[#This Row],[开服天数]])*配置!$B$2</f>
        <v>10</v>
      </c>
      <c r="H16" s="19" t="s">
        <v>27</v>
      </c>
      <c r="I16" s="19">
        <f>IF(表1_861218[[#This Row],[原国家]]="魏",0,IF(表1_861218[[#This Row],[原国家]]="蜀",1,2))</f>
        <v>2</v>
      </c>
      <c r="J16" s="20">
        <v>3</v>
      </c>
      <c r="K16" s="20">
        <v>133</v>
      </c>
      <c r="L16" s="20">
        <v>3</v>
      </c>
      <c r="M16" s="20">
        <v>15</v>
      </c>
      <c r="N16" s="20">
        <v>86826</v>
      </c>
      <c r="O16" s="20">
        <v>1646380</v>
      </c>
      <c r="P16" s="26">
        <v>11494623</v>
      </c>
      <c r="Q16" s="496" t="s">
        <v>27</v>
      </c>
      <c r="R16" s="19">
        <f>IF(表1_861218[[#This Row],[目标国家]]="魏",0,IF(表1_861218[[#This Row],[目标国家]]="蜀",1,2))</f>
        <v>2</v>
      </c>
      <c r="S16" s="20">
        <v>9648</v>
      </c>
      <c r="T16" s="20">
        <v>0</v>
      </c>
      <c r="U16" s="20">
        <v>192225</v>
      </c>
      <c r="V16" s="20">
        <v>5245</v>
      </c>
      <c r="W16" s="33" t="str">
        <f>"{"&amp;"'coin':"&amp;表1_861218[[#This Row],[补偿Coin]]&amp;",'"&amp;配置!$A$2&amp;"':"&amp;表1_861218[[#This Row],[补偿辎重]]&amp;"},"</f>
        <v>{'coin':1000,'item036':10},</v>
      </c>
      <c r="X16" s="34" t="str">
        <f t="shared" ref="X16" si="2">"      },"</f>
        <v>      },</v>
      </c>
    </row>
    <row r="17" ht="14.25" customHeight="1" spans="1:24">
      <c r="A17" s="17">
        <v>49</v>
      </c>
      <c r="B17" s="17">
        <f>VLOOKUP(表1_861218[[#This Row],[区服]],$O$26:$P$33,2,FALSE)</f>
        <v>43</v>
      </c>
      <c r="C17" s="18" t="s">
        <v>56</v>
      </c>
      <c r="D17" s="19" t="str">
        <f>表1_861218[[#This Row],[目标国家]]</f>
        <v>蜀</v>
      </c>
      <c r="E17" s="20">
        <f>(VLOOKUP(表1_861218[[#This Row],[目标区服]],$Q$26:$R$29,2,FALSE)-表1_861218[[#This Row],[开服天数]])*配置!$B$1</f>
        <v>1500</v>
      </c>
      <c r="F17" s="20">
        <f>表1_861218[[#This Row],[补偿Coin]]*(表1_861218[[#This Row],[活跃高战玩家数]]+表1_861218[[#This Row],[活跃中坚玩家数]])</f>
        <v>30000</v>
      </c>
      <c r="G17" s="20">
        <f>(VLOOKUP(表1_861218[[#This Row],[目标区服]],$Q$26:$R$29,2,FALSE)-表1_861218[[#This Row],[开服天数]])*配置!$B$2</f>
        <v>15</v>
      </c>
      <c r="H17" s="19" t="s">
        <v>25</v>
      </c>
      <c r="I17" s="19">
        <f>IF(表1_861218[[#This Row],[原国家]]="魏",0,IF(表1_861218[[#This Row],[原国家]]="蜀",1,2))</f>
        <v>0</v>
      </c>
      <c r="J17" s="20">
        <v>4</v>
      </c>
      <c r="K17" s="20">
        <v>154</v>
      </c>
      <c r="L17" s="20">
        <v>5</v>
      </c>
      <c r="M17" s="20">
        <v>15</v>
      </c>
      <c r="N17" s="20">
        <v>120566</v>
      </c>
      <c r="O17" s="20">
        <v>2445562</v>
      </c>
      <c r="P17" s="26">
        <v>15030820</v>
      </c>
      <c r="Q17" s="31" t="s">
        <v>26</v>
      </c>
      <c r="R17" s="19">
        <f>IF(表1_861218[[#This Row],[目标国家]]="魏",0,IF(表1_861218[[#This Row],[目标国家]]="蜀",1,2))</f>
        <v>1</v>
      </c>
      <c r="S17" s="20">
        <v>71188</v>
      </c>
      <c r="T17" s="20">
        <v>648</v>
      </c>
      <c r="U17" s="20">
        <v>556933</v>
      </c>
      <c r="V17" s="20">
        <v>8912</v>
      </c>
      <c r="W17" s="33" t="str">
        <f>"{"&amp;"'coin':"&amp;表1_861218[[#This Row],[补偿Coin]]&amp;",'"&amp;配置!$A$2&amp;"':"&amp;表1_861218[[#This Row],[补偿辎重]]&amp;"},"</f>
        <v>{'coin':1500,'item036':15},</v>
      </c>
      <c r="X17" s="34" t="str">
        <f>"      '"&amp;表1_861218[[#This Row],[区服]]&amp;"':{"</f>
        <v>      '49':{</v>
      </c>
    </row>
    <row r="18" ht="14.25" customHeight="1" spans="1:24">
      <c r="A18" s="17">
        <v>49</v>
      </c>
      <c r="B18" s="17">
        <f>VLOOKUP(表1_861218[[#This Row],[区服]],$O$26:$P$33,2,FALSE)</f>
        <v>43</v>
      </c>
      <c r="C18" s="18" t="s">
        <v>56</v>
      </c>
      <c r="D18" s="19" t="str">
        <f>表1_861218[[#This Row],[目标国家]]</f>
        <v>吴</v>
      </c>
      <c r="E18" s="20">
        <f>(VLOOKUP(表1_861218[[#This Row],[目标区服]],$Q$26:$R$29,2,FALSE)-表1_861218[[#This Row],[开服天数]])*配置!$B$1</f>
        <v>1500</v>
      </c>
      <c r="F18" s="20">
        <f>表1_861218[[#This Row],[补偿Coin]]*(表1_861218[[#This Row],[活跃高战玩家数]]+表1_861218[[#This Row],[活跃中坚玩家数]])</f>
        <v>21000</v>
      </c>
      <c r="G18" s="20">
        <f>(VLOOKUP(表1_861218[[#This Row],[目标区服]],$Q$26:$R$29,2,FALSE)-表1_861218[[#This Row],[开服天数]])*配置!$B$2</f>
        <v>15</v>
      </c>
      <c r="H18" s="19" t="s">
        <v>26</v>
      </c>
      <c r="I18" s="19">
        <f>IF(表1_861218[[#This Row],[原国家]]="魏",0,IF(表1_861218[[#This Row],[原国家]]="蜀",1,2))</f>
        <v>1</v>
      </c>
      <c r="J18" s="20">
        <v>3</v>
      </c>
      <c r="K18" s="20">
        <v>147</v>
      </c>
      <c r="L18" s="20">
        <v>3</v>
      </c>
      <c r="M18" s="20">
        <v>11</v>
      </c>
      <c r="N18" s="20">
        <v>60948</v>
      </c>
      <c r="O18" s="20">
        <v>1900297</v>
      </c>
      <c r="P18" s="26">
        <v>7334658</v>
      </c>
      <c r="Q18" s="31" t="s">
        <v>27</v>
      </c>
      <c r="R18" s="19">
        <f>IF(表1_861218[[#This Row],[目标国家]]="魏",0,IF(表1_861218[[#This Row],[目标国家]]="蜀",1,2))</f>
        <v>2</v>
      </c>
      <c r="S18" s="20">
        <v>27138</v>
      </c>
      <c r="T18" s="20">
        <v>0</v>
      </c>
      <c r="U18" s="20">
        <v>246960</v>
      </c>
      <c r="V18" s="20">
        <v>5646</v>
      </c>
      <c r="W18" s="33" t="str">
        <f>"{"&amp;"'coin':"&amp;表1_861218[[#This Row],[补偿Coin]]&amp;",'"&amp;配置!$A$2&amp;"':"&amp;表1_861218[[#This Row],[补偿辎重]]&amp;"},"</f>
        <v>{'coin':1500,'item036':15},</v>
      </c>
      <c r="X18" s="34" t="str">
        <f>"            'to_zone':'"&amp;表1_861218[[#This Row],[目标区服]]&amp;"',
            'reward':"&amp;表1_861218[[#This Row],[辅助导出]]&amp;"
            'country':["&amp;R17&amp;","&amp;R18&amp;","&amp;R19&amp;"],"</f>
        <v>            'to_zone':'h1_19',
            'reward':{'coin':1500,'item036':15},
            'country':[1,2,2],</v>
      </c>
    </row>
    <row r="19" ht="14.25" customHeight="1" spans="1:24">
      <c r="A19" s="17">
        <v>49</v>
      </c>
      <c r="B19" s="17">
        <f>VLOOKUP(表1_861218[[#This Row],[区服]],$O$26:$P$33,2,FALSE)</f>
        <v>43</v>
      </c>
      <c r="C19" s="18" t="s">
        <v>56</v>
      </c>
      <c r="D19" s="19" t="str">
        <f>表1_861218[[#This Row],[目标国家]]</f>
        <v>吴</v>
      </c>
      <c r="E19" s="20">
        <f>(VLOOKUP(表1_861218[[#This Row],[目标区服]],$Q$26:$R$29,2,FALSE)-表1_861218[[#This Row],[开服天数]])*配置!$B$1</f>
        <v>1500</v>
      </c>
      <c r="F19" s="20">
        <f>表1_861218[[#This Row],[补偿Coin]]*(表1_861218[[#This Row],[活跃高战玩家数]]+表1_861218[[#This Row],[活跃中坚玩家数]])</f>
        <v>18000</v>
      </c>
      <c r="G19" s="20">
        <f>(VLOOKUP(表1_861218[[#This Row],[目标区服]],$Q$26:$R$29,2,FALSE)-表1_861218[[#This Row],[开服天数]])*配置!$B$2</f>
        <v>15</v>
      </c>
      <c r="H19" s="19" t="s">
        <v>27</v>
      </c>
      <c r="I19" s="19">
        <f>IF(表1_861218[[#This Row],[原国家]]="魏",0,IF(表1_861218[[#This Row],[原国家]]="蜀",1,2))</f>
        <v>2</v>
      </c>
      <c r="J19" s="20">
        <v>2</v>
      </c>
      <c r="K19" s="20">
        <v>94</v>
      </c>
      <c r="L19" s="20">
        <v>2</v>
      </c>
      <c r="M19" s="20">
        <v>10</v>
      </c>
      <c r="N19" s="20">
        <v>76281</v>
      </c>
      <c r="O19" s="20">
        <v>2077382</v>
      </c>
      <c r="P19" s="26">
        <v>9898735</v>
      </c>
      <c r="Q19" s="31" t="s">
        <v>27</v>
      </c>
      <c r="R19" s="19">
        <f>IF(表1_861218[[#This Row],[目标国家]]="魏",0,IF(表1_861218[[#This Row],[目标国家]]="蜀",1,2))</f>
        <v>2</v>
      </c>
      <c r="S19" s="20">
        <v>48550</v>
      </c>
      <c r="T19" s="20">
        <v>0</v>
      </c>
      <c r="U19" s="20">
        <v>289208</v>
      </c>
      <c r="V19" s="20">
        <v>6189</v>
      </c>
      <c r="W19" s="33" t="str">
        <f>"{"&amp;"'coin':"&amp;表1_861218[[#This Row],[补偿Coin]]&amp;",'"&amp;配置!$A$2&amp;"':"&amp;表1_861218[[#This Row],[补偿辎重]]&amp;"},"</f>
        <v>{'coin':1500,'item036':15},</v>
      </c>
      <c r="X19" s="34" t="str">
        <f t="shared" ref="X19" si="3">"      },"</f>
        <v>      },</v>
      </c>
    </row>
    <row r="20" ht="14.25" customHeight="1" spans="1:24">
      <c r="A20" s="17">
        <v>50</v>
      </c>
      <c r="B20" s="17">
        <f>VLOOKUP(表1_861218[[#This Row],[区服]],$O$26:$P$33,2,FALSE)</f>
        <v>42</v>
      </c>
      <c r="C20" s="18" t="s">
        <v>56</v>
      </c>
      <c r="D20" s="19" t="str">
        <f>表1_861218[[#This Row],[目标国家]]</f>
        <v>魏</v>
      </c>
      <c r="E20" s="20">
        <f>(VLOOKUP(表1_861218[[#This Row],[目标区服]],$Q$26:$R$29,2,FALSE)-表1_861218[[#This Row],[开服天数]])*配置!$B$1</f>
        <v>2000</v>
      </c>
      <c r="F20" s="20">
        <f>表1_861218[[#This Row],[补偿Coin]]*(表1_861218[[#This Row],[活跃高战玩家数]]+表1_861218[[#This Row],[活跃中坚玩家数]])</f>
        <v>26000</v>
      </c>
      <c r="G20" s="20">
        <f>(VLOOKUP(表1_861218[[#This Row],[目标区服]],$Q$26:$R$29,2,FALSE)-表1_861218[[#This Row],[开服天数]])*配置!$B$2</f>
        <v>20</v>
      </c>
      <c r="H20" s="19" t="s">
        <v>25</v>
      </c>
      <c r="I20" s="19">
        <f>IF(表1_861218[[#This Row],[原国家]]="魏",0,IF(表1_861218[[#This Row],[原国家]]="蜀",1,2))</f>
        <v>0</v>
      </c>
      <c r="J20" s="20">
        <v>0</v>
      </c>
      <c r="K20" s="20">
        <v>49</v>
      </c>
      <c r="L20" s="20">
        <v>2</v>
      </c>
      <c r="M20" s="20">
        <v>11</v>
      </c>
      <c r="N20" s="20">
        <v>62489</v>
      </c>
      <c r="O20" s="20">
        <v>1670122</v>
      </c>
      <c r="P20" s="26">
        <v>8129534</v>
      </c>
      <c r="Q20" s="31" t="s">
        <v>25</v>
      </c>
      <c r="R20" s="19">
        <f>IF(表1_861218[[#This Row],[目标国家]]="魏",0,IF(表1_861218[[#This Row],[目标国家]]="蜀",1,2))</f>
        <v>0</v>
      </c>
      <c r="S20" s="20">
        <v>35430</v>
      </c>
      <c r="T20" s="20">
        <v>0</v>
      </c>
      <c r="U20" s="20">
        <v>161345</v>
      </c>
      <c r="V20" s="20">
        <v>4429</v>
      </c>
      <c r="W20" s="33" t="str">
        <f>"{"&amp;"'coin':"&amp;表1_861218[[#This Row],[补偿Coin]]&amp;",'"&amp;配置!$A$2&amp;"':"&amp;表1_861218[[#This Row],[补偿辎重]]&amp;"},"</f>
        <v>{'coin':2000,'item036':20},</v>
      </c>
      <c r="X20" s="34" t="str">
        <f>"      '"&amp;表1_861218[[#This Row],[区服]]&amp;"':{"</f>
        <v>      '50':{</v>
      </c>
    </row>
    <row r="21" ht="14.25" customHeight="1" spans="1:24">
      <c r="A21" s="17">
        <v>50</v>
      </c>
      <c r="B21" s="17">
        <f>VLOOKUP(表1_861218[[#This Row],[区服]],$O$26:$P$33,2,FALSE)</f>
        <v>42</v>
      </c>
      <c r="C21" s="18" t="s">
        <v>56</v>
      </c>
      <c r="D21" s="19" t="str">
        <f>表1_861218[[#This Row],[目标国家]]</f>
        <v>魏</v>
      </c>
      <c r="E21" s="20">
        <f>(VLOOKUP(表1_861218[[#This Row],[目标区服]],$Q$26:$R$29,2,FALSE)-表1_861218[[#This Row],[开服天数]])*配置!$B$1</f>
        <v>2000</v>
      </c>
      <c r="F21" s="20">
        <f>表1_861218[[#This Row],[补偿Coin]]*(表1_861218[[#This Row],[活跃高战玩家数]]+表1_861218[[#This Row],[活跃中坚玩家数]])</f>
        <v>52000</v>
      </c>
      <c r="G21" s="20">
        <f>(VLOOKUP(表1_861218[[#This Row],[目标区服]],$Q$26:$R$29,2,FALSE)-表1_861218[[#This Row],[开服天数]])*配置!$B$2</f>
        <v>20</v>
      </c>
      <c r="H21" s="19" t="s">
        <v>26</v>
      </c>
      <c r="I21" s="19">
        <f>IF(表1_861218[[#This Row],[原国家]]="魏",0,IF(表1_861218[[#This Row],[原国家]]="蜀",1,2))</f>
        <v>1</v>
      </c>
      <c r="J21" s="20">
        <v>9</v>
      </c>
      <c r="K21" s="20">
        <v>281</v>
      </c>
      <c r="L21" s="20">
        <v>7</v>
      </c>
      <c r="M21" s="20">
        <v>19</v>
      </c>
      <c r="N21" s="20">
        <v>153076</v>
      </c>
      <c r="O21" s="20">
        <v>2610614</v>
      </c>
      <c r="P21" s="26">
        <v>21794586</v>
      </c>
      <c r="Q21" s="31" t="s">
        <v>25</v>
      </c>
      <c r="R21" s="19">
        <f>IF(表1_861218[[#This Row],[目标国家]]="魏",0,IF(表1_861218[[#This Row],[目标国家]]="蜀",1,2))</f>
        <v>0</v>
      </c>
      <c r="S21" s="20">
        <v>96136</v>
      </c>
      <c r="T21" s="20">
        <v>806</v>
      </c>
      <c r="U21" s="20">
        <v>432828</v>
      </c>
      <c r="V21" s="20">
        <v>12374</v>
      </c>
      <c r="W21" s="33" t="str">
        <f>"{"&amp;"'coin':"&amp;表1_861218[[#This Row],[补偿Coin]]&amp;",'"&amp;配置!$A$2&amp;"':"&amp;表1_861218[[#This Row],[补偿辎重]]&amp;"},"</f>
        <v>{'coin':2000,'item036':20},</v>
      </c>
      <c r="X21" s="34" t="str">
        <f>"            'to_zone':'"&amp;表1_861218[[#This Row],[目标区服]]&amp;"',
            'reward':"&amp;表1_861218[[#This Row],[辅助导出]]&amp;"
            'country':["&amp;R20&amp;","&amp;R21&amp;","&amp;R22&amp;"],"</f>
        <v>            'to_zone':'h1_19',
            'reward':{'coin':2000,'item036':20},
            'country':[0,0,2],</v>
      </c>
    </row>
    <row r="22" ht="14.25" customHeight="1" spans="1:24">
      <c r="A22" s="17">
        <v>50</v>
      </c>
      <c r="B22" s="17">
        <f>VLOOKUP(表1_861218[[#This Row],[区服]],$O$26:$P$33,2,FALSE)</f>
        <v>42</v>
      </c>
      <c r="C22" s="18" t="s">
        <v>56</v>
      </c>
      <c r="D22" s="19" t="str">
        <f>表1_861218[[#This Row],[目标国家]]</f>
        <v>吴</v>
      </c>
      <c r="E22" s="20">
        <f>(VLOOKUP(表1_861218[[#This Row],[目标区服]],$Q$26:$R$29,2,FALSE)-表1_861218[[#This Row],[开服天数]])*配置!$B$1</f>
        <v>2000</v>
      </c>
      <c r="F22" s="20">
        <f>表1_861218[[#This Row],[补偿Coin]]*(表1_861218[[#This Row],[活跃高战玩家数]]+表1_861218[[#This Row],[活跃中坚玩家数]])</f>
        <v>28000</v>
      </c>
      <c r="G22" s="20">
        <f>(VLOOKUP(表1_861218[[#This Row],[目标区服]],$Q$26:$R$29,2,FALSE)-表1_861218[[#This Row],[开服天数]])*配置!$B$2</f>
        <v>20</v>
      </c>
      <c r="H22" s="19" t="s">
        <v>27</v>
      </c>
      <c r="I22" s="19">
        <f>IF(表1_861218[[#This Row],[原国家]]="魏",0,IF(表1_861218[[#This Row],[原国家]]="蜀",1,2))</f>
        <v>2</v>
      </c>
      <c r="J22" s="20">
        <v>0</v>
      </c>
      <c r="K22" s="20">
        <v>65</v>
      </c>
      <c r="L22" s="20">
        <v>0</v>
      </c>
      <c r="M22" s="20">
        <v>14</v>
      </c>
      <c r="N22" s="20">
        <v>49746</v>
      </c>
      <c r="O22" s="20">
        <v>944368</v>
      </c>
      <c r="P22" s="26">
        <v>5697367</v>
      </c>
      <c r="Q22" s="31" t="s">
        <v>27</v>
      </c>
      <c r="R22" s="19">
        <f>IF(表1_861218[[#This Row],[目标国家]]="魏",0,IF(表1_861218[[#This Row],[目标国家]]="蜀",1,2))</f>
        <v>2</v>
      </c>
      <c r="S22" s="20">
        <v>4074</v>
      </c>
      <c r="T22" s="20">
        <v>0</v>
      </c>
      <c r="U22" s="20">
        <v>136175</v>
      </c>
      <c r="V22" s="20">
        <v>2603</v>
      </c>
      <c r="W22" s="33" t="str">
        <f>"{"&amp;"'coin':"&amp;表1_861218[[#This Row],[补偿Coin]]&amp;",'"&amp;配置!$A$2&amp;"':"&amp;表1_861218[[#This Row],[补偿辎重]]&amp;"},"</f>
        <v>{'coin':2000,'item036':20},</v>
      </c>
      <c r="X22" s="34" t="str">
        <f t="shared" ref="X22" si="4">"      },"</f>
        <v>      },</v>
      </c>
    </row>
    <row r="25" ht="37.5" customHeight="1" spans="1:18">
      <c r="A25" s="36" t="s">
        <v>28</v>
      </c>
      <c r="B25" s="37" t="s">
        <v>29</v>
      </c>
      <c r="C25" s="38" t="s">
        <v>30</v>
      </c>
      <c r="D25" s="38" t="s">
        <v>31</v>
      </c>
      <c r="E25" s="38" t="s">
        <v>32</v>
      </c>
      <c r="F25" s="38" t="s">
        <v>33</v>
      </c>
      <c r="G25" s="38" t="s">
        <v>15</v>
      </c>
      <c r="H25" s="37" t="s">
        <v>18</v>
      </c>
      <c r="I25" s="37" t="s">
        <v>19</v>
      </c>
      <c r="J25" s="37" t="s">
        <v>34</v>
      </c>
      <c r="K25" s="38" t="s">
        <v>35</v>
      </c>
      <c r="L25" s="38" t="s">
        <v>36</v>
      </c>
      <c r="M25" s="38" t="s">
        <v>37</v>
      </c>
      <c r="O25" s="51" t="s">
        <v>0</v>
      </c>
      <c r="P25" s="51" t="s">
        <v>1</v>
      </c>
      <c r="Q25" s="51"/>
      <c r="R25" s="51" t="s">
        <v>38</v>
      </c>
    </row>
    <row r="26" ht="15" spans="1:18">
      <c r="A26" s="39" t="s">
        <v>54</v>
      </c>
      <c r="B26" s="39" t="s">
        <v>25</v>
      </c>
      <c r="C26" s="39">
        <f>COUNTIFS(表1_861218[目标区服],表2_971319[[#This Row],[合区区服]],表1_861218[目标国家（映射）],表2_971319[[#This Row],[国家]])</f>
        <v>2</v>
      </c>
      <c r="D26" s="39">
        <f>SUMIFS(表1_861218[活跃高战玩家数],表1_861218[目标区服],表2_971319[[#This Row],[合区区服]],表1_861218[目标国家（映射）],表2_971319[[#This Row],[国家]])</f>
        <v>6</v>
      </c>
      <c r="E26" s="39">
        <f>SUMIFS(表1_861218[活跃中坚玩家数],表1_861218[目标区服],表2_971319[[#This Row],[合区区服]],表1_861218[目标国家（映射）],表2_971319[[#This Row],[国家]])</f>
        <v>48</v>
      </c>
      <c r="F26" s="39">
        <f t="array" ref="F26">MAX((表1_861218[目标区服]=表2_971319[[#This Row],[合区区服]])*(表1_861218[目标国家（映射）]=表2_971319[[#This Row],[国家]])*表1_861218[活跃尖端战力])</f>
        <v>2851449</v>
      </c>
      <c r="G26" s="40">
        <f>SUMIFS(表1_861218[活跃总战力],表1_861218[目标区服],表2_971319[[#This Row],[合区区服]],表1_861218[目标国家（映射）],表2_971319[[#This Row],[国家]])</f>
        <v>44847030</v>
      </c>
      <c r="H26" s="39">
        <f>SUMIFS(表1_861218[活跃实际充值],表1_861218[目标区服],表2_971319[[#This Row],[合区区服]],表1_861218[目标国家（映射）],表2_971319[[#This Row],[国家]])</f>
        <v>135984</v>
      </c>
      <c r="I26" s="39">
        <f>SUMIFS(表1_861218[活跃虚拟充值],表1_861218[目标区服],表2_971319[[#This Row],[合区区服]],表1_861218[目标国家（映射）],表2_971319[[#This Row],[国家]])</f>
        <v>96</v>
      </c>
      <c r="J26" s="39">
        <f>SUMIFS(表1_861218[活跃Coin],表1_861218[目标区服],表2_971319[[#This Row],[合区区服]],表1_861218[目标国家（映射）],表2_971319[[#This Row],[国家]])</f>
        <v>597907</v>
      </c>
      <c r="K26" s="39">
        <f>SUMIFS(表1_861218[共计补偿Coin],表1_861218[目标区服],表2_971319[[#This Row],[合区区服]],表1_861218[目标国家（映射）],表2_971319[[#This Row],[国家]])</f>
        <v>80000</v>
      </c>
      <c r="L26" s="39">
        <f>表2_971319[[#This Row],[活跃Coin]]+表2_971319[[#This Row],[共计补偿Coin]]</f>
        <v>677907</v>
      </c>
      <c r="M26" s="39">
        <f>SUMIFS(表1_861218[综合国力],表1_861218[目标区服],表2_971319[[#This Row],[合区区服]],表1_861218[目标国家（映射）],表2_971319[[#This Row],[国家]])</f>
        <v>18706</v>
      </c>
      <c r="O26" s="51">
        <v>44</v>
      </c>
      <c r="P26" s="51">
        <v>52</v>
      </c>
      <c r="Q26" s="51" t="s">
        <v>54</v>
      </c>
      <c r="R26" s="51">
        <v>54</v>
      </c>
    </row>
    <row r="27" ht="15" spans="1:18">
      <c r="A27" s="39" t="s">
        <v>54</v>
      </c>
      <c r="B27" s="39" t="s">
        <v>26</v>
      </c>
      <c r="C27" s="39">
        <f>COUNTIFS(表1_861218[目标区服],表2_971319[[#This Row],[合区区服]],表1_861218[目标国家（映射）],表2_971319[[#This Row],[国家]])</f>
        <v>2</v>
      </c>
      <c r="D27" s="39">
        <f>SUMIFS(表1_861218[活跃高战玩家数],表1_861218[目标区服],表2_971319[[#This Row],[合区区服]],表1_861218[目标国家（映射）],表2_971319[[#This Row],[国家]])</f>
        <v>4</v>
      </c>
      <c r="E27" s="39">
        <f>SUMIFS(表1_861218[活跃中坚玩家数],表1_861218[目标区服],表2_971319[[#This Row],[合区区服]],表1_861218[目标国家（映射）],表2_971319[[#This Row],[国家]])</f>
        <v>39</v>
      </c>
      <c r="F27" s="39">
        <f t="array" ref="F27">MAX((表1_861218[目标区服]=表2_971319[[#This Row],[合区区服]])*(表1_861218[目标国家（映射）]=表2_971319[[#This Row],[国家]])*表1_861218[活跃尖端战力])</f>
        <v>2806121</v>
      </c>
      <c r="G27" s="40">
        <f>SUMIFS(表1_861218[活跃总战力],表1_861218[目标区服],表2_971319[[#This Row],[合区区服]],表1_861218[目标国家（映射）],表2_971319[[#This Row],[国家]])</f>
        <v>36679563</v>
      </c>
      <c r="H27" s="39">
        <f>SUMIFS(表1_861218[活跃实际充值],表1_861218[目标区服],表2_971319[[#This Row],[合区区服]],表1_861218[目标国家（映射）],表2_971319[[#This Row],[国家]])</f>
        <v>146324</v>
      </c>
      <c r="I27" s="39">
        <f>SUMIFS(表1_861218[活跃虚拟充值],表1_861218[目标区服],表2_971319[[#This Row],[合区区服]],表1_861218[目标国家（映射）],表2_971319[[#This Row],[国家]])</f>
        <v>0</v>
      </c>
      <c r="J27" s="39">
        <f>SUMIFS(表1_861218[活跃Coin],表1_861218[目标区服],表2_971319[[#This Row],[合区区服]],表1_861218[目标国家（映射）],表2_971319[[#This Row],[国家]])</f>
        <v>521145</v>
      </c>
      <c r="K27" s="39">
        <f>SUMIFS(表1_861218[共计补偿Coin],表1_861218[目标区服],表2_971319[[#This Row],[合区区服]],表1_861218[目标国家（映射）],表2_971319[[#This Row],[国家]])</f>
        <v>64000</v>
      </c>
      <c r="L27" s="39">
        <f>表2_971319[[#This Row],[活跃Coin]]+表2_971319[[#This Row],[共计补偿Coin]]</f>
        <v>585145</v>
      </c>
      <c r="M27" s="39">
        <f>SUMIFS(表1_861218[综合国力],表1_861218[目标区服],表2_971319[[#This Row],[合区区服]],表1_861218[目标国家（映射）],表2_971319[[#This Row],[国家]])</f>
        <v>17833</v>
      </c>
      <c r="O27" s="51">
        <v>45</v>
      </c>
      <c r="P27" s="51">
        <v>50</v>
      </c>
      <c r="Q27" s="51" t="s">
        <v>55</v>
      </c>
      <c r="R27" s="51">
        <v>50</v>
      </c>
    </row>
    <row r="28" ht="15" spans="1:18">
      <c r="A28" s="39" t="s">
        <v>54</v>
      </c>
      <c r="B28" s="39" t="s">
        <v>27</v>
      </c>
      <c r="C28" s="39">
        <f>COUNTIFS(表1_861218[目标区服],表2_971319[[#This Row],[合区区服]],表1_861218[目标国家（映射）],表2_971319[[#This Row],[国家]])</f>
        <v>2</v>
      </c>
      <c r="D28" s="39">
        <f>SUMIFS(表1_861218[活跃高战玩家数],表1_861218[目标区服],表2_971319[[#This Row],[合区区服]],表1_861218[目标国家（映射）],表2_971319[[#This Row],[国家]])</f>
        <v>8</v>
      </c>
      <c r="E28" s="39">
        <f>SUMIFS(表1_861218[活跃中坚玩家数],表1_861218[目标区服],表2_971319[[#This Row],[合区区服]],表1_861218[目标国家（映射）],表2_971319[[#This Row],[国家]])</f>
        <v>30</v>
      </c>
      <c r="F28" s="39">
        <f t="array" ref="F28">MAX((表1_861218[目标区服]=表2_971319[[#This Row],[合区区服]])*(表1_861218[目标国家（映射）]=表2_971319[[#This Row],[国家]])*表1_861218[活跃尖端战力])</f>
        <v>2728020</v>
      </c>
      <c r="G28" s="40">
        <f>SUMIFS(表1_861218[活跃总战力],表1_861218[目标区服],表2_971319[[#This Row],[合区区服]],表1_861218[目标国家（映射）],表2_971319[[#This Row],[国家]])</f>
        <v>36493544</v>
      </c>
      <c r="H28" s="39">
        <f>SUMIFS(表1_861218[活跃实际充值],表1_861218[目标区服],表2_971319[[#This Row],[合区区服]],表1_861218[目标国家（映射）],表2_971319[[#This Row],[国家]])</f>
        <v>143590</v>
      </c>
      <c r="I28" s="39">
        <f>SUMIFS(表1_861218[活跃虚拟充值],表1_861218[目标区服],表2_971319[[#This Row],[合区区服]],表1_861218[目标国家（映射）],表2_971319[[#This Row],[国家]])</f>
        <v>0</v>
      </c>
      <c r="J28" s="39">
        <f>SUMIFS(表1_861218[活跃Coin],表1_861218[目标区服],表2_971319[[#This Row],[合区区服]],表1_861218[目标国家（映射）],表2_971319[[#This Row],[国家]])</f>
        <v>607105</v>
      </c>
      <c r="K28" s="39">
        <f>SUMIFS(表1_861218[共计补偿Coin],表1_861218[目标区服],表2_971319[[#This Row],[合区区服]],表1_861218[目标国家（映射）],表2_971319[[#This Row],[国家]])</f>
        <v>57000</v>
      </c>
      <c r="L28" s="39">
        <f>表2_971319[[#This Row],[活跃Coin]]+表2_971319[[#This Row],[共计补偿Coin]]</f>
        <v>664105</v>
      </c>
      <c r="M28" s="39">
        <f>SUMIFS(表1_861218[综合国力],表1_861218[目标区服],表2_971319[[#This Row],[合区区服]],表1_861218[目标国家（映射）],表2_971319[[#This Row],[国家]])</f>
        <v>17529</v>
      </c>
      <c r="O28" s="51">
        <v>46</v>
      </c>
      <c r="P28" s="51">
        <v>48</v>
      </c>
      <c r="Q28" s="51" t="s">
        <v>56</v>
      </c>
      <c r="R28" s="51">
        <v>46</v>
      </c>
    </row>
    <row r="29" ht="15" spans="1:18">
      <c r="A29" s="41" t="s">
        <v>55</v>
      </c>
      <c r="B29" s="41" t="s">
        <v>25</v>
      </c>
      <c r="C29" s="41">
        <f>COUNTIFS(表1_861218[目标区服],表2_971319[[#This Row],[合区区服]],表1_861218[目标国家（映射）],表2_971319[[#This Row],[国家]])</f>
        <v>3</v>
      </c>
      <c r="D29" s="41">
        <f>SUMIFS(表1_861218[活跃高战玩家数],表1_861218[目标区服],表2_971319[[#This Row],[合区区服]],表1_861218[目标国家（映射）],表2_971319[[#This Row],[国家]])</f>
        <v>8</v>
      </c>
      <c r="E29" s="41">
        <f>SUMIFS(表1_861218[活跃中坚玩家数],表1_861218[目标区服],表2_971319[[#This Row],[合区区服]],表1_861218[目标国家（映射）],表2_971319[[#This Row],[国家]])</f>
        <v>52</v>
      </c>
      <c r="F29" s="41">
        <f t="array" ref="F29">MAX((表1_861218[目标区服]=表2_971319[[#This Row],[合区区服]])*(表1_861218[目标国家（映射）]=表2_971319[[#This Row],[国家]])*表1_861218[活跃尖端战力])</f>
        <v>2917674</v>
      </c>
      <c r="G29" s="42">
        <f>SUMIFS(表1_861218[活跃总战力],表1_861218[目标区服],表2_971319[[#This Row],[合区区服]],表1_861218[目标国家（映射）],表2_971319[[#This Row],[国家]])</f>
        <v>46790823</v>
      </c>
      <c r="H29" s="41">
        <f>SUMIFS(表1_861218[活跃实际充值],表1_861218[目标区服],表2_971319[[#This Row],[合区区服]],表1_861218[目标国家（映射）],表2_971319[[#This Row],[国家]])</f>
        <v>176972</v>
      </c>
      <c r="I29" s="41">
        <f>SUMIFS(表1_861218[活跃虚拟充值],表1_861218[目标区服],表2_971319[[#This Row],[合区区服]],表1_861218[目标国家（映射）],表2_971319[[#This Row],[国家]])</f>
        <v>134</v>
      </c>
      <c r="J29" s="41">
        <f>SUMIFS(表1_861218[活跃Coin],表1_861218[目标区服],表2_971319[[#This Row],[合区区服]],表1_861218[目标国家（映射）],表2_971319[[#This Row],[国家]])</f>
        <v>797226</v>
      </c>
      <c r="K29" s="41">
        <f>SUMIFS(表1_861218[共计补偿Coin],表1_861218[目标区服],表2_971319[[#This Row],[合区区服]],表1_861218[目标国家（映射）],表2_971319[[#This Row],[国家]])</f>
        <v>102000</v>
      </c>
      <c r="L29" s="41">
        <f>表2_971319[[#This Row],[活跃Coin]]+表2_971319[[#This Row],[共计补偿Coin]]</f>
        <v>899226</v>
      </c>
      <c r="M29" s="41">
        <f>SUMIFS(表1_861218[综合国力],表1_861218[目标区服],表2_971319[[#This Row],[合区区服]],表1_861218[目标国家（映射）],表2_971319[[#This Row],[国家]])</f>
        <v>23243</v>
      </c>
      <c r="O29" s="51">
        <v>47</v>
      </c>
      <c r="P29" s="51">
        <v>46</v>
      </c>
      <c r="Q29" s="51" t="s">
        <v>57</v>
      </c>
      <c r="R29" s="51">
        <v>34</v>
      </c>
    </row>
    <row r="30" ht="15" spans="1:16">
      <c r="A30" s="41" t="s">
        <v>55</v>
      </c>
      <c r="B30" s="41" t="s">
        <v>26</v>
      </c>
      <c r="C30" s="41">
        <f>COUNTIFS(表1_861218[目标区服],表2_971319[[#This Row],[合区区服]],表1_861218[目标国家（映射）],表2_971319[[#This Row],[国家]])</f>
        <v>1</v>
      </c>
      <c r="D30" s="41">
        <f>SUMIFS(表1_861218[活跃高战玩家数],表1_861218[目标区服],表2_971319[[#This Row],[合区区服]],表1_861218[目标国家（映射）],表2_971319[[#This Row],[国家]])</f>
        <v>7</v>
      </c>
      <c r="E30" s="41">
        <f>SUMIFS(表1_861218[活跃中坚玩家数],表1_861218[目标区服],表2_971319[[#This Row],[合区区服]],表1_861218[目标国家（映射）],表2_971319[[#This Row],[国家]])</f>
        <v>33</v>
      </c>
      <c r="F30" s="41">
        <f t="array" ref="F30">MAX((表1_861218[目标区服]=表2_971319[[#This Row],[合区区服]])*(表1_861218[目标国家（映射）]=表2_971319[[#This Row],[国家]])*表1_861218[活跃尖端战力])</f>
        <v>3741788</v>
      </c>
      <c r="G30" s="42">
        <f>SUMIFS(表1_861218[活跃总战力],表1_861218[目标区服],表2_971319[[#This Row],[合区区服]],表1_861218[目标国家（映射）],表2_971319[[#This Row],[国家]])</f>
        <v>38399998</v>
      </c>
      <c r="H30" s="41">
        <f>SUMIFS(表1_861218[活跃实际充值],表1_861218[目标区服],表2_971319[[#This Row],[合区区服]],表1_861218[目标国家（映射）],表2_971319[[#This Row],[国家]])</f>
        <v>278706</v>
      </c>
      <c r="I30" s="41">
        <f>SUMIFS(表1_861218[活跃虚拟充值],表1_861218[目标区服],表2_971319[[#This Row],[合区区服]],表1_861218[目标国家（映射）],表2_971319[[#This Row],[国家]])</f>
        <v>0</v>
      </c>
      <c r="J30" s="41">
        <f>SUMIFS(表1_861218[活跃Coin],表1_861218[目标区服],表2_971319[[#This Row],[合区区服]],表1_861218[目标国家（映射）],表2_971319[[#This Row],[国家]])</f>
        <v>774583</v>
      </c>
      <c r="K30" s="41">
        <f>SUMIFS(表1_861218[共计补偿Coin],表1_861218[目标区服],表2_971319[[#This Row],[合区区服]],表1_861218[目标国家（映射）],表2_971319[[#This Row],[国家]])</f>
        <v>40000</v>
      </c>
      <c r="L30" s="41">
        <f>表2_971319[[#This Row],[活跃Coin]]+表2_971319[[#This Row],[共计补偿Coin]]</f>
        <v>814583</v>
      </c>
      <c r="M30" s="41">
        <f>SUMIFS(表1_861218[综合国力],表1_861218[目标区服],表2_971319[[#This Row],[合区区服]],表1_861218[目标国家（映射）],表2_971319[[#This Row],[国家]])</f>
        <v>20626</v>
      </c>
      <c r="O30" s="51">
        <v>48</v>
      </c>
      <c r="P30" s="51">
        <v>44</v>
      </c>
    </row>
    <row r="31" ht="15" spans="1:16">
      <c r="A31" s="41" t="s">
        <v>55</v>
      </c>
      <c r="B31" s="43" t="s">
        <v>27</v>
      </c>
      <c r="C31" s="43">
        <f>COUNTIFS(表1_861218[目标区服],表2_971319[[#This Row],[合区区服]],表1_861218[目标国家（映射）],表2_971319[[#This Row],[国家]])</f>
        <v>2</v>
      </c>
      <c r="D31" s="43">
        <f>SUMIFS(表1_861218[活跃高战玩家数],表1_861218[目标区服],表2_971319[[#This Row],[合区区服]],表1_861218[目标国家（映射）],表2_971319[[#This Row],[国家]])</f>
        <v>5</v>
      </c>
      <c r="E31" s="43">
        <f>SUMIFS(表1_861218[活跃中坚玩家数],表1_861218[目标区服],表2_971319[[#This Row],[合区区服]],表1_861218[目标国家（映射）],表2_971319[[#This Row],[国家]])</f>
        <v>55</v>
      </c>
      <c r="F31" s="43">
        <f t="array" ref="F31">MAX((表1_861218[目标区服]=表2_971319[[#This Row],[合区区服]])*(表1_861218[目标国家（映射）]=表2_971319[[#This Row],[国家]])*表1_861218[活跃尖端战力])</f>
        <v>2899778</v>
      </c>
      <c r="G31" s="44">
        <f>SUMIFS(表1_861218[活跃总战力],表1_861218[目标区服],表2_971319[[#This Row],[合区区服]],表1_861218[目标国家（映射）],表2_971319[[#This Row],[国家]])</f>
        <v>44857016</v>
      </c>
      <c r="H31" s="43">
        <f>SUMIFS(表1_861218[活跃实际充值],表1_861218[目标区服],表2_971319[[#This Row],[合区区服]],表1_861218[目标国家（映射）],表2_971319[[#This Row],[国家]])</f>
        <v>148034</v>
      </c>
      <c r="I31" s="43">
        <f>SUMIFS(表1_861218[活跃虚拟充值],表1_861218[目标区服],表2_971319[[#This Row],[合区区服]],表1_861218[目标国家（映射）],表2_971319[[#This Row],[国家]])</f>
        <v>68</v>
      </c>
      <c r="J31" s="43">
        <f>SUMIFS(表1_861218[活跃Coin],表1_861218[目标区服],表2_971319[[#This Row],[合区区服]],表1_861218[目标国家（映射）],表2_971319[[#This Row],[国家]])</f>
        <v>570687</v>
      </c>
      <c r="K31" s="43">
        <f>SUMIFS(表1_861218[共计补偿Coin],表1_861218[目标区服],表2_971319[[#This Row],[合区区服]],表1_861218[目标国家（映射）],表2_971319[[#This Row],[国家]])</f>
        <v>93000</v>
      </c>
      <c r="L31" s="43">
        <f>表2_971319[[#This Row],[活跃Coin]]+表2_971319[[#This Row],[共计补偿Coin]]</f>
        <v>663687</v>
      </c>
      <c r="M31" s="43">
        <f>SUMIFS(表1_861218[综合国力],表1_861218[目标区服],表2_971319[[#This Row],[合区区服]],表1_861218[目标国家（映射）],表2_971319[[#This Row],[国家]])</f>
        <v>17532</v>
      </c>
      <c r="O31" s="51">
        <v>49</v>
      </c>
      <c r="P31" s="51">
        <v>43</v>
      </c>
    </row>
    <row r="32" ht="15" spans="1:16">
      <c r="A32" s="45" t="s">
        <v>56</v>
      </c>
      <c r="B32" s="46" t="s">
        <v>25</v>
      </c>
      <c r="C32" s="46">
        <f>COUNTIFS(表1_861218[目标区服],表2_971319[[#This Row],[合区区服]],表1_861218[目标国家（映射）],表2_971319[[#This Row],[国家]])</f>
        <v>3</v>
      </c>
      <c r="D32" s="46">
        <f>SUMIFS(表1_861218[活跃高战玩家数],表1_861218[目标区服],表2_971319[[#This Row],[合区区服]],表1_861218[目标国家（映射）],表2_971319[[#This Row],[国家]])</f>
        <v>11</v>
      </c>
      <c r="E32" s="46">
        <f>SUMIFS(表1_861218[活跃中坚玩家数],表1_861218[目标区服],表2_971319[[#This Row],[合区区服]],表1_861218[目标国家（映射）],表2_971319[[#This Row],[国家]])</f>
        <v>42</v>
      </c>
      <c r="F32" s="46">
        <f t="array" ref="F32">MAX((表1_861218[目标区服]=表2_971319[[#This Row],[合区区服]])*(表1_861218[目标国家（映射）]=表2_971319[[#This Row],[国家]])*表1_861218[活跃尖端战力])</f>
        <v>2610614</v>
      </c>
      <c r="G32" s="47">
        <f>SUMIFS(表1_861218[活跃总战力],表1_861218[目标区服],表2_971319[[#This Row],[合区区服]],表1_861218[目标国家（映射）],表2_971319[[#This Row],[国家]])</f>
        <v>37951726</v>
      </c>
      <c r="H32" s="46">
        <f>SUMIFS(表1_861218[活跃实际充值],表1_861218[目标区服],表2_971319[[#This Row],[合区区服]],表1_861218[目标国家（映射）],表2_971319[[#This Row],[国家]])</f>
        <v>145286</v>
      </c>
      <c r="I32" s="46">
        <f>SUMIFS(表1_861218[活跃虚拟充值],表1_861218[目标区服],表2_971319[[#This Row],[合区区服]],表1_861218[目标国家（映射）],表2_971319[[#This Row],[国家]])</f>
        <v>806</v>
      </c>
      <c r="J32" s="46">
        <f>SUMIFS(表1_861218[活跃Coin],表1_861218[目标区服],表2_971319[[#This Row],[合区区服]],表1_861218[目标国家（映射）],表2_971319[[#This Row],[国家]])</f>
        <v>663261</v>
      </c>
      <c r="K32" s="46">
        <f>SUMIFS(表1_861218[共计补偿Coin],表1_861218[目标区服],表2_971319[[#This Row],[合区区服]],表1_861218[目标国家（映射）],表2_971319[[#This Row],[国家]])</f>
        <v>92000</v>
      </c>
      <c r="L32" s="46">
        <f>表2_971319[[#This Row],[活跃Coin]]+表2_971319[[#This Row],[共计补偿Coin]]</f>
        <v>755261</v>
      </c>
      <c r="M32" s="46">
        <f>SUMIFS(表1_861218[综合国力],表1_861218[目标区服],表2_971319[[#This Row],[合区区服]],表1_861218[目标国家（映射）],表2_971319[[#This Row],[国家]])</f>
        <v>20377</v>
      </c>
      <c r="O32" s="51">
        <v>50</v>
      </c>
      <c r="P32" s="51">
        <v>42</v>
      </c>
    </row>
    <row r="33" ht="15" spans="1:16">
      <c r="A33" s="45" t="s">
        <v>56</v>
      </c>
      <c r="B33" s="46" t="s">
        <v>26</v>
      </c>
      <c r="C33" s="46">
        <f>COUNTIFS(表1_861218[目标区服],表2_971319[[#This Row],[合区区服]],表1_861218[目标国家（映射）],表2_971319[[#This Row],[国家]])</f>
        <v>2</v>
      </c>
      <c r="D33" s="46">
        <f>SUMIFS(表1_861218[活跃高战玩家数],表1_861218[目标区服],表2_971319[[#This Row],[合区区服]],表1_861218[目标国家（映射）],表2_971319[[#This Row],[国家]])</f>
        <v>10</v>
      </c>
      <c r="E33" s="46">
        <f>SUMIFS(表1_861218[活跃中坚玩家数],表1_861218[目标区服],表2_971319[[#This Row],[合区区服]],表1_861218[目标国家（映射）],表2_971319[[#This Row],[国家]])</f>
        <v>32</v>
      </c>
      <c r="F33" s="46">
        <f t="array" ref="F33">MAX((表1_861218[目标区服]=表2_971319[[#This Row],[合区区服]])*(表1_861218[目标国家（映射）]=表2_971319[[#This Row],[国家]])*表1_861218[活跃尖端战力])</f>
        <v>2445562</v>
      </c>
      <c r="G33" s="47">
        <f>SUMIFS(表1_861218[活跃总战力],表1_861218[目标区服],表2_971319[[#This Row],[合区区服]],表1_861218[目标国家（映射）],表2_971319[[#This Row],[国家]])</f>
        <v>31742077</v>
      </c>
      <c r="H33" s="46">
        <f>SUMIFS(表1_861218[活跃实际充值],表1_861218[目标区服],表2_971319[[#This Row],[合区区服]],表1_861218[目标国家（映射）],表2_971319[[#This Row],[国家]])</f>
        <v>114424</v>
      </c>
      <c r="I33" s="46">
        <f>SUMIFS(表1_861218[活跃虚拟充值],表1_861218[目标区服],表2_971319[[#This Row],[合区区服]],表1_861218[目标国家（映射）],表2_971319[[#This Row],[国家]])</f>
        <v>648</v>
      </c>
      <c r="J33" s="46">
        <f>SUMIFS(表1_861218[活跃Coin],表1_861218[目标区服],表2_971319[[#This Row],[合区区服]],表1_861218[目标国家（映射）],表2_971319[[#This Row],[国家]])</f>
        <v>896219</v>
      </c>
      <c r="K33" s="46">
        <f>SUMIFS(表1_861218[共计补偿Coin],表1_861218[目标区服],表2_971319[[#This Row],[合区区服]],表1_861218[目标国家（映射）],表2_971319[[#This Row],[国家]])</f>
        <v>52000</v>
      </c>
      <c r="L33" s="46">
        <f>表2_971319[[#This Row],[活跃Coin]]+表2_971319[[#This Row],[共计补偿Coin]]</f>
        <v>948219</v>
      </c>
      <c r="M33" s="46">
        <f>SUMIFS(表1_861218[综合国力],表1_861218[目标区服],表2_971319[[#This Row],[合区区服]],表1_861218[目标国家（映射）],表2_971319[[#This Row],[国家]])</f>
        <v>17207</v>
      </c>
      <c r="O33" s="51"/>
      <c r="P33" s="51"/>
    </row>
    <row r="34" ht="15" spans="1:13">
      <c r="A34" s="45" t="s">
        <v>56</v>
      </c>
      <c r="B34" s="48" t="s">
        <v>27</v>
      </c>
      <c r="C34" s="48">
        <f>COUNTIFS(表1_861218[目标区服],表2_971319[[#This Row],[合区区服]],表1_861218[目标国家（映射）],表2_971319[[#This Row],[国家]])</f>
        <v>4</v>
      </c>
      <c r="D34" s="48">
        <f>SUMIFS(表1_861218[活跃高战玩家数],表1_861218[目标区服],表2_971319[[#This Row],[合区区服]],表1_861218[目标国家（映射）],表2_971319[[#This Row],[国家]])</f>
        <v>8</v>
      </c>
      <c r="E34" s="48">
        <f>SUMIFS(表1_861218[活跃中坚玩家数],表1_861218[目标区服],表2_971319[[#This Row],[合区区服]],表1_861218[目标国家（映射）],表2_971319[[#This Row],[国家]])</f>
        <v>50</v>
      </c>
      <c r="F34" s="48">
        <f t="array" ref="F34">MAX((表1_861218[目标区服]=表2_971319[[#This Row],[合区区服]])*(表1_861218[目标国家（映射）]=表2_971319[[#This Row],[国家]])*表1_861218[活跃尖端战力])</f>
        <v>2077382</v>
      </c>
      <c r="G34" s="458">
        <f>SUMIFS(表1_861218[活跃总战力],表1_861218[目标区服],表2_971319[[#This Row],[合区区服]],表1_861218[目标国家（映射）],表2_971319[[#This Row],[国家]])</f>
        <v>34425383</v>
      </c>
      <c r="H34" s="48">
        <f>SUMIFS(表1_861218[活跃实际充值],表1_861218[目标区服],表2_971319[[#This Row],[合区区服]],表1_861218[目标国家（映射）],表2_971319[[#This Row],[国家]])</f>
        <v>89410</v>
      </c>
      <c r="I34" s="48">
        <f>SUMIFS(表1_861218[活跃虚拟充值],表1_861218[目标区服],表2_971319[[#This Row],[合区区服]],表1_861218[目标国家（映射）],表2_971319[[#This Row],[国家]])</f>
        <v>0</v>
      </c>
      <c r="J34" s="48">
        <f>SUMIFS(表1_861218[活跃Coin],表1_861218[目标区服],表2_971319[[#This Row],[合区区服]],表1_861218[目标国家（映射）],表2_971319[[#This Row],[国家]])</f>
        <v>864568</v>
      </c>
      <c r="K34" s="48">
        <f>SUMIFS(表1_861218[共计补偿Coin],表1_861218[目标区服],表2_971319[[#This Row],[合区区服]],表1_861218[目标国家（映射）],表2_971319[[#This Row],[国家]])</f>
        <v>85000</v>
      </c>
      <c r="L34" s="48">
        <f>表2_971319[[#This Row],[活跃Coin]]+表2_971319[[#This Row],[共计补偿Coin]]</f>
        <v>949568</v>
      </c>
      <c r="M34" s="48">
        <f>SUMIFS(表1_861218[综合国力],表1_861218[目标区服],表2_971319[[#This Row],[合区区服]],表1_861218[目标国家（映射）],表2_971319[[#This Row],[国家]])</f>
        <v>19683</v>
      </c>
    </row>
    <row r="40" ht="27" spans="1:12">
      <c r="A40" s="49"/>
      <c r="B40" s="50" t="s">
        <v>9</v>
      </c>
      <c r="C40" s="50" t="s">
        <v>10</v>
      </c>
      <c r="D40" s="50" t="s">
        <v>11</v>
      </c>
      <c r="E40" s="50" t="s">
        <v>12</v>
      </c>
      <c r="F40" s="50" t="s">
        <v>13</v>
      </c>
      <c r="G40" s="50" t="s">
        <v>14</v>
      </c>
      <c r="H40" s="50" t="s">
        <v>15</v>
      </c>
      <c r="I40" s="50" t="s">
        <v>18</v>
      </c>
      <c r="J40" s="50" t="s">
        <v>19</v>
      </c>
      <c r="K40" s="50" t="s">
        <v>20</v>
      </c>
      <c r="L40" s="50" t="s">
        <v>21</v>
      </c>
    </row>
    <row r="41" spans="1:12">
      <c r="A41" s="50" t="s">
        <v>25</v>
      </c>
      <c r="B41" s="50">
        <v>5</v>
      </c>
      <c r="C41" s="50">
        <v>184</v>
      </c>
      <c r="D41" s="50">
        <v>3</v>
      </c>
      <c r="E41" s="50">
        <v>25</v>
      </c>
      <c r="F41" s="50">
        <v>120464</v>
      </c>
      <c r="G41" s="50">
        <v>2851449</v>
      </c>
      <c r="H41" s="50">
        <v>25726744</v>
      </c>
      <c r="I41" s="50">
        <v>96870</v>
      </c>
      <c r="J41" s="50">
        <v>0</v>
      </c>
      <c r="K41" s="50">
        <v>379002</v>
      </c>
      <c r="L41" s="50">
        <v>11462</v>
      </c>
    </row>
    <row r="42" spans="1:12">
      <c r="A42" s="50" t="s">
        <v>26</v>
      </c>
      <c r="B42" s="50">
        <v>1</v>
      </c>
      <c r="C42" s="50">
        <v>112</v>
      </c>
      <c r="D42" s="50">
        <v>1</v>
      </c>
      <c r="E42" s="50">
        <v>21</v>
      </c>
      <c r="F42" s="50">
        <v>76908</v>
      </c>
      <c r="G42" s="50">
        <v>2468436</v>
      </c>
      <c r="H42" s="50">
        <v>18025908</v>
      </c>
      <c r="I42" s="50">
        <v>80160</v>
      </c>
      <c r="J42" s="50">
        <v>0</v>
      </c>
      <c r="K42" s="50">
        <v>163684</v>
      </c>
      <c r="L42" s="50">
        <v>8362</v>
      </c>
    </row>
    <row r="43" spans="1:12">
      <c r="A43" s="50" t="s">
        <v>27</v>
      </c>
      <c r="B43" s="50">
        <v>3</v>
      </c>
      <c r="C43" s="50">
        <v>99</v>
      </c>
      <c r="D43" s="50">
        <v>5</v>
      </c>
      <c r="E43" s="50">
        <v>14</v>
      </c>
      <c r="F43" s="50">
        <v>89295</v>
      </c>
      <c r="G43" s="50">
        <v>2728020</v>
      </c>
      <c r="H43" s="50">
        <v>18484725</v>
      </c>
      <c r="I43" s="50">
        <v>89670</v>
      </c>
      <c r="J43" s="50">
        <v>0</v>
      </c>
      <c r="K43" s="50">
        <v>369100</v>
      </c>
      <c r="L43" s="50">
        <v>9187</v>
      </c>
    </row>
    <row r="44" spans="1:12">
      <c r="A44" s="50" t="s">
        <v>25</v>
      </c>
      <c r="B44" s="50">
        <v>2</v>
      </c>
      <c r="C44" s="50">
        <v>82</v>
      </c>
      <c r="D44" s="50">
        <v>3</v>
      </c>
      <c r="E44" s="50">
        <v>23</v>
      </c>
      <c r="F44" s="50">
        <v>92281</v>
      </c>
      <c r="G44" s="50">
        <v>2567639</v>
      </c>
      <c r="H44" s="50">
        <v>19120286</v>
      </c>
      <c r="I44" s="50">
        <v>39114</v>
      </c>
      <c r="J44" s="50">
        <v>96</v>
      </c>
      <c r="K44" s="50">
        <v>218905</v>
      </c>
      <c r="L44" s="50">
        <v>7244</v>
      </c>
    </row>
    <row r="45" spans="1:12">
      <c r="A45" s="50" t="s">
        <v>26</v>
      </c>
      <c r="B45" s="50">
        <v>4</v>
      </c>
      <c r="C45" s="50">
        <v>180</v>
      </c>
      <c r="D45" s="50">
        <v>3</v>
      </c>
      <c r="E45" s="50">
        <v>18</v>
      </c>
      <c r="F45" s="50">
        <v>87347</v>
      </c>
      <c r="G45" s="50">
        <v>2806121</v>
      </c>
      <c r="H45" s="50">
        <v>18653655</v>
      </c>
      <c r="I45" s="50">
        <v>66164</v>
      </c>
      <c r="J45" s="50">
        <v>0</v>
      </c>
      <c r="K45" s="50">
        <v>357461</v>
      </c>
      <c r="L45" s="50">
        <v>9471</v>
      </c>
    </row>
    <row r="46" spans="1:12">
      <c r="A46" s="50" t="s">
        <v>27</v>
      </c>
      <c r="B46" s="50">
        <v>3</v>
      </c>
      <c r="C46" s="50">
        <v>133</v>
      </c>
      <c r="D46" s="50">
        <v>3</v>
      </c>
      <c r="E46" s="50">
        <v>16</v>
      </c>
      <c r="F46" s="50">
        <v>97158</v>
      </c>
      <c r="G46" s="50">
        <v>2688730</v>
      </c>
      <c r="H46" s="50">
        <v>18008819</v>
      </c>
      <c r="I46" s="50">
        <v>53920</v>
      </c>
      <c r="J46" s="50">
        <v>0</v>
      </c>
      <c r="K46" s="50">
        <v>238005</v>
      </c>
      <c r="L46" s="50">
        <v>8342</v>
      </c>
    </row>
    <row r="47" spans="1:12">
      <c r="A47" s="50" t="s">
        <v>25</v>
      </c>
      <c r="B47" s="50">
        <v>1</v>
      </c>
      <c r="C47" s="50">
        <v>65</v>
      </c>
      <c r="D47" s="50">
        <v>1</v>
      </c>
      <c r="E47" s="50">
        <v>17</v>
      </c>
      <c r="F47" s="50">
        <v>36818</v>
      </c>
      <c r="G47" s="50">
        <v>1955774</v>
      </c>
      <c r="H47" s="50">
        <v>11148722</v>
      </c>
      <c r="I47" s="50">
        <v>49672</v>
      </c>
      <c r="J47" s="50">
        <v>0</v>
      </c>
      <c r="K47" s="50">
        <v>316546</v>
      </c>
      <c r="L47" s="50">
        <v>5653</v>
      </c>
    </row>
    <row r="48" spans="1:12">
      <c r="A48" s="50" t="s">
        <v>26</v>
      </c>
      <c r="B48" s="50">
        <v>7</v>
      </c>
      <c r="C48" s="50">
        <v>273</v>
      </c>
      <c r="D48" s="50">
        <v>7</v>
      </c>
      <c r="E48" s="50">
        <v>33</v>
      </c>
      <c r="F48" s="50">
        <v>173326</v>
      </c>
      <c r="G48" s="50">
        <v>3741788</v>
      </c>
      <c r="H48" s="50">
        <v>38399998</v>
      </c>
      <c r="I48" s="50">
        <v>278706</v>
      </c>
      <c r="J48" s="50">
        <v>0</v>
      </c>
      <c r="K48" s="50">
        <v>774583</v>
      </c>
      <c r="L48" s="50">
        <v>20626</v>
      </c>
    </row>
    <row r="49" spans="1:12">
      <c r="A49" s="50" t="s">
        <v>27</v>
      </c>
      <c r="B49" s="50">
        <v>1</v>
      </c>
      <c r="C49" s="50">
        <v>57</v>
      </c>
      <c r="D49" s="50">
        <v>2</v>
      </c>
      <c r="E49" s="50">
        <v>25</v>
      </c>
      <c r="F49" s="50">
        <v>100968</v>
      </c>
      <c r="G49" s="50">
        <v>2108643</v>
      </c>
      <c r="H49" s="50">
        <v>19650200</v>
      </c>
      <c r="I49" s="50">
        <v>49240</v>
      </c>
      <c r="J49" s="50">
        <v>68</v>
      </c>
      <c r="K49" s="50">
        <v>295618</v>
      </c>
      <c r="L49" s="50">
        <v>6874</v>
      </c>
    </row>
    <row r="50" spans="1:12">
      <c r="A50" s="50" t="s">
        <v>25</v>
      </c>
      <c r="B50" s="50">
        <v>3</v>
      </c>
      <c r="C50" s="50">
        <v>138</v>
      </c>
      <c r="D50" s="50">
        <v>3</v>
      </c>
      <c r="E50" s="50">
        <v>14</v>
      </c>
      <c r="F50" s="50">
        <v>83402</v>
      </c>
      <c r="G50" s="50">
        <v>2917674</v>
      </c>
      <c r="H50" s="50">
        <v>16232838</v>
      </c>
      <c r="I50" s="50">
        <v>51590</v>
      </c>
      <c r="J50" s="50">
        <v>0</v>
      </c>
      <c r="K50" s="50">
        <v>228085</v>
      </c>
      <c r="L50" s="50">
        <v>8299</v>
      </c>
    </row>
    <row r="51" spans="1:12">
      <c r="A51" s="50" t="s">
        <v>26</v>
      </c>
      <c r="B51" s="50">
        <v>3</v>
      </c>
      <c r="C51" s="50">
        <v>132</v>
      </c>
      <c r="D51" s="50">
        <v>4</v>
      </c>
      <c r="E51" s="50">
        <v>21</v>
      </c>
      <c r="F51" s="50">
        <v>88041</v>
      </c>
      <c r="G51" s="50">
        <v>2891621</v>
      </c>
      <c r="H51" s="50">
        <v>19409263</v>
      </c>
      <c r="I51" s="50">
        <v>75710</v>
      </c>
      <c r="J51" s="50">
        <v>134</v>
      </c>
      <c r="K51" s="50">
        <v>252595</v>
      </c>
      <c r="L51" s="50">
        <v>9291</v>
      </c>
    </row>
    <row r="52" spans="1:12">
      <c r="A52" s="50" t="s">
        <v>27</v>
      </c>
      <c r="B52" s="50">
        <v>3</v>
      </c>
      <c r="C52" s="50">
        <v>125</v>
      </c>
      <c r="D52" s="50">
        <v>3</v>
      </c>
      <c r="E52" s="50">
        <v>30</v>
      </c>
      <c r="F52" s="50">
        <v>117363</v>
      </c>
      <c r="G52" s="50">
        <v>2899778</v>
      </c>
      <c r="H52" s="50">
        <v>25206816</v>
      </c>
      <c r="I52" s="50">
        <v>98794</v>
      </c>
      <c r="J52" s="50">
        <v>0</v>
      </c>
      <c r="K52" s="50">
        <v>275069</v>
      </c>
      <c r="L52" s="50">
        <v>10658</v>
      </c>
    </row>
    <row r="53" spans="1:12">
      <c r="A53" s="50" t="s">
        <v>25</v>
      </c>
      <c r="B53" s="50">
        <v>1</v>
      </c>
      <c r="C53" s="50">
        <v>47</v>
      </c>
      <c r="D53" s="50">
        <v>2</v>
      </c>
      <c r="E53" s="50">
        <v>12</v>
      </c>
      <c r="F53" s="50">
        <v>58522</v>
      </c>
      <c r="G53" s="50">
        <v>1462658</v>
      </c>
      <c r="H53" s="50">
        <v>8027606</v>
      </c>
      <c r="I53" s="50">
        <v>13720</v>
      </c>
      <c r="J53" s="50">
        <v>0</v>
      </c>
      <c r="K53" s="50">
        <v>69088</v>
      </c>
      <c r="L53" s="50">
        <v>3574</v>
      </c>
    </row>
    <row r="54" spans="1:12">
      <c r="A54" s="50" t="s">
        <v>26</v>
      </c>
      <c r="B54" s="50">
        <v>5</v>
      </c>
      <c r="C54" s="50">
        <v>215</v>
      </c>
      <c r="D54" s="50">
        <v>5</v>
      </c>
      <c r="E54" s="50">
        <v>17</v>
      </c>
      <c r="F54" s="50">
        <v>127323</v>
      </c>
      <c r="G54" s="50">
        <v>1871083</v>
      </c>
      <c r="H54" s="50">
        <v>16711257</v>
      </c>
      <c r="I54" s="50">
        <v>43236</v>
      </c>
      <c r="J54" s="50">
        <v>0</v>
      </c>
      <c r="K54" s="50">
        <v>339286</v>
      </c>
      <c r="L54" s="50">
        <v>8295</v>
      </c>
    </row>
    <row r="55" spans="1:12">
      <c r="A55" s="50" t="s">
        <v>27</v>
      </c>
      <c r="B55" s="50">
        <v>3</v>
      </c>
      <c r="C55" s="50">
        <v>133</v>
      </c>
      <c r="D55" s="50">
        <v>3</v>
      </c>
      <c r="E55" s="50">
        <v>15</v>
      </c>
      <c r="F55" s="50">
        <v>86826</v>
      </c>
      <c r="G55" s="50">
        <v>1646380</v>
      </c>
      <c r="H55" s="50">
        <v>11494623</v>
      </c>
      <c r="I55" s="50">
        <v>9648</v>
      </c>
      <c r="J55" s="50">
        <v>0</v>
      </c>
      <c r="K55" s="50">
        <v>192225</v>
      </c>
      <c r="L55" s="50">
        <v>5245</v>
      </c>
    </row>
    <row r="56" spans="1:12">
      <c r="A56" s="50" t="s">
        <v>25</v>
      </c>
      <c r="B56" s="50">
        <v>4</v>
      </c>
      <c r="C56" s="50">
        <v>154</v>
      </c>
      <c r="D56" s="50">
        <v>5</v>
      </c>
      <c r="E56" s="50">
        <v>15</v>
      </c>
      <c r="F56" s="50">
        <v>120566</v>
      </c>
      <c r="G56" s="50">
        <v>2445562</v>
      </c>
      <c r="H56" s="50">
        <v>15030820</v>
      </c>
      <c r="I56" s="50">
        <v>71188</v>
      </c>
      <c r="J56" s="50">
        <v>648</v>
      </c>
      <c r="K56" s="50">
        <v>556933</v>
      </c>
      <c r="L56" s="50">
        <v>8912</v>
      </c>
    </row>
    <row r="57" spans="1:12">
      <c r="A57" s="50" t="s">
        <v>26</v>
      </c>
      <c r="B57" s="50">
        <v>3</v>
      </c>
      <c r="C57" s="50">
        <v>147</v>
      </c>
      <c r="D57" s="50">
        <v>3</v>
      </c>
      <c r="E57" s="50">
        <v>11</v>
      </c>
      <c r="F57" s="50">
        <v>60948</v>
      </c>
      <c r="G57" s="50">
        <v>1900297</v>
      </c>
      <c r="H57" s="50">
        <v>7334658</v>
      </c>
      <c r="I57" s="50">
        <v>27138</v>
      </c>
      <c r="J57" s="50">
        <v>0</v>
      </c>
      <c r="K57" s="50">
        <v>246960</v>
      </c>
      <c r="L57" s="50">
        <v>5646</v>
      </c>
    </row>
    <row r="58" spans="1:12">
      <c r="A58" s="50" t="s">
        <v>27</v>
      </c>
      <c r="B58" s="50">
        <v>2</v>
      </c>
      <c r="C58" s="50">
        <v>94</v>
      </c>
      <c r="D58" s="50">
        <v>2</v>
      </c>
      <c r="E58" s="50">
        <v>10</v>
      </c>
      <c r="F58" s="50">
        <v>76281</v>
      </c>
      <c r="G58" s="50">
        <v>2077382</v>
      </c>
      <c r="H58" s="50">
        <v>9898735</v>
      </c>
      <c r="I58" s="50">
        <v>48550</v>
      </c>
      <c r="J58" s="50">
        <v>0</v>
      </c>
      <c r="K58" s="50">
        <v>289208</v>
      </c>
      <c r="L58" s="50">
        <v>6189</v>
      </c>
    </row>
    <row r="59" spans="1:12">
      <c r="A59" s="50" t="s">
        <v>25</v>
      </c>
      <c r="B59" s="50">
        <v>0</v>
      </c>
      <c r="C59" s="50">
        <v>49</v>
      </c>
      <c r="D59" s="50">
        <v>2</v>
      </c>
      <c r="E59" s="50">
        <v>11</v>
      </c>
      <c r="F59" s="50">
        <v>62489</v>
      </c>
      <c r="G59" s="50">
        <v>1670122</v>
      </c>
      <c r="H59" s="50">
        <v>8129534</v>
      </c>
      <c r="I59" s="50">
        <v>35430</v>
      </c>
      <c r="J59" s="50">
        <v>0</v>
      </c>
      <c r="K59" s="50">
        <v>161345</v>
      </c>
      <c r="L59" s="50">
        <v>4429</v>
      </c>
    </row>
    <row r="60" spans="1:12">
      <c r="A60" s="50" t="s">
        <v>26</v>
      </c>
      <c r="B60" s="50">
        <v>9</v>
      </c>
      <c r="C60" s="50">
        <v>281</v>
      </c>
      <c r="D60" s="50">
        <v>7</v>
      </c>
      <c r="E60" s="50">
        <v>19</v>
      </c>
      <c r="F60" s="50">
        <v>153076</v>
      </c>
      <c r="G60" s="50">
        <v>2610614</v>
      </c>
      <c r="H60" s="50">
        <v>21794586</v>
      </c>
      <c r="I60" s="50">
        <v>96136</v>
      </c>
      <c r="J60" s="50">
        <v>806</v>
      </c>
      <c r="K60" s="50">
        <v>432828</v>
      </c>
      <c r="L60" s="50">
        <v>12374</v>
      </c>
    </row>
    <row r="61" spans="1:12">
      <c r="A61" s="50" t="s">
        <v>27</v>
      </c>
      <c r="B61" s="50">
        <v>0</v>
      </c>
      <c r="C61" s="50">
        <v>65</v>
      </c>
      <c r="D61" s="50">
        <v>0</v>
      </c>
      <c r="E61" s="50">
        <v>14</v>
      </c>
      <c r="F61" s="50">
        <v>49746</v>
      </c>
      <c r="G61" s="50">
        <v>944368</v>
      </c>
      <c r="H61" s="50">
        <v>5697367</v>
      </c>
      <c r="I61" s="50">
        <v>4074</v>
      </c>
      <c r="J61" s="50">
        <v>0</v>
      </c>
      <c r="K61" s="50">
        <v>136175</v>
      </c>
      <c r="L61" s="50">
        <v>2603</v>
      </c>
    </row>
  </sheetData>
  <conditionalFormatting sqref="F26:F28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{b636c26d-8d78-4693-af00-0ebcd86209bf}</x14:id>
        </ext>
      </extLst>
    </cfRule>
  </conditionalFormatting>
  <conditionalFormatting sqref="F29:F31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{0ee75dee-3a52-46ae-a324-f0fe100873ba}</x14:id>
        </ext>
      </extLst>
    </cfRule>
  </conditionalFormatting>
  <conditionalFormatting sqref="F32:F34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{96264711-e720-4e64-8a04-9e4380bd1532}</x14:id>
        </ext>
      </extLst>
    </cfRule>
  </conditionalFormatting>
  <conditionalFormatting sqref="G26:G28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{5a9b8492-25ee-48d0-a342-675964ff2ade}</x14:id>
        </ext>
      </extLst>
    </cfRule>
  </conditionalFormatting>
  <conditionalFormatting sqref="G29:G31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{af9eed72-053a-4cc3-b2dd-b05cc0b4d9fb}</x14:id>
        </ext>
      </extLst>
    </cfRule>
  </conditionalFormatting>
  <conditionalFormatting sqref="G32:G34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{f3fa2f7d-9056-43c5-8e4c-7109714686d6}</x14:id>
        </ext>
      </extLst>
    </cfRule>
  </conditionalFormatting>
  <conditionalFormatting sqref="O2:O19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{b7922183-1c08-4649-85b5-4edd7fd21125}</x14:id>
        </ext>
      </extLst>
    </cfRule>
  </conditionalFormatting>
  <conditionalFormatting sqref="O20:O22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{29328fdf-ed82-4865-84bb-fbee103a584c}</x14:id>
        </ext>
      </extLst>
    </cfRule>
  </conditionalFormatting>
  <conditionalFormatting sqref="O26:O33">
    <cfRule type="cellIs" dxfId="37" priority="20" operator="equal">
      <formula>$S$26</formula>
    </cfRule>
  </conditionalFormatting>
  <conditionalFormatting sqref="P2:P19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{04134757-8eba-4b91-b469-63046e8c776d}</x14:id>
        </ext>
      </extLst>
    </cfRule>
  </conditionalFormatting>
  <conditionalFormatting sqref="P20:P2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{7be8f275-f68f-41db-81d4-b439a9ed9ade}</x14:id>
        </ext>
      </extLst>
    </cfRule>
  </conditionalFormatting>
  <conditionalFormatting sqref="Q2:Q19">
    <cfRule type="cellIs" dxfId="38" priority="17" operator="equal">
      <formula>配置!$D$4</formula>
    </cfRule>
    <cfRule type="cellIs" dxfId="39" priority="18" operator="equal">
      <formula>配置!$D$3</formula>
    </cfRule>
    <cfRule type="cellIs" dxfId="37" priority="19" operator="equal">
      <formula>配置!$D$2</formula>
    </cfRule>
  </conditionalFormatting>
  <conditionalFormatting sqref="Q20:Q22">
    <cfRule type="cellIs" dxfId="38" priority="1" operator="equal">
      <formula>配置!$D$4</formula>
    </cfRule>
    <cfRule type="cellIs" dxfId="39" priority="2" operator="equal">
      <formula>配置!$D$3</formula>
    </cfRule>
    <cfRule type="cellIs" dxfId="37" priority="3" operator="equal">
      <formula>配置!$D$2</formula>
    </cfRule>
    <cfRule type="cellIs" dxfId="38" priority="6" operator="equal">
      <formula>配置!$D$4</formula>
    </cfRule>
    <cfRule type="cellIs" dxfId="37" priority="7" operator="equal">
      <formula>配置!$D$2</formula>
    </cfRule>
  </conditionalFormatting>
  <conditionalFormatting sqref="Q26:Q29">
    <cfRule type="cellIs" dxfId="37" priority="21" operator="equal">
      <formula>$S$26</formula>
    </cfRule>
  </conditionalFormatting>
  <conditionalFormatting sqref="O23:O24 Q1:R1 Q2 Q4:Q19">
    <cfRule type="cellIs" dxfId="37" priority="29" operator="equal">
      <formula>配置!$D$2</formula>
    </cfRule>
  </conditionalFormatting>
  <conditionalFormatting sqref="Q2 Q4:Q19">
    <cfRule type="cellIs" dxfId="38" priority="28" operator="equal">
      <formula>配置!$D$4</formula>
    </cfRule>
  </conditionalFormatting>
  <dataValidations count="1">
    <dataValidation type="list" allowBlank="1" showInputMessage="1" showErrorMessage="1" sqref="Q2:Q22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636c26d-8d78-4693-af00-0ebcd86209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0ee75dee-3a52-46ae-a324-f0fe100873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96264711-e720-4e64-8a04-9e4380bd15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5a9b8492-25ee-48d0-a342-675964ff2a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af9eed72-053a-4cc3-b2dd-b05cc0b4d9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f3fa2f7d-9056-43c5-8e4c-7109714686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b7922183-1c08-4649-85b5-4edd7fd211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29328fdf-ed82-4865-84bb-fbee103a58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04134757-8eba-4b91-b469-63046e8c77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7be8f275-f68f-41db-81d4-b439a9ed9a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1"/>
  <sheetViews>
    <sheetView workbookViewId="0">
      <selection activeCell="A1" sqref="$A1:$XFD61"/>
    </sheetView>
  </sheetViews>
  <sheetFormatPr defaultColWidth="9" defaultRowHeight="13.5"/>
  <sheetData>
    <row r="1" s="1" customFormat="1" ht="27.75" spans="1:24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22</v>
      </c>
      <c r="X1" s="22" t="s">
        <v>23</v>
      </c>
    </row>
    <row r="2" s="354" customFormat="1" ht="14.25" customHeight="1" spans="1:24">
      <c r="A2" s="685">
        <v>51</v>
      </c>
      <c r="B2" s="685">
        <f>VLOOKUP(表1_86121816[[#This Row],[区服]],$O$26:$P$33,2,FALSE)</f>
        <v>48</v>
      </c>
      <c r="C2" s="686" t="s">
        <v>57</v>
      </c>
      <c r="D2" s="687" t="str">
        <f>表1_86121816[[#This Row],[目标国家]]</f>
        <v>魏</v>
      </c>
      <c r="E2" s="688">
        <f>(VLOOKUP(表1_86121816[[#This Row],[目标区服]],$Q$26:$R$29,2,FALSE)-表1_86121816[[#This Row],[开服天数]])*配置!$B$1</f>
        <v>1000</v>
      </c>
      <c r="F2" s="688">
        <f>表1_86121816[[#This Row],[补偿Coin]]*(表1_86121816[[#This Row],[活跃高战玩家数]]+表1_86121816[[#This Row],[活跃中坚玩家数]])</f>
        <v>22000</v>
      </c>
      <c r="G2" s="688">
        <f>(VLOOKUP(表1_86121816[[#This Row],[目标区服]],$Q$26:$R$29,2,FALSE)-表1_86121816[[#This Row],[开服天数]])*配置!$B$2</f>
        <v>10</v>
      </c>
      <c r="H2" s="689" t="s">
        <v>25</v>
      </c>
      <c r="I2" s="689">
        <f>IF(表1_86121816[[#This Row],[原国家]]="魏",0,IF(表1_86121816[[#This Row],[原国家]]="蜀",1,2))</f>
        <v>0</v>
      </c>
      <c r="J2" s="691">
        <v>9</v>
      </c>
      <c r="K2" s="691">
        <v>333</v>
      </c>
      <c r="L2" s="691">
        <v>10</v>
      </c>
      <c r="M2" s="691">
        <v>12</v>
      </c>
      <c r="N2" s="691">
        <v>160595</v>
      </c>
      <c r="O2" s="691">
        <v>2956714</v>
      </c>
      <c r="P2" s="693">
        <v>23891878</v>
      </c>
      <c r="Q2" s="696" t="s">
        <v>25</v>
      </c>
      <c r="R2" s="689">
        <f>IF(表1_86121816[[#This Row],[目标国家]]="魏",0,IF(表1_86121816[[#This Row],[目标国家]]="蜀",1,2))</f>
        <v>0</v>
      </c>
      <c r="S2" s="691">
        <v>85906</v>
      </c>
      <c r="T2" s="691">
        <v>0</v>
      </c>
      <c r="U2" s="691">
        <v>367849</v>
      </c>
      <c r="V2" s="691">
        <v>13139</v>
      </c>
      <c r="W2" s="697" t="str">
        <f>"{"&amp;"'coin':"&amp;表1_86121816[[#This Row],[补偿Coin]]&amp;",'"&amp;配置!$A$2&amp;"':"&amp;表1_86121816[[#This Row],[补偿辎重]]&amp;"},"</f>
        <v>{'coin':1000,'item036':10},</v>
      </c>
      <c r="X2" s="698" t="str">
        <f>"      '"&amp;表1_86121816[[#This Row],[区服]]&amp;"':{"</f>
        <v>      '51':{</v>
      </c>
    </row>
    <row r="3" s="354" customFormat="1" ht="14.25" customHeight="1" spans="1:24">
      <c r="A3" s="690">
        <v>51</v>
      </c>
      <c r="B3" s="685">
        <f>VLOOKUP(表1_86121816[[#This Row],[区服]],$O$26:$P$33,2,FALSE)</f>
        <v>48</v>
      </c>
      <c r="C3" s="686" t="s">
        <v>57</v>
      </c>
      <c r="D3" s="689" t="str">
        <f>表1_86121816[[#This Row],[目标国家]]</f>
        <v>蜀</v>
      </c>
      <c r="E3" s="691">
        <f>(VLOOKUP(表1_86121816[[#This Row],[目标区服]],$Q$26:$R$29,2,FALSE)-表1_86121816[[#This Row],[开服天数]])*配置!$B$1</f>
        <v>1000</v>
      </c>
      <c r="F3" s="691">
        <f>表1_86121816[[#This Row],[补偿Coin]]*(表1_86121816[[#This Row],[活跃高战玩家数]]+表1_86121816[[#This Row],[活跃中坚玩家数]])</f>
        <v>12000</v>
      </c>
      <c r="G3" s="691">
        <f>(VLOOKUP(表1_86121816[[#This Row],[目标区服]],$Q$26:$R$29,2,FALSE)-表1_86121816[[#This Row],[开服天数]])*配置!$B$2</f>
        <v>10</v>
      </c>
      <c r="H3" s="689" t="s">
        <v>26</v>
      </c>
      <c r="I3" s="689">
        <f>IF(表1_86121816[[#This Row],[原国家]]="魏",0,IF(表1_86121816[[#This Row],[原国家]]="蜀",1,2))</f>
        <v>1</v>
      </c>
      <c r="J3" s="691">
        <v>0</v>
      </c>
      <c r="K3" s="691">
        <v>32</v>
      </c>
      <c r="L3" s="691">
        <v>0</v>
      </c>
      <c r="M3" s="691">
        <v>12</v>
      </c>
      <c r="N3" s="691">
        <v>42352</v>
      </c>
      <c r="O3" s="691">
        <v>893229</v>
      </c>
      <c r="P3" s="693">
        <v>4486694</v>
      </c>
      <c r="Q3" s="696" t="s">
        <v>26</v>
      </c>
      <c r="R3" s="689">
        <f>IF(表1_86121816[[#This Row],[目标国家]]="魏",0,IF(表1_86121816[[#This Row],[目标国家]]="蜀",1,2))</f>
        <v>1</v>
      </c>
      <c r="S3" s="691">
        <v>5286</v>
      </c>
      <c r="T3" s="691">
        <v>128</v>
      </c>
      <c r="U3" s="691">
        <v>148010</v>
      </c>
      <c r="V3" s="691">
        <v>2107</v>
      </c>
      <c r="W3" s="697" t="str">
        <f>"{"&amp;"'coin':"&amp;表1_86121816[[#This Row],[补偿Coin]]&amp;",'"&amp;配置!$A$2&amp;"':"&amp;表1_86121816[[#This Row],[补偿辎重]]&amp;"},"</f>
        <v>{'coin':1000,'item036':10},</v>
      </c>
      <c r="X3" s="698" t="str">
        <f>"            'to_zone':'"&amp;表1_86121816[[#This Row],[目标区服]]&amp;"',
            'reward':"&amp;表1_86121816[[#This Row],[辅助导出]]&amp;"
            'country':["&amp;R2&amp;","&amp;R3&amp;","&amp;R4&amp;"],"</f>
        <v>            'to_zone':'h1_20',
            'reward':{'coin':1000,'item036':10},
            'country':[0,1,2],</v>
      </c>
    </row>
    <row r="4" s="354" customFormat="1" ht="14.25" customHeight="1" spans="1:24">
      <c r="A4" s="690">
        <v>51</v>
      </c>
      <c r="B4" s="685">
        <f>VLOOKUP(表1_86121816[[#This Row],[区服]],$O$26:$P$33,2,FALSE)</f>
        <v>48</v>
      </c>
      <c r="C4" s="686" t="s">
        <v>57</v>
      </c>
      <c r="D4" s="689" t="str">
        <f>表1_86121816[[#This Row],[目标国家]]</f>
        <v>吴</v>
      </c>
      <c r="E4" s="691">
        <f>(VLOOKUP(表1_86121816[[#This Row],[目标区服]],$Q$26:$R$29,2,FALSE)-表1_86121816[[#This Row],[开服天数]])*配置!$B$1</f>
        <v>1000</v>
      </c>
      <c r="F4" s="691">
        <f>表1_86121816[[#This Row],[补偿Coin]]*(表1_86121816[[#This Row],[活跃高战玩家数]]+表1_86121816[[#This Row],[活跃中坚玩家数]])</f>
        <v>8000</v>
      </c>
      <c r="G4" s="691">
        <f>(VLOOKUP(表1_86121816[[#This Row],[目标区服]],$Q$26:$R$29,2,FALSE)-表1_86121816[[#This Row],[开服天数]])*配置!$B$2</f>
        <v>10</v>
      </c>
      <c r="H4" s="689" t="s">
        <v>27</v>
      </c>
      <c r="I4" s="689">
        <f>IF(表1_86121816[[#This Row],[原国家]]="魏",0,IF(表1_86121816[[#This Row],[原国家]]="蜀",1,2))</f>
        <v>2</v>
      </c>
      <c r="J4" s="691">
        <v>0</v>
      </c>
      <c r="K4" s="691">
        <v>30</v>
      </c>
      <c r="L4" s="691">
        <v>0</v>
      </c>
      <c r="M4" s="691">
        <v>8</v>
      </c>
      <c r="N4" s="691">
        <v>40744</v>
      </c>
      <c r="O4" s="691">
        <v>823599</v>
      </c>
      <c r="P4" s="693">
        <v>3996632</v>
      </c>
      <c r="Q4" s="696" t="s">
        <v>27</v>
      </c>
      <c r="R4" s="689">
        <f>IF(表1_86121816[[#This Row],[目标国家]]="魏",0,IF(表1_86121816[[#This Row],[目标国家]]="蜀",1,2))</f>
        <v>2</v>
      </c>
      <c r="S4" s="691">
        <v>2096</v>
      </c>
      <c r="T4" s="691">
        <v>0</v>
      </c>
      <c r="U4" s="691">
        <v>19324</v>
      </c>
      <c r="V4" s="691">
        <v>1799</v>
      </c>
      <c r="W4" s="697" t="str">
        <f>"{"&amp;"'coin':"&amp;表1_86121816[[#This Row],[补偿Coin]]&amp;",'"&amp;配置!$A$2&amp;"':"&amp;表1_86121816[[#This Row],[补偿辎重]]&amp;"},"</f>
        <v>{'coin':1000,'item036':10},</v>
      </c>
      <c r="X4" s="698" t="str">
        <f>"      },"</f>
        <v>      },</v>
      </c>
    </row>
    <row r="5" s="354" customFormat="1" ht="14.25" customHeight="1" spans="1:24">
      <c r="A5" s="690">
        <v>52</v>
      </c>
      <c r="B5" s="685">
        <f>VLOOKUP(表1_86121816[[#This Row],[区服]],$O$26:$P$33,2,FALSE)</f>
        <v>47</v>
      </c>
      <c r="C5" s="686" t="s">
        <v>57</v>
      </c>
      <c r="D5" s="689" t="str">
        <f>表1_86121816[[#This Row],[目标国家]]</f>
        <v>蜀</v>
      </c>
      <c r="E5" s="691">
        <f>(VLOOKUP(表1_86121816[[#This Row],[目标区服]],$Q$26:$R$29,2,FALSE)-表1_86121816[[#This Row],[开服天数]])*配置!$B$1</f>
        <v>1500</v>
      </c>
      <c r="F5" s="691">
        <f>表1_86121816[[#This Row],[补偿Coin]]*(表1_86121816[[#This Row],[活跃高战玩家数]]+表1_86121816[[#This Row],[活跃中坚玩家数]])</f>
        <v>30000</v>
      </c>
      <c r="G5" s="691">
        <f>(VLOOKUP(表1_86121816[[#This Row],[目标区服]],$Q$26:$R$29,2,FALSE)-表1_86121816[[#This Row],[开服天数]])*配置!$B$2</f>
        <v>15</v>
      </c>
      <c r="H5" s="689" t="s">
        <v>25</v>
      </c>
      <c r="I5" s="689">
        <f>IF(表1_86121816[[#This Row],[原国家]]="魏",0,IF(表1_86121816[[#This Row],[原国家]]="蜀",1,2))</f>
        <v>0</v>
      </c>
      <c r="J5" s="691">
        <v>6</v>
      </c>
      <c r="K5" s="691">
        <v>243</v>
      </c>
      <c r="L5" s="691">
        <v>7</v>
      </c>
      <c r="M5" s="691">
        <v>13</v>
      </c>
      <c r="N5" s="691">
        <v>126396</v>
      </c>
      <c r="O5" s="691">
        <v>2048956</v>
      </c>
      <c r="P5" s="693">
        <v>14619842</v>
      </c>
      <c r="Q5" s="696" t="s">
        <v>26</v>
      </c>
      <c r="R5" s="689">
        <f>IF(表1_86121816[[#This Row],[目标国家]]="魏",0,IF(表1_86121816[[#This Row],[目标国家]]="蜀",1,2))</f>
        <v>1</v>
      </c>
      <c r="S5" s="691">
        <v>9784</v>
      </c>
      <c r="T5" s="691">
        <v>0</v>
      </c>
      <c r="U5" s="691">
        <v>189468</v>
      </c>
      <c r="V5" s="691">
        <v>7561</v>
      </c>
      <c r="W5" s="697" t="str">
        <f>"{"&amp;"'coin':"&amp;表1_86121816[[#This Row],[补偿Coin]]&amp;",'"&amp;配置!$A$2&amp;"':"&amp;表1_86121816[[#This Row],[补偿辎重]]&amp;"},"</f>
        <v>{'coin':1500,'item036':15},</v>
      </c>
      <c r="X5" s="698" t="str">
        <f>"      '"&amp;表1_86121816[[#This Row],[区服]]&amp;"':{"</f>
        <v>      '52':{</v>
      </c>
    </row>
    <row r="6" s="354" customFormat="1" ht="14.25" customHeight="1" spans="1:24">
      <c r="A6" s="685">
        <v>52</v>
      </c>
      <c r="B6" s="685">
        <f>VLOOKUP(表1_86121816[[#This Row],[区服]],$O$26:$P$33,2,FALSE)</f>
        <v>47</v>
      </c>
      <c r="C6" s="686" t="s">
        <v>57</v>
      </c>
      <c r="D6" s="689" t="str">
        <f>表1_86121816[[#This Row],[目标国家]]</f>
        <v>蜀</v>
      </c>
      <c r="E6" s="691">
        <f>(VLOOKUP(表1_86121816[[#This Row],[目标区服]],$Q$26:$R$29,2,FALSE)-表1_86121816[[#This Row],[开服天数]])*配置!$B$1</f>
        <v>1500</v>
      </c>
      <c r="F6" s="691">
        <f>表1_86121816[[#This Row],[补偿Coin]]*(表1_86121816[[#This Row],[活跃高战玩家数]]+表1_86121816[[#This Row],[活跃中坚玩家数]])</f>
        <v>18000</v>
      </c>
      <c r="G6" s="691">
        <f>(VLOOKUP(表1_86121816[[#This Row],[目标区服]],$Q$26:$R$29,2,FALSE)-表1_86121816[[#This Row],[开服天数]])*配置!$B$2</f>
        <v>15</v>
      </c>
      <c r="H6" s="689" t="s">
        <v>26</v>
      </c>
      <c r="I6" s="689">
        <f>IF(表1_86121816[[#This Row],[原国家]]="魏",0,IF(表1_86121816[[#This Row],[原国家]]="蜀",1,2))</f>
        <v>1</v>
      </c>
      <c r="J6" s="691">
        <v>1</v>
      </c>
      <c r="K6" s="691">
        <v>62</v>
      </c>
      <c r="L6" s="691">
        <v>1</v>
      </c>
      <c r="M6" s="691">
        <v>11</v>
      </c>
      <c r="N6" s="691">
        <v>56867</v>
      </c>
      <c r="O6" s="691">
        <v>1514288</v>
      </c>
      <c r="P6" s="693">
        <v>6868600</v>
      </c>
      <c r="Q6" s="696" t="s">
        <v>26</v>
      </c>
      <c r="R6" s="689">
        <f>IF(表1_86121816[[#This Row],[目标国家]]="魏",0,IF(表1_86121816[[#This Row],[目标国家]]="蜀",1,2))</f>
        <v>1</v>
      </c>
      <c r="S6" s="691">
        <v>19644</v>
      </c>
      <c r="T6" s="691">
        <v>0</v>
      </c>
      <c r="U6" s="691">
        <v>74144</v>
      </c>
      <c r="V6" s="691">
        <v>3831</v>
      </c>
      <c r="W6" s="697" t="str">
        <f>"{"&amp;"'coin':"&amp;表1_86121816[[#This Row],[补偿Coin]]&amp;",'"&amp;配置!$A$2&amp;"':"&amp;表1_86121816[[#This Row],[补偿辎重]]&amp;"},"</f>
        <v>{'coin':1500,'item036':15},</v>
      </c>
      <c r="X6" s="698" t="str">
        <f>"            'to_zone':'"&amp;表1_86121816[[#This Row],[目标区服]]&amp;"',
            'reward':"&amp;表1_86121816[[#This Row],[辅助导出]]&amp;"
            'country':["&amp;R5&amp;","&amp;R6&amp;","&amp;R7&amp;"],"</f>
        <v>            'to_zone':'h1_20',
            'reward':{'coin':1500,'item036':15},
            'country':[1,1,1],</v>
      </c>
    </row>
    <row r="7" s="354" customFormat="1" ht="14.25" customHeight="1" spans="1:24">
      <c r="A7" s="685">
        <v>52</v>
      </c>
      <c r="B7" s="685">
        <f>VLOOKUP(表1_86121816[[#This Row],[区服]],$O$26:$P$33,2,FALSE)</f>
        <v>47</v>
      </c>
      <c r="C7" s="686" t="s">
        <v>57</v>
      </c>
      <c r="D7" s="689" t="str">
        <f>表1_86121816[[#This Row],[目标国家]]</f>
        <v>蜀</v>
      </c>
      <c r="E7" s="691">
        <f>(VLOOKUP(表1_86121816[[#This Row],[目标区服]],$Q$26:$R$29,2,FALSE)-表1_86121816[[#This Row],[开服天数]])*配置!$B$1</f>
        <v>1500</v>
      </c>
      <c r="F7" s="691">
        <f>表1_86121816[[#This Row],[补偿Coin]]*(表1_86121816[[#This Row],[活跃高战玩家数]]+表1_86121816[[#This Row],[活跃中坚玩家数]])</f>
        <v>19500</v>
      </c>
      <c r="G7" s="691">
        <f>(VLOOKUP(表1_86121816[[#This Row],[目标区服]],$Q$26:$R$29,2,FALSE)-表1_86121816[[#This Row],[开服天数]])*配置!$B$2</f>
        <v>15</v>
      </c>
      <c r="H7" s="689" t="s">
        <v>27</v>
      </c>
      <c r="I7" s="689">
        <f>IF(表1_86121816[[#This Row],[原国家]]="魏",0,IF(表1_86121816[[#This Row],[原国家]]="蜀",1,2))</f>
        <v>2</v>
      </c>
      <c r="J7" s="691">
        <v>2</v>
      </c>
      <c r="K7" s="691">
        <v>90</v>
      </c>
      <c r="L7" s="691">
        <v>1</v>
      </c>
      <c r="M7" s="691">
        <v>12</v>
      </c>
      <c r="N7" s="691">
        <v>54929</v>
      </c>
      <c r="O7" s="691">
        <v>1190377</v>
      </c>
      <c r="P7" s="693">
        <v>6147449</v>
      </c>
      <c r="Q7" s="696" t="s">
        <v>26</v>
      </c>
      <c r="R7" s="689">
        <f>IF(表1_86121816[[#This Row],[目标国家]]="魏",0,IF(表1_86121816[[#This Row],[目标国家]]="蜀",1,2))</f>
        <v>1</v>
      </c>
      <c r="S7" s="691">
        <v>2010</v>
      </c>
      <c r="T7" s="691">
        <v>2128</v>
      </c>
      <c r="U7" s="691">
        <v>104269</v>
      </c>
      <c r="V7" s="691">
        <v>3313</v>
      </c>
      <c r="W7" s="697" t="str">
        <f>"{"&amp;"'coin':"&amp;表1_86121816[[#This Row],[补偿Coin]]&amp;",'"&amp;配置!$A$2&amp;"':"&amp;表1_86121816[[#This Row],[补偿辎重]]&amp;"},"</f>
        <v>{'coin':1500,'item036':15},</v>
      </c>
      <c r="X7" s="698" t="str">
        <f t="shared" ref="X7" si="0">"      },"</f>
        <v>      },</v>
      </c>
    </row>
    <row r="8" s="354" customFormat="1" ht="14.25" customHeight="1" spans="1:24">
      <c r="A8" s="690">
        <v>53</v>
      </c>
      <c r="B8" s="685">
        <f>VLOOKUP(表1_86121816[[#This Row],[区服]],$O$26:$P$33,2,FALSE)</f>
        <v>46</v>
      </c>
      <c r="C8" s="686" t="s">
        <v>57</v>
      </c>
      <c r="D8" s="689" t="str">
        <f>表1_86121816[[#This Row],[目标国家]]</f>
        <v>魏</v>
      </c>
      <c r="E8" s="691">
        <f>(VLOOKUP(表1_86121816[[#This Row],[目标区服]],$Q$26:$R$29,2,FALSE)-表1_86121816[[#This Row],[开服天数]])*配置!$B$1</f>
        <v>2000</v>
      </c>
      <c r="F8" s="691">
        <f>表1_86121816[[#This Row],[补偿Coin]]*(表1_86121816[[#This Row],[活跃高战玩家数]]+表1_86121816[[#This Row],[活跃中坚玩家数]])</f>
        <v>34000</v>
      </c>
      <c r="G8" s="692">
        <f>(VLOOKUP(表1_86121816[[#This Row],[目标区服]],$Q$26:$R$29,2,FALSE)-表1_86121816[[#This Row],[开服天数]])*配置!$B$2</f>
        <v>20</v>
      </c>
      <c r="H8" s="689" t="s">
        <v>25</v>
      </c>
      <c r="I8" s="694">
        <f>IF(表1_86121816[[#This Row],[原国家]]="魏",0,IF(表1_86121816[[#This Row],[原国家]]="蜀",1,2))</f>
        <v>0</v>
      </c>
      <c r="J8" s="691">
        <v>3</v>
      </c>
      <c r="K8" s="691">
        <v>89</v>
      </c>
      <c r="L8" s="691">
        <v>3</v>
      </c>
      <c r="M8" s="691">
        <v>14</v>
      </c>
      <c r="N8" s="691">
        <v>70901</v>
      </c>
      <c r="O8" s="695">
        <v>2107809</v>
      </c>
      <c r="P8" s="693">
        <v>10782285</v>
      </c>
      <c r="Q8" s="696" t="s">
        <v>25</v>
      </c>
      <c r="R8" s="689">
        <f>IF(表1_86121816[[#This Row],[目标国家]]="魏",0,IF(表1_86121816[[#This Row],[目标国家]]="蜀",1,2))</f>
        <v>0</v>
      </c>
      <c r="S8" s="691">
        <v>22588</v>
      </c>
      <c r="T8" s="691">
        <v>0</v>
      </c>
      <c r="U8" s="691">
        <v>291919</v>
      </c>
      <c r="V8" s="691">
        <v>5554</v>
      </c>
      <c r="W8" s="699" t="str">
        <f>"{"&amp;"'coin':"&amp;表1_86121816[[#This Row],[补偿Coin]]&amp;",'"&amp;配置!$A$2&amp;"':"&amp;表1_86121816[[#This Row],[补偿辎重]]&amp;"},"</f>
        <v>{'coin':2000,'item036':20},</v>
      </c>
      <c r="X8" s="699" t="str">
        <f>"      '"&amp;表1_86121816[[#This Row],[区服]]&amp;"':{"</f>
        <v>      '53':{</v>
      </c>
    </row>
    <row r="9" s="354" customFormat="1" ht="14.25" customHeight="1" spans="1:24">
      <c r="A9" s="690">
        <v>53</v>
      </c>
      <c r="B9" s="685">
        <f>VLOOKUP(表1_86121816[[#This Row],[区服]],$O$26:$P$33,2,FALSE)</f>
        <v>46</v>
      </c>
      <c r="C9" s="686" t="s">
        <v>57</v>
      </c>
      <c r="D9" s="689" t="str">
        <f>表1_86121816[[#This Row],[目标国家]]</f>
        <v>吴</v>
      </c>
      <c r="E9" s="691">
        <f>(VLOOKUP(表1_86121816[[#This Row],[目标区服]],$Q$26:$R$29,2,FALSE)-表1_86121816[[#This Row],[开服天数]])*配置!$B$1</f>
        <v>2000</v>
      </c>
      <c r="F9" s="691">
        <f>表1_86121816[[#This Row],[补偿Coin]]*(表1_86121816[[#This Row],[活跃高战玩家数]]+表1_86121816[[#This Row],[活跃中坚玩家数]])</f>
        <v>50000</v>
      </c>
      <c r="G9" s="692">
        <f>(VLOOKUP(表1_86121816[[#This Row],[目标区服]],$Q$26:$R$29,2,FALSE)-表1_86121816[[#This Row],[开服天数]])*配置!$B$2</f>
        <v>20</v>
      </c>
      <c r="H9" s="689" t="s">
        <v>26</v>
      </c>
      <c r="I9" s="694">
        <f>IF(表1_86121816[[#This Row],[原国家]]="魏",0,IF(表1_86121816[[#This Row],[原国家]]="蜀",1,2))</f>
        <v>1</v>
      </c>
      <c r="J9" s="691">
        <v>4</v>
      </c>
      <c r="K9" s="691">
        <v>228</v>
      </c>
      <c r="L9" s="691">
        <v>4</v>
      </c>
      <c r="M9" s="691">
        <v>21</v>
      </c>
      <c r="N9" s="691">
        <v>121126</v>
      </c>
      <c r="O9" s="695">
        <v>1988519</v>
      </c>
      <c r="P9" s="693">
        <v>17116842</v>
      </c>
      <c r="Q9" s="696" t="s">
        <v>27</v>
      </c>
      <c r="R9" s="689">
        <f>IF(表1_86121816[[#This Row],[目标国家]]="魏",0,IF(表1_86121816[[#This Row],[目标国家]]="蜀",1,2))</f>
        <v>2</v>
      </c>
      <c r="S9" s="691">
        <v>73548</v>
      </c>
      <c r="T9" s="691">
        <v>0</v>
      </c>
      <c r="U9" s="691">
        <v>284061</v>
      </c>
      <c r="V9" s="691">
        <v>9334</v>
      </c>
      <c r="W9" s="699" t="str">
        <f>"{"&amp;"'coin':"&amp;表1_86121816[[#This Row],[补偿Coin]]&amp;",'"&amp;配置!$A$2&amp;"':"&amp;表1_86121816[[#This Row],[补偿辎重]]&amp;"},"</f>
        <v>{'coin':2000,'item036':20},</v>
      </c>
      <c r="X9" s="699" t="str">
        <f>"            'to_zone':'"&amp;表1_86121816[[#This Row],[目标区服]]&amp;"',
            'reward':"&amp;表1_86121816[[#This Row],[辅助导出]]&amp;"
            'country':["&amp;R8&amp;","&amp;R9&amp;","&amp;R10&amp;"],"</f>
        <v>            'to_zone':'h1_20',
            'reward':{'coin':2000,'item036':20},
            'country':[0,2,2],</v>
      </c>
    </row>
    <row r="10" s="354" customFormat="1" ht="14.25" customHeight="1" spans="1:24">
      <c r="A10" s="690">
        <v>53</v>
      </c>
      <c r="B10" s="685">
        <f>VLOOKUP(表1_86121816[[#This Row],[区服]],$O$26:$P$33,2,FALSE)</f>
        <v>46</v>
      </c>
      <c r="C10" s="686" t="s">
        <v>57</v>
      </c>
      <c r="D10" s="689" t="str">
        <f>表1_86121816[[#This Row],[目标国家]]</f>
        <v>吴</v>
      </c>
      <c r="E10" s="691">
        <f>(VLOOKUP(表1_86121816[[#This Row],[目标区服]],$Q$26:$R$29,2,FALSE)-表1_86121816[[#This Row],[开服天数]])*配置!$B$1</f>
        <v>2000</v>
      </c>
      <c r="F10" s="691">
        <f>表1_86121816[[#This Row],[补偿Coin]]*(表1_86121816[[#This Row],[活跃高战玩家数]]+表1_86121816[[#This Row],[活跃中坚玩家数]])</f>
        <v>40000</v>
      </c>
      <c r="G10" s="692">
        <f>(VLOOKUP(表1_86121816[[#This Row],[目标区服]],$Q$26:$R$29,2,FALSE)-表1_86121816[[#This Row],[开服天数]])*配置!$B$2</f>
        <v>20</v>
      </c>
      <c r="H10" s="689" t="s">
        <v>27</v>
      </c>
      <c r="I10" s="694">
        <f>IF(表1_86121816[[#This Row],[原国家]]="魏",0,IF(表1_86121816[[#This Row],[原国家]]="蜀",1,2))</f>
        <v>2</v>
      </c>
      <c r="J10" s="691">
        <v>2</v>
      </c>
      <c r="K10" s="691">
        <v>78</v>
      </c>
      <c r="L10" s="691">
        <v>2</v>
      </c>
      <c r="M10" s="691">
        <v>18</v>
      </c>
      <c r="N10" s="691">
        <v>83724</v>
      </c>
      <c r="O10" s="695">
        <v>1571860</v>
      </c>
      <c r="P10" s="693">
        <v>11309723</v>
      </c>
      <c r="Q10" s="696" t="s">
        <v>27</v>
      </c>
      <c r="R10" s="689">
        <f>IF(表1_86121816[[#This Row],[目标国家]]="魏",0,IF(表1_86121816[[#This Row],[目标国家]]="蜀",1,2))</f>
        <v>2</v>
      </c>
      <c r="S10" s="691">
        <v>6536</v>
      </c>
      <c r="T10" s="691">
        <v>0</v>
      </c>
      <c r="U10" s="691">
        <v>248553</v>
      </c>
      <c r="V10" s="691">
        <v>4421</v>
      </c>
      <c r="W10" s="699" t="str">
        <f>"{"&amp;"'coin':"&amp;表1_86121816[[#This Row],[补偿Coin]]&amp;",'"&amp;配置!$A$2&amp;"':"&amp;表1_86121816[[#This Row],[补偿辎重]]&amp;"},"</f>
        <v>{'coin':2000,'item036':20},</v>
      </c>
      <c r="X10" s="699" t="str">
        <f>"      },"</f>
        <v>      },</v>
      </c>
    </row>
    <row r="11" s="354" customFormat="1" ht="14.25" customHeight="1" spans="1:24">
      <c r="A11" s="666">
        <v>54</v>
      </c>
      <c r="B11" s="667">
        <f>VLOOKUP(表1_86121816[[#This Row],[区服]],$O$26:$P$33,2,FALSE)</f>
        <v>45</v>
      </c>
      <c r="C11" s="668" t="s">
        <v>58</v>
      </c>
      <c r="D11" s="669" t="str">
        <f>表1_86121816[[#This Row],[目标国家]]</f>
        <v>蜀</v>
      </c>
      <c r="E11" s="670">
        <f>(VLOOKUP(表1_86121816[[#This Row],[目标区服]],$Q$26:$R$29,2,FALSE)-表1_86121816[[#This Row],[开服天数]])*配置!$B$1</f>
        <v>1000</v>
      </c>
      <c r="F11" s="670">
        <f>表1_86121816[[#This Row],[补偿Coin]]*(表1_86121816[[#This Row],[活跃高战玩家数]]+表1_86121816[[#This Row],[活跃中坚玩家数]])</f>
        <v>14000</v>
      </c>
      <c r="G11" s="671">
        <f>(VLOOKUP(表1_86121816[[#This Row],[目标区服]],$Q$26:$R$29,2,FALSE)-表1_86121816[[#This Row],[开服天数]])*配置!$B$2</f>
        <v>10</v>
      </c>
      <c r="H11" s="669" t="s">
        <v>25</v>
      </c>
      <c r="I11" s="676">
        <f>IF(表1_86121816[[#This Row],[原国家]]="魏",0,IF(表1_86121816[[#This Row],[原国家]]="蜀",1,2))</f>
        <v>0</v>
      </c>
      <c r="J11" s="670">
        <v>0</v>
      </c>
      <c r="K11" s="670">
        <v>30</v>
      </c>
      <c r="L11" s="670">
        <v>0</v>
      </c>
      <c r="M11" s="670">
        <v>14</v>
      </c>
      <c r="N11" s="670">
        <v>58460</v>
      </c>
      <c r="O11" s="677">
        <v>1325104</v>
      </c>
      <c r="P11" s="678">
        <v>7957209</v>
      </c>
      <c r="Q11" s="679" t="s">
        <v>26</v>
      </c>
      <c r="R11" s="669">
        <f>IF(表1_86121816[[#This Row],[目标国家]]="魏",0,IF(表1_86121816[[#This Row],[目标国家]]="蜀",1,2))</f>
        <v>1</v>
      </c>
      <c r="S11" s="670">
        <v>20362</v>
      </c>
      <c r="T11" s="670">
        <v>0</v>
      </c>
      <c r="U11" s="670">
        <v>79672</v>
      </c>
      <c r="V11" s="670">
        <v>3363</v>
      </c>
      <c r="W11" s="680" t="str">
        <f>"{"&amp;"'coin':"&amp;表1_86121816[[#This Row],[补偿Coin]]&amp;",'"&amp;配置!$A$2&amp;"':"&amp;表1_86121816[[#This Row],[补偿辎重]]&amp;"},"</f>
        <v>{'coin':1000,'item036':10},</v>
      </c>
      <c r="X11" s="680" t="str">
        <f>"      '"&amp;表1_86121816[[#This Row],[区服]]&amp;"':{"</f>
        <v>      '54':{</v>
      </c>
    </row>
    <row r="12" s="354" customFormat="1" ht="14.25" customHeight="1" spans="1:24">
      <c r="A12" s="666">
        <v>54</v>
      </c>
      <c r="B12" s="667">
        <f>VLOOKUP(表1_86121816[[#This Row],[区服]],$O$26:$P$33,2,FALSE)</f>
        <v>45</v>
      </c>
      <c r="C12" s="668" t="s">
        <v>58</v>
      </c>
      <c r="D12" s="669" t="str">
        <f>表1_86121816[[#This Row],[目标国家]]</f>
        <v>魏</v>
      </c>
      <c r="E12" s="670">
        <f>(VLOOKUP(表1_86121816[[#This Row],[目标区服]],$Q$26:$R$29,2,FALSE)-表1_86121816[[#This Row],[开服天数]])*配置!$B$1</f>
        <v>1000</v>
      </c>
      <c r="F12" s="670">
        <f>表1_86121816[[#This Row],[补偿Coin]]*(表1_86121816[[#This Row],[活跃高战玩家数]]+表1_86121816[[#This Row],[活跃中坚玩家数]])</f>
        <v>28000</v>
      </c>
      <c r="G12" s="671">
        <f>(VLOOKUP(表1_86121816[[#This Row],[目标区服]],$Q$26:$R$29,2,FALSE)-表1_86121816[[#This Row],[开服天数]])*配置!$B$2</f>
        <v>10</v>
      </c>
      <c r="H12" s="669" t="s">
        <v>26</v>
      </c>
      <c r="I12" s="676">
        <f>IF(表1_86121816[[#This Row],[原国家]]="魏",0,IF(表1_86121816[[#This Row],[原国家]]="蜀",1,2))</f>
        <v>1</v>
      </c>
      <c r="J12" s="670">
        <v>7</v>
      </c>
      <c r="K12" s="670">
        <v>290</v>
      </c>
      <c r="L12" s="670">
        <v>7</v>
      </c>
      <c r="M12" s="670">
        <v>21</v>
      </c>
      <c r="N12" s="670">
        <v>163641</v>
      </c>
      <c r="O12" s="677">
        <v>3323569</v>
      </c>
      <c r="P12" s="678">
        <v>28477924</v>
      </c>
      <c r="Q12" s="679" t="s">
        <v>25</v>
      </c>
      <c r="R12" s="669">
        <f>IF(表1_86121816[[#This Row],[目标国家]]="魏",0,IF(表1_86121816[[#This Row],[目标国家]]="蜀",1,2))</f>
        <v>0</v>
      </c>
      <c r="S12" s="670">
        <v>188608</v>
      </c>
      <c r="T12" s="670">
        <v>648</v>
      </c>
      <c r="U12" s="670">
        <v>1091666</v>
      </c>
      <c r="V12" s="670">
        <v>16800</v>
      </c>
      <c r="W12" s="680" t="str">
        <f>"{"&amp;"'coin':"&amp;表1_86121816[[#This Row],[补偿Coin]]&amp;",'"&amp;配置!$A$2&amp;"':"&amp;表1_86121816[[#This Row],[补偿辎重]]&amp;"},"</f>
        <v>{'coin':1000,'item036':10},</v>
      </c>
      <c r="X12" s="680" t="str">
        <f>"            'to_zone':'"&amp;表1_86121816[[#This Row],[目标区服]]&amp;"',
            'reward':"&amp;表1_86121816[[#This Row],[辅助导出]]&amp;"
            'country':["&amp;R11&amp;","&amp;R12&amp;","&amp;R13&amp;"],"</f>
        <v>            'to_zone':'h1_21',
            'reward':{'coin':1000,'item036':10},
            'country':[1,0,2],</v>
      </c>
    </row>
    <row r="13" s="354" customFormat="1" ht="14.25" customHeight="1" spans="1:24">
      <c r="A13" s="666">
        <v>54</v>
      </c>
      <c r="B13" s="667">
        <f>VLOOKUP(表1_86121816[[#This Row],[区服]],$O$26:$P$33,2,FALSE)</f>
        <v>45</v>
      </c>
      <c r="C13" s="668" t="s">
        <v>58</v>
      </c>
      <c r="D13" s="669" t="str">
        <f>表1_86121816[[#This Row],[目标国家]]</f>
        <v>吴</v>
      </c>
      <c r="E13" s="670">
        <f>(VLOOKUP(表1_86121816[[#This Row],[目标区服]],$Q$26:$R$29,2,FALSE)-表1_86121816[[#This Row],[开服天数]])*配置!$B$1</f>
        <v>1000</v>
      </c>
      <c r="F13" s="670">
        <f>表1_86121816[[#This Row],[补偿Coin]]*(表1_86121816[[#This Row],[活跃高战玩家数]]+表1_86121816[[#This Row],[活跃中坚玩家数]])</f>
        <v>13000</v>
      </c>
      <c r="G13" s="671">
        <f>(VLOOKUP(表1_86121816[[#This Row],[目标区服]],$Q$26:$R$29,2,FALSE)-表1_86121816[[#This Row],[开服天数]])*配置!$B$2</f>
        <v>10</v>
      </c>
      <c r="H13" s="669" t="s">
        <v>27</v>
      </c>
      <c r="I13" s="676">
        <f>IF(表1_86121816[[#This Row],[原国家]]="魏",0,IF(表1_86121816[[#This Row],[原国家]]="蜀",1,2))</f>
        <v>2</v>
      </c>
      <c r="J13" s="670">
        <v>2</v>
      </c>
      <c r="K13" s="670">
        <v>75</v>
      </c>
      <c r="L13" s="670">
        <v>2</v>
      </c>
      <c r="M13" s="670">
        <v>11</v>
      </c>
      <c r="N13" s="670">
        <v>48285</v>
      </c>
      <c r="O13" s="677">
        <v>2515694</v>
      </c>
      <c r="P13" s="678">
        <v>8927376</v>
      </c>
      <c r="Q13" s="679" t="s">
        <v>27</v>
      </c>
      <c r="R13" s="669">
        <f>IF(表1_86121816[[#This Row],[目标国家]]="魏",0,IF(表1_86121816[[#This Row],[目标国家]]="蜀",1,2))</f>
        <v>2</v>
      </c>
      <c r="S13" s="670">
        <v>64140</v>
      </c>
      <c r="T13" s="670">
        <v>0</v>
      </c>
      <c r="U13" s="670">
        <v>336484</v>
      </c>
      <c r="V13" s="670">
        <v>6692</v>
      </c>
      <c r="W13" s="680" t="str">
        <f>"{"&amp;"'coin':"&amp;表1_86121816[[#This Row],[补偿Coin]]&amp;",'"&amp;配置!$A$2&amp;"':"&amp;表1_86121816[[#This Row],[补偿辎重]]&amp;"},"</f>
        <v>{'coin':1000,'item036':10},</v>
      </c>
      <c r="X13" s="680" t="str">
        <f t="shared" ref="X13" si="1">"      },"</f>
        <v>      },</v>
      </c>
    </row>
    <row r="14" ht="14.25" customHeight="1" spans="1:24">
      <c r="A14" s="667">
        <v>55</v>
      </c>
      <c r="B14" s="667">
        <f>VLOOKUP(表1_86121816[[#This Row],[区服]],$O$26:$P$33,2,FALSE)</f>
        <v>44</v>
      </c>
      <c r="C14" s="668" t="s">
        <v>58</v>
      </c>
      <c r="D14" s="669" t="str">
        <f>表1_86121816[[#This Row],[目标国家]]</f>
        <v>蜀</v>
      </c>
      <c r="E14" s="670">
        <f>(VLOOKUP(表1_86121816[[#This Row],[目标区服]],$Q$26:$R$29,2,FALSE)-表1_86121816[[#This Row],[开服天数]])*配置!$B$1</f>
        <v>1500</v>
      </c>
      <c r="F14" s="670">
        <f>表1_86121816[[#This Row],[补偿Coin]]*(表1_86121816[[#This Row],[活跃高战玩家数]]+表1_86121816[[#This Row],[活跃中坚玩家数]])</f>
        <v>36000</v>
      </c>
      <c r="G14" s="670">
        <f>(VLOOKUP(表1_86121816[[#This Row],[目标区服]],$Q$26:$R$29,2,FALSE)-表1_86121816[[#This Row],[开服天数]])*配置!$B$2</f>
        <v>15</v>
      </c>
      <c r="H14" s="669" t="s">
        <v>25</v>
      </c>
      <c r="I14" s="669">
        <f>IF(表1_86121816[[#This Row],[原国家]]="魏",0,IF(表1_86121816[[#This Row],[原国家]]="蜀",1,2))</f>
        <v>0</v>
      </c>
      <c r="J14" s="670">
        <v>4</v>
      </c>
      <c r="K14" s="670">
        <v>135</v>
      </c>
      <c r="L14" s="670">
        <v>5</v>
      </c>
      <c r="M14" s="670">
        <v>19</v>
      </c>
      <c r="N14" s="670">
        <v>113533</v>
      </c>
      <c r="O14" s="670">
        <v>1856559</v>
      </c>
      <c r="P14" s="678">
        <v>14441170</v>
      </c>
      <c r="Q14" s="679" t="s">
        <v>26</v>
      </c>
      <c r="R14" s="669">
        <f>IF(表1_86121816[[#This Row],[目标国家]]="魏",0,IF(表1_86121816[[#This Row],[目标国家]]="蜀",1,2))</f>
        <v>1</v>
      </c>
      <c r="S14" s="670">
        <v>19900</v>
      </c>
      <c r="T14" s="670">
        <v>3774</v>
      </c>
      <c r="U14" s="670">
        <v>191094</v>
      </c>
      <c r="V14" s="670">
        <v>6348</v>
      </c>
      <c r="W14" s="681" t="str">
        <f>"{"&amp;"'coin':"&amp;表1_86121816[[#This Row],[补偿Coin]]&amp;",'"&amp;配置!$A$2&amp;"':"&amp;表1_86121816[[#This Row],[补偿辎重]]&amp;"},"</f>
        <v>{'coin':1500,'item036':15},</v>
      </c>
      <c r="X14" s="682" t="str">
        <f>"      '"&amp;表1_86121816[[#This Row],[区服]]&amp;"':{"</f>
        <v>      '55':{</v>
      </c>
    </row>
    <row r="15" ht="14.25" customHeight="1" spans="1:24">
      <c r="A15" s="667">
        <v>55</v>
      </c>
      <c r="B15" s="667">
        <f>VLOOKUP(表1_86121816[[#This Row],[区服]],$O$26:$P$33,2,FALSE)</f>
        <v>44</v>
      </c>
      <c r="C15" s="668" t="s">
        <v>58</v>
      </c>
      <c r="D15" s="669" t="str">
        <f>表1_86121816[[#This Row],[目标国家]]</f>
        <v>魏</v>
      </c>
      <c r="E15" s="670">
        <f>(VLOOKUP(表1_86121816[[#This Row],[目标区服]],$Q$26:$R$29,2,FALSE)-表1_86121816[[#This Row],[开服天数]])*配置!$B$1</f>
        <v>1500</v>
      </c>
      <c r="F15" s="670">
        <f>表1_86121816[[#This Row],[补偿Coin]]*(表1_86121816[[#This Row],[活跃高战玩家数]]+表1_86121816[[#This Row],[活跃中坚玩家数]])</f>
        <v>33000</v>
      </c>
      <c r="G15" s="670">
        <f>(VLOOKUP(表1_86121816[[#This Row],[目标区服]],$Q$26:$R$29,2,FALSE)-表1_86121816[[#This Row],[开服天数]])*配置!$B$2</f>
        <v>15</v>
      </c>
      <c r="H15" s="669" t="s">
        <v>26</v>
      </c>
      <c r="I15" s="669">
        <f>IF(表1_86121816[[#This Row],[原国家]]="魏",0,IF(表1_86121816[[#This Row],[原国家]]="蜀",1,2))</f>
        <v>1</v>
      </c>
      <c r="J15" s="670">
        <v>3</v>
      </c>
      <c r="K15" s="670">
        <v>184</v>
      </c>
      <c r="L15" s="670">
        <v>3</v>
      </c>
      <c r="M15" s="670">
        <v>19</v>
      </c>
      <c r="N15" s="670">
        <v>109110</v>
      </c>
      <c r="O15" s="670">
        <v>1641335</v>
      </c>
      <c r="P15" s="678">
        <v>13532892</v>
      </c>
      <c r="Q15" s="679" t="s">
        <v>25</v>
      </c>
      <c r="R15" s="669">
        <f>IF(表1_86121816[[#This Row],[目标国家]]="魏",0,IF(表1_86121816[[#This Row],[目标国家]]="蜀",1,2))</f>
        <v>0</v>
      </c>
      <c r="S15" s="670">
        <v>18554</v>
      </c>
      <c r="T15" s="670">
        <v>2128</v>
      </c>
      <c r="U15" s="670">
        <v>253630</v>
      </c>
      <c r="V15" s="670">
        <v>6384</v>
      </c>
      <c r="W15" s="681" t="str">
        <f>"{"&amp;"'coin':"&amp;表1_86121816[[#This Row],[补偿Coin]]&amp;",'"&amp;配置!$A$2&amp;"':"&amp;表1_86121816[[#This Row],[补偿辎重]]&amp;"},"</f>
        <v>{'coin':1500,'item036':15},</v>
      </c>
      <c r="X15" s="682" t="str">
        <f>"            'to_zone':'"&amp;表1_86121816[[#This Row],[目标区服]]&amp;"',
            'reward':"&amp;表1_86121816[[#This Row],[辅助导出]]&amp;"
            'country':["&amp;R14&amp;","&amp;R15&amp;","&amp;R16&amp;"],"</f>
        <v>            'to_zone':'h1_21',
            'reward':{'coin':1500,'item036':15},
            'country':[1,0,1],</v>
      </c>
    </row>
    <row r="16" ht="14.25" customHeight="1" spans="1:24">
      <c r="A16" s="667">
        <v>55</v>
      </c>
      <c r="B16" s="667">
        <f>VLOOKUP(表1_86121816[[#This Row],[区服]],$O$26:$P$33,2,FALSE)</f>
        <v>44</v>
      </c>
      <c r="C16" s="668" t="s">
        <v>58</v>
      </c>
      <c r="D16" s="669" t="str">
        <f>表1_86121816[[#This Row],[目标国家]]</f>
        <v>蜀</v>
      </c>
      <c r="E16" s="670">
        <f>(VLOOKUP(表1_86121816[[#This Row],[目标区服]],$Q$26:$R$29,2,FALSE)-表1_86121816[[#This Row],[开服天数]])*配置!$B$1</f>
        <v>1500</v>
      </c>
      <c r="F16" s="670">
        <f>表1_86121816[[#This Row],[补偿Coin]]*(表1_86121816[[#This Row],[活跃高战玩家数]]+表1_86121816[[#This Row],[活跃中坚玩家数]])</f>
        <v>12000</v>
      </c>
      <c r="G16" s="670">
        <f>(VLOOKUP(表1_86121816[[#This Row],[目标区服]],$Q$26:$R$29,2,FALSE)-表1_86121816[[#This Row],[开服天数]])*配置!$B$2</f>
        <v>15</v>
      </c>
      <c r="H16" s="669" t="s">
        <v>27</v>
      </c>
      <c r="I16" s="669">
        <f>IF(表1_86121816[[#This Row],[原国家]]="魏",0,IF(表1_86121816[[#This Row],[原国家]]="蜀",1,2))</f>
        <v>2</v>
      </c>
      <c r="J16" s="670">
        <v>2</v>
      </c>
      <c r="K16" s="670">
        <v>76</v>
      </c>
      <c r="L16" s="670">
        <v>0</v>
      </c>
      <c r="M16" s="670">
        <v>8</v>
      </c>
      <c r="N16" s="670">
        <v>35231</v>
      </c>
      <c r="O16" s="670">
        <v>1056097</v>
      </c>
      <c r="P16" s="678">
        <v>4168062</v>
      </c>
      <c r="Q16" s="679" t="s">
        <v>26</v>
      </c>
      <c r="R16" s="669">
        <f>IF(表1_86121816[[#This Row],[目标国家]]="魏",0,IF(表1_86121816[[#This Row],[目标国家]]="蜀",1,2))</f>
        <v>1</v>
      </c>
      <c r="S16" s="670">
        <v>3478</v>
      </c>
      <c r="T16" s="670">
        <v>0</v>
      </c>
      <c r="U16" s="670">
        <v>108035</v>
      </c>
      <c r="V16" s="670">
        <v>2767</v>
      </c>
      <c r="W16" s="681" t="str">
        <f>"{"&amp;"'coin':"&amp;表1_86121816[[#This Row],[补偿Coin]]&amp;",'"&amp;配置!$A$2&amp;"':"&amp;表1_86121816[[#This Row],[补偿辎重]]&amp;"},"</f>
        <v>{'coin':1500,'item036':15},</v>
      </c>
      <c r="X16" s="682" t="str">
        <f t="shared" ref="X16" si="2">"      },"</f>
        <v>      },</v>
      </c>
    </row>
    <row r="17" ht="14.25" customHeight="1" spans="1:24">
      <c r="A17" s="667">
        <v>56</v>
      </c>
      <c r="B17" s="667">
        <f>VLOOKUP(表1_86121816[[#This Row],[区服]],$O$26:$P$33,2,FALSE)</f>
        <v>43</v>
      </c>
      <c r="C17" s="668" t="s">
        <v>58</v>
      </c>
      <c r="D17" s="669" t="str">
        <f>表1_86121816[[#This Row],[目标国家]]</f>
        <v>蜀</v>
      </c>
      <c r="E17" s="670">
        <f>(VLOOKUP(表1_86121816[[#This Row],[目标区服]],$Q$26:$R$29,2,FALSE)-表1_86121816[[#This Row],[开服天数]])*配置!$B$1</f>
        <v>2000</v>
      </c>
      <c r="F17" s="670">
        <f>表1_86121816[[#This Row],[补偿Coin]]*(表1_86121816[[#This Row],[活跃高战玩家数]]+表1_86121816[[#This Row],[活跃中坚玩家数]])</f>
        <v>42000</v>
      </c>
      <c r="G17" s="670">
        <f>(VLOOKUP(表1_86121816[[#This Row],[目标区服]],$Q$26:$R$29,2,FALSE)-表1_86121816[[#This Row],[开服天数]])*配置!$B$2</f>
        <v>20</v>
      </c>
      <c r="H17" s="669" t="s">
        <v>25</v>
      </c>
      <c r="I17" s="669">
        <f>IF(表1_86121816[[#This Row],[原国家]]="魏",0,IF(表1_86121816[[#This Row],[原国家]]="蜀",1,2))</f>
        <v>0</v>
      </c>
      <c r="J17" s="670">
        <v>4</v>
      </c>
      <c r="K17" s="670">
        <v>142</v>
      </c>
      <c r="L17" s="670">
        <v>4</v>
      </c>
      <c r="M17" s="670">
        <v>17</v>
      </c>
      <c r="N17" s="670">
        <v>114021</v>
      </c>
      <c r="O17" s="670">
        <v>2335262</v>
      </c>
      <c r="P17" s="678">
        <v>17577410</v>
      </c>
      <c r="Q17" s="679" t="s">
        <v>26</v>
      </c>
      <c r="R17" s="669">
        <f>IF(表1_86121816[[#This Row],[目标国家]]="魏",0,IF(表1_86121816[[#This Row],[目标国家]]="蜀",1,2))</f>
        <v>1</v>
      </c>
      <c r="S17" s="670">
        <v>36176</v>
      </c>
      <c r="T17" s="670">
        <v>0</v>
      </c>
      <c r="U17" s="670">
        <v>321104</v>
      </c>
      <c r="V17" s="670">
        <v>7728</v>
      </c>
      <c r="W17" s="681" t="str">
        <f>"{"&amp;"'coin':"&amp;表1_86121816[[#This Row],[补偿Coin]]&amp;",'"&amp;配置!$A$2&amp;"':"&amp;表1_86121816[[#This Row],[补偿辎重]]&amp;"},"</f>
        <v>{'coin':2000,'item036':20},</v>
      </c>
      <c r="X17" s="682" t="str">
        <f>"      '"&amp;表1_86121816[[#This Row],[区服]]&amp;"':{"</f>
        <v>      '56':{</v>
      </c>
    </row>
    <row r="18" ht="14.25" customHeight="1" spans="1:24">
      <c r="A18" s="667">
        <v>56</v>
      </c>
      <c r="B18" s="667">
        <f>VLOOKUP(表1_86121816[[#This Row],[区服]],$O$26:$P$33,2,FALSE)</f>
        <v>43</v>
      </c>
      <c r="C18" s="668" t="s">
        <v>58</v>
      </c>
      <c r="D18" s="669" t="str">
        <f>表1_86121816[[#This Row],[目标国家]]</f>
        <v>吴</v>
      </c>
      <c r="E18" s="670">
        <f>(VLOOKUP(表1_86121816[[#This Row],[目标区服]],$Q$26:$R$29,2,FALSE)-表1_86121816[[#This Row],[开服天数]])*配置!$B$1</f>
        <v>2000</v>
      </c>
      <c r="F18" s="670">
        <f>表1_86121816[[#This Row],[补偿Coin]]*(表1_86121816[[#This Row],[活跃高战玩家数]]+表1_86121816[[#This Row],[活跃中坚玩家数]])</f>
        <v>32000</v>
      </c>
      <c r="G18" s="670">
        <f>(VLOOKUP(表1_86121816[[#This Row],[目标区服]],$Q$26:$R$29,2,FALSE)-表1_86121816[[#This Row],[开服天数]])*配置!$B$2</f>
        <v>20</v>
      </c>
      <c r="H18" s="669" t="s">
        <v>26</v>
      </c>
      <c r="I18" s="669">
        <f>IF(表1_86121816[[#This Row],[原国家]]="魏",0,IF(表1_86121816[[#This Row],[原国家]]="蜀",1,2))</f>
        <v>1</v>
      </c>
      <c r="J18" s="670">
        <v>2</v>
      </c>
      <c r="K18" s="670">
        <v>89</v>
      </c>
      <c r="L18" s="670">
        <v>2</v>
      </c>
      <c r="M18" s="670">
        <v>14</v>
      </c>
      <c r="N18" s="670">
        <v>75986</v>
      </c>
      <c r="O18" s="670">
        <v>2075931</v>
      </c>
      <c r="P18" s="678">
        <v>11798596</v>
      </c>
      <c r="Q18" s="679" t="s">
        <v>27</v>
      </c>
      <c r="R18" s="669">
        <f>IF(表1_86121816[[#This Row],[目标国家]]="魏",0,IF(表1_86121816[[#This Row],[目标国家]]="蜀",1,2))</f>
        <v>2</v>
      </c>
      <c r="S18" s="670">
        <v>48552</v>
      </c>
      <c r="T18" s="670">
        <v>0</v>
      </c>
      <c r="U18" s="670">
        <v>355910</v>
      </c>
      <c r="V18" s="670">
        <v>6360</v>
      </c>
      <c r="W18" s="681" t="str">
        <f>"{"&amp;"'coin':"&amp;表1_86121816[[#This Row],[补偿Coin]]&amp;",'"&amp;配置!$A$2&amp;"':"&amp;表1_86121816[[#This Row],[补偿辎重]]&amp;"},"</f>
        <v>{'coin':2000,'item036':20},</v>
      </c>
      <c r="X18" s="682" t="str">
        <f>"            'to_zone':'"&amp;表1_86121816[[#This Row],[目标区服]]&amp;"',
            'reward':"&amp;表1_86121816[[#This Row],[辅助导出]]&amp;"
            'country':["&amp;R17&amp;","&amp;R18&amp;","&amp;R19&amp;"],"</f>
        <v>            'to_zone':'h1_21',
            'reward':{'coin':2000,'item036':20},
            'country':[1,2,2],</v>
      </c>
    </row>
    <row r="19" ht="14.25" customHeight="1" spans="1:24">
      <c r="A19" s="667">
        <v>56</v>
      </c>
      <c r="B19" s="667">
        <f>VLOOKUP(表1_86121816[[#This Row],[区服]],$O$26:$P$33,2,FALSE)</f>
        <v>43</v>
      </c>
      <c r="C19" s="668" t="s">
        <v>58</v>
      </c>
      <c r="D19" s="669" t="str">
        <f>表1_86121816[[#This Row],[目标国家]]</f>
        <v>吴</v>
      </c>
      <c r="E19" s="670">
        <f>(VLOOKUP(表1_86121816[[#This Row],[目标区服]],$Q$26:$R$29,2,FALSE)-表1_86121816[[#This Row],[开服天数]])*配置!$B$1</f>
        <v>2000</v>
      </c>
      <c r="F19" s="670">
        <f>表1_86121816[[#This Row],[补偿Coin]]*(表1_86121816[[#This Row],[活跃高战玩家数]]+表1_86121816[[#This Row],[活跃中坚玩家数]])</f>
        <v>46000</v>
      </c>
      <c r="G19" s="670">
        <f>(VLOOKUP(表1_86121816[[#This Row],[目标区服]],$Q$26:$R$29,2,FALSE)-表1_86121816[[#This Row],[开服天数]])*配置!$B$2</f>
        <v>20</v>
      </c>
      <c r="H19" s="669" t="s">
        <v>27</v>
      </c>
      <c r="I19" s="669">
        <f>IF(表1_86121816[[#This Row],[原国家]]="魏",0,IF(表1_86121816[[#This Row],[原国家]]="蜀",1,2))</f>
        <v>2</v>
      </c>
      <c r="J19" s="670">
        <v>3</v>
      </c>
      <c r="K19" s="670">
        <v>164</v>
      </c>
      <c r="L19" s="670">
        <v>4</v>
      </c>
      <c r="M19" s="670">
        <v>19</v>
      </c>
      <c r="N19" s="670">
        <v>105243</v>
      </c>
      <c r="O19" s="670">
        <v>2902654</v>
      </c>
      <c r="P19" s="678">
        <v>18563507</v>
      </c>
      <c r="Q19" s="679" t="s">
        <v>27</v>
      </c>
      <c r="R19" s="669">
        <f>IF(表1_86121816[[#This Row],[目标国家]]="魏",0,IF(表1_86121816[[#This Row],[目标国家]]="蜀",1,2))</f>
        <v>2</v>
      </c>
      <c r="S19" s="670">
        <v>128662</v>
      </c>
      <c r="T19" s="670">
        <v>6</v>
      </c>
      <c r="U19" s="670">
        <v>721132</v>
      </c>
      <c r="V19" s="670">
        <v>11445</v>
      </c>
      <c r="W19" s="681" t="str">
        <f>"{"&amp;"'coin':"&amp;表1_86121816[[#This Row],[补偿Coin]]&amp;",'"&amp;配置!$A$2&amp;"':"&amp;表1_86121816[[#This Row],[补偿辎重]]&amp;"},"</f>
        <v>{'coin':2000,'item036':20},</v>
      </c>
      <c r="X19" s="682" t="str">
        <f t="shared" ref="X19" si="3">"      },"</f>
        <v>      },</v>
      </c>
    </row>
    <row r="20" ht="14.25" customHeight="1" spans="1:24">
      <c r="A20" s="17"/>
      <c r="B20" s="17"/>
      <c r="C20" s="18"/>
      <c r="D20" s="19"/>
      <c r="E20" s="20"/>
      <c r="F20" s="20"/>
      <c r="G20" s="20"/>
      <c r="H20" s="19"/>
      <c r="I20" s="19"/>
      <c r="J20" s="20"/>
      <c r="K20" s="20"/>
      <c r="L20" s="20"/>
      <c r="M20" s="20"/>
      <c r="N20" s="20"/>
      <c r="O20" s="20"/>
      <c r="P20" s="26"/>
      <c r="Q20" s="31"/>
      <c r="R20" s="19"/>
      <c r="S20" s="20"/>
      <c r="T20" s="20"/>
      <c r="U20" s="20"/>
      <c r="V20" s="20"/>
      <c r="W20" s="33"/>
      <c r="X20" s="34"/>
    </row>
    <row r="21" ht="14.25" customHeight="1" spans="1:24">
      <c r="A21" s="17"/>
      <c r="B21" s="17"/>
      <c r="C21" s="18"/>
      <c r="D21" s="19"/>
      <c r="E21" s="20"/>
      <c r="F21" s="20"/>
      <c r="G21" s="20"/>
      <c r="H21" s="19"/>
      <c r="I21" s="19"/>
      <c r="J21" s="20"/>
      <c r="K21" s="20"/>
      <c r="L21" s="20"/>
      <c r="M21" s="20"/>
      <c r="N21" s="20"/>
      <c r="O21" s="20"/>
      <c r="P21" s="26"/>
      <c r="Q21" s="31"/>
      <c r="R21" s="19"/>
      <c r="S21" s="20"/>
      <c r="T21" s="20"/>
      <c r="U21" s="20"/>
      <c r="V21" s="20"/>
      <c r="W21" s="33"/>
      <c r="X21" s="34"/>
    </row>
    <row r="22" ht="14.25" customHeight="1" spans="1:24">
      <c r="A22" s="17"/>
      <c r="B22" s="17"/>
      <c r="C22" s="18"/>
      <c r="D22" s="19"/>
      <c r="E22" s="20"/>
      <c r="F22" s="20"/>
      <c r="G22" s="20"/>
      <c r="H22" s="19"/>
      <c r="I22" s="19"/>
      <c r="J22" s="20"/>
      <c r="K22" s="20"/>
      <c r="L22" s="20"/>
      <c r="M22" s="20"/>
      <c r="N22" s="20"/>
      <c r="O22" s="20"/>
      <c r="P22" s="26"/>
      <c r="Q22" s="31"/>
      <c r="R22" s="19"/>
      <c r="S22" s="20"/>
      <c r="T22" s="20"/>
      <c r="U22" s="20"/>
      <c r="V22" s="20"/>
      <c r="W22" s="33"/>
      <c r="X22" s="34"/>
    </row>
    <row r="25" ht="37.5" customHeight="1" spans="1:18">
      <c r="A25" s="36" t="s">
        <v>28</v>
      </c>
      <c r="B25" s="37" t="s">
        <v>29</v>
      </c>
      <c r="C25" s="38" t="s">
        <v>30</v>
      </c>
      <c r="D25" s="38" t="s">
        <v>31</v>
      </c>
      <c r="E25" s="38" t="s">
        <v>32</v>
      </c>
      <c r="F25" s="38" t="s">
        <v>33</v>
      </c>
      <c r="G25" s="38" t="s">
        <v>15</v>
      </c>
      <c r="H25" s="37" t="s">
        <v>18</v>
      </c>
      <c r="I25" s="37" t="s">
        <v>19</v>
      </c>
      <c r="J25" s="37" t="s">
        <v>34</v>
      </c>
      <c r="K25" s="38" t="s">
        <v>35</v>
      </c>
      <c r="L25" s="38" t="s">
        <v>36</v>
      </c>
      <c r="M25" s="38" t="s">
        <v>37</v>
      </c>
      <c r="O25" s="51" t="s">
        <v>0</v>
      </c>
      <c r="P25" s="51" t="s">
        <v>1</v>
      </c>
      <c r="Q25" s="51"/>
      <c r="R25" s="51" t="s">
        <v>38</v>
      </c>
    </row>
    <row r="26" ht="15" spans="1:18">
      <c r="A26" s="39" t="s">
        <v>57</v>
      </c>
      <c r="B26" s="39" t="s">
        <v>25</v>
      </c>
      <c r="C26" s="39">
        <f>COUNTIFS(表1_86121816[目标区服],表2_97131917[[#This Row],[合区区服]],表1_86121816[目标国家（映射）],表2_97131917[[#This Row],[国家]])</f>
        <v>2</v>
      </c>
      <c r="D26" s="39">
        <f>SUMIFS(表1_86121816[活跃高战玩家数],表1_86121816[目标区服],表2_97131917[[#This Row],[合区区服]],表1_86121816[目标国家（映射）],表2_97131917[[#This Row],[国家]])</f>
        <v>13</v>
      </c>
      <c r="E26" s="39">
        <f>SUMIFS(表1_86121816[活跃中坚玩家数],表1_86121816[目标区服],表2_97131917[[#This Row],[合区区服]],表1_86121816[目标国家（映射）],表2_97131917[[#This Row],[国家]])</f>
        <v>26</v>
      </c>
      <c r="F26" s="39">
        <f t="array" ref="F26">MAX((表1_86121816[目标区服]=表2_97131917[[#This Row],[合区区服]])*(表1_86121816[目标国家（映射）]=表2_97131917[[#This Row],[国家]])*表1_86121816[活跃尖端战力])</f>
        <v>2956714</v>
      </c>
      <c r="G26" s="40">
        <f>SUMIFS(表1_86121816[活跃总战力],表1_86121816[目标区服],表2_97131917[[#This Row],[合区区服]],表1_86121816[目标国家（映射）],表2_97131917[[#This Row],[国家]])</f>
        <v>34674163</v>
      </c>
      <c r="H26" s="39">
        <f>SUMIFS(表1_86121816[活跃实际充值],表1_86121816[目标区服],表2_97131917[[#This Row],[合区区服]],表1_86121816[目标国家（映射）],表2_97131917[[#This Row],[国家]])</f>
        <v>108494</v>
      </c>
      <c r="I26" s="39">
        <f>SUMIFS(表1_86121816[活跃虚拟充值],表1_86121816[目标区服],表2_97131917[[#This Row],[合区区服]],表1_86121816[目标国家（映射）],表2_97131917[[#This Row],[国家]])</f>
        <v>0</v>
      </c>
      <c r="J26" s="39">
        <f>SUMIFS(表1_86121816[活跃Coin],表1_86121816[目标区服],表2_97131917[[#This Row],[合区区服]],表1_86121816[目标国家（映射）],表2_97131917[[#This Row],[国家]])</f>
        <v>659768</v>
      </c>
      <c r="K26" s="39">
        <f>SUMIFS(表1_86121816[共计补偿Coin],表1_86121816[目标区服],表2_97131917[[#This Row],[合区区服]],表1_86121816[目标国家（映射）],表2_97131917[[#This Row],[国家]])</f>
        <v>56000</v>
      </c>
      <c r="L26" s="39">
        <f>表2_97131917[[#This Row],[活跃Coin]]+表2_97131917[[#This Row],[共计补偿Coin]]</f>
        <v>715768</v>
      </c>
      <c r="M26" s="39">
        <f>SUMIFS(表1_86121816[综合国力],表1_86121816[目标区服],表2_97131917[[#This Row],[合区区服]],表1_86121816[目标国家（映射）],表2_97131917[[#This Row],[国家]])</f>
        <v>18693</v>
      </c>
      <c r="O26" s="51">
        <v>51</v>
      </c>
      <c r="P26" s="51">
        <v>48</v>
      </c>
      <c r="Q26" s="51" t="s">
        <v>57</v>
      </c>
      <c r="R26" s="51">
        <v>50</v>
      </c>
    </row>
    <row r="27" ht="15" spans="1:18">
      <c r="A27" s="39" t="s">
        <v>57</v>
      </c>
      <c r="B27" s="39" t="s">
        <v>26</v>
      </c>
      <c r="C27" s="39">
        <f>COUNTIFS(表1_86121816[目标区服],表2_97131917[[#This Row],[合区区服]],表1_86121816[目标国家（映射）],表2_97131917[[#This Row],[国家]])</f>
        <v>4</v>
      </c>
      <c r="D27" s="39">
        <f>SUMIFS(表1_86121816[活跃高战玩家数],表1_86121816[目标区服],表2_97131917[[#This Row],[合区区服]],表1_86121816[目标国家（映射）],表2_97131917[[#This Row],[国家]])</f>
        <v>9</v>
      </c>
      <c r="E27" s="39">
        <f>SUMIFS(表1_86121816[活跃中坚玩家数],表1_86121816[目标区服],表2_97131917[[#This Row],[合区区服]],表1_86121816[目标国家（映射）],表2_97131917[[#This Row],[国家]])</f>
        <v>48</v>
      </c>
      <c r="F27" s="39">
        <f t="array" ref="F27">MAX((表1_86121816[目标区服]=表2_97131917[[#This Row],[合区区服]])*(表1_86121816[目标国家（映射）]=表2_97131917[[#This Row],[国家]])*表1_86121816[活跃尖端战力])</f>
        <v>2048956</v>
      </c>
      <c r="G27" s="40">
        <f>SUMIFS(表1_86121816[活跃总战力],表1_86121816[目标区服],表2_97131917[[#This Row],[合区区服]],表1_86121816[目标国家（映射）],表2_97131917[[#This Row],[国家]])</f>
        <v>32122585</v>
      </c>
      <c r="H27" s="39">
        <f>SUMIFS(表1_86121816[活跃实际充值],表1_86121816[目标区服],表2_97131917[[#This Row],[合区区服]],表1_86121816[目标国家（映射）],表2_97131917[[#This Row],[国家]])</f>
        <v>36724</v>
      </c>
      <c r="I27" s="39">
        <f>SUMIFS(表1_86121816[活跃虚拟充值],表1_86121816[目标区服],表2_97131917[[#This Row],[合区区服]],表1_86121816[目标国家（映射）],表2_97131917[[#This Row],[国家]])</f>
        <v>2256</v>
      </c>
      <c r="J27" s="39">
        <f>SUMIFS(表1_86121816[活跃Coin],表1_86121816[目标区服],表2_97131917[[#This Row],[合区区服]],表1_86121816[目标国家（映射）],表2_97131917[[#This Row],[国家]])</f>
        <v>515891</v>
      </c>
      <c r="K27" s="39">
        <f>SUMIFS(表1_86121816[共计补偿Coin],表1_86121816[目标区服],表2_97131917[[#This Row],[合区区服]],表1_86121816[目标国家（映射）],表2_97131917[[#This Row],[国家]])</f>
        <v>79500</v>
      </c>
      <c r="L27" s="39">
        <f>表2_97131917[[#This Row],[活跃Coin]]+表2_97131917[[#This Row],[共计补偿Coin]]</f>
        <v>595391</v>
      </c>
      <c r="M27" s="39">
        <f>SUMIFS(表1_86121816[综合国力],表1_86121816[目标区服],表2_97131917[[#This Row],[合区区服]],表1_86121816[目标国家（映射）],表2_97131917[[#This Row],[国家]])</f>
        <v>16812</v>
      </c>
      <c r="O27" s="51">
        <v>52</v>
      </c>
      <c r="P27" s="51">
        <v>47</v>
      </c>
      <c r="Q27" s="51" t="s">
        <v>58</v>
      </c>
      <c r="R27" s="51">
        <v>47</v>
      </c>
    </row>
    <row r="28" ht="15" spans="1:18">
      <c r="A28" s="39" t="s">
        <v>57</v>
      </c>
      <c r="B28" s="39" t="s">
        <v>27</v>
      </c>
      <c r="C28" s="39">
        <f>COUNTIFS(表1_86121816[目标区服],表2_97131917[[#This Row],[合区区服]],表1_86121816[目标国家（映射）],表2_97131917[[#This Row],[国家]])</f>
        <v>3</v>
      </c>
      <c r="D28" s="39">
        <f>SUMIFS(表1_86121816[活跃高战玩家数],表1_86121816[目标区服],表2_97131917[[#This Row],[合区区服]],表1_86121816[目标国家（映射）],表2_97131917[[#This Row],[国家]])</f>
        <v>6</v>
      </c>
      <c r="E28" s="39">
        <f>SUMIFS(表1_86121816[活跃中坚玩家数],表1_86121816[目标区服],表2_97131917[[#This Row],[合区区服]],表1_86121816[目标国家（映射）],表2_97131917[[#This Row],[国家]])</f>
        <v>47</v>
      </c>
      <c r="F28" s="39">
        <f t="array" ref="F28">MAX((表1_86121816[目标区服]=表2_97131917[[#This Row],[合区区服]])*(表1_86121816[目标国家（映射）]=表2_97131917[[#This Row],[国家]])*表1_86121816[活跃尖端战力])</f>
        <v>1988519</v>
      </c>
      <c r="G28" s="40">
        <f>SUMIFS(表1_86121816[活跃总战力],表1_86121816[目标区服],表2_97131917[[#This Row],[合区区服]],表1_86121816[目标国家（映射）],表2_97131917[[#This Row],[国家]])</f>
        <v>32423197</v>
      </c>
      <c r="H28" s="39">
        <f>SUMIFS(表1_86121816[活跃实际充值],表1_86121816[目标区服],表2_97131917[[#This Row],[合区区服]],表1_86121816[目标国家（映射）],表2_97131917[[#This Row],[国家]])</f>
        <v>82180</v>
      </c>
      <c r="I28" s="39">
        <f>SUMIFS(表1_86121816[活跃虚拟充值],表1_86121816[目标区服],表2_97131917[[#This Row],[合区区服]],表1_86121816[目标国家（映射）],表2_97131917[[#This Row],[国家]])</f>
        <v>0</v>
      </c>
      <c r="J28" s="39">
        <f>SUMIFS(表1_86121816[活跃Coin],表1_86121816[目标区服],表2_97131917[[#This Row],[合区区服]],表1_86121816[目标国家（映射）],表2_97131917[[#This Row],[国家]])</f>
        <v>551938</v>
      </c>
      <c r="K28" s="39">
        <f>SUMIFS(表1_86121816[共计补偿Coin],表1_86121816[目标区服],表2_97131917[[#This Row],[合区区服]],表1_86121816[目标国家（映射）],表2_97131917[[#This Row],[国家]])</f>
        <v>98000</v>
      </c>
      <c r="L28" s="39">
        <f>表2_97131917[[#This Row],[活跃Coin]]+表2_97131917[[#This Row],[共计补偿Coin]]</f>
        <v>649938</v>
      </c>
      <c r="M28" s="39">
        <f>SUMIFS(表1_86121816[综合国力],表1_86121816[目标区服],表2_97131917[[#This Row],[合区区服]],表1_86121816[目标国家（映射）],表2_97131917[[#This Row],[国家]])</f>
        <v>15554</v>
      </c>
      <c r="O28" s="51">
        <v>53</v>
      </c>
      <c r="P28" s="51">
        <v>46</v>
      </c>
      <c r="Q28" s="51"/>
      <c r="R28" s="51"/>
    </row>
    <row r="29" ht="15" spans="1:18">
      <c r="A29" s="41" t="s">
        <v>58</v>
      </c>
      <c r="B29" s="41" t="s">
        <v>25</v>
      </c>
      <c r="C29" s="41">
        <f>COUNTIFS(表1_86121816[目标区服],表2_97131917[[#This Row],[合区区服]],表1_86121816[目标国家（映射）],表2_97131917[[#This Row],[国家]])</f>
        <v>2</v>
      </c>
      <c r="D29" s="41">
        <f>SUMIFS(表1_86121816[活跃高战玩家数],表1_86121816[目标区服],表2_97131917[[#This Row],[合区区服]],表1_86121816[目标国家（映射）],表2_97131917[[#This Row],[国家]])</f>
        <v>10</v>
      </c>
      <c r="E29" s="41">
        <f>SUMIFS(表1_86121816[活跃中坚玩家数],表1_86121816[目标区服],表2_97131917[[#This Row],[合区区服]],表1_86121816[目标国家（映射）],表2_97131917[[#This Row],[国家]])</f>
        <v>40</v>
      </c>
      <c r="F29" s="41">
        <f t="array" ref="F29">MAX((表1_86121816[目标区服]=表2_97131917[[#This Row],[合区区服]])*(表1_86121816[目标国家（映射）]=表2_97131917[[#This Row],[国家]])*表1_86121816[活跃尖端战力])</f>
        <v>3323569</v>
      </c>
      <c r="G29" s="42">
        <f>SUMIFS(表1_86121816[活跃总战力],表1_86121816[目标区服],表2_97131917[[#This Row],[合区区服]],表1_86121816[目标国家（映射）],表2_97131917[[#This Row],[国家]])</f>
        <v>42010816</v>
      </c>
      <c r="H29" s="41">
        <f>SUMIFS(表1_86121816[活跃实际充值],表1_86121816[目标区服],表2_97131917[[#This Row],[合区区服]],表1_86121816[目标国家（映射）],表2_97131917[[#This Row],[国家]])</f>
        <v>207162</v>
      </c>
      <c r="I29" s="41">
        <f>SUMIFS(表1_86121816[活跃虚拟充值],表1_86121816[目标区服],表2_97131917[[#This Row],[合区区服]],表1_86121816[目标国家（映射）],表2_97131917[[#This Row],[国家]])</f>
        <v>2776</v>
      </c>
      <c r="J29" s="41">
        <f>SUMIFS(表1_86121816[活跃Coin],表1_86121816[目标区服],表2_97131917[[#This Row],[合区区服]],表1_86121816[目标国家（映射）],表2_97131917[[#This Row],[国家]])</f>
        <v>1345296</v>
      </c>
      <c r="K29" s="41">
        <f>SUMIFS(表1_86121816[共计补偿Coin],表1_86121816[目标区服],表2_97131917[[#This Row],[合区区服]],表1_86121816[目标国家（映射）],表2_97131917[[#This Row],[国家]])</f>
        <v>61000</v>
      </c>
      <c r="L29" s="41">
        <f>表2_97131917[[#This Row],[活跃Coin]]+表2_97131917[[#This Row],[共计补偿Coin]]</f>
        <v>1406296</v>
      </c>
      <c r="M29" s="41">
        <f>SUMIFS(表1_86121816[综合国力],表1_86121816[目标区服],表2_97131917[[#This Row],[合区区服]],表1_86121816[目标国家（映射）],表2_97131917[[#This Row],[国家]])</f>
        <v>23184</v>
      </c>
      <c r="O29" s="51">
        <v>54</v>
      </c>
      <c r="P29" s="51">
        <v>45</v>
      </c>
      <c r="Q29" s="51"/>
      <c r="R29" s="51"/>
    </row>
    <row r="30" ht="15" spans="1:16">
      <c r="A30" s="41" t="s">
        <v>58</v>
      </c>
      <c r="B30" s="41" t="s">
        <v>26</v>
      </c>
      <c r="C30" s="41">
        <f>COUNTIFS(表1_86121816[目标区服],表2_97131917[[#This Row],[合区区服]],表1_86121816[目标国家（映射）],表2_97131917[[#This Row],[国家]])</f>
        <v>4</v>
      </c>
      <c r="D30" s="41">
        <f>SUMIFS(表1_86121816[活跃高战玩家数],表1_86121816[目标区服],表2_97131917[[#This Row],[合区区服]],表1_86121816[目标国家（映射）],表2_97131917[[#This Row],[国家]])</f>
        <v>9</v>
      </c>
      <c r="E30" s="41">
        <f>SUMIFS(表1_86121816[活跃中坚玩家数],表1_86121816[目标区服],表2_97131917[[#This Row],[合区区服]],表1_86121816[目标国家（映射）],表2_97131917[[#This Row],[国家]])</f>
        <v>58</v>
      </c>
      <c r="F30" s="41">
        <f t="array" ref="F30">MAX((表1_86121816[目标区服]=表2_97131917[[#This Row],[合区区服]])*(表1_86121816[目标国家（映射）]=表2_97131917[[#This Row],[国家]])*表1_86121816[活跃尖端战力])</f>
        <v>2335262</v>
      </c>
      <c r="G30" s="42">
        <f>SUMIFS(表1_86121816[活跃总战力],表1_86121816[目标区服],表2_97131917[[#This Row],[合区区服]],表1_86121816[目标国家（映射）],表2_97131917[[#This Row],[国家]])</f>
        <v>44143851</v>
      </c>
      <c r="H30" s="41">
        <f>SUMIFS(表1_86121816[活跃实际充值],表1_86121816[目标区服],表2_97131917[[#This Row],[合区区服]],表1_86121816[目标国家（映射）],表2_97131917[[#This Row],[国家]])</f>
        <v>79916</v>
      </c>
      <c r="I30" s="41">
        <f>SUMIFS(表1_86121816[活跃虚拟充值],表1_86121816[目标区服],表2_97131917[[#This Row],[合区区服]],表1_86121816[目标国家（映射）],表2_97131917[[#This Row],[国家]])</f>
        <v>3774</v>
      </c>
      <c r="J30" s="41">
        <f>SUMIFS(表1_86121816[活跃Coin],表1_86121816[目标区服],表2_97131917[[#This Row],[合区区服]],表1_86121816[目标国家（映射）],表2_97131917[[#This Row],[国家]])</f>
        <v>699905</v>
      </c>
      <c r="K30" s="41">
        <f>SUMIFS(表1_86121816[共计补偿Coin],表1_86121816[目标区服],表2_97131917[[#This Row],[合区区服]],表1_86121816[目标国家（映射）],表2_97131917[[#This Row],[国家]])</f>
        <v>104000</v>
      </c>
      <c r="L30" s="41">
        <f>表2_97131917[[#This Row],[活跃Coin]]+表2_97131917[[#This Row],[共计补偿Coin]]</f>
        <v>803905</v>
      </c>
      <c r="M30" s="41">
        <f>SUMIFS(表1_86121816[综合国力],表1_86121816[目标区服],表2_97131917[[#This Row],[合区区服]],表1_86121816[目标国家（映射）],表2_97131917[[#This Row],[国家]])</f>
        <v>20206</v>
      </c>
      <c r="O30" s="51">
        <v>55</v>
      </c>
      <c r="P30" s="51">
        <v>44</v>
      </c>
    </row>
    <row r="31" ht="15" spans="1:16">
      <c r="A31" s="41" t="s">
        <v>58</v>
      </c>
      <c r="B31" s="43" t="s">
        <v>27</v>
      </c>
      <c r="C31" s="43">
        <f>COUNTIFS(表1_86121816[目标区服],表2_97131917[[#This Row],[合区区服]],表1_86121816[目标国家（映射）],表2_97131917[[#This Row],[国家]])</f>
        <v>3</v>
      </c>
      <c r="D31" s="43">
        <f>SUMIFS(表1_86121816[活跃高战玩家数],表1_86121816[目标区服],表2_97131917[[#This Row],[合区区服]],表1_86121816[目标国家（映射）],表2_97131917[[#This Row],[国家]])</f>
        <v>8</v>
      </c>
      <c r="E31" s="43">
        <f>SUMIFS(表1_86121816[活跃中坚玩家数],表1_86121816[目标区服],表2_97131917[[#This Row],[合区区服]],表1_86121816[目标国家（映射）],表2_97131917[[#This Row],[国家]])</f>
        <v>44</v>
      </c>
      <c r="F31" s="43">
        <f t="array" ref="F31">MAX((表1_86121816[目标区服]=表2_97131917[[#This Row],[合区区服]])*(表1_86121816[目标国家（映射）]=表2_97131917[[#This Row],[国家]])*表1_86121816[活跃尖端战力])</f>
        <v>2902654</v>
      </c>
      <c r="G31" s="44">
        <f>SUMIFS(表1_86121816[活跃总战力],表1_86121816[目标区服],表2_97131917[[#This Row],[合区区服]],表1_86121816[目标国家（映射）],表2_97131917[[#This Row],[国家]])</f>
        <v>39289479</v>
      </c>
      <c r="H31" s="43">
        <f>SUMIFS(表1_86121816[活跃实际充值],表1_86121816[目标区服],表2_97131917[[#This Row],[合区区服]],表1_86121816[目标国家（映射）],表2_97131917[[#This Row],[国家]])</f>
        <v>241354</v>
      </c>
      <c r="I31" s="43">
        <f>SUMIFS(表1_86121816[活跃虚拟充值],表1_86121816[目标区服],表2_97131917[[#This Row],[合区区服]],表1_86121816[目标国家（映射）],表2_97131917[[#This Row],[国家]])</f>
        <v>6</v>
      </c>
      <c r="J31" s="43">
        <f>SUMIFS(表1_86121816[活跃Coin],表1_86121816[目标区服],表2_97131917[[#This Row],[合区区服]],表1_86121816[目标国家（映射）],表2_97131917[[#This Row],[国家]])</f>
        <v>1413526</v>
      </c>
      <c r="K31" s="43">
        <f>SUMIFS(表1_86121816[共计补偿Coin],表1_86121816[目标区服],表2_97131917[[#This Row],[合区区服]],表1_86121816[目标国家（映射）],表2_97131917[[#This Row],[国家]])</f>
        <v>91000</v>
      </c>
      <c r="L31" s="43">
        <f>表2_97131917[[#This Row],[活跃Coin]]+表2_97131917[[#This Row],[共计补偿Coin]]</f>
        <v>1504526</v>
      </c>
      <c r="M31" s="43">
        <f>SUMIFS(表1_86121816[综合国力],表1_86121816[目标区服],表2_97131917[[#This Row],[合区区服]],表1_86121816[目标国家（映射）],表2_97131917[[#This Row],[国家]])</f>
        <v>24497</v>
      </c>
      <c r="O31" s="51">
        <v>56</v>
      </c>
      <c r="P31" s="51">
        <v>43</v>
      </c>
    </row>
    <row r="32" ht="15" spans="1:16">
      <c r="A32" s="45" t="s">
        <v>56</v>
      </c>
      <c r="B32" s="46" t="s">
        <v>25</v>
      </c>
      <c r="C32" s="46">
        <f>COUNTIFS(表1_86121816[目标区服],表2_97131917[[#This Row],[合区区服]],表1_86121816[目标国家（映射）],表2_97131917[[#This Row],[国家]])</f>
        <v>0</v>
      </c>
      <c r="D32" s="46">
        <f>SUMIFS(表1_86121816[活跃高战玩家数],表1_86121816[目标区服],表2_97131917[[#This Row],[合区区服]],表1_86121816[目标国家（映射）],表2_97131917[[#This Row],[国家]])</f>
        <v>0</v>
      </c>
      <c r="E32" s="46">
        <f>SUMIFS(表1_86121816[活跃中坚玩家数],表1_86121816[目标区服],表2_97131917[[#This Row],[合区区服]],表1_86121816[目标国家（映射）],表2_97131917[[#This Row],[国家]])</f>
        <v>0</v>
      </c>
      <c r="F32" s="46">
        <f t="array" ref="F32">MAX((表1_86121816[目标区服]=表2_97131917[[#This Row],[合区区服]])*(表1_86121816[目标国家（映射）]=表2_97131917[[#This Row],[国家]])*表1_86121816[活跃尖端战力])</f>
        <v>0</v>
      </c>
      <c r="G32" s="47">
        <f>SUMIFS(表1_86121816[活跃总战力],表1_86121816[目标区服],表2_97131917[[#This Row],[合区区服]],表1_86121816[目标国家（映射）],表2_97131917[[#This Row],[国家]])</f>
        <v>0</v>
      </c>
      <c r="H32" s="46">
        <f>SUMIFS(表1_86121816[活跃实际充值],表1_86121816[目标区服],表2_97131917[[#This Row],[合区区服]],表1_86121816[目标国家（映射）],表2_97131917[[#This Row],[国家]])</f>
        <v>0</v>
      </c>
      <c r="I32" s="46">
        <f>SUMIFS(表1_86121816[活跃虚拟充值],表1_86121816[目标区服],表2_97131917[[#This Row],[合区区服]],表1_86121816[目标国家（映射）],表2_97131917[[#This Row],[国家]])</f>
        <v>0</v>
      </c>
      <c r="J32" s="46">
        <f>SUMIFS(表1_86121816[活跃Coin],表1_86121816[目标区服],表2_97131917[[#This Row],[合区区服]],表1_86121816[目标国家（映射）],表2_97131917[[#This Row],[国家]])</f>
        <v>0</v>
      </c>
      <c r="K32" s="46">
        <f>SUMIFS(表1_86121816[共计补偿Coin],表1_86121816[目标区服],表2_97131917[[#This Row],[合区区服]],表1_86121816[目标国家（映射）],表2_97131917[[#This Row],[国家]])</f>
        <v>0</v>
      </c>
      <c r="L32" s="46">
        <f>表2_97131917[[#This Row],[活跃Coin]]+表2_97131917[[#This Row],[共计补偿Coin]]</f>
        <v>0</v>
      </c>
      <c r="M32" s="46">
        <f>SUMIFS(表1_86121816[综合国力],表1_86121816[目标区服],表2_97131917[[#This Row],[合区区服]],表1_86121816[目标国家（映射）],表2_97131917[[#This Row],[国家]])</f>
        <v>0</v>
      </c>
      <c r="O32" s="51"/>
      <c r="P32" s="51"/>
    </row>
    <row r="33" ht="15" spans="1:16">
      <c r="A33" s="45" t="s">
        <v>56</v>
      </c>
      <c r="B33" s="46" t="s">
        <v>26</v>
      </c>
      <c r="C33" s="46">
        <f>COUNTIFS(表1_86121816[目标区服],表2_97131917[[#This Row],[合区区服]],表1_86121816[目标国家（映射）],表2_97131917[[#This Row],[国家]])</f>
        <v>0</v>
      </c>
      <c r="D33" s="46">
        <f>SUMIFS(表1_86121816[活跃高战玩家数],表1_86121816[目标区服],表2_97131917[[#This Row],[合区区服]],表1_86121816[目标国家（映射）],表2_97131917[[#This Row],[国家]])</f>
        <v>0</v>
      </c>
      <c r="E33" s="46">
        <f>SUMIFS(表1_86121816[活跃中坚玩家数],表1_86121816[目标区服],表2_97131917[[#This Row],[合区区服]],表1_86121816[目标国家（映射）],表2_97131917[[#This Row],[国家]])</f>
        <v>0</v>
      </c>
      <c r="F33" s="46">
        <f t="array" ref="F33">MAX((表1_86121816[目标区服]=表2_97131917[[#This Row],[合区区服]])*(表1_86121816[目标国家（映射）]=表2_97131917[[#This Row],[国家]])*表1_86121816[活跃尖端战力])</f>
        <v>0</v>
      </c>
      <c r="G33" s="47">
        <f>SUMIFS(表1_86121816[活跃总战力],表1_86121816[目标区服],表2_97131917[[#This Row],[合区区服]],表1_86121816[目标国家（映射）],表2_97131917[[#This Row],[国家]])</f>
        <v>0</v>
      </c>
      <c r="H33" s="46">
        <f>SUMIFS(表1_86121816[活跃实际充值],表1_86121816[目标区服],表2_97131917[[#This Row],[合区区服]],表1_86121816[目标国家（映射）],表2_97131917[[#This Row],[国家]])</f>
        <v>0</v>
      </c>
      <c r="I33" s="46">
        <f>SUMIFS(表1_86121816[活跃虚拟充值],表1_86121816[目标区服],表2_97131917[[#This Row],[合区区服]],表1_86121816[目标国家（映射）],表2_97131917[[#This Row],[国家]])</f>
        <v>0</v>
      </c>
      <c r="J33" s="46">
        <f>SUMIFS(表1_86121816[活跃Coin],表1_86121816[目标区服],表2_97131917[[#This Row],[合区区服]],表1_86121816[目标国家（映射）],表2_97131917[[#This Row],[国家]])</f>
        <v>0</v>
      </c>
      <c r="K33" s="46">
        <f>SUMIFS(表1_86121816[共计补偿Coin],表1_86121816[目标区服],表2_97131917[[#This Row],[合区区服]],表1_86121816[目标国家（映射）],表2_97131917[[#This Row],[国家]])</f>
        <v>0</v>
      </c>
      <c r="L33" s="46">
        <f>表2_97131917[[#This Row],[活跃Coin]]+表2_97131917[[#This Row],[共计补偿Coin]]</f>
        <v>0</v>
      </c>
      <c r="M33" s="46">
        <f>SUMIFS(表1_86121816[综合国力],表1_86121816[目标区服],表2_97131917[[#This Row],[合区区服]],表1_86121816[目标国家（映射）],表2_97131917[[#This Row],[国家]])</f>
        <v>0</v>
      </c>
      <c r="O33" s="51"/>
      <c r="P33" s="51"/>
    </row>
    <row r="34" ht="15" spans="1:13">
      <c r="A34" s="45" t="s">
        <v>56</v>
      </c>
      <c r="B34" s="48" t="s">
        <v>27</v>
      </c>
      <c r="C34" s="48">
        <f>COUNTIFS(表1_86121816[目标区服],表2_97131917[[#This Row],[合区区服]],表1_86121816[目标国家（映射）],表2_97131917[[#This Row],[国家]])</f>
        <v>0</v>
      </c>
      <c r="D34" s="48">
        <f>SUMIFS(表1_86121816[活跃高战玩家数],表1_86121816[目标区服],表2_97131917[[#This Row],[合区区服]],表1_86121816[目标国家（映射）],表2_97131917[[#This Row],[国家]])</f>
        <v>0</v>
      </c>
      <c r="E34" s="48">
        <f>SUMIFS(表1_86121816[活跃中坚玩家数],表1_86121816[目标区服],表2_97131917[[#This Row],[合区区服]],表1_86121816[目标国家（映射）],表2_97131917[[#This Row],[国家]])</f>
        <v>0</v>
      </c>
      <c r="F34" s="48">
        <f t="array" ref="F34">MAX((表1_86121816[目标区服]=表2_97131917[[#This Row],[合区区服]])*(表1_86121816[目标国家（映射）]=表2_97131917[[#This Row],[国家]])*表1_86121816[活跃尖端战力])</f>
        <v>0</v>
      </c>
      <c r="G34" s="458">
        <f>SUMIFS(表1_86121816[活跃总战力],表1_86121816[目标区服],表2_97131917[[#This Row],[合区区服]],表1_86121816[目标国家（映射）],表2_97131917[[#This Row],[国家]])</f>
        <v>0</v>
      </c>
      <c r="H34" s="48">
        <f>SUMIFS(表1_86121816[活跃实际充值],表1_86121816[目标区服],表2_97131917[[#This Row],[合区区服]],表1_86121816[目标国家（映射）],表2_97131917[[#This Row],[国家]])</f>
        <v>0</v>
      </c>
      <c r="I34" s="48">
        <f>SUMIFS(表1_86121816[活跃虚拟充值],表1_86121816[目标区服],表2_97131917[[#This Row],[合区区服]],表1_86121816[目标国家（映射）],表2_97131917[[#This Row],[国家]])</f>
        <v>0</v>
      </c>
      <c r="J34" s="48">
        <f>SUMIFS(表1_86121816[活跃Coin],表1_86121816[目标区服],表2_97131917[[#This Row],[合区区服]],表1_86121816[目标国家（映射）],表2_97131917[[#This Row],[国家]])</f>
        <v>0</v>
      </c>
      <c r="K34" s="48">
        <f>SUMIFS(表1_86121816[共计补偿Coin],表1_86121816[目标区服],表2_97131917[[#This Row],[合区区服]],表1_86121816[目标国家（映射）],表2_97131917[[#This Row],[国家]])</f>
        <v>0</v>
      </c>
      <c r="L34" s="48">
        <f>表2_97131917[[#This Row],[活跃Coin]]+表2_97131917[[#This Row],[共计补偿Coin]]</f>
        <v>0</v>
      </c>
      <c r="M34" s="48">
        <f>SUMIFS(表1_86121816[综合国力],表1_86121816[目标区服],表2_97131917[[#This Row],[合区区服]],表1_86121816[目标国家（映射）],表2_97131917[[#This Row],[国家]])</f>
        <v>0</v>
      </c>
    </row>
    <row r="40" ht="27" spans="1:12">
      <c r="A40" s="49"/>
      <c r="B40" s="50" t="s">
        <v>9</v>
      </c>
      <c r="C40" s="50" t="s">
        <v>10</v>
      </c>
      <c r="D40" s="50" t="s">
        <v>11</v>
      </c>
      <c r="E40" s="50" t="s">
        <v>12</v>
      </c>
      <c r="F40" s="50" t="s">
        <v>13</v>
      </c>
      <c r="G40" s="50" t="s">
        <v>14</v>
      </c>
      <c r="H40" s="50" t="s">
        <v>15</v>
      </c>
      <c r="I40" s="50" t="s">
        <v>18</v>
      </c>
      <c r="J40" s="50" t="s">
        <v>19</v>
      </c>
      <c r="K40" s="50" t="s">
        <v>20</v>
      </c>
      <c r="L40" s="50" t="s">
        <v>21</v>
      </c>
    </row>
    <row r="41" spans="1:12">
      <c r="A41" s="50" t="s">
        <v>25</v>
      </c>
      <c r="B41" s="50">
        <v>9</v>
      </c>
      <c r="C41" s="50">
        <v>333</v>
      </c>
      <c r="D41" s="50">
        <v>10</v>
      </c>
      <c r="E41" s="50">
        <v>12</v>
      </c>
      <c r="F41" s="50">
        <v>160595</v>
      </c>
      <c r="G41" s="50">
        <v>2956714</v>
      </c>
      <c r="H41" s="50">
        <v>23891878</v>
      </c>
      <c r="I41" s="50">
        <v>85906</v>
      </c>
      <c r="J41" s="50">
        <v>0</v>
      </c>
      <c r="K41" s="50">
        <v>367849</v>
      </c>
      <c r="L41" s="50">
        <v>13139</v>
      </c>
    </row>
    <row r="42" spans="1:12">
      <c r="A42" s="50" t="s">
        <v>26</v>
      </c>
      <c r="B42" s="50">
        <v>0</v>
      </c>
      <c r="C42" s="50">
        <v>32</v>
      </c>
      <c r="D42" s="50">
        <v>0</v>
      </c>
      <c r="E42" s="50">
        <v>12</v>
      </c>
      <c r="F42" s="50">
        <v>42352</v>
      </c>
      <c r="G42" s="50">
        <v>893229</v>
      </c>
      <c r="H42" s="50">
        <v>4486694</v>
      </c>
      <c r="I42" s="50">
        <v>5286</v>
      </c>
      <c r="J42" s="50">
        <v>128</v>
      </c>
      <c r="K42" s="50">
        <v>148010</v>
      </c>
      <c r="L42" s="50">
        <v>2107</v>
      </c>
    </row>
    <row r="43" spans="1:12">
      <c r="A43" s="50" t="s">
        <v>27</v>
      </c>
      <c r="B43" s="50">
        <v>0</v>
      </c>
      <c r="C43" s="50">
        <v>30</v>
      </c>
      <c r="D43" s="50">
        <v>0</v>
      </c>
      <c r="E43" s="50">
        <v>8</v>
      </c>
      <c r="F43" s="50">
        <v>40744</v>
      </c>
      <c r="G43" s="50">
        <v>823599</v>
      </c>
      <c r="H43" s="50">
        <v>3996632</v>
      </c>
      <c r="I43" s="50">
        <v>2096</v>
      </c>
      <c r="J43" s="50">
        <v>0</v>
      </c>
      <c r="K43" s="50">
        <v>19324</v>
      </c>
      <c r="L43" s="50">
        <v>1799</v>
      </c>
    </row>
    <row r="44" spans="1:12">
      <c r="A44" s="50" t="s">
        <v>25</v>
      </c>
      <c r="B44" s="50">
        <v>6</v>
      </c>
      <c r="C44" s="50">
        <v>243</v>
      </c>
      <c r="D44" s="50">
        <v>7</v>
      </c>
      <c r="E44" s="50">
        <v>13</v>
      </c>
      <c r="F44" s="50">
        <v>126396</v>
      </c>
      <c r="G44" s="50">
        <v>2048956</v>
      </c>
      <c r="H44" s="50">
        <v>14619842</v>
      </c>
      <c r="I44" s="50">
        <v>9784</v>
      </c>
      <c r="J44" s="50">
        <v>0</v>
      </c>
      <c r="K44" s="50">
        <v>189468</v>
      </c>
      <c r="L44" s="50">
        <v>7561</v>
      </c>
    </row>
    <row r="45" spans="1:12">
      <c r="A45" s="50" t="s">
        <v>26</v>
      </c>
      <c r="B45" s="50">
        <v>1</v>
      </c>
      <c r="C45" s="50">
        <v>62</v>
      </c>
      <c r="D45" s="50">
        <v>1</v>
      </c>
      <c r="E45" s="50">
        <v>11</v>
      </c>
      <c r="F45" s="50">
        <v>56867</v>
      </c>
      <c r="G45" s="50">
        <v>1514288</v>
      </c>
      <c r="H45" s="50">
        <v>6868600</v>
      </c>
      <c r="I45" s="50">
        <v>19644</v>
      </c>
      <c r="J45" s="50">
        <v>0</v>
      </c>
      <c r="K45" s="50">
        <v>74144</v>
      </c>
      <c r="L45" s="50">
        <v>3831</v>
      </c>
    </row>
    <row r="46" spans="1:12">
      <c r="A46" s="50" t="s">
        <v>27</v>
      </c>
      <c r="B46" s="50">
        <v>2</v>
      </c>
      <c r="C46" s="50">
        <v>90</v>
      </c>
      <c r="D46" s="50">
        <v>1</v>
      </c>
      <c r="E46" s="50">
        <v>12</v>
      </c>
      <c r="F46" s="50">
        <v>54929</v>
      </c>
      <c r="G46" s="50">
        <v>1190377</v>
      </c>
      <c r="H46" s="50">
        <v>6147449</v>
      </c>
      <c r="I46" s="50">
        <v>2010</v>
      </c>
      <c r="J46" s="50">
        <v>2128</v>
      </c>
      <c r="K46" s="50">
        <v>104269</v>
      </c>
      <c r="L46" s="50">
        <v>3313</v>
      </c>
    </row>
    <row r="47" spans="1:12">
      <c r="A47" s="50" t="s">
        <v>25</v>
      </c>
      <c r="B47" s="50">
        <v>3</v>
      </c>
      <c r="C47" s="50">
        <v>89</v>
      </c>
      <c r="D47" s="50">
        <v>3</v>
      </c>
      <c r="E47" s="50">
        <v>14</v>
      </c>
      <c r="F47" s="50">
        <v>70901</v>
      </c>
      <c r="G47" s="50">
        <v>2107809</v>
      </c>
      <c r="H47" s="50">
        <v>10782285</v>
      </c>
      <c r="I47" s="50">
        <v>22588</v>
      </c>
      <c r="J47" s="50">
        <v>0</v>
      </c>
      <c r="K47" s="50">
        <v>291919</v>
      </c>
      <c r="L47" s="50">
        <v>5554</v>
      </c>
    </row>
    <row r="48" spans="1:12">
      <c r="A48" s="50" t="s">
        <v>26</v>
      </c>
      <c r="B48" s="50">
        <v>4</v>
      </c>
      <c r="C48" s="50">
        <v>228</v>
      </c>
      <c r="D48" s="50">
        <v>4</v>
      </c>
      <c r="E48" s="50">
        <v>21</v>
      </c>
      <c r="F48" s="50">
        <v>121126</v>
      </c>
      <c r="G48" s="50">
        <v>1988519</v>
      </c>
      <c r="H48" s="50">
        <v>17116842</v>
      </c>
      <c r="I48" s="50">
        <v>73548</v>
      </c>
      <c r="J48" s="50">
        <v>0</v>
      </c>
      <c r="K48" s="50">
        <v>284061</v>
      </c>
      <c r="L48" s="50">
        <v>9334</v>
      </c>
    </row>
    <row r="49" spans="1:12">
      <c r="A49" s="50" t="s">
        <v>27</v>
      </c>
      <c r="B49" s="50">
        <v>2</v>
      </c>
      <c r="C49" s="50">
        <v>78</v>
      </c>
      <c r="D49" s="50">
        <v>2</v>
      </c>
      <c r="E49" s="50">
        <v>18</v>
      </c>
      <c r="F49" s="50">
        <v>83724</v>
      </c>
      <c r="G49" s="50">
        <v>1571860</v>
      </c>
      <c r="H49" s="50">
        <v>11309723</v>
      </c>
      <c r="I49" s="50">
        <v>6536</v>
      </c>
      <c r="J49" s="50">
        <v>0</v>
      </c>
      <c r="K49" s="50">
        <v>248553</v>
      </c>
      <c r="L49" s="50">
        <v>4421</v>
      </c>
    </row>
    <row r="50" spans="1:12">
      <c r="A50" s="50" t="s">
        <v>25</v>
      </c>
      <c r="B50" s="50">
        <v>0</v>
      </c>
      <c r="C50" s="50">
        <v>30</v>
      </c>
      <c r="D50" s="50">
        <v>0</v>
      </c>
      <c r="E50" s="50">
        <v>14</v>
      </c>
      <c r="F50" s="50">
        <v>58460</v>
      </c>
      <c r="G50" s="50">
        <v>1325104</v>
      </c>
      <c r="H50" s="50">
        <v>7957209</v>
      </c>
      <c r="I50" s="50">
        <v>20362</v>
      </c>
      <c r="J50" s="50">
        <v>0</v>
      </c>
      <c r="K50" s="50">
        <v>79672</v>
      </c>
      <c r="L50" s="50">
        <v>3363</v>
      </c>
    </row>
    <row r="51" spans="1:12">
      <c r="A51" s="50" t="s">
        <v>26</v>
      </c>
      <c r="B51" s="50">
        <v>7</v>
      </c>
      <c r="C51" s="50">
        <v>290</v>
      </c>
      <c r="D51" s="50">
        <v>7</v>
      </c>
      <c r="E51" s="50">
        <v>21</v>
      </c>
      <c r="F51" s="50">
        <v>163641</v>
      </c>
      <c r="G51" s="50">
        <v>3323569</v>
      </c>
      <c r="H51" s="50">
        <v>28477924</v>
      </c>
      <c r="I51" s="50">
        <v>188608</v>
      </c>
      <c r="J51" s="50">
        <v>648</v>
      </c>
      <c r="K51" s="50">
        <v>1091666</v>
      </c>
      <c r="L51" s="50">
        <v>16800</v>
      </c>
    </row>
    <row r="52" spans="1:12">
      <c r="A52" s="50" t="s">
        <v>27</v>
      </c>
      <c r="B52" s="50">
        <v>2</v>
      </c>
      <c r="C52" s="50">
        <v>75</v>
      </c>
      <c r="D52" s="50">
        <v>2</v>
      </c>
      <c r="E52" s="50">
        <v>11</v>
      </c>
      <c r="F52" s="50">
        <v>48285</v>
      </c>
      <c r="G52" s="50">
        <v>2515694</v>
      </c>
      <c r="H52" s="50">
        <v>8927376</v>
      </c>
      <c r="I52" s="50">
        <v>64140</v>
      </c>
      <c r="J52" s="50">
        <v>0</v>
      </c>
      <c r="K52" s="50">
        <v>336484</v>
      </c>
      <c r="L52" s="50">
        <v>6692</v>
      </c>
    </row>
    <row r="53" spans="1:12">
      <c r="A53" s="50" t="s">
        <v>25</v>
      </c>
      <c r="B53" s="50">
        <v>4</v>
      </c>
      <c r="C53" s="50">
        <v>135</v>
      </c>
      <c r="D53" s="50">
        <v>5</v>
      </c>
      <c r="E53" s="50">
        <v>19</v>
      </c>
      <c r="F53" s="50">
        <v>113533</v>
      </c>
      <c r="G53" s="50">
        <v>1856559</v>
      </c>
      <c r="H53" s="50">
        <v>14441170</v>
      </c>
      <c r="I53" s="50">
        <v>19900</v>
      </c>
      <c r="J53" s="50">
        <v>3774</v>
      </c>
      <c r="K53" s="50">
        <v>191094</v>
      </c>
      <c r="L53" s="50">
        <v>6348</v>
      </c>
    </row>
    <row r="54" spans="1:12">
      <c r="A54" s="50" t="s">
        <v>26</v>
      </c>
      <c r="B54" s="50">
        <v>3</v>
      </c>
      <c r="C54" s="50">
        <v>184</v>
      </c>
      <c r="D54" s="50">
        <v>3</v>
      </c>
      <c r="E54" s="50">
        <v>19</v>
      </c>
      <c r="F54" s="50">
        <v>109110</v>
      </c>
      <c r="G54" s="50">
        <v>1641335</v>
      </c>
      <c r="H54" s="50">
        <v>13532892</v>
      </c>
      <c r="I54" s="50">
        <v>18554</v>
      </c>
      <c r="J54" s="50">
        <v>2128</v>
      </c>
      <c r="K54" s="50">
        <v>253630</v>
      </c>
      <c r="L54" s="50">
        <v>6384</v>
      </c>
    </row>
    <row r="55" spans="1:12">
      <c r="A55" s="50" t="s">
        <v>27</v>
      </c>
      <c r="B55" s="50">
        <v>2</v>
      </c>
      <c r="C55" s="50">
        <v>76</v>
      </c>
      <c r="D55" s="50">
        <v>0</v>
      </c>
      <c r="E55" s="50">
        <v>8</v>
      </c>
      <c r="F55" s="50">
        <v>35231</v>
      </c>
      <c r="G55" s="50">
        <v>1056097</v>
      </c>
      <c r="H55" s="50">
        <v>4168062</v>
      </c>
      <c r="I55" s="50">
        <v>3478</v>
      </c>
      <c r="J55" s="50">
        <v>0</v>
      </c>
      <c r="K55" s="50">
        <v>108035</v>
      </c>
      <c r="L55" s="50">
        <v>2767</v>
      </c>
    </row>
    <row r="56" spans="1:12">
      <c r="A56" s="50" t="s">
        <v>25</v>
      </c>
      <c r="B56" s="50">
        <v>4</v>
      </c>
      <c r="C56" s="50">
        <v>142</v>
      </c>
      <c r="D56" s="50">
        <v>4</v>
      </c>
      <c r="E56" s="50">
        <v>17</v>
      </c>
      <c r="F56" s="50">
        <v>114021</v>
      </c>
      <c r="G56" s="50">
        <v>2335262</v>
      </c>
      <c r="H56" s="50">
        <v>17577410</v>
      </c>
      <c r="I56" s="50">
        <v>36176</v>
      </c>
      <c r="J56" s="50">
        <v>0</v>
      </c>
      <c r="K56" s="50">
        <v>321104</v>
      </c>
      <c r="L56" s="50">
        <v>7728</v>
      </c>
    </row>
    <row r="57" spans="1:12">
      <c r="A57" s="50" t="s">
        <v>26</v>
      </c>
      <c r="B57" s="50">
        <v>2</v>
      </c>
      <c r="C57" s="50">
        <v>89</v>
      </c>
      <c r="D57" s="50">
        <v>2</v>
      </c>
      <c r="E57" s="50">
        <v>14</v>
      </c>
      <c r="F57" s="50">
        <v>75986</v>
      </c>
      <c r="G57" s="50">
        <v>2075931</v>
      </c>
      <c r="H57" s="50">
        <v>11798596</v>
      </c>
      <c r="I57" s="50">
        <v>48552</v>
      </c>
      <c r="J57" s="50">
        <v>0</v>
      </c>
      <c r="K57" s="50">
        <v>355910</v>
      </c>
      <c r="L57" s="50">
        <v>6360</v>
      </c>
    </row>
    <row r="58" spans="1:12">
      <c r="A58" s="50" t="s">
        <v>27</v>
      </c>
      <c r="B58" s="50">
        <v>3</v>
      </c>
      <c r="C58" s="50">
        <v>164</v>
      </c>
      <c r="D58" s="50">
        <v>4</v>
      </c>
      <c r="E58" s="50">
        <v>19</v>
      </c>
      <c r="F58" s="50">
        <v>105243</v>
      </c>
      <c r="G58" s="50">
        <v>2902654</v>
      </c>
      <c r="H58" s="50">
        <v>18563507</v>
      </c>
      <c r="I58" s="50">
        <v>128662</v>
      </c>
      <c r="J58" s="50">
        <v>6</v>
      </c>
      <c r="K58" s="50">
        <v>721132</v>
      </c>
      <c r="L58" s="50">
        <v>11445</v>
      </c>
    </row>
    <row r="59" spans="1:12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</row>
    <row r="60" spans="1:12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</row>
    <row r="61" spans="1:12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</row>
  </sheetData>
  <conditionalFormatting sqref="F26:F2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{1375b41d-0ed3-47f8-87e9-e00f537fefc9}</x14:id>
        </ext>
      </extLst>
    </cfRule>
  </conditionalFormatting>
  <conditionalFormatting sqref="F29:F31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{92a9c69b-bc7b-41b7-8be0-1da48c72b235}</x14:id>
        </ext>
      </extLst>
    </cfRule>
  </conditionalFormatting>
  <conditionalFormatting sqref="F32:F34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{e158b319-112e-4124-8700-d4ef797fa02b}</x14:id>
        </ext>
      </extLst>
    </cfRule>
  </conditionalFormatting>
  <conditionalFormatting sqref="G26:G28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{63855780-4e31-47c0-85cb-c30452e09920}</x14:id>
        </ext>
      </extLst>
    </cfRule>
  </conditionalFormatting>
  <conditionalFormatting sqref="G29:G3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{5280fe1c-180e-43cf-826b-960c039e6c5c}</x14:id>
        </ext>
      </extLst>
    </cfRule>
  </conditionalFormatting>
  <conditionalFormatting sqref="G32:G34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{bf09bdd2-409c-495b-b195-f0abe0260a79}</x14:id>
        </ext>
      </extLst>
    </cfRule>
  </conditionalFormatting>
  <conditionalFormatting sqref="O2:O19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{d99583a4-d1ad-4c6e-9472-21cf4426a990}</x14:id>
        </ext>
      </extLst>
    </cfRule>
  </conditionalFormatting>
  <conditionalFormatting sqref="O20:O22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{42661988-d427-4f19-9d79-94dc50ee4f2e}</x14:id>
        </ext>
      </extLst>
    </cfRule>
  </conditionalFormatting>
  <conditionalFormatting sqref="O26:O33">
    <cfRule type="cellIs" dxfId="37" priority="13" operator="equal">
      <formula>$S$26</formula>
    </cfRule>
  </conditionalFormatting>
  <conditionalFormatting sqref="P2:P19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{2c23b597-e877-4204-bf01-d170be6dc883}</x14:id>
        </ext>
      </extLst>
    </cfRule>
  </conditionalFormatting>
  <conditionalFormatting sqref="P20:P2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{90ddaf9c-1178-41df-915d-a8abe793d4b3}</x14:id>
        </ext>
      </extLst>
    </cfRule>
  </conditionalFormatting>
  <conditionalFormatting sqref="Q2:Q19">
    <cfRule type="cellIs" dxfId="38" priority="10" operator="equal">
      <formula>配置!$D$4</formula>
    </cfRule>
    <cfRule type="cellIs" dxfId="39" priority="11" operator="equal">
      <formula>配置!$D$3</formula>
    </cfRule>
    <cfRule type="cellIs" dxfId="37" priority="12" operator="equal">
      <formula>配置!$D$2</formula>
    </cfRule>
  </conditionalFormatting>
  <conditionalFormatting sqref="Q20:Q22">
    <cfRule type="cellIs" dxfId="38" priority="1" operator="equal">
      <formula>配置!$D$4</formula>
    </cfRule>
    <cfRule type="cellIs" dxfId="39" priority="2" operator="equal">
      <formula>配置!$D$3</formula>
    </cfRule>
    <cfRule type="cellIs" dxfId="37" priority="3" operator="equal">
      <formula>配置!$D$2</formula>
    </cfRule>
    <cfRule type="cellIs" dxfId="38" priority="6" operator="equal">
      <formula>配置!$D$4</formula>
    </cfRule>
    <cfRule type="cellIs" dxfId="37" priority="7" operator="equal">
      <formula>配置!$D$2</formula>
    </cfRule>
  </conditionalFormatting>
  <conditionalFormatting sqref="Q26:Q29">
    <cfRule type="cellIs" dxfId="37" priority="14" operator="equal">
      <formula>$S$26</formula>
    </cfRule>
  </conditionalFormatting>
  <conditionalFormatting sqref="O23:O24 Q1:R1 Q2 Q4:Q19">
    <cfRule type="cellIs" dxfId="37" priority="22" operator="equal">
      <formula>配置!$D$2</formula>
    </cfRule>
  </conditionalFormatting>
  <conditionalFormatting sqref="Q2 Q4:Q19">
    <cfRule type="cellIs" dxfId="38" priority="21" operator="equal">
      <formula>配置!$D$4</formula>
    </cfRule>
  </conditionalFormatting>
  <dataValidations count="1">
    <dataValidation type="list" allowBlank="1" showInputMessage="1" showErrorMessage="1" sqref="Q2:Q22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375b41d-0ed3-47f8-87e9-e00f537fef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92a9c69b-bc7b-41b7-8be0-1da48c72b2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e158b319-112e-4124-8700-d4ef797fa0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63855780-4e31-47c0-85cb-c30452e099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5280fe1c-180e-43cf-826b-960c039e6c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bf09bdd2-409c-495b-b195-f0abe0260a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d99583a4-d1ad-4c6e-9472-21cf4426a9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42661988-d427-4f19-9d79-94dc50ee4f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2c23b597-e877-4204-bf01-d170be6dc8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90ddaf9c-1178-41df-915d-a8abe793d4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1"/>
  <sheetViews>
    <sheetView workbookViewId="0">
      <selection activeCell="J23" sqref="A3:J23"/>
    </sheetView>
  </sheetViews>
  <sheetFormatPr defaultColWidth="9" defaultRowHeight="13.5"/>
  <sheetData>
    <row r="1" s="1" customFormat="1" ht="27.75" spans="1:24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22</v>
      </c>
      <c r="X1" s="22" t="s">
        <v>23</v>
      </c>
    </row>
    <row r="2" s="657" customFormat="1" ht="14.25" customHeight="1" spans="1:24">
      <c r="A2" s="210">
        <v>57</v>
      </c>
      <c r="B2" s="210">
        <f>VLOOKUP(表1_8612181620[[#This Row],[区服]],$O$26:$P$33,2,FALSE)</f>
        <v>49</v>
      </c>
      <c r="C2" s="296" t="s">
        <v>59</v>
      </c>
      <c r="D2" s="684" t="str">
        <f>表1_8612181620[[#This Row],[目标国家]]</f>
        <v>魏</v>
      </c>
      <c r="E2" s="68">
        <f>(VLOOKUP(表1_8612181620[[#This Row],[目标区服]],$Q$26:$R$29,2,FALSE)-表1_8612181620[[#This Row],[开服天数]])*配置!$B$1</f>
        <v>1000</v>
      </c>
      <c r="F2" s="68">
        <f>表1_8612181620[[#This Row],[补偿Coin]]*(表1_8612181620[[#This Row],[活跃高战玩家数]]+表1_8612181620[[#This Row],[活跃中坚玩家数]])</f>
        <v>26000</v>
      </c>
      <c r="G2" s="68">
        <f>(VLOOKUP(表1_8612181620[[#This Row],[目标区服]],$Q$26:$R$29,2,FALSE)-表1_8612181620[[#This Row],[开服天数]])*配置!$B$2</f>
        <v>10</v>
      </c>
      <c r="H2" s="212" t="s">
        <v>25</v>
      </c>
      <c r="I2" s="212">
        <f>IF(表1_8612181620[[#This Row],[原国家]]="魏",0,IF(表1_8612181620[[#This Row],[原国家]]="蜀",1,2))</f>
        <v>0</v>
      </c>
      <c r="J2" s="213">
        <v>3</v>
      </c>
      <c r="K2" s="213">
        <v>132</v>
      </c>
      <c r="L2" s="213">
        <v>3</v>
      </c>
      <c r="M2" s="213">
        <v>23</v>
      </c>
      <c r="N2" s="213">
        <v>113393</v>
      </c>
      <c r="O2" s="213">
        <v>2839310</v>
      </c>
      <c r="P2" s="420">
        <v>22970740</v>
      </c>
      <c r="Q2" s="243" t="s">
        <v>25</v>
      </c>
      <c r="R2" s="212">
        <f>IF(表1_8612181620[[#This Row],[目标国家]]="魏",0,IF(表1_8612181620[[#This Row],[目标国家]]="蜀",1,2))</f>
        <v>0</v>
      </c>
      <c r="S2" s="213">
        <v>44046</v>
      </c>
      <c r="T2" s="213">
        <v>53526</v>
      </c>
      <c r="U2" s="213">
        <v>361296</v>
      </c>
      <c r="V2" s="213">
        <v>9360</v>
      </c>
      <c r="W2" s="245" t="str">
        <f>"{"&amp;"'coin':"&amp;表1_8612181620[[#This Row],[补偿Coin]]&amp;",'"&amp;配置!$A$2&amp;"':"&amp;表1_8612181620[[#This Row],[补偿辎重]]&amp;"},"</f>
        <v>{'coin':1000,'item036':10},</v>
      </c>
      <c r="X2" s="254" t="str">
        <f>"      '"&amp;表1_8612181620[[#This Row],[区服]]&amp;"':{"</f>
        <v>      '57':{</v>
      </c>
    </row>
    <row r="3" s="657" customFormat="1" ht="14.25" customHeight="1" spans="1:24">
      <c r="A3" s="259">
        <v>57</v>
      </c>
      <c r="B3" s="210">
        <f>VLOOKUP(表1_8612181620[[#This Row],[区服]],$O$26:$P$33,2,FALSE)</f>
        <v>49</v>
      </c>
      <c r="C3" s="296" t="s">
        <v>59</v>
      </c>
      <c r="D3" s="212" t="str">
        <f>表1_8612181620[[#This Row],[目标国家]]</f>
        <v>蜀</v>
      </c>
      <c r="E3" s="213">
        <f>(VLOOKUP(表1_8612181620[[#This Row],[目标区服]],$Q$26:$R$29,2,FALSE)-表1_8612181620[[#This Row],[开服天数]])*配置!$B$1</f>
        <v>1000</v>
      </c>
      <c r="F3" s="213">
        <f>表1_8612181620[[#This Row],[补偿Coin]]*(表1_8612181620[[#This Row],[活跃高战玩家数]]+表1_8612181620[[#This Row],[活跃中坚玩家数]])</f>
        <v>31000</v>
      </c>
      <c r="G3" s="213">
        <f>(VLOOKUP(表1_8612181620[[#This Row],[目标区服]],$Q$26:$R$29,2,FALSE)-表1_8612181620[[#This Row],[开服天数]])*配置!$B$2</f>
        <v>10</v>
      </c>
      <c r="H3" s="212" t="s">
        <v>26</v>
      </c>
      <c r="I3" s="212">
        <f>IF(表1_8612181620[[#This Row],[原国家]]="魏",0,IF(表1_8612181620[[#This Row],[原国家]]="蜀",1,2))</f>
        <v>1</v>
      </c>
      <c r="J3" s="213">
        <v>4</v>
      </c>
      <c r="K3" s="213">
        <v>189</v>
      </c>
      <c r="L3" s="213">
        <v>6</v>
      </c>
      <c r="M3" s="213">
        <v>25</v>
      </c>
      <c r="N3" s="213">
        <v>145486</v>
      </c>
      <c r="O3" s="213">
        <v>2457873</v>
      </c>
      <c r="P3" s="420">
        <v>27498531</v>
      </c>
      <c r="Q3" s="243" t="s">
        <v>26</v>
      </c>
      <c r="R3" s="212">
        <f>IF(表1_8612181620[[#This Row],[目标国家]]="魏",0,IF(表1_8612181620[[#This Row],[目标国家]]="蜀",1,2))</f>
        <v>1</v>
      </c>
      <c r="S3" s="213">
        <v>73930</v>
      </c>
      <c r="T3" s="213">
        <v>128</v>
      </c>
      <c r="U3" s="213">
        <v>399178</v>
      </c>
      <c r="V3" s="213">
        <v>10643</v>
      </c>
      <c r="W3" s="245" t="str">
        <f>"{"&amp;"'coin':"&amp;表1_8612181620[[#This Row],[补偿Coin]]&amp;",'"&amp;配置!$A$2&amp;"':"&amp;表1_8612181620[[#This Row],[补偿辎重]]&amp;"},"</f>
        <v>{'coin':1000,'item036':10},</v>
      </c>
      <c r="X3" s="254" t="str">
        <f>"            'to_zone':'"&amp;表1_8612181620[[#This Row],[目标区服]]&amp;"',
            'reward':"&amp;表1_8612181620[[#This Row],[辅助导出]]&amp;"
            'country':["&amp;R2&amp;","&amp;R3&amp;","&amp;R4&amp;"],"</f>
        <v>            'to_zone':'h1_22',
            'reward':{'coin':1000,'item036':10},
            'country':[0,1,1],</v>
      </c>
    </row>
    <row r="4" s="657" customFormat="1" ht="14.25" customHeight="1" spans="1:24">
      <c r="A4" s="259">
        <v>57</v>
      </c>
      <c r="B4" s="210">
        <f>VLOOKUP(表1_8612181620[[#This Row],[区服]],$O$26:$P$33,2,FALSE)</f>
        <v>49</v>
      </c>
      <c r="C4" s="296" t="s">
        <v>59</v>
      </c>
      <c r="D4" s="212" t="str">
        <f>表1_8612181620[[#This Row],[目标国家]]</f>
        <v>蜀</v>
      </c>
      <c r="E4" s="213">
        <f>(VLOOKUP(表1_8612181620[[#This Row],[目标区服]],$Q$26:$R$29,2,FALSE)-表1_8612181620[[#This Row],[开服天数]])*配置!$B$1</f>
        <v>1000</v>
      </c>
      <c r="F4" s="213">
        <f>表1_8612181620[[#This Row],[补偿Coin]]*(表1_8612181620[[#This Row],[活跃高战玩家数]]+表1_8612181620[[#This Row],[活跃中坚玩家数]])</f>
        <v>15000</v>
      </c>
      <c r="G4" s="213">
        <f>(VLOOKUP(表1_8612181620[[#This Row],[目标区服]],$Q$26:$R$29,2,FALSE)-表1_8612181620[[#This Row],[开服天数]])*配置!$B$2</f>
        <v>10</v>
      </c>
      <c r="H4" s="212" t="s">
        <v>27</v>
      </c>
      <c r="I4" s="212">
        <f>IF(表1_8612181620[[#This Row],[原国家]]="魏",0,IF(表1_8612181620[[#This Row],[原国家]]="蜀",1,2))</f>
        <v>2</v>
      </c>
      <c r="J4" s="213">
        <v>2</v>
      </c>
      <c r="K4" s="213">
        <v>74</v>
      </c>
      <c r="L4" s="213">
        <v>1</v>
      </c>
      <c r="M4" s="213">
        <v>14</v>
      </c>
      <c r="N4" s="213">
        <v>49333</v>
      </c>
      <c r="O4" s="213">
        <v>1616105</v>
      </c>
      <c r="P4" s="420">
        <v>9795535</v>
      </c>
      <c r="Q4" s="243" t="s">
        <v>26</v>
      </c>
      <c r="R4" s="212">
        <f>IF(表1_8612181620[[#This Row],[目标国家]]="魏",0,IF(表1_8612181620[[#This Row],[目标国家]]="蜀",1,2))</f>
        <v>1</v>
      </c>
      <c r="S4" s="213">
        <v>15836</v>
      </c>
      <c r="T4" s="213">
        <v>0</v>
      </c>
      <c r="U4" s="213">
        <v>182392</v>
      </c>
      <c r="V4" s="213">
        <v>4348</v>
      </c>
      <c r="W4" s="245" t="str">
        <f>"{"&amp;"'coin':"&amp;表1_8612181620[[#This Row],[补偿Coin]]&amp;",'"&amp;配置!$A$2&amp;"':"&amp;表1_8612181620[[#This Row],[补偿辎重]]&amp;"},"</f>
        <v>{'coin':1000,'item036':10},</v>
      </c>
      <c r="X4" s="254" t="str">
        <f>"      },"</f>
        <v>      },</v>
      </c>
    </row>
    <row r="5" s="657" customFormat="1" ht="14.25" customHeight="1" spans="1:24">
      <c r="A5" s="259">
        <v>58</v>
      </c>
      <c r="B5" s="210">
        <f>VLOOKUP(表1_8612181620[[#This Row],[区服]],$O$26:$P$33,2,FALSE)</f>
        <v>47</v>
      </c>
      <c r="C5" s="296" t="s">
        <v>59</v>
      </c>
      <c r="D5" s="212" t="str">
        <f>表1_8612181620[[#This Row],[目标国家]]</f>
        <v>吴</v>
      </c>
      <c r="E5" s="213">
        <f>(VLOOKUP(表1_8612181620[[#This Row],[目标区服]],$Q$26:$R$29,2,FALSE)-表1_8612181620[[#This Row],[开服天数]])*配置!$B$1</f>
        <v>2000</v>
      </c>
      <c r="F5" s="213">
        <f>表1_8612181620[[#This Row],[补偿Coin]]*(表1_8612181620[[#This Row],[活跃高战玩家数]]+表1_8612181620[[#This Row],[活跃中坚玩家数]])</f>
        <v>34000</v>
      </c>
      <c r="G5" s="213">
        <f>(VLOOKUP(表1_8612181620[[#This Row],[目标区服]],$Q$26:$R$29,2,FALSE)-表1_8612181620[[#This Row],[开服天数]])*配置!$B$2</f>
        <v>20</v>
      </c>
      <c r="H5" s="212" t="s">
        <v>25</v>
      </c>
      <c r="I5" s="212">
        <f>IF(表1_8612181620[[#This Row],[原国家]]="魏",0,IF(表1_8612181620[[#This Row],[原国家]]="蜀",1,2))</f>
        <v>0</v>
      </c>
      <c r="J5" s="213">
        <v>1</v>
      </c>
      <c r="K5" s="213">
        <v>67</v>
      </c>
      <c r="L5" s="213">
        <v>2</v>
      </c>
      <c r="M5" s="213">
        <v>15</v>
      </c>
      <c r="N5" s="213">
        <v>81160</v>
      </c>
      <c r="O5" s="213">
        <v>2095704</v>
      </c>
      <c r="P5" s="420">
        <v>12454851</v>
      </c>
      <c r="Q5" s="243" t="s">
        <v>27</v>
      </c>
      <c r="R5" s="212">
        <f>IF(表1_8612181620[[#This Row],[目标国家]]="魏",0,IF(表1_8612181620[[#This Row],[目标国家]]="蜀",1,2))</f>
        <v>2</v>
      </c>
      <c r="S5" s="213">
        <v>21906</v>
      </c>
      <c r="T5" s="213">
        <v>0</v>
      </c>
      <c r="U5" s="213">
        <v>445673</v>
      </c>
      <c r="V5" s="213">
        <v>5397</v>
      </c>
      <c r="W5" s="245" t="str">
        <f>"{"&amp;"'coin':"&amp;表1_8612181620[[#This Row],[补偿Coin]]&amp;",'"&amp;配置!$A$2&amp;"':"&amp;表1_8612181620[[#This Row],[补偿辎重]]&amp;"},"</f>
        <v>{'coin':2000,'item036':20},</v>
      </c>
      <c r="X5" s="254" t="str">
        <f>"      '"&amp;表1_8612181620[[#This Row],[区服]]&amp;"':{"</f>
        <v>      '58':{</v>
      </c>
    </row>
    <row r="6" s="657" customFormat="1" ht="14.25" customHeight="1" spans="1:24">
      <c r="A6" s="210">
        <v>58</v>
      </c>
      <c r="B6" s="210">
        <f>VLOOKUP(表1_8612181620[[#This Row],[区服]],$O$26:$P$33,2,FALSE)</f>
        <v>47</v>
      </c>
      <c r="C6" s="296" t="s">
        <v>59</v>
      </c>
      <c r="D6" s="212" t="str">
        <f>表1_8612181620[[#This Row],[目标国家]]</f>
        <v>魏</v>
      </c>
      <c r="E6" s="213">
        <f>(VLOOKUP(表1_8612181620[[#This Row],[目标区服]],$Q$26:$R$29,2,FALSE)-表1_8612181620[[#This Row],[开服天数]])*配置!$B$1</f>
        <v>2000</v>
      </c>
      <c r="F6" s="213">
        <f>表1_8612181620[[#This Row],[补偿Coin]]*(表1_8612181620[[#This Row],[活跃高战玩家数]]+表1_8612181620[[#This Row],[活跃中坚玩家数]])</f>
        <v>54000</v>
      </c>
      <c r="G6" s="213">
        <f>(VLOOKUP(表1_8612181620[[#This Row],[目标区服]],$Q$26:$R$29,2,FALSE)-表1_8612181620[[#This Row],[开服天数]])*配置!$B$2</f>
        <v>20</v>
      </c>
      <c r="H6" s="212" t="s">
        <v>26</v>
      </c>
      <c r="I6" s="212">
        <f>IF(表1_8612181620[[#This Row],[原国家]]="魏",0,IF(表1_8612181620[[#This Row],[原国家]]="蜀",1,2))</f>
        <v>1</v>
      </c>
      <c r="J6" s="213">
        <v>3</v>
      </c>
      <c r="K6" s="213">
        <v>154</v>
      </c>
      <c r="L6" s="213">
        <v>2</v>
      </c>
      <c r="M6" s="213">
        <v>25</v>
      </c>
      <c r="N6" s="213">
        <v>106807</v>
      </c>
      <c r="O6" s="213">
        <v>1933543</v>
      </c>
      <c r="P6" s="420">
        <v>16466156</v>
      </c>
      <c r="Q6" s="243" t="s">
        <v>25</v>
      </c>
      <c r="R6" s="212">
        <f>IF(表1_8612181620[[#This Row],[目标国家]]="魏",0,IF(表1_8612181620[[#This Row],[目标国家]]="蜀",1,2))</f>
        <v>0</v>
      </c>
      <c r="S6" s="213">
        <v>36470</v>
      </c>
      <c r="T6" s="213">
        <v>0</v>
      </c>
      <c r="U6" s="213">
        <v>313592</v>
      </c>
      <c r="V6" s="213">
        <v>7205</v>
      </c>
      <c r="W6" s="245" t="str">
        <f>"{"&amp;"'coin':"&amp;表1_8612181620[[#This Row],[补偿Coin]]&amp;",'"&amp;配置!$A$2&amp;"':"&amp;表1_8612181620[[#This Row],[补偿辎重]]&amp;"},"</f>
        <v>{'coin':2000,'item036':20},</v>
      </c>
      <c r="X6" s="254" t="str">
        <f>"            'to_zone':'"&amp;表1_8612181620[[#This Row],[目标区服]]&amp;"',
            'reward':"&amp;表1_8612181620[[#This Row],[辅助导出]]&amp;"
            'country':["&amp;R5&amp;","&amp;R6&amp;","&amp;R7&amp;"],"</f>
        <v>            'to_zone':'h1_22',
            'reward':{'coin':2000,'item036':20},
            'country':[2,0,2],</v>
      </c>
    </row>
    <row r="7" s="657" customFormat="1" ht="14.25" customHeight="1" spans="1:24">
      <c r="A7" s="210">
        <v>58</v>
      </c>
      <c r="B7" s="210">
        <f>VLOOKUP(表1_8612181620[[#This Row],[区服]],$O$26:$P$33,2,FALSE)</f>
        <v>47</v>
      </c>
      <c r="C7" s="296" t="s">
        <v>59</v>
      </c>
      <c r="D7" s="212" t="str">
        <f>表1_8612181620[[#This Row],[目标国家]]</f>
        <v>吴</v>
      </c>
      <c r="E7" s="213">
        <f>(VLOOKUP(表1_8612181620[[#This Row],[目标区服]],$Q$26:$R$29,2,FALSE)-表1_8612181620[[#This Row],[开服天数]])*配置!$B$1</f>
        <v>2000</v>
      </c>
      <c r="F7" s="213">
        <f>表1_8612181620[[#This Row],[补偿Coin]]*(表1_8612181620[[#This Row],[活跃高战玩家数]]+表1_8612181620[[#This Row],[活跃中坚玩家数]])</f>
        <v>48000</v>
      </c>
      <c r="G7" s="213">
        <f>(VLOOKUP(表1_8612181620[[#This Row],[目标区服]],$Q$26:$R$29,2,FALSE)-表1_8612181620[[#This Row],[开服天数]])*配置!$B$2</f>
        <v>20</v>
      </c>
      <c r="H7" s="212" t="s">
        <v>27</v>
      </c>
      <c r="I7" s="212">
        <f>IF(表1_8612181620[[#This Row],[原国家]]="魏",0,IF(表1_8612181620[[#This Row],[原国家]]="蜀",1,2))</f>
        <v>2</v>
      </c>
      <c r="J7" s="213">
        <v>5</v>
      </c>
      <c r="K7" s="213">
        <v>174</v>
      </c>
      <c r="L7" s="213">
        <v>5</v>
      </c>
      <c r="M7" s="213">
        <v>19</v>
      </c>
      <c r="N7" s="213">
        <v>104504</v>
      </c>
      <c r="O7" s="213">
        <v>2234540</v>
      </c>
      <c r="P7" s="420">
        <v>17004062</v>
      </c>
      <c r="Q7" s="243" t="s">
        <v>27</v>
      </c>
      <c r="R7" s="212">
        <f>IF(表1_8612181620[[#This Row],[目标国家]]="魏",0,IF(表1_8612181620[[#This Row],[目标国家]]="蜀",1,2))</f>
        <v>2</v>
      </c>
      <c r="S7" s="213">
        <v>59072</v>
      </c>
      <c r="T7" s="213">
        <v>68</v>
      </c>
      <c r="U7" s="213">
        <v>335321</v>
      </c>
      <c r="V7" s="213">
        <v>8637</v>
      </c>
      <c r="W7" s="245" t="str">
        <f>"{"&amp;"'coin':"&amp;表1_8612181620[[#This Row],[补偿Coin]]&amp;",'"&amp;配置!$A$2&amp;"':"&amp;表1_8612181620[[#This Row],[补偿辎重]]&amp;"},"</f>
        <v>{'coin':2000,'item036':20},</v>
      </c>
      <c r="X7" s="254" t="str">
        <f t="shared" ref="X7" si="0">"      },"</f>
        <v>      },</v>
      </c>
    </row>
    <row r="8" s="683" customFormat="1" ht="14.25" customHeight="1" spans="1:24">
      <c r="A8" s="367">
        <v>59</v>
      </c>
      <c r="B8" s="214">
        <f>VLOOKUP(表1_8612181620[[#This Row],[区服]],$O$26:$P$33,2,FALSE)</f>
        <v>45</v>
      </c>
      <c r="C8" s="293" t="s">
        <v>60</v>
      </c>
      <c r="D8" s="216" t="str">
        <f>表1_8612181620[[#This Row],[目标国家]]</f>
        <v>魏</v>
      </c>
      <c r="E8" s="217">
        <f>(VLOOKUP(表1_8612181620[[#This Row],[目标区服]],$Q$26:$R$29,2,FALSE)-表1_8612181620[[#This Row],[开服天数]])*配置!$B$1</f>
        <v>1000</v>
      </c>
      <c r="F8" s="217">
        <f>表1_8612181620[[#This Row],[补偿Coin]]*(表1_8612181620[[#This Row],[活跃高战玩家数]]+表1_8612181620[[#This Row],[活跃中坚玩家数]])</f>
        <v>18000</v>
      </c>
      <c r="G8" s="368">
        <f>(VLOOKUP(表1_8612181620[[#This Row],[目标区服]],$Q$26:$R$29,2,FALSE)-表1_8612181620[[#This Row],[开服天数]])*配置!$B$2</f>
        <v>10</v>
      </c>
      <c r="H8" s="216" t="s">
        <v>25</v>
      </c>
      <c r="I8" s="377">
        <f>IF(表1_8612181620[[#This Row],[原国家]]="魏",0,IF(表1_8612181620[[#This Row],[原国家]]="蜀",1,2))</f>
        <v>0</v>
      </c>
      <c r="J8" s="217">
        <v>2</v>
      </c>
      <c r="K8" s="217">
        <v>80</v>
      </c>
      <c r="L8" s="217">
        <v>2</v>
      </c>
      <c r="M8" s="217">
        <v>16</v>
      </c>
      <c r="N8" s="217">
        <v>57448</v>
      </c>
      <c r="O8" s="378">
        <v>2343685</v>
      </c>
      <c r="P8" s="334">
        <v>13631401</v>
      </c>
      <c r="Q8" s="247" t="s">
        <v>25</v>
      </c>
      <c r="R8" s="216">
        <f>IF(表1_8612181620[[#This Row],[目标国家]]="魏",0,IF(表1_8612181620[[#This Row],[目标国家]]="蜀",1,2))</f>
        <v>0</v>
      </c>
      <c r="S8" s="217">
        <v>33654</v>
      </c>
      <c r="T8" s="217">
        <v>0</v>
      </c>
      <c r="U8" s="217">
        <v>205916</v>
      </c>
      <c r="V8" s="217">
        <v>6106</v>
      </c>
      <c r="W8" s="382" t="str">
        <f>"{"&amp;"'coin':"&amp;表1_8612181620[[#This Row],[补偿Coin]]&amp;",'"&amp;配置!$A$2&amp;"':"&amp;表1_8612181620[[#This Row],[补偿辎重]]&amp;"},"</f>
        <v>{'coin':1000,'item036':10},</v>
      </c>
      <c r="X8" s="382" t="str">
        <f>"      '"&amp;表1_8612181620[[#This Row],[区服]]&amp;"':{"</f>
        <v>      '59':{</v>
      </c>
    </row>
    <row r="9" s="683" customFormat="1" ht="14.25" customHeight="1" spans="1:24">
      <c r="A9" s="367">
        <v>59</v>
      </c>
      <c r="B9" s="214">
        <f>VLOOKUP(表1_8612181620[[#This Row],[区服]],$O$26:$P$33,2,FALSE)</f>
        <v>45</v>
      </c>
      <c r="C9" s="293" t="s">
        <v>60</v>
      </c>
      <c r="D9" s="216" t="str">
        <f>表1_8612181620[[#This Row],[目标国家]]</f>
        <v>蜀</v>
      </c>
      <c r="E9" s="217">
        <f>(VLOOKUP(表1_8612181620[[#This Row],[目标区服]],$Q$26:$R$29,2,FALSE)-表1_8612181620[[#This Row],[开服天数]])*配置!$B$1</f>
        <v>1000</v>
      </c>
      <c r="F9" s="217">
        <f>表1_8612181620[[#This Row],[补偿Coin]]*(表1_8612181620[[#This Row],[活跃高战玩家数]]+表1_8612181620[[#This Row],[活跃中坚玩家数]])</f>
        <v>39000</v>
      </c>
      <c r="G9" s="368">
        <f>(VLOOKUP(表1_8612181620[[#This Row],[目标区服]],$Q$26:$R$29,2,FALSE)-表1_8612181620[[#This Row],[开服天数]])*配置!$B$2</f>
        <v>10</v>
      </c>
      <c r="H9" s="216" t="s">
        <v>26</v>
      </c>
      <c r="I9" s="377">
        <f>IF(表1_8612181620[[#This Row],[原国家]]="魏",0,IF(表1_8612181620[[#This Row],[原国家]]="蜀",1,2))</f>
        <v>1</v>
      </c>
      <c r="J9" s="217">
        <v>4</v>
      </c>
      <c r="K9" s="217">
        <v>204</v>
      </c>
      <c r="L9" s="217">
        <v>6</v>
      </c>
      <c r="M9" s="217">
        <v>33</v>
      </c>
      <c r="N9" s="217">
        <v>148774</v>
      </c>
      <c r="O9" s="378">
        <v>3430063</v>
      </c>
      <c r="P9" s="334">
        <v>33818782</v>
      </c>
      <c r="Q9" s="247" t="s">
        <v>26</v>
      </c>
      <c r="R9" s="216">
        <f>IF(表1_8612181620[[#This Row],[目标国家]]="魏",0,IF(表1_8612181620[[#This Row],[目标国家]]="蜀",1,2))</f>
        <v>1</v>
      </c>
      <c r="S9" s="217">
        <v>132906</v>
      </c>
      <c r="T9" s="217">
        <v>0</v>
      </c>
      <c r="U9" s="217">
        <v>953607</v>
      </c>
      <c r="V9" s="217">
        <v>14459</v>
      </c>
      <c r="W9" s="382" t="str">
        <f>"{"&amp;"'coin':"&amp;表1_8612181620[[#This Row],[补偿Coin]]&amp;",'"&amp;配置!$A$2&amp;"':"&amp;表1_8612181620[[#This Row],[补偿辎重]]&amp;"},"</f>
        <v>{'coin':1000,'item036':10},</v>
      </c>
      <c r="X9" s="382" t="str">
        <f>"            'to_zone':'"&amp;表1_8612181620[[#This Row],[目标区服]]&amp;"',
            'reward':"&amp;表1_8612181620[[#This Row],[辅助导出]]&amp;"
            'country':["&amp;R8&amp;","&amp;R9&amp;","&amp;R10&amp;"],"</f>
        <v>            'to_zone':'h1_23',
            'reward':{'coin':1000,'item036':10},
            'country':[0,1,2],</v>
      </c>
    </row>
    <row r="10" s="683" customFormat="1" ht="14.25" customHeight="1" spans="1:24">
      <c r="A10" s="367">
        <v>59</v>
      </c>
      <c r="B10" s="214">
        <f>VLOOKUP(表1_8612181620[[#This Row],[区服]],$O$26:$P$33,2,FALSE)</f>
        <v>45</v>
      </c>
      <c r="C10" s="293" t="s">
        <v>60</v>
      </c>
      <c r="D10" s="216" t="str">
        <f>表1_8612181620[[#This Row],[目标国家]]</f>
        <v>吴</v>
      </c>
      <c r="E10" s="217">
        <f>(VLOOKUP(表1_8612181620[[#This Row],[目标区服]],$Q$26:$R$29,2,FALSE)-表1_8612181620[[#This Row],[开服天数]])*配置!$B$1</f>
        <v>1000</v>
      </c>
      <c r="F10" s="217">
        <f>表1_8612181620[[#This Row],[补偿Coin]]*(表1_8612181620[[#This Row],[活跃高战玩家数]]+表1_8612181620[[#This Row],[活跃中坚玩家数]])</f>
        <v>31000</v>
      </c>
      <c r="G10" s="368">
        <f>(VLOOKUP(表1_8612181620[[#This Row],[目标区服]],$Q$26:$R$29,2,FALSE)-表1_8612181620[[#This Row],[开服天数]])*配置!$B$2</f>
        <v>10</v>
      </c>
      <c r="H10" s="216" t="s">
        <v>27</v>
      </c>
      <c r="I10" s="377">
        <f>IF(表1_8612181620[[#This Row],[原国家]]="魏",0,IF(表1_8612181620[[#This Row],[原国家]]="蜀",1,2))</f>
        <v>2</v>
      </c>
      <c r="J10" s="217">
        <v>3</v>
      </c>
      <c r="K10" s="217">
        <v>111</v>
      </c>
      <c r="L10" s="217">
        <v>2</v>
      </c>
      <c r="M10" s="217">
        <v>29</v>
      </c>
      <c r="N10" s="217">
        <v>123056</v>
      </c>
      <c r="O10" s="378">
        <v>2244400</v>
      </c>
      <c r="P10" s="334">
        <v>25305042</v>
      </c>
      <c r="Q10" s="247" t="s">
        <v>27</v>
      </c>
      <c r="R10" s="216">
        <f>IF(表1_8612181620[[#This Row],[目标国家]]="魏",0,IF(表1_8612181620[[#This Row],[目标国家]]="蜀",1,2))</f>
        <v>2</v>
      </c>
      <c r="S10" s="217">
        <v>74652</v>
      </c>
      <c r="T10" s="217">
        <v>264</v>
      </c>
      <c r="U10" s="217">
        <v>448012</v>
      </c>
      <c r="V10" s="217">
        <v>9266</v>
      </c>
      <c r="W10" s="382" t="str">
        <f>"{"&amp;"'coin':"&amp;表1_8612181620[[#This Row],[补偿Coin]]&amp;",'"&amp;配置!$A$2&amp;"':"&amp;表1_8612181620[[#This Row],[补偿辎重]]&amp;"},"</f>
        <v>{'coin':1000,'item036':10},</v>
      </c>
      <c r="X10" s="382" t="str">
        <f>"      },"</f>
        <v>      },</v>
      </c>
    </row>
    <row r="11" s="683" customFormat="1" ht="14.25" customHeight="1" spans="1:24">
      <c r="A11" s="367">
        <v>60</v>
      </c>
      <c r="B11" s="214">
        <f>VLOOKUP(表1_8612181620[[#This Row],[区服]],$O$26:$P$33,2,FALSE)</f>
        <v>43</v>
      </c>
      <c r="C11" s="293" t="s">
        <v>60</v>
      </c>
      <c r="D11" s="216" t="str">
        <f>表1_8612181620[[#This Row],[目标国家]]</f>
        <v>吴</v>
      </c>
      <c r="E11" s="217">
        <f>(VLOOKUP(表1_8612181620[[#This Row],[目标区服]],$Q$26:$R$29,2,FALSE)-表1_8612181620[[#This Row],[开服天数]])*配置!$B$1</f>
        <v>2000</v>
      </c>
      <c r="F11" s="217">
        <f>表1_8612181620[[#This Row],[补偿Coin]]*(表1_8612181620[[#This Row],[活跃高战玩家数]]+表1_8612181620[[#This Row],[活跃中坚玩家数]])</f>
        <v>42000</v>
      </c>
      <c r="G11" s="368">
        <f>(VLOOKUP(表1_8612181620[[#This Row],[目标区服]],$Q$26:$R$29,2,FALSE)-表1_8612181620[[#This Row],[开服天数]])*配置!$B$2</f>
        <v>20</v>
      </c>
      <c r="H11" s="216" t="s">
        <v>25</v>
      </c>
      <c r="I11" s="377">
        <f>IF(表1_8612181620[[#This Row],[原国家]]="魏",0,IF(表1_8612181620[[#This Row],[原国家]]="蜀",1,2))</f>
        <v>0</v>
      </c>
      <c r="J11" s="217">
        <v>3</v>
      </c>
      <c r="K11" s="217">
        <v>76</v>
      </c>
      <c r="L11" s="217">
        <v>3</v>
      </c>
      <c r="M11" s="217">
        <v>18</v>
      </c>
      <c r="N11" s="217">
        <v>69141</v>
      </c>
      <c r="O11" s="378">
        <v>1922057</v>
      </c>
      <c r="P11" s="334">
        <v>12762660</v>
      </c>
      <c r="Q11" s="247" t="s">
        <v>27</v>
      </c>
      <c r="R11" s="216">
        <f>IF(表1_8612181620[[#This Row],[目标国家]]="魏",0,IF(表1_8612181620[[#This Row],[目标国家]]="蜀",1,2))</f>
        <v>2</v>
      </c>
      <c r="S11" s="217">
        <v>21734</v>
      </c>
      <c r="T11" s="217">
        <v>0</v>
      </c>
      <c r="U11" s="217">
        <v>181129</v>
      </c>
      <c r="V11" s="217">
        <v>5346</v>
      </c>
      <c r="W11" s="382" t="str">
        <f>"{"&amp;"'coin':"&amp;表1_8612181620[[#This Row],[补偿Coin]]&amp;",'"&amp;配置!$A$2&amp;"':"&amp;表1_8612181620[[#This Row],[补偿辎重]]&amp;"},"</f>
        <v>{'coin':2000,'item036':20},</v>
      </c>
      <c r="X11" s="382" t="str">
        <f>"      '"&amp;表1_8612181620[[#This Row],[区服]]&amp;"':{"</f>
        <v>      '60':{</v>
      </c>
    </row>
    <row r="12" s="683" customFormat="1" ht="14.25" customHeight="1" spans="1:24">
      <c r="A12" s="367">
        <v>60</v>
      </c>
      <c r="B12" s="214">
        <f>VLOOKUP(表1_8612181620[[#This Row],[区服]],$O$26:$P$33,2,FALSE)</f>
        <v>43</v>
      </c>
      <c r="C12" s="293" t="s">
        <v>60</v>
      </c>
      <c r="D12" s="216" t="str">
        <f>表1_8612181620[[#This Row],[目标国家]]</f>
        <v>魏</v>
      </c>
      <c r="E12" s="217">
        <f>(VLOOKUP(表1_8612181620[[#This Row],[目标区服]],$Q$26:$R$29,2,FALSE)-表1_8612181620[[#This Row],[开服天数]])*配置!$B$1</f>
        <v>2000</v>
      </c>
      <c r="F12" s="217">
        <f>表1_8612181620[[#This Row],[补偿Coin]]*(表1_8612181620[[#This Row],[活跃高战玩家数]]+表1_8612181620[[#This Row],[活跃中坚玩家数]])</f>
        <v>36000</v>
      </c>
      <c r="G12" s="368">
        <f>(VLOOKUP(表1_8612181620[[#This Row],[目标区服]],$Q$26:$R$29,2,FALSE)-表1_8612181620[[#This Row],[开服天数]])*配置!$B$2</f>
        <v>20</v>
      </c>
      <c r="H12" s="216" t="s">
        <v>26</v>
      </c>
      <c r="I12" s="377">
        <f>IF(表1_8612181620[[#This Row],[原国家]]="魏",0,IF(表1_8612181620[[#This Row],[原国家]]="蜀",1,2))</f>
        <v>1</v>
      </c>
      <c r="J12" s="217">
        <v>2</v>
      </c>
      <c r="K12" s="217">
        <v>129</v>
      </c>
      <c r="L12" s="217">
        <v>2</v>
      </c>
      <c r="M12" s="217">
        <v>16</v>
      </c>
      <c r="N12" s="217">
        <v>78508</v>
      </c>
      <c r="O12" s="378">
        <v>1941774</v>
      </c>
      <c r="P12" s="334">
        <v>12714049</v>
      </c>
      <c r="Q12" s="247" t="s">
        <v>25</v>
      </c>
      <c r="R12" s="216">
        <f>IF(表1_8612181620[[#This Row],[目标国家]]="魏",0,IF(表1_8612181620[[#This Row],[目标国家]]="蜀",1,2))</f>
        <v>0</v>
      </c>
      <c r="S12" s="217">
        <v>43486</v>
      </c>
      <c r="T12" s="217">
        <v>0</v>
      </c>
      <c r="U12" s="217">
        <v>147199</v>
      </c>
      <c r="V12" s="217">
        <v>6473</v>
      </c>
      <c r="W12" s="382" t="str">
        <f>"{"&amp;"'coin':"&amp;表1_8612181620[[#This Row],[补偿Coin]]&amp;",'"&amp;配置!$A$2&amp;"':"&amp;表1_8612181620[[#This Row],[补偿辎重]]&amp;"},"</f>
        <v>{'coin':2000,'item036':20},</v>
      </c>
      <c r="X12" s="382" t="str">
        <f>"            'to_zone':'"&amp;表1_8612181620[[#This Row],[目标区服]]&amp;"',
            'reward':"&amp;表1_8612181620[[#This Row],[辅助导出]]&amp;"
            'country':["&amp;R11&amp;","&amp;R12&amp;","&amp;R13&amp;"],"</f>
        <v>            'to_zone':'h1_23',
            'reward':{'coin':2000,'item036':20},
            'country':[2,0,0],</v>
      </c>
    </row>
    <row r="13" s="683" customFormat="1" ht="14.25" customHeight="1" spans="1:24">
      <c r="A13" s="367">
        <v>60</v>
      </c>
      <c r="B13" s="214">
        <f>VLOOKUP(表1_8612181620[[#This Row],[区服]],$O$26:$P$33,2,FALSE)</f>
        <v>43</v>
      </c>
      <c r="C13" s="293" t="s">
        <v>60</v>
      </c>
      <c r="D13" s="216" t="str">
        <f>表1_8612181620[[#This Row],[目标国家]]</f>
        <v>魏</v>
      </c>
      <c r="E13" s="217">
        <f>(VLOOKUP(表1_8612181620[[#This Row],[目标区服]],$Q$26:$R$29,2,FALSE)-表1_8612181620[[#This Row],[开服天数]])*配置!$B$1</f>
        <v>2000</v>
      </c>
      <c r="F13" s="217">
        <f>表1_8612181620[[#This Row],[补偿Coin]]*(表1_8612181620[[#This Row],[活跃高战玩家数]]+表1_8612181620[[#This Row],[活跃中坚玩家数]])</f>
        <v>54000</v>
      </c>
      <c r="G13" s="368">
        <f>(VLOOKUP(表1_8612181620[[#This Row],[目标区服]],$Q$26:$R$29,2,FALSE)-表1_8612181620[[#This Row],[开服天数]])*配置!$B$2</f>
        <v>20</v>
      </c>
      <c r="H13" s="216" t="s">
        <v>27</v>
      </c>
      <c r="I13" s="377">
        <f>IF(表1_8612181620[[#This Row],[原国家]]="魏",0,IF(表1_8612181620[[#This Row],[原国家]]="蜀",1,2))</f>
        <v>2</v>
      </c>
      <c r="J13" s="217">
        <v>4</v>
      </c>
      <c r="K13" s="217">
        <v>190</v>
      </c>
      <c r="L13" s="217">
        <v>5</v>
      </c>
      <c r="M13" s="217">
        <v>22</v>
      </c>
      <c r="N13" s="217">
        <v>133190</v>
      </c>
      <c r="O13" s="378">
        <v>2644109</v>
      </c>
      <c r="P13" s="334">
        <v>21955364</v>
      </c>
      <c r="Q13" s="247" t="s">
        <v>25</v>
      </c>
      <c r="R13" s="216">
        <f>IF(表1_8612181620[[#This Row],[目标国家]]="魏",0,IF(表1_8612181620[[#This Row],[目标国家]]="蜀",1,2))</f>
        <v>0</v>
      </c>
      <c r="S13" s="217">
        <v>77380</v>
      </c>
      <c r="T13" s="217">
        <v>0</v>
      </c>
      <c r="U13" s="217">
        <v>698243</v>
      </c>
      <c r="V13" s="217">
        <v>10476</v>
      </c>
      <c r="W13" s="382" t="str">
        <f>"{"&amp;"'coin':"&amp;表1_8612181620[[#This Row],[补偿Coin]]&amp;",'"&amp;配置!$A$2&amp;"':"&amp;表1_8612181620[[#This Row],[补偿辎重]]&amp;"},"</f>
        <v>{'coin':2000,'item036':20},</v>
      </c>
      <c r="X13" s="382" t="str">
        <f t="shared" ref="X13" si="1">"      },"</f>
        <v>      },</v>
      </c>
    </row>
    <row r="14" ht="14.25" customHeight="1" spans="1:24">
      <c r="A14" s="667"/>
      <c r="B14" s="667"/>
      <c r="C14" s="668"/>
      <c r="D14" s="669"/>
      <c r="E14" s="670"/>
      <c r="F14" s="670"/>
      <c r="G14" s="670"/>
      <c r="H14" s="669"/>
      <c r="I14" s="669"/>
      <c r="J14" s="670"/>
      <c r="K14" s="670"/>
      <c r="L14" s="670"/>
      <c r="M14" s="670"/>
      <c r="N14" s="670"/>
      <c r="O14" s="670"/>
      <c r="P14" s="678"/>
      <c r="Q14" s="679"/>
      <c r="R14" s="669"/>
      <c r="S14" s="670"/>
      <c r="T14" s="670"/>
      <c r="U14" s="670"/>
      <c r="V14" s="670"/>
      <c r="W14" s="681" t="str">
        <f>"{"&amp;"'coin':"&amp;表1_8612181620[[#This Row],[补偿Coin]]&amp;",'"&amp;配置!$A$2&amp;"':"&amp;表1_8612181620[[#This Row],[补偿辎重]]&amp;"},"</f>
        <v>{'coin':,'item036':},</v>
      </c>
      <c r="X14" s="682" t="str">
        <f>"      '"&amp;表1_8612181620[[#This Row],[区服]]&amp;"':{"</f>
        <v>      '':{</v>
      </c>
    </row>
    <row r="15" ht="14.25" customHeight="1" spans="1:24">
      <c r="A15" s="667"/>
      <c r="B15" s="667"/>
      <c r="C15" s="668"/>
      <c r="D15" s="669"/>
      <c r="E15" s="670"/>
      <c r="F15" s="670"/>
      <c r="G15" s="670"/>
      <c r="H15" s="669"/>
      <c r="I15" s="669"/>
      <c r="J15" s="670"/>
      <c r="K15" s="670"/>
      <c r="L15" s="670"/>
      <c r="M15" s="670"/>
      <c r="N15" s="670"/>
      <c r="O15" s="670"/>
      <c r="P15" s="678"/>
      <c r="Q15" s="679"/>
      <c r="R15" s="669"/>
      <c r="S15" s="670"/>
      <c r="T15" s="670"/>
      <c r="U15" s="670"/>
      <c r="V15" s="670"/>
      <c r="W15" s="681" t="str">
        <f>"{"&amp;"'coin':"&amp;表1_8612181620[[#This Row],[补偿Coin]]&amp;",'"&amp;配置!$A$2&amp;"':"&amp;表1_8612181620[[#This Row],[补偿辎重]]&amp;"},"</f>
        <v>{'coin':,'item036':},</v>
      </c>
      <c r="X15" s="682" t="str">
        <f>"            'to_zone':'"&amp;表1_8612181620[[#This Row],[目标区服]]&amp;"',
            'reward':"&amp;表1_8612181620[[#This Row],[辅助导出]]&amp;"
            'country':["&amp;R14&amp;","&amp;R15&amp;","&amp;R16&amp;"],"</f>
        <v>            'to_zone':'',
            'reward':{'coin':,'item036':},
            'country':[,,],</v>
      </c>
    </row>
    <row r="16" ht="14.25" customHeight="1" spans="1:24">
      <c r="A16" s="667"/>
      <c r="B16" s="667"/>
      <c r="C16" s="668"/>
      <c r="D16" s="669"/>
      <c r="E16" s="670"/>
      <c r="F16" s="670"/>
      <c r="G16" s="670"/>
      <c r="H16" s="669"/>
      <c r="I16" s="669"/>
      <c r="J16" s="670"/>
      <c r="K16" s="670"/>
      <c r="L16" s="670"/>
      <c r="M16" s="670"/>
      <c r="N16" s="670"/>
      <c r="O16" s="670"/>
      <c r="P16" s="678"/>
      <c r="Q16" s="679"/>
      <c r="R16" s="669"/>
      <c r="S16" s="670"/>
      <c r="T16" s="670"/>
      <c r="U16" s="670"/>
      <c r="V16" s="670"/>
      <c r="W16" s="681" t="str">
        <f>"{"&amp;"'coin':"&amp;表1_8612181620[[#This Row],[补偿Coin]]&amp;",'"&amp;配置!$A$2&amp;"':"&amp;表1_8612181620[[#This Row],[补偿辎重]]&amp;"},"</f>
        <v>{'coin':,'item036':},</v>
      </c>
      <c r="X16" s="682" t="str">
        <f t="shared" ref="X16" si="2">"      },"</f>
        <v>      },</v>
      </c>
    </row>
    <row r="17" ht="14.25" customHeight="1" spans="1:24">
      <c r="A17" s="667"/>
      <c r="B17" s="667"/>
      <c r="C17" s="668"/>
      <c r="D17" s="669"/>
      <c r="E17" s="670"/>
      <c r="F17" s="670"/>
      <c r="G17" s="670"/>
      <c r="H17" s="669"/>
      <c r="I17" s="669"/>
      <c r="J17" s="670"/>
      <c r="K17" s="670"/>
      <c r="L17" s="670"/>
      <c r="M17" s="670"/>
      <c r="N17" s="670"/>
      <c r="O17" s="670"/>
      <c r="P17" s="678"/>
      <c r="Q17" s="679"/>
      <c r="R17" s="669"/>
      <c r="S17" s="670"/>
      <c r="T17" s="670"/>
      <c r="U17" s="670"/>
      <c r="V17" s="670"/>
      <c r="W17" s="681" t="str">
        <f>"{"&amp;"'coin':"&amp;表1_8612181620[[#This Row],[补偿Coin]]&amp;",'"&amp;配置!$A$2&amp;"':"&amp;表1_8612181620[[#This Row],[补偿辎重]]&amp;"},"</f>
        <v>{'coin':,'item036':},</v>
      </c>
      <c r="X17" s="682" t="str">
        <f>"      '"&amp;表1_8612181620[[#This Row],[区服]]&amp;"':{"</f>
        <v>      '':{</v>
      </c>
    </row>
    <row r="18" ht="14.25" customHeight="1" spans="1:24">
      <c r="A18" s="667"/>
      <c r="B18" s="667"/>
      <c r="C18" s="668"/>
      <c r="D18" s="669"/>
      <c r="E18" s="670"/>
      <c r="F18" s="670"/>
      <c r="G18" s="670"/>
      <c r="H18" s="669"/>
      <c r="I18" s="669"/>
      <c r="J18" s="670"/>
      <c r="K18" s="670"/>
      <c r="L18" s="670"/>
      <c r="M18" s="670"/>
      <c r="N18" s="670"/>
      <c r="O18" s="670"/>
      <c r="P18" s="678"/>
      <c r="Q18" s="679"/>
      <c r="R18" s="669"/>
      <c r="S18" s="670"/>
      <c r="T18" s="670"/>
      <c r="U18" s="670"/>
      <c r="V18" s="670"/>
      <c r="W18" s="681" t="str">
        <f>"{"&amp;"'coin':"&amp;表1_8612181620[[#This Row],[补偿Coin]]&amp;",'"&amp;配置!$A$2&amp;"':"&amp;表1_8612181620[[#This Row],[补偿辎重]]&amp;"},"</f>
        <v>{'coin':,'item036':},</v>
      </c>
      <c r="X18" s="682" t="str">
        <f>"            'to_zone':'"&amp;表1_8612181620[[#This Row],[目标区服]]&amp;"',
            'reward':"&amp;表1_8612181620[[#This Row],[辅助导出]]&amp;"
            'country':["&amp;R17&amp;","&amp;R18&amp;","&amp;R19&amp;"],"</f>
        <v>            'to_zone':'',
            'reward':{'coin':,'item036':},
            'country':[,,],</v>
      </c>
    </row>
    <row r="19" ht="14.25" customHeight="1" spans="1:24">
      <c r="A19" s="667"/>
      <c r="B19" s="667"/>
      <c r="C19" s="668"/>
      <c r="D19" s="669"/>
      <c r="E19" s="670"/>
      <c r="F19" s="670"/>
      <c r="G19" s="670"/>
      <c r="H19" s="669"/>
      <c r="I19" s="669"/>
      <c r="J19" s="670"/>
      <c r="K19" s="670"/>
      <c r="L19" s="670"/>
      <c r="M19" s="670"/>
      <c r="N19" s="670"/>
      <c r="O19" s="670"/>
      <c r="P19" s="678"/>
      <c r="Q19" s="679"/>
      <c r="R19" s="669"/>
      <c r="S19" s="670"/>
      <c r="T19" s="670"/>
      <c r="U19" s="670"/>
      <c r="V19" s="670"/>
      <c r="W19" s="681" t="str">
        <f>"{"&amp;"'coin':"&amp;表1_8612181620[[#This Row],[补偿Coin]]&amp;",'"&amp;配置!$A$2&amp;"':"&amp;表1_8612181620[[#This Row],[补偿辎重]]&amp;"},"</f>
        <v>{'coin':,'item036':},</v>
      </c>
      <c r="X19" s="682" t="str">
        <f t="shared" ref="X19" si="3">"      },"</f>
        <v>      },</v>
      </c>
    </row>
    <row r="20" ht="14.25" customHeight="1" spans="1:24">
      <c r="A20" s="17"/>
      <c r="B20" s="17"/>
      <c r="C20" s="18"/>
      <c r="D20" s="19"/>
      <c r="E20" s="20"/>
      <c r="F20" s="20"/>
      <c r="G20" s="20"/>
      <c r="H20" s="19"/>
      <c r="I20" s="19"/>
      <c r="J20" s="20"/>
      <c r="K20" s="20"/>
      <c r="L20" s="20"/>
      <c r="M20" s="20"/>
      <c r="N20" s="20"/>
      <c r="O20" s="20"/>
      <c r="P20" s="26"/>
      <c r="Q20" s="31"/>
      <c r="R20" s="19"/>
      <c r="S20" s="20"/>
      <c r="T20" s="20"/>
      <c r="U20" s="20"/>
      <c r="V20" s="20"/>
      <c r="W20" s="33"/>
      <c r="X20" s="34"/>
    </row>
    <row r="21" ht="14.25" customHeight="1" spans="1:24">
      <c r="A21" s="17"/>
      <c r="B21" s="17"/>
      <c r="C21" s="18"/>
      <c r="D21" s="19"/>
      <c r="E21" s="20"/>
      <c r="F21" s="20"/>
      <c r="G21" s="20"/>
      <c r="H21" s="19"/>
      <c r="I21" s="19"/>
      <c r="J21" s="20"/>
      <c r="K21" s="20"/>
      <c r="L21" s="20"/>
      <c r="M21" s="20"/>
      <c r="N21" s="20"/>
      <c r="O21" s="20"/>
      <c r="P21" s="26"/>
      <c r="Q21" s="31"/>
      <c r="R21" s="19"/>
      <c r="S21" s="20"/>
      <c r="T21" s="20"/>
      <c r="U21" s="20"/>
      <c r="V21" s="20"/>
      <c r="W21" s="33"/>
      <c r="X21" s="34"/>
    </row>
    <row r="22" ht="14.25" customHeight="1" spans="1:24">
      <c r="A22" s="17"/>
      <c r="B22" s="17"/>
      <c r="C22" s="18"/>
      <c r="D22" s="19"/>
      <c r="E22" s="20"/>
      <c r="F22" s="20"/>
      <c r="G22" s="20"/>
      <c r="H22" s="19"/>
      <c r="I22" s="19"/>
      <c r="J22" s="20"/>
      <c r="K22" s="20"/>
      <c r="L22" s="20"/>
      <c r="M22" s="20"/>
      <c r="N22" s="20"/>
      <c r="O22" s="20"/>
      <c r="P22" s="26"/>
      <c r="Q22" s="31"/>
      <c r="R22" s="19"/>
      <c r="S22" s="20"/>
      <c r="T22" s="20"/>
      <c r="U22" s="20"/>
      <c r="V22" s="20"/>
      <c r="W22" s="33"/>
      <c r="X22" s="34"/>
    </row>
    <row r="25" ht="37.5" customHeight="1" spans="1:18">
      <c r="A25" s="36" t="s">
        <v>28</v>
      </c>
      <c r="B25" s="37" t="s">
        <v>29</v>
      </c>
      <c r="C25" s="38" t="s">
        <v>30</v>
      </c>
      <c r="D25" s="38" t="s">
        <v>31</v>
      </c>
      <c r="E25" s="38" t="s">
        <v>32</v>
      </c>
      <c r="F25" s="38" t="s">
        <v>33</v>
      </c>
      <c r="G25" s="38" t="s">
        <v>15</v>
      </c>
      <c r="H25" s="37" t="s">
        <v>18</v>
      </c>
      <c r="I25" s="37" t="s">
        <v>19</v>
      </c>
      <c r="J25" s="37" t="s">
        <v>34</v>
      </c>
      <c r="K25" s="38" t="s">
        <v>35</v>
      </c>
      <c r="L25" s="38" t="s">
        <v>36</v>
      </c>
      <c r="M25" s="38" t="s">
        <v>37</v>
      </c>
      <c r="O25" s="51" t="s">
        <v>0</v>
      </c>
      <c r="P25" s="51" t="s">
        <v>1</v>
      </c>
      <c r="Q25" s="51"/>
      <c r="R25" s="51" t="s">
        <v>38</v>
      </c>
    </row>
    <row r="26" ht="15" spans="1:18">
      <c r="A26" s="41" t="s">
        <v>59</v>
      </c>
      <c r="B26" s="41" t="s">
        <v>25</v>
      </c>
      <c r="C26" s="41">
        <f>COUNTIFS(表1_8612181620[目标区服],表2_9713191721[[#This Row],[合区区服]],表1_8612181620[目标国家（映射）],表2_9713191721[[#This Row],[国家]])</f>
        <v>2</v>
      </c>
      <c r="D26" s="41">
        <f>SUMIFS(表1_8612181620[活跃高战玩家数],表1_8612181620[目标区服],表2_9713191721[[#This Row],[合区区服]],表1_8612181620[目标国家（映射）],表2_9713191721[[#This Row],[国家]])</f>
        <v>5</v>
      </c>
      <c r="E26" s="41">
        <f>SUMIFS(表1_8612181620[活跃中坚玩家数],表1_8612181620[目标区服],表2_9713191721[[#This Row],[合区区服]],表1_8612181620[目标国家（映射）],表2_9713191721[[#This Row],[国家]])</f>
        <v>48</v>
      </c>
      <c r="F26" s="41">
        <f t="array" ref="F26">MAX((表1_8612181620[目标区服]=表2_9713191721[[#This Row],[合区区服]])*(表1_8612181620[目标国家（映射）]=表2_9713191721[[#This Row],[国家]])*表1_8612181620[活跃尖端战力])</f>
        <v>2839310</v>
      </c>
      <c r="G26" s="42">
        <f>SUMIFS(表1_8612181620[活跃总战力],表1_8612181620[目标区服],表2_9713191721[[#This Row],[合区区服]],表1_8612181620[目标国家（映射）],表2_9713191721[[#This Row],[国家]])</f>
        <v>39436896</v>
      </c>
      <c r="H26" s="41">
        <f>SUMIFS(表1_8612181620[活跃实际充值],表1_8612181620[目标区服],表2_9713191721[[#This Row],[合区区服]],表1_8612181620[目标国家（映射）],表2_9713191721[[#This Row],[国家]])</f>
        <v>80516</v>
      </c>
      <c r="I26" s="41">
        <f>SUMIFS(表1_8612181620[活跃虚拟充值],表1_8612181620[目标区服],表2_9713191721[[#This Row],[合区区服]],表1_8612181620[目标国家（映射）],表2_9713191721[[#This Row],[国家]])</f>
        <v>53526</v>
      </c>
      <c r="J26" s="41">
        <f>SUMIFS(表1_8612181620[活跃Coin],表1_8612181620[目标区服],表2_9713191721[[#This Row],[合区区服]],表1_8612181620[目标国家（映射）],表2_9713191721[[#This Row],[国家]])</f>
        <v>674888</v>
      </c>
      <c r="K26" s="41">
        <f>SUMIFS(表1_8612181620[共计补偿Coin],表1_8612181620[目标区服],表2_9713191721[[#This Row],[合区区服]],表1_8612181620[目标国家（映射）],表2_9713191721[[#This Row],[国家]])</f>
        <v>80000</v>
      </c>
      <c r="L26" s="41">
        <f>表2_9713191721[[#This Row],[活跃Coin]]+表2_9713191721[[#This Row],[共计补偿Coin]]</f>
        <v>754888</v>
      </c>
      <c r="M26" s="41">
        <f>SUMIFS(表1_8612181620[综合国力],表1_8612181620[目标区服],表2_9713191721[[#This Row],[合区区服]],表1_8612181620[目标国家（映射）],表2_9713191721[[#This Row],[国家]])</f>
        <v>16565</v>
      </c>
      <c r="O26" s="51">
        <v>57</v>
      </c>
      <c r="P26" s="51">
        <v>49</v>
      </c>
      <c r="Q26" s="51" t="s">
        <v>59</v>
      </c>
      <c r="R26" s="51">
        <v>51</v>
      </c>
    </row>
    <row r="27" ht="15" spans="1:18">
      <c r="A27" s="41" t="s">
        <v>59</v>
      </c>
      <c r="B27" s="41" t="s">
        <v>26</v>
      </c>
      <c r="C27" s="41">
        <f>COUNTIFS(表1_8612181620[目标区服],表2_9713191721[[#This Row],[合区区服]],表1_8612181620[目标国家（映射）],表2_9713191721[[#This Row],[国家]])</f>
        <v>2</v>
      </c>
      <c r="D27" s="41">
        <f>SUMIFS(表1_8612181620[活跃高战玩家数],表1_8612181620[目标区服],表2_9713191721[[#This Row],[合区区服]],表1_8612181620[目标国家（映射）],表2_9713191721[[#This Row],[国家]])</f>
        <v>7</v>
      </c>
      <c r="E27" s="41">
        <f>SUMIFS(表1_8612181620[活跃中坚玩家数],表1_8612181620[目标区服],表2_9713191721[[#This Row],[合区区服]],表1_8612181620[目标国家（映射）],表2_9713191721[[#This Row],[国家]])</f>
        <v>39</v>
      </c>
      <c r="F27" s="41">
        <f t="array" ref="F27">MAX((表1_8612181620[目标区服]=表2_9713191721[[#This Row],[合区区服]])*(表1_8612181620[目标国家（映射）]=表2_9713191721[[#This Row],[国家]])*表1_8612181620[活跃尖端战力])</f>
        <v>2457873</v>
      </c>
      <c r="G27" s="42">
        <f>SUMIFS(表1_8612181620[活跃总战力],表1_8612181620[目标区服],表2_9713191721[[#This Row],[合区区服]],表1_8612181620[目标国家（映射）],表2_9713191721[[#This Row],[国家]])</f>
        <v>37294066</v>
      </c>
      <c r="H27" s="41">
        <f>SUMIFS(表1_8612181620[活跃实际充值],表1_8612181620[目标区服],表2_9713191721[[#This Row],[合区区服]],表1_8612181620[目标国家（映射）],表2_9713191721[[#This Row],[国家]])</f>
        <v>89766</v>
      </c>
      <c r="I27" s="41">
        <f>SUMIFS(表1_8612181620[活跃虚拟充值],表1_8612181620[目标区服],表2_9713191721[[#This Row],[合区区服]],表1_8612181620[目标国家（映射）],表2_9713191721[[#This Row],[国家]])</f>
        <v>128</v>
      </c>
      <c r="J27" s="41">
        <f>SUMIFS(表1_8612181620[活跃Coin],表1_8612181620[目标区服],表2_9713191721[[#This Row],[合区区服]],表1_8612181620[目标国家（映射）],表2_9713191721[[#This Row],[国家]])</f>
        <v>581570</v>
      </c>
      <c r="K27" s="41">
        <f>SUMIFS(表1_8612181620[共计补偿Coin],表1_8612181620[目标区服],表2_9713191721[[#This Row],[合区区服]],表1_8612181620[目标国家（映射）],表2_9713191721[[#This Row],[国家]])</f>
        <v>46000</v>
      </c>
      <c r="L27" s="41">
        <f>表2_9713191721[[#This Row],[活跃Coin]]+表2_9713191721[[#This Row],[共计补偿Coin]]</f>
        <v>627570</v>
      </c>
      <c r="M27" s="41">
        <f>SUMIFS(表1_8612181620[综合国力],表1_8612181620[目标区服],表2_9713191721[[#This Row],[合区区服]],表1_8612181620[目标国家（映射）],表2_9713191721[[#This Row],[国家]])</f>
        <v>14991</v>
      </c>
      <c r="O27" s="51">
        <v>58</v>
      </c>
      <c r="P27" s="51">
        <v>47</v>
      </c>
      <c r="Q27" s="51" t="s">
        <v>60</v>
      </c>
      <c r="R27" s="51">
        <v>47</v>
      </c>
    </row>
    <row r="28" ht="15" spans="1:18">
      <c r="A28" s="41" t="s">
        <v>59</v>
      </c>
      <c r="B28" s="41" t="s">
        <v>27</v>
      </c>
      <c r="C28" s="41">
        <f>COUNTIFS(表1_8612181620[目标区服],表2_9713191721[[#This Row],[合区区服]],表1_8612181620[目标国家（映射）],表2_9713191721[[#This Row],[国家]])</f>
        <v>2</v>
      </c>
      <c r="D28" s="41">
        <f>SUMIFS(表1_8612181620[活跃高战玩家数],表1_8612181620[目标区服],表2_9713191721[[#This Row],[合区区服]],表1_8612181620[目标国家（映射）],表2_9713191721[[#This Row],[国家]])</f>
        <v>7</v>
      </c>
      <c r="E28" s="41">
        <f>SUMIFS(表1_8612181620[活跃中坚玩家数],表1_8612181620[目标区服],表2_9713191721[[#This Row],[合区区服]],表1_8612181620[目标国家（映射）],表2_9713191721[[#This Row],[国家]])</f>
        <v>34</v>
      </c>
      <c r="F28" s="41">
        <f t="array" ref="F28">MAX((表1_8612181620[目标区服]=表2_9713191721[[#This Row],[合区区服]])*(表1_8612181620[目标国家（映射）]=表2_9713191721[[#This Row],[国家]])*表1_8612181620[活跃尖端战力])</f>
        <v>2234540</v>
      </c>
      <c r="G28" s="42">
        <f>SUMIFS(表1_8612181620[活跃总战力],表1_8612181620[目标区服],表2_9713191721[[#This Row],[合区区服]],表1_8612181620[目标国家（映射）],表2_9713191721[[#This Row],[国家]])</f>
        <v>29458913</v>
      </c>
      <c r="H28" s="41">
        <f>SUMIFS(表1_8612181620[活跃实际充值],表1_8612181620[目标区服],表2_9713191721[[#This Row],[合区区服]],表1_8612181620[目标国家（映射）],表2_9713191721[[#This Row],[国家]])</f>
        <v>80978</v>
      </c>
      <c r="I28" s="41">
        <f>SUMIFS(表1_8612181620[活跃虚拟充值],表1_8612181620[目标区服],表2_9713191721[[#This Row],[合区区服]],表1_8612181620[目标国家（映射）],表2_9713191721[[#This Row],[国家]])</f>
        <v>68</v>
      </c>
      <c r="J28" s="41">
        <f>SUMIFS(表1_8612181620[活跃Coin],表1_8612181620[目标区服],表2_9713191721[[#This Row],[合区区服]],表1_8612181620[目标国家（映射）],表2_9713191721[[#This Row],[国家]])</f>
        <v>780994</v>
      </c>
      <c r="K28" s="41">
        <f>SUMIFS(表1_8612181620[共计补偿Coin],表1_8612181620[目标区服],表2_9713191721[[#This Row],[合区区服]],表1_8612181620[目标国家（映射）],表2_9713191721[[#This Row],[国家]])</f>
        <v>82000</v>
      </c>
      <c r="L28" s="41">
        <f>表2_9713191721[[#This Row],[活跃Coin]]+表2_9713191721[[#This Row],[共计补偿Coin]]</f>
        <v>862994</v>
      </c>
      <c r="M28" s="41">
        <f>SUMIFS(表1_8612181620[综合国力],表1_8612181620[目标区服],表2_9713191721[[#This Row],[合区区服]],表1_8612181620[目标国家（映射）],表2_9713191721[[#This Row],[国家]])</f>
        <v>14034</v>
      </c>
      <c r="O28" s="51">
        <v>59</v>
      </c>
      <c r="P28" s="51">
        <v>45</v>
      </c>
      <c r="Q28" s="51"/>
      <c r="R28" s="51"/>
    </row>
    <row r="29" ht="15" spans="1:18">
      <c r="A29" s="224" t="s">
        <v>60</v>
      </c>
      <c r="B29" s="224" t="s">
        <v>25</v>
      </c>
      <c r="C29" s="224">
        <f>COUNTIFS(表1_8612181620[目标区服],表2_9713191721[[#This Row],[合区区服]],表1_8612181620[目标国家（映射）],表2_9713191721[[#This Row],[国家]])</f>
        <v>3</v>
      </c>
      <c r="D29" s="224">
        <f>SUMIFS(表1_8612181620[活跃高战玩家数],表1_8612181620[目标区服],表2_9713191721[[#This Row],[合区区服]],表1_8612181620[目标国家（映射）],表2_9713191721[[#This Row],[国家]])</f>
        <v>9</v>
      </c>
      <c r="E29" s="224">
        <f>SUMIFS(表1_8612181620[活跃中坚玩家数],表1_8612181620[目标区服],表2_9713191721[[#This Row],[合区区服]],表1_8612181620[目标国家（映射）],表2_9713191721[[#This Row],[国家]])</f>
        <v>54</v>
      </c>
      <c r="F29" s="224">
        <f t="array" ref="F29">MAX((表1_8612181620[目标区服]=表2_9713191721[[#This Row],[合区区服]])*(表1_8612181620[目标国家（映射）]=表2_9713191721[[#This Row],[国家]])*表1_8612181620[活跃尖端战力])</f>
        <v>2644109</v>
      </c>
      <c r="G29" s="225">
        <f>SUMIFS(表1_8612181620[活跃总战力],表1_8612181620[目标区服],表2_9713191721[[#This Row],[合区区服]],表1_8612181620[目标国家（映射）],表2_9713191721[[#This Row],[国家]])</f>
        <v>48300814</v>
      </c>
      <c r="H29" s="224">
        <f>SUMIFS(表1_8612181620[活跃实际充值],表1_8612181620[目标区服],表2_9713191721[[#This Row],[合区区服]],表1_8612181620[目标国家（映射）],表2_9713191721[[#This Row],[国家]])</f>
        <v>154520</v>
      </c>
      <c r="I29" s="224">
        <f>SUMIFS(表1_8612181620[活跃虚拟充值],表1_8612181620[目标区服],表2_9713191721[[#This Row],[合区区服]],表1_8612181620[目标国家（映射）],表2_9713191721[[#This Row],[国家]])</f>
        <v>0</v>
      </c>
      <c r="J29" s="224">
        <f>SUMIFS(表1_8612181620[活跃Coin],表1_8612181620[目标区服],表2_9713191721[[#This Row],[合区区服]],表1_8612181620[目标国家（映射）],表2_9713191721[[#This Row],[国家]])</f>
        <v>1051358</v>
      </c>
      <c r="K29" s="224">
        <f>SUMIFS(表1_8612181620[共计补偿Coin],表1_8612181620[目标区服],表2_9713191721[[#This Row],[合区区服]],表1_8612181620[目标国家（映射）],表2_9713191721[[#This Row],[国家]])</f>
        <v>108000</v>
      </c>
      <c r="L29" s="224">
        <f>表2_9713191721[[#This Row],[活跃Coin]]+表2_9713191721[[#This Row],[共计补偿Coin]]</f>
        <v>1159358</v>
      </c>
      <c r="M29" s="224">
        <f>SUMIFS(表1_8612181620[综合国力],表1_8612181620[目标区服],表2_9713191721[[#This Row],[合区区服]],表1_8612181620[目标国家（映射）],表2_9713191721[[#This Row],[国家]])</f>
        <v>23055</v>
      </c>
      <c r="O29" s="51">
        <v>60</v>
      </c>
      <c r="P29" s="51">
        <v>43</v>
      </c>
      <c r="Q29" s="51"/>
      <c r="R29" s="51"/>
    </row>
    <row r="30" ht="15" spans="1:16">
      <c r="A30" s="224" t="s">
        <v>60</v>
      </c>
      <c r="B30" s="224" t="s">
        <v>26</v>
      </c>
      <c r="C30" s="224">
        <f>COUNTIFS(表1_8612181620[目标区服],表2_9713191721[[#This Row],[合区区服]],表1_8612181620[目标国家（映射）],表2_9713191721[[#This Row],[国家]])</f>
        <v>1</v>
      </c>
      <c r="D30" s="224">
        <f>SUMIFS(表1_8612181620[活跃高战玩家数],表1_8612181620[目标区服],表2_9713191721[[#This Row],[合区区服]],表1_8612181620[目标国家（映射）],表2_9713191721[[#This Row],[国家]])</f>
        <v>6</v>
      </c>
      <c r="E30" s="224">
        <f>SUMIFS(表1_8612181620[活跃中坚玩家数],表1_8612181620[目标区服],表2_9713191721[[#This Row],[合区区服]],表1_8612181620[目标国家（映射）],表2_9713191721[[#This Row],[国家]])</f>
        <v>33</v>
      </c>
      <c r="F30" s="224">
        <f t="array" ref="F30">MAX((表1_8612181620[目标区服]=表2_9713191721[[#This Row],[合区区服]])*(表1_8612181620[目标国家（映射）]=表2_9713191721[[#This Row],[国家]])*表1_8612181620[活跃尖端战力])</f>
        <v>3430063</v>
      </c>
      <c r="G30" s="225">
        <f>SUMIFS(表1_8612181620[活跃总战力],表1_8612181620[目标区服],表2_9713191721[[#This Row],[合区区服]],表1_8612181620[目标国家（映射）],表2_9713191721[[#This Row],[国家]])</f>
        <v>33818782</v>
      </c>
      <c r="H30" s="224">
        <f>SUMIFS(表1_8612181620[活跃实际充值],表1_8612181620[目标区服],表2_9713191721[[#This Row],[合区区服]],表1_8612181620[目标国家（映射）],表2_9713191721[[#This Row],[国家]])</f>
        <v>132906</v>
      </c>
      <c r="I30" s="224">
        <f>SUMIFS(表1_8612181620[活跃虚拟充值],表1_8612181620[目标区服],表2_9713191721[[#This Row],[合区区服]],表1_8612181620[目标国家（映射）],表2_9713191721[[#This Row],[国家]])</f>
        <v>0</v>
      </c>
      <c r="J30" s="224">
        <f>SUMIFS(表1_8612181620[活跃Coin],表1_8612181620[目标区服],表2_9713191721[[#This Row],[合区区服]],表1_8612181620[目标国家（映射）],表2_9713191721[[#This Row],[国家]])</f>
        <v>953607</v>
      </c>
      <c r="K30" s="224">
        <f>SUMIFS(表1_8612181620[共计补偿Coin],表1_8612181620[目标区服],表2_9713191721[[#This Row],[合区区服]],表1_8612181620[目标国家（映射）],表2_9713191721[[#This Row],[国家]])</f>
        <v>39000</v>
      </c>
      <c r="L30" s="224">
        <f>表2_9713191721[[#This Row],[活跃Coin]]+表2_9713191721[[#This Row],[共计补偿Coin]]</f>
        <v>992607</v>
      </c>
      <c r="M30" s="224">
        <f>SUMIFS(表1_8612181620[综合国力],表1_8612181620[目标区服],表2_9713191721[[#This Row],[合区区服]],表1_8612181620[目标国家（映射）],表2_9713191721[[#This Row],[国家]])</f>
        <v>14459</v>
      </c>
      <c r="O30" s="51"/>
      <c r="P30" s="51"/>
    </row>
    <row r="31" ht="15" spans="1:16">
      <c r="A31" s="224" t="s">
        <v>60</v>
      </c>
      <c r="B31" s="226" t="s">
        <v>27</v>
      </c>
      <c r="C31" s="226">
        <f>COUNTIFS(表1_8612181620[目标区服],表2_9713191721[[#This Row],[合区区服]],表1_8612181620[目标国家（映射）],表2_9713191721[[#This Row],[国家]])</f>
        <v>2</v>
      </c>
      <c r="D31" s="226">
        <f>SUMIFS(表1_8612181620[活跃高战玩家数],表1_8612181620[目标区服],表2_9713191721[[#This Row],[合区区服]],表1_8612181620[目标国家（映射）],表2_9713191721[[#This Row],[国家]])</f>
        <v>5</v>
      </c>
      <c r="E31" s="226">
        <f>SUMIFS(表1_8612181620[活跃中坚玩家数],表1_8612181620[目标区服],表2_9713191721[[#This Row],[合区区服]],表1_8612181620[目标国家（映射）],表2_9713191721[[#This Row],[国家]])</f>
        <v>47</v>
      </c>
      <c r="F31" s="226">
        <f t="array" ref="F31">MAX((表1_8612181620[目标区服]=表2_9713191721[[#This Row],[合区区服]])*(表1_8612181620[目标国家（映射）]=表2_9713191721[[#This Row],[国家]])*表1_8612181620[活跃尖端战力])</f>
        <v>2244400</v>
      </c>
      <c r="G31" s="227">
        <f>SUMIFS(表1_8612181620[活跃总战力],表1_8612181620[目标区服],表2_9713191721[[#This Row],[合区区服]],表1_8612181620[目标国家（映射）],表2_9713191721[[#This Row],[国家]])</f>
        <v>38067702</v>
      </c>
      <c r="H31" s="226">
        <f>SUMIFS(表1_8612181620[活跃实际充值],表1_8612181620[目标区服],表2_9713191721[[#This Row],[合区区服]],表1_8612181620[目标国家（映射）],表2_9713191721[[#This Row],[国家]])</f>
        <v>96386</v>
      </c>
      <c r="I31" s="226">
        <f>SUMIFS(表1_8612181620[活跃虚拟充值],表1_8612181620[目标区服],表2_9713191721[[#This Row],[合区区服]],表1_8612181620[目标国家（映射）],表2_9713191721[[#This Row],[国家]])</f>
        <v>264</v>
      </c>
      <c r="J31" s="226">
        <f>SUMIFS(表1_8612181620[活跃Coin],表1_8612181620[目标区服],表2_9713191721[[#This Row],[合区区服]],表1_8612181620[目标国家（映射）],表2_9713191721[[#This Row],[国家]])</f>
        <v>629141</v>
      </c>
      <c r="K31" s="226">
        <f>SUMIFS(表1_8612181620[共计补偿Coin],表1_8612181620[目标区服],表2_9713191721[[#This Row],[合区区服]],表1_8612181620[目标国家（映射）],表2_9713191721[[#This Row],[国家]])</f>
        <v>73000</v>
      </c>
      <c r="L31" s="226">
        <f>表2_9713191721[[#This Row],[活跃Coin]]+表2_9713191721[[#This Row],[共计补偿Coin]]</f>
        <v>702141</v>
      </c>
      <c r="M31" s="226">
        <f>SUMIFS(表1_8612181620[综合国力],表1_8612181620[目标区服],表2_9713191721[[#This Row],[合区区服]],表1_8612181620[目标国家（映射）],表2_9713191721[[#This Row],[国家]])</f>
        <v>14612</v>
      </c>
      <c r="O31" s="51"/>
      <c r="P31" s="51"/>
    </row>
    <row r="32" ht="15" spans="1:16">
      <c r="A32" s="45"/>
      <c r="B32" s="46" t="s">
        <v>25</v>
      </c>
      <c r="C32" s="46">
        <f>COUNTIFS(表1_8612181620[目标区服],表2_9713191721[[#This Row],[合区区服]],表1_8612181620[目标国家（映射）],表2_9713191721[[#This Row],[国家]])</f>
        <v>0</v>
      </c>
      <c r="D32" s="46">
        <f>SUMIFS(表1_8612181620[活跃高战玩家数],表1_8612181620[目标区服],表2_9713191721[[#This Row],[合区区服]],表1_8612181620[目标国家（映射）],表2_9713191721[[#This Row],[国家]])</f>
        <v>0</v>
      </c>
      <c r="E32" s="46">
        <f>SUMIFS(表1_8612181620[活跃中坚玩家数],表1_8612181620[目标区服],表2_9713191721[[#This Row],[合区区服]],表1_8612181620[目标国家（映射）],表2_9713191721[[#This Row],[国家]])</f>
        <v>0</v>
      </c>
      <c r="F32" s="46">
        <f t="array" ref="F32">MAX((表1_8612181620[目标区服]=表2_9713191721[[#This Row],[合区区服]])*(表1_8612181620[目标国家（映射）]=表2_9713191721[[#This Row],[国家]])*表1_8612181620[活跃尖端战力])</f>
        <v>0</v>
      </c>
      <c r="G32" s="47">
        <f>SUMIFS(表1_8612181620[活跃总战力],表1_8612181620[目标区服],表2_9713191721[[#This Row],[合区区服]],表1_8612181620[目标国家（映射）],表2_9713191721[[#This Row],[国家]])</f>
        <v>0</v>
      </c>
      <c r="H32" s="46">
        <f>SUMIFS(表1_8612181620[活跃实际充值],表1_8612181620[目标区服],表2_9713191721[[#This Row],[合区区服]],表1_8612181620[目标国家（映射）],表2_9713191721[[#This Row],[国家]])</f>
        <v>0</v>
      </c>
      <c r="I32" s="46">
        <f>SUMIFS(表1_8612181620[活跃虚拟充值],表1_8612181620[目标区服],表2_9713191721[[#This Row],[合区区服]],表1_8612181620[目标国家（映射）],表2_9713191721[[#This Row],[国家]])</f>
        <v>0</v>
      </c>
      <c r="J32" s="46">
        <f>SUMIFS(表1_8612181620[活跃Coin],表1_8612181620[目标区服],表2_9713191721[[#This Row],[合区区服]],表1_8612181620[目标国家（映射）],表2_9713191721[[#This Row],[国家]])</f>
        <v>0</v>
      </c>
      <c r="K32" s="46">
        <f>SUMIFS(表1_8612181620[共计补偿Coin],表1_8612181620[目标区服],表2_9713191721[[#This Row],[合区区服]],表1_8612181620[目标国家（映射）],表2_9713191721[[#This Row],[国家]])</f>
        <v>0</v>
      </c>
      <c r="L32" s="46">
        <f>表2_9713191721[[#This Row],[活跃Coin]]+表2_9713191721[[#This Row],[共计补偿Coin]]</f>
        <v>0</v>
      </c>
      <c r="M32" s="46">
        <f>SUMIFS(表1_8612181620[综合国力],表1_8612181620[目标区服],表2_9713191721[[#This Row],[合区区服]],表1_8612181620[目标国家（映射）],表2_9713191721[[#This Row],[国家]])</f>
        <v>0</v>
      </c>
      <c r="O32" s="51"/>
      <c r="P32" s="51"/>
    </row>
    <row r="33" ht="15" spans="1:16">
      <c r="A33" s="45"/>
      <c r="B33" s="46" t="s">
        <v>26</v>
      </c>
      <c r="C33" s="46">
        <f>COUNTIFS(表1_8612181620[目标区服],表2_9713191721[[#This Row],[合区区服]],表1_8612181620[目标国家（映射）],表2_9713191721[[#This Row],[国家]])</f>
        <v>0</v>
      </c>
      <c r="D33" s="46">
        <f>SUMIFS(表1_8612181620[活跃高战玩家数],表1_8612181620[目标区服],表2_9713191721[[#This Row],[合区区服]],表1_8612181620[目标国家（映射）],表2_9713191721[[#This Row],[国家]])</f>
        <v>0</v>
      </c>
      <c r="E33" s="46">
        <f>SUMIFS(表1_8612181620[活跃中坚玩家数],表1_8612181620[目标区服],表2_9713191721[[#This Row],[合区区服]],表1_8612181620[目标国家（映射）],表2_9713191721[[#This Row],[国家]])</f>
        <v>0</v>
      </c>
      <c r="F33" s="46">
        <f t="array" ref="F33">MAX((表1_8612181620[目标区服]=表2_9713191721[[#This Row],[合区区服]])*(表1_8612181620[目标国家（映射）]=表2_9713191721[[#This Row],[国家]])*表1_8612181620[活跃尖端战力])</f>
        <v>0</v>
      </c>
      <c r="G33" s="47">
        <f>SUMIFS(表1_8612181620[活跃总战力],表1_8612181620[目标区服],表2_9713191721[[#This Row],[合区区服]],表1_8612181620[目标国家（映射）],表2_9713191721[[#This Row],[国家]])</f>
        <v>0</v>
      </c>
      <c r="H33" s="46">
        <f>SUMIFS(表1_8612181620[活跃实际充值],表1_8612181620[目标区服],表2_9713191721[[#This Row],[合区区服]],表1_8612181620[目标国家（映射）],表2_9713191721[[#This Row],[国家]])</f>
        <v>0</v>
      </c>
      <c r="I33" s="46">
        <f>SUMIFS(表1_8612181620[活跃虚拟充值],表1_8612181620[目标区服],表2_9713191721[[#This Row],[合区区服]],表1_8612181620[目标国家（映射）],表2_9713191721[[#This Row],[国家]])</f>
        <v>0</v>
      </c>
      <c r="J33" s="46">
        <f>SUMIFS(表1_8612181620[活跃Coin],表1_8612181620[目标区服],表2_9713191721[[#This Row],[合区区服]],表1_8612181620[目标国家（映射）],表2_9713191721[[#This Row],[国家]])</f>
        <v>0</v>
      </c>
      <c r="K33" s="46">
        <f>SUMIFS(表1_8612181620[共计补偿Coin],表1_8612181620[目标区服],表2_9713191721[[#This Row],[合区区服]],表1_8612181620[目标国家（映射）],表2_9713191721[[#This Row],[国家]])</f>
        <v>0</v>
      </c>
      <c r="L33" s="46">
        <f>表2_9713191721[[#This Row],[活跃Coin]]+表2_9713191721[[#This Row],[共计补偿Coin]]</f>
        <v>0</v>
      </c>
      <c r="M33" s="46">
        <f>SUMIFS(表1_8612181620[综合国力],表1_8612181620[目标区服],表2_9713191721[[#This Row],[合区区服]],表1_8612181620[目标国家（映射）],表2_9713191721[[#This Row],[国家]])</f>
        <v>0</v>
      </c>
      <c r="O33" s="51"/>
      <c r="P33" s="51"/>
    </row>
    <row r="34" ht="15" spans="1:13">
      <c r="A34" s="45"/>
      <c r="B34" s="48" t="s">
        <v>27</v>
      </c>
      <c r="C34" s="48">
        <f>COUNTIFS(表1_8612181620[目标区服],表2_9713191721[[#This Row],[合区区服]],表1_8612181620[目标国家（映射）],表2_9713191721[[#This Row],[国家]])</f>
        <v>0</v>
      </c>
      <c r="D34" s="48">
        <f>SUMIFS(表1_8612181620[活跃高战玩家数],表1_8612181620[目标区服],表2_9713191721[[#This Row],[合区区服]],表1_8612181620[目标国家（映射）],表2_9713191721[[#This Row],[国家]])</f>
        <v>0</v>
      </c>
      <c r="E34" s="48">
        <f>SUMIFS(表1_8612181620[活跃中坚玩家数],表1_8612181620[目标区服],表2_9713191721[[#This Row],[合区区服]],表1_8612181620[目标国家（映射）],表2_9713191721[[#This Row],[国家]])</f>
        <v>0</v>
      </c>
      <c r="F34" s="48">
        <f t="array" ref="F34">MAX((表1_8612181620[目标区服]=表2_9713191721[[#This Row],[合区区服]])*(表1_8612181620[目标国家（映射）]=表2_9713191721[[#This Row],[国家]])*表1_8612181620[活跃尖端战力])</f>
        <v>0</v>
      </c>
      <c r="G34" s="458">
        <f>SUMIFS(表1_8612181620[活跃总战力],表1_8612181620[目标区服],表2_9713191721[[#This Row],[合区区服]],表1_8612181620[目标国家（映射）],表2_9713191721[[#This Row],[国家]])</f>
        <v>0</v>
      </c>
      <c r="H34" s="48">
        <f>SUMIFS(表1_8612181620[活跃实际充值],表1_8612181620[目标区服],表2_9713191721[[#This Row],[合区区服]],表1_8612181620[目标国家（映射）],表2_9713191721[[#This Row],[国家]])</f>
        <v>0</v>
      </c>
      <c r="I34" s="48">
        <f>SUMIFS(表1_8612181620[活跃虚拟充值],表1_8612181620[目标区服],表2_9713191721[[#This Row],[合区区服]],表1_8612181620[目标国家（映射）],表2_9713191721[[#This Row],[国家]])</f>
        <v>0</v>
      </c>
      <c r="J34" s="48">
        <f>SUMIFS(表1_8612181620[活跃Coin],表1_8612181620[目标区服],表2_9713191721[[#This Row],[合区区服]],表1_8612181620[目标国家（映射）],表2_9713191721[[#This Row],[国家]])</f>
        <v>0</v>
      </c>
      <c r="K34" s="48">
        <f>SUMIFS(表1_8612181620[共计补偿Coin],表1_8612181620[目标区服],表2_9713191721[[#This Row],[合区区服]],表1_8612181620[目标国家（映射）],表2_9713191721[[#This Row],[国家]])</f>
        <v>0</v>
      </c>
      <c r="L34" s="48">
        <f>表2_9713191721[[#This Row],[活跃Coin]]+表2_9713191721[[#This Row],[共计补偿Coin]]</f>
        <v>0</v>
      </c>
      <c r="M34" s="48">
        <f>SUMIFS(表1_8612181620[综合国力],表1_8612181620[目标区服],表2_9713191721[[#This Row],[合区区服]],表1_8612181620[目标国家（映射）],表2_9713191721[[#This Row],[国家]])</f>
        <v>0</v>
      </c>
    </row>
    <row r="40" ht="27" spans="1:12">
      <c r="A40" s="49"/>
      <c r="B40" s="50" t="s">
        <v>9</v>
      </c>
      <c r="C40" s="50" t="s">
        <v>10</v>
      </c>
      <c r="D40" s="50" t="s">
        <v>11</v>
      </c>
      <c r="E40" s="50" t="s">
        <v>12</v>
      </c>
      <c r="F40" s="50" t="s">
        <v>13</v>
      </c>
      <c r="G40" s="50" t="s">
        <v>14</v>
      </c>
      <c r="H40" s="50" t="s">
        <v>15</v>
      </c>
      <c r="I40" s="50" t="s">
        <v>18</v>
      </c>
      <c r="J40" s="50" t="s">
        <v>19</v>
      </c>
      <c r="K40" s="50" t="s">
        <v>20</v>
      </c>
      <c r="L40" s="50" t="s">
        <v>21</v>
      </c>
    </row>
    <row r="41" spans="1:12">
      <c r="A41" s="50" t="s">
        <v>25</v>
      </c>
      <c r="B41" s="50">
        <v>3</v>
      </c>
      <c r="C41" s="50">
        <v>132</v>
      </c>
      <c r="D41" s="50">
        <v>3</v>
      </c>
      <c r="E41" s="50">
        <v>23</v>
      </c>
      <c r="F41" s="50">
        <v>113393</v>
      </c>
      <c r="G41" s="50">
        <v>2839310</v>
      </c>
      <c r="H41" s="50">
        <v>22970740</v>
      </c>
      <c r="I41" s="50">
        <v>44046</v>
      </c>
      <c r="J41" s="50">
        <v>53526</v>
      </c>
      <c r="K41" s="50">
        <v>361296</v>
      </c>
      <c r="L41" s="50">
        <v>9360</v>
      </c>
    </row>
    <row r="42" spans="1:12">
      <c r="A42" s="50" t="s">
        <v>26</v>
      </c>
      <c r="B42" s="50">
        <v>4</v>
      </c>
      <c r="C42" s="50">
        <v>189</v>
      </c>
      <c r="D42" s="50">
        <v>6</v>
      </c>
      <c r="E42" s="50">
        <v>25</v>
      </c>
      <c r="F42" s="50">
        <v>145486</v>
      </c>
      <c r="G42" s="50">
        <v>2457873</v>
      </c>
      <c r="H42" s="50">
        <v>27498531</v>
      </c>
      <c r="I42" s="50">
        <v>73930</v>
      </c>
      <c r="J42" s="50">
        <v>128</v>
      </c>
      <c r="K42" s="50">
        <v>399178</v>
      </c>
      <c r="L42" s="50">
        <v>10643</v>
      </c>
    </row>
    <row r="43" spans="1:12">
      <c r="A43" s="50" t="s">
        <v>27</v>
      </c>
      <c r="B43" s="50">
        <v>2</v>
      </c>
      <c r="C43" s="50">
        <v>74</v>
      </c>
      <c r="D43" s="50">
        <v>1</v>
      </c>
      <c r="E43" s="50">
        <v>14</v>
      </c>
      <c r="F43" s="50">
        <v>49333</v>
      </c>
      <c r="G43" s="50">
        <v>1616105</v>
      </c>
      <c r="H43" s="50">
        <v>9795535</v>
      </c>
      <c r="I43" s="50">
        <v>15836</v>
      </c>
      <c r="J43" s="50">
        <v>0</v>
      </c>
      <c r="K43" s="50">
        <v>182392</v>
      </c>
      <c r="L43" s="50">
        <v>4348</v>
      </c>
    </row>
    <row r="44" spans="1:12">
      <c r="A44" s="50" t="s">
        <v>25</v>
      </c>
      <c r="B44" s="50">
        <v>1</v>
      </c>
      <c r="C44" s="50">
        <v>67</v>
      </c>
      <c r="D44" s="50">
        <v>2</v>
      </c>
      <c r="E44" s="50">
        <v>15</v>
      </c>
      <c r="F44" s="50">
        <v>81160</v>
      </c>
      <c r="G44" s="50">
        <v>2095704</v>
      </c>
      <c r="H44" s="50">
        <v>12454851</v>
      </c>
      <c r="I44" s="50">
        <v>21906</v>
      </c>
      <c r="J44" s="50">
        <v>0</v>
      </c>
      <c r="K44" s="50">
        <v>445673</v>
      </c>
      <c r="L44" s="50">
        <v>5397</v>
      </c>
    </row>
    <row r="45" spans="1:12">
      <c r="A45" s="50" t="s">
        <v>26</v>
      </c>
      <c r="B45" s="50">
        <v>3</v>
      </c>
      <c r="C45" s="50">
        <v>154</v>
      </c>
      <c r="D45" s="50">
        <v>2</v>
      </c>
      <c r="E45" s="50">
        <v>25</v>
      </c>
      <c r="F45" s="50">
        <v>106807</v>
      </c>
      <c r="G45" s="50">
        <v>1933543</v>
      </c>
      <c r="H45" s="50">
        <v>16466156</v>
      </c>
      <c r="I45" s="50">
        <v>36470</v>
      </c>
      <c r="J45" s="50">
        <v>0</v>
      </c>
      <c r="K45" s="50">
        <v>313592</v>
      </c>
      <c r="L45" s="50">
        <v>7205</v>
      </c>
    </row>
    <row r="46" spans="1:12">
      <c r="A46" s="50" t="s">
        <v>27</v>
      </c>
      <c r="B46" s="50">
        <v>5</v>
      </c>
      <c r="C46" s="50">
        <v>174</v>
      </c>
      <c r="D46" s="50">
        <v>5</v>
      </c>
      <c r="E46" s="50">
        <v>19</v>
      </c>
      <c r="F46" s="50">
        <v>104504</v>
      </c>
      <c r="G46" s="50">
        <v>2234540</v>
      </c>
      <c r="H46" s="50">
        <v>17004062</v>
      </c>
      <c r="I46" s="50">
        <v>59072</v>
      </c>
      <c r="J46" s="50">
        <v>68</v>
      </c>
      <c r="K46" s="50">
        <v>335321</v>
      </c>
      <c r="L46" s="50">
        <v>8637</v>
      </c>
    </row>
    <row r="47" spans="1:12">
      <c r="A47" s="50" t="s">
        <v>25</v>
      </c>
      <c r="B47" s="50">
        <v>2</v>
      </c>
      <c r="C47" s="50">
        <v>80</v>
      </c>
      <c r="D47" s="50">
        <v>2</v>
      </c>
      <c r="E47" s="50">
        <v>16</v>
      </c>
      <c r="F47" s="50">
        <v>57448</v>
      </c>
      <c r="G47" s="50">
        <v>2343685</v>
      </c>
      <c r="H47" s="50">
        <v>13631401</v>
      </c>
      <c r="I47" s="50">
        <v>33654</v>
      </c>
      <c r="J47" s="50">
        <v>0</v>
      </c>
      <c r="K47" s="50">
        <v>205916</v>
      </c>
      <c r="L47" s="50">
        <v>6106</v>
      </c>
    </row>
    <row r="48" spans="1:12">
      <c r="A48" s="50" t="s">
        <v>26</v>
      </c>
      <c r="B48" s="50">
        <v>4</v>
      </c>
      <c r="C48" s="50">
        <v>204</v>
      </c>
      <c r="D48" s="50">
        <v>6</v>
      </c>
      <c r="E48" s="50">
        <v>33</v>
      </c>
      <c r="F48" s="50">
        <v>148774</v>
      </c>
      <c r="G48" s="50">
        <v>3430063</v>
      </c>
      <c r="H48" s="50">
        <v>33818782</v>
      </c>
      <c r="I48" s="50">
        <v>132906</v>
      </c>
      <c r="J48" s="50">
        <v>0</v>
      </c>
      <c r="K48" s="50">
        <v>953607</v>
      </c>
      <c r="L48" s="50">
        <v>14459</v>
      </c>
    </row>
    <row r="49" spans="1:12">
      <c r="A49" s="50" t="s">
        <v>27</v>
      </c>
      <c r="B49" s="50">
        <v>3</v>
      </c>
      <c r="C49" s="50">
        <v>111</v>
      </c>
      <c r="D49" s="50">
        <v>2</v>
      </c>
      <c r="E49" s="50">
        <v>29</v>
      </c>
      <c r="F49" s="50">
        <v>123056</v>
      </c>
      <c r="G49" s="50">
        <v>2244400</v>
      </c>
      <c r="H49" s="50">
        <v>25305042</v>
      </c>
      <c r="I49" s="50">
        <v>74652</v>
      </c>
      <c r="J49" s="50">
        <v>264</v>
      </c>
      <c r="K49" s="50">
        <v>448012</v>
      </c>
      <c r="L49" s="50">
        <v>9266</v>
      </c>
    </row>
    <row r="50" spans="1:12">
      <c r="A50" s="50" t="s">
        <v>25</v>
      </c>
      <c r="B50" s="50">
        <v>3</v>
      </c>
      <c r="C50" s="50">
        <v>76</v>
      </c>
      <c r="D50" s="50">
        <v>3</v>
      </c>
      <c r="E50" s="50">
        <v>18</v>
      </c>
      <c r="F50" s="50">
        <v>69141</v>
      </c>
      <c r="G50" s="50">
        <v>1922057</v>
      </c>
      <c r="H50" s="50">
        <v>12762660</v>
      </c>
      <c r="I50" s="50">
        <v>21734</v>
      </c>
      <c r="J50" s="50">
        <v>0</v>
      </c>
      <c r="K50" s="50">
        <v>181129</v>
      </c>
      <c r="L50" s="50">
        <v>5346</v>
      </c>
    </row>
    <row r="51" spans="1:12">
      <c r="A51" s="50" t="s">
        <v>26</v>
      </c>
      <c r="B51" s="50">
        <v>2</v>
      </c>
      <c r="C51" s="50">
        <v>129</v>
      </c>
      <c r="D51" s="50">
        <v>2</v>
      </c>
      <c r="E51" s="50">
        <v>16</v>
      </c>
      <c r="F51" s="50">
        <v>78508</v>
      </c>
      <c r="G51" s="50">
        <v>1941774</v>
      </c>
      <c r="H51" s="50">
        <v>12714049</v>
      </c>
      <c r="I51" s="50">
        <v>43486</v>
      </c>
      <c r="J51" s="50">
        <v>0</v>
      </c>
      <c r="K51" s="50">
        <v>147199</v>
      </c>
      <c r="L51" s="50">
        <v>6473</v>
      </c>
    </row>
    <row r="52" spans="1:12">
      <c r="A52" s="50" t="s">
        <v>27</v>
      </c>
      <c r="B52" s="50">
        <v>4</v>
      </c>
      <c r="C52" s="50">
        <v>190</v>
      </c>
      <c r="D52" s="50">
        <v>5</v>
      </c>
      <c r="E52" s="50">
        <v>22</v>
      </c>
      <c r="F52" s="50">
        <v>133190</v>
      </c>
      <c r="G52" s="50">
        <v>2644109</v>
      </c>
      <c r="H52" s="50">
        <v>21955364</v>
      </c>
      <c r="I52" s="50">
        <v>77380</v>
      </c>
      <c r="J52" s="50">
        <v>0</v>
      </c>
      <c r="K52" s="50">
        <v>698243</v>
      </c>
      <c r="L52" s="50">
        <v>10476</v>
      </c>
    </row>
    <row r="53" spans="1:12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</row>
    <row r="54" spans="1:12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</row>
    <row r="55" spans="1:12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</row>
    <row r="56" spans="1:12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</row>
    <row r="57" spans="1:12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</row>
    <row r="58" spans="1:12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</row>
    <row r="59" spans="1:12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</row>
    <row r="60" spans="1:12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</row>
    <row r="61" spans="1:12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</row>
  </sheetData>
  <conditionalFormatting sqref="F26:F2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{6bcffebe-f0db-4337-9dfb-3f8ab5b08965}</x14:id>
        </ext>
      </extLst>
    </cfRule>
  </conditionalFormatting>
  <conditionalFormatting sqref="F29:F31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{c5b378da-22d0-4f0d-af96-7360a978f142}</x14:id>
        </ext>
      </extLst>
    </cfRule>
  </conditionalFormatting>
  <conditionalFormatting sqref="F32:F34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{114aa89a-a2f8-4a15-84ba-8a2e43a21b13}</x14:id>
        </ext>
      </extLst>
    </cfRule>
  </conditionalFormatting>
  <conditionalFormatting sqref="G26:G28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{10719536-ff45-45de-8b6b-02b87b192786}</x14:id>
        </ext>
      </extLst>
    </cfRule>
  </conditionalFormatting>
  <conditionalFormatting sqref="G29:G3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{361e7d17-d48e-4471-a59f-ca6a92ae5785}</x14:id>
        </ext>
      </extLst>
    </cfRule>
  </conditionalFormatting>
  <conditionalFormatting sqref="G32:G34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{21ecc796-b32e-4a04-a5bb-d685c1c1ca4d}</x14:id>
        </ext>
      </extLst>
    </cfRule>
  </conditionalFormatting>
  <conditionalFormatting sqref="O2:O19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{ba94ca08-56e3-473f-81f9-28ca670b84c2}</x14:id>
        </ext>
      </extLst>
    </cfRule>
  </conditionalFormatting>
  <conditionalFormatting sqref="O20:O22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{e86b661b-c90c-48f4-b415-4da0a038946e}</x14:id>
        </ext>
      </extLst>
    </cfRule>
  </conditionalFormatting>
  <conditionalFormatting sqref="O26:O33">
    <cfRule type="cellIs" dxfId="37" priority="13" operator="equal">
      <formula>$S$26</formula>
    </cfRule>
  </conditionalFormatting>
  <conditionalFormatting sqref="P2:P19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{e88a0cf7-f74b-471a-bb8c-c2518e3abfc1}</x14:id>
        </ext>
      </extLst>
    </cfRule>
  </conditionalFormatting>
  <conditionalFormatting sqref="P20:P2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{44ddf4eb-a6c2-4101-8bab-c8ad047aa9ad}</x14:id>
        </ext>
      </extLst>
    </cfRule>
  </conditionalFormatting>
  <conditionalFormatting sqref="Q2:Q19">
    <cfRule type="cellIs" dxfId="38" priority="10" operator="equal">
      <formula>配置!$D$4</formula>
    </cfRule>
    <cfRule type="cellIs" dxfId="39" priority="11" operator="equal">
      <formula>配置!$D$3</formula>
    </cfRule>
    <cfRule type="cellIs" dxfId="37" priority="12" operator="equal">
      <formula>配置!$D$2</formula>
    </cfRule>
  </conditionalFormatting>
  <conditionalFormatting sqref="Q20:Q22">
    <cfRule type="cellIs" dxfId="38" priority="1" operator="equal">
      <formula>配置!$D$4</formula>
    </cfRule>
    <cfRule type="cellIs" dxfId="39" priority="2" operator="equal">
      <formula>配置!$D$3</formula>
    </cfRule>
    <cfRule type="cellIs" dxfId="37" priority="3" operator="equal">
      <formula>配置!$D$2</formula>
    </cfRule>
    <cfRule type="cellIs" dxfId="38" priority="6" operator="equal">
      <formula>配置!$D$4</formula>
    </cfRule>
    <cfRule type="cellIs" dxfId="37" priority="7" operator="equal">
      <formula>配置!$D$2</formula>
    </cfRule>
  </conditionalFormatting>
  <conditionalFormatting sqref="Q26:Q29">
    <cfRule type="cellIs" dxfId="37" priority="14" operator="equal">
      <formula>$S$26</formula>
    </cfRule>
  </conditionalFormatting>
  <conditionalFormatting sqref="O23:O24 Q1:R1 Q2 Q4:Q19">
    <cfRule type="cellIs" dxfId="37" priority="22" operator="equal">
      <formula>配置!$D$2</formula>
    </cfRule>
  </conditionalFormatting>
  <conditionalFormatting sqref="Q2 Q4:Q19">
    <cfRule type="cellIs" dxfId="38" priority="21" operator="equal">
      <formula>配置!$D$4</formula>
    </cfRule>
  </conditionalFormatting>
  <dataValidations count="1">
    <dataValidation type="list" allowBlank="1" showInputMessage="1" showErrorMessage="1" sqref="Q2:Q22">
      <formula1>配置!$D$2:$D$4</formula1>
    </dataValidation>
  </dataValidations>
  <pageMargins left="0.7" right="0.7" top="0.75" bottom="0.75" header="0.3" footer="0.3"/>
  <pageSetup paperSize="9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bcffebe-f0db-4337-9dfb-3f8ab5b089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c5b378da-22d0-4f0d-af96-7360a978f1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114aa89a-a2f8-4a15-84ba-8a2e43a21b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10719536-ff45-45de-8b6b-02b87b19278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361e7d17-d48e-4471-a59f-ca6a92ae57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21ecc796-b32e-4a04-a5bb-d685c1c1ca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ba94ca08-56e3-473f-81f9-28ca670b84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e86b661b-c90c-48f4-b415-4da0a03894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e88a0cf7-f74b-471a-bb8c-c2518e3abf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44ddf4eb-a6c2-4101-8bab-c8ad047aa9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1"/>
  <sheetViews>
    <sheetView topLeftCell="A7" workbookViewId="0">
      <selection activeCell="L30" sqref="L30"/>
    </sheetView>
  </sheetViews>
  <sheetFormatPr defaultColWidth="9" defaultRowHeight="13.5"/>
  <sheetData>
    <row r="1" s="1" customFormat="1" ht="27.75" spans="1:24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22</v>
      </c>
      <c r="X1" s="22" t="s">
        <v>23</v>
      </c>
    </row>
    <row r="2" s="354" customFormat="1" ht="14.25" customHeight="1" spans="1:24">
      <c r="A2" s="371">
        <v>61</v>
      </c>
      <c r="B2" s="371">
        <f>VLOOKUP(表1_86121822[[#This Row],[区服]],$O$26:$P$33,2,FALSE)</f>
        <v>47</v>
      </c>
      <c r="C2" s="372" t="s">
        <v>61</v>
      </c>
      <c r="D2" s="373" t="str">
        <f>表1_86121822[[#This Row],[目标国家]]</f>
        <v>魏</v>
      </c>
      <c r="E2" s="374">
        <f>(VLOOKUP(表1_86121822[[#This Row],[目标区服]],$Q$26:$R$29,2,FALSE)-表1_86121822[[#This Row],[开服天数]])*配置!$B$1</f>
        <v>1000</v>
      </c>
      <c r="F2" s="374">
        <f>表1_86121822[[#This Row],[补偿Coin]]*(表1_86121822[[#This Row],[活跃高战玩家数]]+表1_86121822[[#This Row],[活跃中坚玩家数]])</f>
        <v>28000</v>
      </c>
      <c r="G2" s="374">
        <f>(VLOOKUP(表1_86121822[[#This Row],[目标区服]],$Q$26:$R$29,2,FALSE)-表1_86121822[[#This Row],[开服天数]])*配置!$B$2</f>
        <v>10</v>
      </c>
      <c r="H2" s="376" t="s">
        <v>25</v>
      </c>
      <c r="I2" s="376">
        <f>IF(表1_86121822[[#This Row],[原国家]]="魏",0,IF(表1_86121822[[#This Row],[原国家]]="蜀",1,2))</f>
        <v>0</v>
      </c>
      <c r="J2" s="380">
        <v>5</v>
      </c>
      <c r="K2" s="380">
        <v>184</v>
      </c>
      <c r="L2" s="380">
        <v>3</v>
      </c>
      <c r="M2" s="380">
        <v>25</v>
      </c>
      <c r="N2" s="380">
        <v>120464</v>
      </c>
      <c r="O2" s="380">
        <v>2851449</v>
      </c>
      <c r="P2" s="381">
        <v>25726744</v>
      </c>
      <c r="Q2" s="31" t="s">
        <v>25</v>
      </c>
      <c r="R2" s="376">
        <f>IF(表1_86121822[[#This Row],[目标国家]]="魏",0,IF(表1_86121822[[#This Row],[目标国家]]="蜀",1,2))</f>
        <v>0</v>
      </c>
      <c r="S2" s="380">
        <v>96870</v>
      </c>
      <c r="T2" s="380">
        <v>0</v>
      </c>
      <c r="U2" s="380">
        <v>379002</v>
      </c>
      <c r="V2" s="380">
        <v>11462</v>
      </c>
      <c r="W2" s="387" t="str">
        <f>"{"&amp;"'coin':"&amp;表1_86121822[[#This Row],[补偿Coin]]&amp;",'"&amp;配置!$A$2&amp;"':"&amp;表1_86121822[[#This Row],[补偿辎重]]&amp;"},"</f>
        <v>{'coin':1000,'item036':10},</v>
      </c>
      <c r="X2" s="388" t="str">
        <f>"      '"&amp;表1_86121822[[#This Row],[区服]]&amp;"':{"</f>
        <v>      '61':{</v>
      </c>
    </row>
    <row r="3" s="354" customFormat="1" ht="14.25" customHeight="1" spans="1:24">
      <c r="A3" s="375">
        <v>61</v>
      </c>
      <c r="B3" s="371">
        <f>VLOOKUP(表1_86121822[[#This Row],[区服]],$O$26:$P$33,2,FALSE)</f>
        <v>47</v>
      </c>
      <c r="C3" s="372" t="s">
        <v>61</v>
      </c>
      <c r="D3" s="376" t="str">
        <f>表1_86121822[[#This Row],[目标国家]]</f>
        <v>蜀</v>
      </c>
      <c r="E3" s="380">
        <f>(VLOOKUP(表1_86121822[[#This Row],[目标区服]],$Q$26:$R$29,2,FALSE)-表1_86121822[[#This Row],[开服天数]])*配置!$B$1</f>
        <v>1000</v>
      </c>
      <c r="F3" s="380">
        <f>表1_86121822[[#This Row],[补偿Coin]]*(表1_86121822[[#This Row],[活跃高战玩家数]]+表1_86121822[[#This Row],[活跃中坚玩家数]])</f>
        <v>22000</v>
      </c>
      <c r="G3" s="380">
        <f>(VLOOKUP(表1_86121822[[#This Row],[目标区服]],$Q$26:$R$29,2,FALSE)-表1_86121822[[#This Row],[开服天数]])*配置!$B$2</f>
        <v>10</v>
      </c>
      <c r="H3" s="376" t="s">
        <v>26</v>
      </c>
      <c r="I3" s="376">
        <f>IF(表1_86121822[[#This Row],[原国家]]="魏",0,IF(表1_86121822[[#This Row],[原国家]]="蜀",1,2))</f>
        <v>1</v>
      </c>
      <c r="J3" s="380">
        <v>1</v>
      </c>
      <c r="K3" s="380">
        <v>112</v>
      </c>
      <c r="L3" s="380">
        <v>1</v>
      </c>
      <c r="M3" s="380">
        <v>21</v>
      </c>
      <c r="N3" s="380">
        <v>76908</v>
      </c>
      <c r="O3" s="380">
        <v>2468436</v>
      </c>
      <c r="P3" s="381">
        <v>18025908</v>
      </c>
      <c r="Q3" s="31" t="s">
        <v>26</v>
      </c>
      <c r="R3" s="376">
        <f>IF(表1_86121822[[#This Row],[目标国家]]="魏",0,IF(表1_86121822[[#This Row],[目标国家]]="蜀",1,2))</f>
        <v>1</v>
      </c>
      <c r="S3" s="380">
        <v>80160</v>
      </c>
      <c r="T3" s="380">
        <v>0</v>
      </c>
      <c r="U3" s="380">
        <v>163684</v>
      </c>
      <c r="V3" s="380">
        <v>8362</v>
      </c>
      <c r="W3" s="387" t="str">
        <f>"{"&amp;"'coin':"&amp;表1_86121822[[#This Row],[补偿Coin]]&amp;",'"&amp;配置!$A$2&amp;"':"&amp;表1_86121822[[#This Row],[补偿辎重]]&amp;"},"</f>
        <v>{'coin':1000,'item036':10},</v>
      </c>
      <c r="X3" s="388" t="str">
        <f>"            'to_zone':'"&amp;表1_86121822[[#This Row],[目标区服]]&amp;"',
            'reward':"&amp;表1_86121822[[#This Row],[辅助导出]]&amp;"
            'country':["&amp;R2&amp;","&amp;R3&amp;","&amp;R4&amp;"],"</f>
        <v>            'to_zone':'h1_24',
            'reward':{'coin':1000,'item036':10},
            'country':[0,1,2],</v>
      </c>
    </row>
    <row r="4" s="354" customFormat="1" ht="14.25" customHeight="1" spans="1:24">
      <c r="A4" s="375">
        <v>61</v>
      </c>
      <c r="B4" s="371">
        <f>VLOOKUP(表1_86121822[[#This Row],[区服]],$O$26:$P$33,2,FALSE)</f>
        <v>47</v>
      </c>
      <c r="C4" s="372" t="s">
        <v>61</v>
      </c>
      <c r="D4" s="376" t="str">
        <f>表1_86121822[[#This Row],[目标国家]]</f>
        <v>吴</v>
      </c>
      <c r="E4" s="380">
        <f>(VLOOKUP(表1_86121822[[#This Row],[目标区服]],$Q$26:$R$29,2,FALSE)-表1_86121822[[#This Row],[开服天数]])*配置!$B$1</f>
        <v>1000</v>
      </c>
      <c r="F4" s="380">
        <f>表1_86121822[[#This Row],[补偿Coin]]*(表1_86121822[[#This Row],[活跃高战玩家数]]+表1_86121822[[#This Row],[活跃中坚玩家数]])</f>
        <v>19000</v>
      </c>
      <c r="G4" s="380">
        <f>(VLOOKUP(表1_86121822[[#This Row],[目标区服]],$Q$26:$R$29,2,FALSE)-表1_86121822[[#This Row],[开服天数]])*配置!$B$2</f>
        <v>10</v>
      </c>
      <c r="H4" s="376" t="s">
        <v>27</v>
      </c>
      <c r="I4" s="376">
        <f>IF(表1_86121822[[#This Row],[原国家]]="魏",0,IF(表1_86121822[[#This Row],[原国家]]="蜀",1,2))</f>
        <v>2</v>
      </c>
      <c r="J4" s="380">
        <v>3</v>
      </c>
      <c r="K4" s="380">
        <v>99</v>
      </c>
      <c r="L4" s="380">
        <v>5</v>
      </c>
      <c r="M4" s="380">
        <v>14</v>
      </c>
      <c r="N4" s="380">
        <v>89295</v>
      </c>
      <c r="O4" s="380">
        <v>2728020</v>
      </c>
      <c r="P4" s="381">
        <v>18484725</v>
      </c>
      <c r="Q4" s="31" t="s">
        <v>27</v>
      </c>
      <c r="R4" s="376">
        <f>IF(表1_86121822[[#This Row],[目标国家]]="魏",0,IF(表1_86121822[[#This Row],[目标国家]]="蜀",1,2))</f>
        <v>2</v>
      </c>
      <c r="S4" s="380">
        <v>89670</v>
      </c>
      <c r="T4" s="380">
        <v>0</v>
      </c>
      <c r="U4" s="380">
        <v>369100</v>
      </c>
      <c r="V4" s="380">
        <v>9187</v>
      </c>
      <c r="W4" s="387" t="str">
        <f>"{"&amp;"'coin':"&amp;表1_86121822[[#This Row],[补偿Coin]]&amp;",'"&amp;配置!$A$2&amp;"':"&amp;表1_86121822[[#This Row],[补偿辎重]]&amp;"},"</f>
        <v>{'coin':1000,'item036':10},</v>
      </c>
      <c r="X4" s="388" t="str">
        <f>"      },"</f>
        <v>      },</v>
      </c>
    </row>
    <row r="5" s="354" customFormat="1" ht="14.25" customHeight="1" spans="1:24">
      <c r="A5" s="375">
        <v>62</v>
      </c>
      <c r="B5" s="371">
        <f>VLOOKUP(表1_86121822[[#This Row],[区服]],$O$26:$P$33,2,FALSE)</f>
        <v>45</v>
      </c>
      <c r="C5" s="372" t="s">
        <v>61</v>
      </c>
      <c r="D5" s="376" t="str">
        <f>表1_86121822[[#This Row],[目标国家]]</f>
        <v>魏</v>
      </c>
      <c r="E5" s="380">
        <f>(VLOOKUP(表1_86121822[[#This Row],[目标区服]],$Q$26:$R$29,2,FALSE)-表1_86121822[[#This Row],[开服天数]])*配置!$B$1</f>
        <v>2000</v>
      </c>
      <c r="F5" s="380">
        <f>表1_86121822[[#This Row],[补偿Coin]]*(表1_86121822[[#This Row],[活跃高战玩家数]]+表1_86121822[[#This Row],[活跃中坚玩家数]])</f>
        <v>52000</v>
      </c>
      <c r="G5" s="380">
        <f>(VLOOKUP(表1_86121822[[#This Row],[目标区服]],$Q$26:$R$29,2,FALSE)-表1_86121822[[#This Row],[开服天数]])*配置!$B$2</f>
        <v>20</v>
      </c>
      <c r="H5" s="376" t="s">
        <v>25</v>
      </c>
      <c r="I5" s="376">
        <f>IF(表1_86121822[[#This Row],[原国家]]="魏",0,IF(表1_86121822[[#This Row],[原国家]]="蜀",1,2))</f>
        <v>0</v>
      </c>
      <c r="J5" s="380">
        <v>2</v>
      </c>
      <c r="K5" s="380">
        <v>82</v>
      </c>
      <c r="L5" s="380">
        <v>3</v>
      </c>
      <c r="M5" s="380">
        <v>23</v>
      </c>
      <c r="N5" s="380">
        <v>92281</v>
      </c>
      <c r="O5" s="380">
        <v>2567639</v>
      </c>
      <c r="P5" s="381">
        <v>19120286</v>
      </c>
      <c r="Q5" s="31" t="s">
        <v>25</v>
      </c>
      <c r="R5" s="376">
        <f>IF(表1_86121822[[#This Row],[目标国家]]="魏",0,IF(表1_86121822[[#This Row],[目标国家]]="蜀",1,2))</f>
        <v>0</v>
      </c>
      <c r="S5" s="380">
        <v>39114</v>
      </c>
      <c r="T5" s="380">
        <v>96</v>
      </c>
      <c r="U5" s="380">
        <v>218905</v>
      </c>
      <c r="V5" s="380">
        <v>7244</v>
      </c>
      <c r="W5" s="387" t="str">
        <f>"{"&amp;"'coin':"&amp;表1_86121822[[#This Row],[补偿Coin]]&amp;",'"&amp;配置!$A$2&amp;"':"&amp;表1_86121822[[#This Row],[补偿辎重]]&amp;"},"</f>
        <v>{'coin':2000,'item036':20},</v>
      </c>
      <c r="X5" s="388" t="str">
        <f>"      '"&amp;表1_86121822[[#This Row],[区服]]&amp;"':{"</f>
        <v>      '62':{</v>
      </c>
    </row>
    <row r="6" s="354" customFormat="1" ht="14.25" customHeight="1" spans="1:24">
      <c r="A6" s="371">
        <v>62</v>
      </c>
      <c r="B6" s="371">
        <f>VLOOKUP(表1_86121822[[#This Row],[区服]],$O$26:$P$33,2,FALSE)</f>
        <v>45</v>
      </c>
      <c r="C6" s="372" t="s">
        <v>61</v>
      </c>
      <c r="D6" s="376" t="str">
        <f>表1_86121822[[#This Row],[目标国家]]</f>
        <v>蜀</v>
      </c>
      <c r="E6" s="380">
        <f>(VLOOKUP(表1_86121822[[#This Row],[目标区服]],$Q$26:$R$29,2,FALSE)-表1_86121822[[#This Row],[开服天数]])*配置!$B$1</f>
        <v>2000</v>
      </c>
      <c r="F6" s="380">
        <f>表1_86121822[[#This Row],[补偿Coin]]*(表1_86121822[[#This Row],[活跃高战玩家数]]+表1_86121822[[#This Row],[活跃中坚玩家数]])</f>
        <v>42000</v>
      </c>
      <c r="G6" s="380">
        <f>(VLOOKUP(表1_86121822[[#This Row],[目标区服]],$Q$26:$R$29,2,FALSE)-表1_86121822[[#This Row],[开服天数]])*配置!$B$2</f>
        <v>20</v>
      </c>
      <c r="H6" s="376" t="s">
        <v>26</v>
      </c>
      <c r="I6" s="376">
        <f>IF(表1_86121822[[#This Row],[原国家]]="魏",0,IF(表1_86121822[[#This Row],[原国家]]="蜀",1,2))</f>
        <v>1</v>
      </c>
      <c r="J6" s="380">
        <v>4</v>
      </c>
      <c r="K6" s="380">
        <v>180</v>
      </c>
      <c r="L6" s="380">
        <v>3</v>
      </c>
      <c r="M6" s="380">
        <v>18</v>
      </c>
      <c r="N6" s="380">
        <v>87347</v>
      </c>
      <c r="O6" s="380">
        <v>2806121</v>
      </c>
      <c r="P6" s="381">
        <v>18653655</v>
      </c>
      <c r="Q6" s="31" t="s">
        <v>26</v>
      </c>
      <c r="R6" s="376">
        <f>IF(表1_86121822[[#This Row],[目标国家]]="魏",0,IF(表1_86121822[[#This Row],[目标国家]]="蜀",1,2))</f>
        <v>1</v>
      </c>
      <c r="S6" s="380">
        <v>66164</v>
      </c>
      <c r="T6" s="380">
        <v>0</v>
      </c>
      <c r="U6" s="380">
        <v>357461</v>
      </c>
      <c r="V6" s="380">
        <v>9471</v>
      </c>
      <c r="W6" s="387" t="str">
        <f>"{"&amp;"'coin':"&amp;表1_86121822[[#This Row],[补偿Coin]]&amp;",'"&amp;配置!$A$2&amp;"':"&amp;表1_86121822[[#This Row],[补偿辎重]]&amp;"},"</f>
        <v>{'coin':2000,'item036':20},</v>
      </c>
      <c r="X6" s="388" t="str">
        <f>"            'to_zone':'"&amp;表1_86121822[[#This Row],[目标区服]]&amp;"',
            'reward':"&amp;表1_86121822[[#This Row],[辅助导出]]&amp;"
            'country':["&amp;R5&amp;","&amp;R6&amp;","&amp;R7&amp;"],"</f>
        <v>            'to_zone':'h1_24',
            'reward':{'coin':2000,'item036':20},
            'country':[0,1,2],</v>
      </c>
    </row>
    <row r="7" s="354" customFormat="1" ht="14.25" customHeight="1" spans="1:24">
      <c r="A7" s="371">
        <v>62</v>
      </c>
      <c r="B7" s="371">
        <f>VLOOKUP(表1_86121822[[#This Row],[区服]],$O$26:$P$33,2,FALSE)</f>
        <v>45</v>
      </c>
      <c r="C7" s="372" t="s">
        <v>61</v>
      </c>
      <c r="D7" s="376" t="str">
        <f>表1_86121822[[#This Row],[目标国家]]</f>
        <v>吴</v>
      </c>
      <c r="E7" s="380">
        <f>(VLOOKUP(表1_86121822[[#This Row],[目标区服]],$Q$26:$R$29,2,FALSE)-表1_86121822[[#This Row],[开服天数]])*配置!$B$1</f>
        <v>2000</v>
      </c>
      <c r="F7" s="380">
        <f>表1_86121822[[#This Row],[补偿Coin]]*(表1_86121822[[#This Row],[活跃高战玩家数]]+表1_86121822[[#This Row],[活跃中坚玩家数]])</f>
        <v>38000</v>
      </c>
      <c r="G7" s="380">
        <f>(VLOOKUP(表1_86121822[[#This Row],[目标区服]],$Q$26:$R$29,2,FALSE)-表1_86121822[[#This Row],[开服天数]])*配置!$B$2</f>
        <v>20</v>
      </c>
      <c r="H7" s="376" t="s">
        <v>27</v>
      </c>
      <c r="I7" s="376">
        <f>IF(表1_86121822[[#This Row],[原国家]]="魏",0,IF(表1_86121822[[#This Row],[原国家]]="蜀",1,2))</f>
        <v>2</v>
      </c>
      <c r="J7" s="380">
        <v>3</v>
      </c>
      <c r="K7" s="380">
        <v>133</v>
      </c>
      <c r="L7" s="380">
        <v>3</v>
      </c>
      <c r="M7" s="380">
        <v>16</v>
      </c>
      <c r="N7" s="380">
        <v>97158</v>
      </c>
      <c r="O7" s="380">
        <v>2688730</v>
      </c>
      <c r="P7" s="381">
        <v>18008819</v>
      </c>
      <c r="Q7" s="31" t="s">
        <v>27</v>
      </c>
      <c r="R7" s="376">
        <f>IF(表1_86121822[[#This Row],[目标国家]]="魏",0,IF(表1_86121822[[#This Row],[目标国家]]="蜀",1,2))</f>
        <v>2</v>
      </c>
      <c r="S7" s="380">
        <v>53920</v>
      </c>
      <c r="T7" s="380">
        <v>0</v>
      </c>
      <c r="U7" s="380">
        <v>238005</v>
      </c>
      <c r="V7" s="380">
        <v>8342</v>
      </c>
      <c r="W7" s="387" t="str">
        <f>"{"&amp;"'coin':"&amp;表1_86121822[[#This Row],[补偿Coin]]&amp;",'"&amp;配置!$A$2&amp;"':"&amp;表1_86121822[[#This Row],[补偿辎重]]&amp;"},"</f>
        <v>{'coin':2000,'item036':20},</v>
      </c>
      <c r="X7" s="388" t="str">
        <f t="shared" ref="X7" si="0">"      },"</f>
        <v>      },</v>
      </c>
    </row>
    <row r="8" s="354" customFormat="1" ht="14.25" customHeight="1" spans="1:24">
      <c r="A8" s="259">
        <v>63</v>
      </c>
      <c r="B8" s="210">
        <f>VLOOKUP(表1_86121822[[#This Row],[区服]],$O$26:$P$33,2,FALSE)</f>
        <v>44</v>
      </c>
      <c r="C8" s="296" t="s">
        <v>62</v>
      </c>
      <c r="D8" s="212" t="str">
        <f>表1_86121822[[#This Row],[目标国家]]</f>
        <v>魏</v>
      </c>
      <c r="E8" s="213">
        <f>(VLOOKUP(表1_86121822[[#This Row],[目标区服]],$Q$26:$R$29,2,FALSE)-表1_86121822[[#This Row],[开服天数]])*配置!$B$1</f>
        <v>1000</v>
      </c>
      <c r="F8" s="213">
        <f>表1_86121822[[#This Row],[补偿Coin]]*(表1_86121822[[#This Row],[活跃高战玩家数]]+表1_86121822[[#This Row],[活跃中坚玩家数]])</f>
        <v>18000</v>
      </c>
      <c r="G8" s="260">
        <f>(VLOOKUP(表1_86121822[[#This Row],[目标区服]],$Q$26:$R$29,2,FALSE)-表1_86121822[[#This Row],[开服天数]])*配置!$B$2</f>
        <v>10</v>
      </c>
      <c r="H8" s="212" t="s">
        <v>25</v>
      </c>
      <c r="I8" s="268">
        <f>IF(表1_86121822[[#This Row],[原国家]]="魏",0,IF(表1_86121822[[#This Row],[原国家]]="蜀",1,2))</f>
        <v>0</v>
      </c>
      <c r="J8" s="213">
        <v>1</v>
      </c>
      <c r="K8" s="213">
        <v>65</v>
      </c>
      <c r="L8" s="213">
        <v>1</v>
      </c>
      <c r="M8" s="213">
        <v>17</v>
      </c>
      <c r="N8" s="213">
        <v>36818</v>
      </c>
      <c r="O8" s="419">
        <v>1955774</v>
      </c>
      <c r="P8" s="420">
        <v>11148722</v>
      </c>
      <c r="Q8" s="31" t="s">
        <v>25</v>
      </c>
      <c r="R8" s="212">
        <f>IF(表1_86121822[[#This Row],[目标国家]]="魏",0,IF(表1_86121822[[#This Row],[目标国家]]="蜀",1,2))</f>
        <v>0</v>
      </c>
      <c r="S8" s="213">
        <v>49672</v>
      </c>
      <c r="T8" s="213">
        <v>0</v>
      </c>
      <c r="U8" s="213">
        <v>316546</v>
      </c>
      <c r="V8" s="213">
        <v>5653</v>
      </c>
      <c r="W8" s="278" t="str">
        <f>"{"&amp;"'coin':"&amp;表1_86121822[[#This Row],[补偿Coin]]&amp;",'"&amp;配置!$A$2&amp;"':"&amp;表1_86121822[[#This Row],[补偿辎重]]&amp;"},"</f>
        <v>{'coin':1000,'item036':10},</v>
      </c>
      <c r="X8" s="278" t="str">
        <f>"      '"&amp;表1_86121822[[#This Row],[区服]]&amp;"':{"</f>
        <v>      '63':{</v>
      </c>
    </row>
    <row r="9" s="354" customFormat="1" ht="14.25" customHeight="1" spans="1:24">
      <c r="A9" s="259">
        <v>63</v>
      </c>
      <c r="B9" s="210">
        <f>VLOOKUP(表1_86121822[[#This Row],[区服]],$O$26:$P$33,2,FALSE)</f>
        <v>44</v>
      </c>
      <c r="C9" s="296" t="s">
        <v>62</v>
      </c>
      <c r="D9" s="212" t="str">
        <f>表1_86121822[[#This Row],[目标国家]]</f>
        <v>蜀</v>
      </c>
      <c r="E9" s="213">
        <f>(VLOOKUP(表1_86121822[[#This Row],[目标区服]],$Q$26:$R$29,2,FALSE)-表1_86121822[[#This Row],[开服天数]])*配置!$B$1</f>
        <v>1000</v>
      </c>
      <c r="F9" s="213">
        <f>表1_86121822[[#This Row],[补偿Coin]]*(表1_86121822[[#This Row],[活跃高战玩家数]]+表1_86121822[[#This Row],[活跃中坚玩家数]])</f>
        <v>40000</v>
      </c>
      <c r="G9" s="260">
        <f>(VLOOKUP(表1_86121822[[#This Row],[目标区服]],$Q$26:$R$29,2,FALSE)-表1_86121822[[#This Row],[开服天数]])*配置!$B$2</f>
        <v>10</v>
      </c>
      <c r="H9" s="212" t="s">
        <v>26</v>
      </c>
      <c r="I9" s="268">
        <f>IF(表1_86121822[[#This Row],[原国家]]="魏",0,IF(表1_86121822[[#This Row],[原国家]]="蜀",1,2))</f>
        <v>1</v>
      </c>
      <c r="J9" s="213">
        <v>7</v>
      </c>
      <c r="K9" s="213">
        <v>273</v>
      </c>
      <c r="L9" s="213">
        <v>7</v>
      </c>
      <c r="M9" s="213">
        <v>33</v>
      </c>
      <c r="N9" s="213">
        <v>173326</v>
      </c>
      <c r="O9" s="419">
        <v>3741788</v>
      </c>
      <c r="P9" s="420">
        <v>38399998</v>
      </c>
      <c r="Q9" s="31" t="s">
        <v>26</v>
      </c>
      <c r="R9" s="212">
        <f>IF(表1_86121822[[#This Row],[目标国家]]="魏",0,IF(表1_86121822[[#This Row],[目标国家]]="蜀",1,2))</f>
        <v>1</v>
      </c>
      <c r="S9" s="213">
        <v>278706</v>
      </c>
      <c r="T9" s="213">
        <v>0</v>
      </c>
      <c r="U9" s="213">
        <v>774583</v>
      </c>
      <c r="V9" s="213">
        <v>20626</v>
      </c>
      <c r="W9" s="278" t="str">
        <f>"{"&amp;"'coin':"&amp;表1_86121822[[#This Row],[补偿Coin]]&amp;",'"&amp;配置!$A$2&amp;"':"&amp;表1_86121822[[#This Row],[补偿辎重]]&amp;"},"</f>
        <v>{'coin':1000,'item036':10},</v>
      </c>
      <c r="X9" s="278" t="str">
        <f>"            'to_zone':'"&amp;表1_86121822[[#This Row],[目标区服]]&amp;"',
            'reward':"&amp;表1_86121822[[#This Row],[辅助导出]]&amp;"
            'country':["&amp;R8&amp;","&amp;R9&amp;","&amp;R10&amp;"],"</f>
        <v>            'to_zone':'h1_25',
            'reward':{'coin':1000,'item036':10},
            'country':[0,1,2],</v>
      </c>
    </row>
    <row r="10" s="354" customFormat="1" ht="14.25" customHeight="1" spans="1:24">
      <c r="A10" s="259">
        <v>63</v>
      </c>
      <c r="B10" s="210">
        <f>VLOOKUP(表1_86121822[[#This Row],[区服]],$O$26:$P$33,2,FALSE)</f>
        <v>44</v>
      </c>
      <c r="C10" s="296" t="s">
        <v>62</v>
      </c>
      <c r="D10" s="212" t="str">
        <f>表1_86121822[[#This Row],[目标国家]]</f>
        <v>吴</v>
      </c>
      <c r="E10" s="213">
        <f>(VLOOKUP(表1_86121822[[#This Row],[目标区服]],$Q$26:$R$29,2,FALSE)-表1_86121822[[#This Row],[开服天数]])*配置!$B$1</f>
        <v>1000</v>
      </c>
      <c r="F10" s="213">
        <f>表1_86121822[[#This Row],[补偿Coin]]*(表1_86121822[[#This Row],[活跃高战玩家数]]+表1_86121822[[#This Row],[活跃中坚玩家数]])</f>
        <v>27000</v>
      </c>
      <c r="G10" s="260">
        <f>(VLOOKUP(表1_86121822[[#This Row],[目标区服]],$Q$26:$R$29,2,FALSE)-表1_86121822[[#This Row],[开服天数]])*配置!$B$2</f>
        <v>10</v>
      </c>
      <c r="H10" s="212" t="s">
        <v>27</v>
      </c>
      <c r="I10" s="268">
        <f>IF(表1_86121822[[#This Row],[原国家]]="魏",0,IF(表1_86121822[[#This Row],[原国家]]="蜀",1,2))</f>
        <v>2</v>
      </c>
      <c r="J10" s="213">
        <v>1</v>
      </c>
      <c r="K10" s="213">
        <v>57</v>
      </c>
      <c r="L10" s="213">
        <v>2</v>
      </c>
      <c r="M10" s="213">
        <v>25</v>
      </c>
      <c r="N10" s="213">
        <v>100968</v>
      </c>
      <c r="O10" s="419">
        <v>2108643</v>
      </c>
      <c r="P10" s="420">
        <v>19650200</v>
      </c>
      <c r="Q10" s="31" t="s">
        <v>27</v>
      </c>
      <c r="R10" s="212">
        <f>IF(表1_86121822[[#This Row],[目标国家]]="魏",0,IF(表1_86121822[[#This Row],[目标国家]]="蜀",1,2))</f>
        <v>2</v>
      </c>
      <c r="S10" s="213">
        <v>49240</v>
      </c>
      <c r="T10" s="213">
        <v>68</v>
      </c>
      <c r="U10" s="213">
        <v>295618</v>
      </c>
      <c r="V10" s="213">
        <v>6874</v>
      </c>
      <c r="W10" s="278" t="str">
        <f>"{"&amp;"'coin':"&amp;表1_86121822[[#This Row],[补偿Coin]]&amp;",'"&amp;配置!$A$2&amp;"':"&amp;表1_86121822[[#This Row],[补偿辎重]]&amp;"},"</f>
        <v>{'coin':1000,'item036':10},</v>
      </c>
      <c r="X10" s="278" t="str">
        <f>"      },"</f>
        <v>      },</v>
      </c>
    </row>
    <row r="11" s="354" customFormat="1" ht="14.25" customHeight="1" spans="1:24">
      <c r="A11" s="259">
        <v>64</v>
      </c>
      <c r="B11" s="210">
        <f>VLOOKUP(表1_86121822[[#This Row],[区服]],$O$26:$P$33,2,FALSE)</f>
        <v>43</v>
      </c>
      <c r="C11" s="296" t="s">
        <v>62</v>
      </c>
      <c r="D11" s="212" t="str">
        <f>表1_86121822[[#This Row],[目标国家]]</f>
        <v>魏</v>
      </c>
      <c r="E11" s="213">
        <f>(VLOOKUP(表1_86121822[[#This Row],[目标区服]],$Q$26:$R$29,2,FALSE)-表1_86121822[[#This Row],[开服天数]])*配置!$B$1</f>
        <v>1500</v>
      </c>
      <c r="F11" s="213">
        <f>表1_86121822[[#This Row],[补偿Coin]]*(表1_86121822[[#This Row],[活跃高战玩家数]]+表1_86121822[[#This Row],[活跃中坚玩家数]])</f>
        <v>25500</v>
      </c>
      <c r="G11" s="260">
        <f>(VLOOKUP(表1_86121822[[#This Row],[目标区服]],$Q$26:$R$29,2,FALSE)-表1_86121822[[#This Row],[开服天数]])*配置!$B$2</f>
        <v>15</v>
      </c>
      <c r="H11" s="212" t="s">
        <v>25</v>
      </c>
      <c r="I11" s="268">
        <f>IF(表1_86121822[[#This Row],[原国家]]="魏",0,IF(表1_86121822[[#This Row],[原国家]]="蜀",1,2))</f>
        <v>0</v>
      </c>
      <c r="J11" s="213">
        <v>3</v>
      </c>
      <c r="K11" s="213">
        <v>138</v>
      </c>
      <c r="L11" s="213">
        <v>3</v>
      </c>
      <c r="M11" s="213">
        <v>14</v>
      </c>
      <c r="N11" s="213">
        <v>83402</v>
      </c>
      <c r="O11" s="419">
        <v>2917674</v>
      </c>
      <c r="P11" s="420">
        <v>16232838</v>
      </c>
      <c r="Q11" s="31" t="s">
        <v>25</v>
      </c>
      <c r="R11" s="212">
        <f>IF(表1_86121822[[#This Row],[目标国家]]="魏",0,IF(表1_86121822[[#This Row],[目标国家]]="蜀",1,2))</f>
        <v>0</v>
      </c>
      <c r="S11" s="213">
        <v>51590</v>
      </c>
      <c r="T11" s="213">
        <v>0</v>
      </c>
      <c r="U11" s="213">
        <v>228085</v>
      </c>
      <c r="V11" s="213">
        <v>8299</v>
      </c>
      <c r="W11" s="278" t="str">
        <f>"{"&amp;"'coin':"&amp;表1_86121822[[#This Row],[补偿Coin]]&amp;",'"&amp;配置!$A$2&amp;"':"&amp;表1_86121822[[#This Row],[补偿辎重]]&amp;"},"</f>
        <v>{'coin':1500,'item036':15},</v>
      </c>
      <c r="X11" s="278" t="str">
        <f>"      '"&amp;表1_86121822[[#This Row],[区服]]&amp;"':{"</f>
        <v>      '64':{</v>
      </c>
    </row>
    <row r="12" s="354" customFormat="1" ht="14.25" customHeight="1" spans="1:24">
      <c r="A12" s="259">
        <v>64</v>
      </c>
      <c r="B12" s="210">
        <f>VLOOKUP(表1_86121822[[#This Row],[区服]],$O$26:$P$33,2,FALSE)</f>
        <v>43</v>
      </c>
      <c r="C12" s="296" t="s">
        <v>62</v>
      </c>
      <c r="D12" s="212" t="str">
        <f>表1_86121822[[#This Row],[目标国家]]</f>
        <v>魏</v>
      </c>
      <c r="E12" s="213">
        <f>(VLOOKUP(表1_86121822[[#This Row],[目标区服]],$Q$26:$R$29,2,FALSE)-表1_86121822[[#This Row],[开服天数]])*配置!$B$1</f>
        <v>1500</v>
      </c>
      <c r="F12" s="213">
        <f>表1_86121822[[#This Row],[补偿Coin]]*(表1_86121822[[#This Row],[活跃高战玩家数]]+表1_86121822[[#This Row],[活跃中坚玩家数]])</f>
        <v>37500</v>
      </c>
      <c r="G12" s="260">
        <f>(VLOOKUP(表1_86121822[[#This Row],[目标区服]],$Q$26:$R$29,2,FALSE)-表1_86121822[[#This Row],[开服天数]])*配置!$B$2</f>
        <v>15</v>
      </c>
      <c r="H12" s="212" t="s">
        <v>26</v>
      </c>
      <c r="I12" s="268">
        <f>IF(表1_86121822[[#This Row],[原国家]]="魏",0,IF(表1_86121822[[#This Row],[原国家]]="蜀",1,2))</f>
        <v>1</v>
      </c>
      <c r="J12" s="213">
        <v>3</v>
      </c>
      <c r="K12" s="213">
        <v>132</v>
      </c>
      <c r="L12" s="213">
        <v>4</v>
      </c>
      <c r="M12" s="213">
        <v>21</v>
      </c>
      <c r="N12" s="213">
        <v>88041</v>
      </c>
      <c r="O12" s="419">
        <v>2891621</v>
      </c>
      <c r="P12" s="420">
        <v>19409263</v>
      </c>
      <c r="Q12" s="31" t="s">
        <v>25</v>
      </c>
      <c r="R12" s="212">
        <f>IF(表1_86121822[[#This Row],[目标国家]]="魏",0,IF(表1_86121822[[#This Row],[目标国家]]="蜀",1,2))</f>
        <v>0</v>
      </c>
      <c r="S12" s="213">
        <v>75710</v>
      </c>
      <c r="T12" s="213">
        <v>134</v>
      </c>
      <c r="U12" s="213">
        <v>252595</v>
      </c>
      <c r="V12" s="213">
        <v>9291</v>
      </c>
      <c r="W12" s="278" t="str">
        <f>"{"&amp;"'coin':"&amp;表1_86121822[[#This Row],[补偿Coin]]&amp;",'"&amp;配置!$A$2&amp;"':"&amp;表1_86121822[[#This Row],[补偿辎重]]&amp;"},"</f>
        <v>{'coin':1500,'item036':15},</v>
      </c>
      <c r="X12" s="278" t="str">
        <f>"            'to_zone':'"&amp;表1_86121822[[#This Row],[目标区服]]&amp;"',
            'reward':"&amp;表1_86121822[[#This Row],[辅助导出]]&amp;"
            'country':["&amp;R11&amp;","&amp;R12&amp;","&amp;R13&amp;"],"</f>
        <v>            'to_zone':'h1_25',
            'reward':{'coin':1500,'item036':15},
            'country':[0,0,2],</v>
      </c>
    </row>
    <row r="13" s="354" customFormat="1" ht="14.25" customHeight="1" spans="1:24">
      <c r="A13" s="259">
        <v>64</v>
      </c>
      <c r="B13" s="210">
        <f>VLOOKUP(表1_86121822[[#This Row],[区服]],$O$26:$P$33,2,FALSE)</f>
        <v>43</v>
      </c>
      <c r="C13" s="296" t="s">
        <v>62</v>
      </c>
      <c r="D13" s="212" t="str">
        <f>表1_86121822[[#This Row],[目标国家]]</f>
        <v>吴</v>
      </c>
      <c r="E13" s="213">
        <f>(VLOOKUP(表1_86121822[[#This Row],[目标区服]],$Q$26:$R$29,2,FALSE)-表1_86121822[[#This Row],[开服天数]])*配置!$B$1</f>
        <v>1500</v>
      </c>
      <c r="F13" s="213">
        <f>表1_86121822[[#This Row],[补偿Coin]]*(表1_86121822[[#This Row],[活跃高战玩家数]]+表1_86121822[[#This Row],[活跃中坚玩家数]])</f>
        <v>49500</v>
      </c>
      <c r="G13" s="260">
        <f>(VLOOKUP(表1_86121822[[#This Row],[目标区服]],$Q$26:$R$29,2,FALSE)-表1_86121822[[#This Row],[开服天数]])*配置!$B$2</f>
        <v>15</v>
      </c>
      <c r="H13" s="212" t="s">
        <v>27</v>
      </c>
      <c r="I13" s="268">
        <f>IF(表1_86121822[[#This Row],[原国家]]="魏",0,IF(表1_86121822[[#This Row],[原国家]]="蜀",1,2))</f>
        <v>2</v>
      </c>
      <c r="J13" s="213">
        <v>3</v>
      </c>
      <c r="K13" s="213">
        <v>125</v>
      </c>
      <c r="L13" s="213">
        <v>3</v>
      </c>
      <c r="M13" s="213">
        <v>30</v>
      </c>
      <c r="N13" s="213">
        <v>117363</v>
      </c>
      <c r="O13" s="419">
        <v>2899778</v>
      </c>
      <c r="P13" s="420">
        <v>25206816</v>
      </c>
      <c r="Q13" s="31" t="s">
        <v>27</v>
      </c>
      <c r="R13" s="212">
        <f>IF(表1_86121822[[#This Row],[目标国家]]="魏",0,IF(表1_86121822[[#This Row],[目标国家]]="蜀",1,2))</f>
        <v>2</v>
      </c>
      <c r="S13" s="213">
        <v>98794</v>
      </c>
      <c r="T13" s="213">
        <v>0</v>
      </c>
      <c r="U13" s="213">
        <v>275069</v>
      </c>
      <c r="V13" s="213">
        <v>10658</v>
      </c>
      <c r="W13" s="278" t="str">
        <f>"{"&amp;"'coin':"&amp;表1_86121822[[#This Row],[补偿Coin]]&amp;",'"&amp;配置!$A$2&amp;"':"&amp;表1_86121822[[#This Row],[补偿辎重]]&amp;"},"</f>
        <v>{'coin':1500,'item036':15},</v>
      </c>
      <c r="X13" s="278" t="str">
        <f t="shared" ref="X13" si="1">"      },"</f>
        <v>      },</v>
      </c>
    </row>
    <row r="14" ht="14.25" customHeight="1" spans="1:24">
      <c r="A14" s="17">
        <v>65</v>
      </c>
      <c r="B14" s="17">
        <f>VLOOKUP(表1_86121822[[#This Row],[区服]],$O$26:$P$33,2,FALSE)</f>
        <v>42</v>
      </c>
      <c r="C14" s="18" t="s">
        <v>63</v>
      </c>
      <c r="D14" s="19" t="str">
        <f>表1_86121822[[#This Row],[目标国家]]</f>
        <v>魏</v>
      </c>
      <c r="E14" s="20">
        <f>(VLOOKUP(表1_86121822[[#This Row],[目标区服]],$Q$26:$R$29,2,FALSE)-表1_86121822[[#This Row],[开服天数]])*配置!$B$1</f>
        <v>1000</v>
      </c>
      <c r="F14" s="20">
        <f>表1_86121822[[#This Row],[补偿Coin]]*(表1_86121822[[#This Row],[活跃高战玩家数]]+表1_86121822[[#This Row],[活跃中坚玩家数]])</f>
        <v>14000</v>
      </c>
      <c r="G14" s="20">
        <f>(VLOOKUP(表1_86121822[[#This Row],[目标区服]],$Q$26:$R$29,2,FALSE)-表1_86121822[[#This Row],[开服天数]])*配置!$B$2</f>
        <v>10</v>
      </c>
      <c r="H14" s="19" t="s">
        <v>25</v>
      </c>
      <c r="I14" s="19">
        <f>IF(表1_86121822[[#This Row],[原国家]]="魏",0,IF(表1_86121822[[#This Row],[原国家]]="蜀",1,2))</f>
        <v>0</v>
      </c>
      <c r="J14" s="20">
        <v>1</v>
      </c>
      <c r="K14" s="20">
        <v>47</v>
      </c>
      <c r="L14" s="20">
        <v>2</v>
      </c>
      <c r="M14" s="20">
        <v>12</v>
      </c>
      <c r="N14" s="20">
        <v>58522</v>
      </c>
      <c r="O14" s="20">
        <v>1462658</v>
      </c>
      <c r="P14" s="26">
        <v>8027606</v>
      </c>
      <c r="Q14" s="496" t="s">
        <v>25</v>
      </c>
      <c r="R14" s="19">
        <f>IF(表1_86121822[[#This Row],[目标国家]]="魏",0,IF(表1_86121822[[#This Row],[目标国家]]="蜀",1,2))</f>
        <v>0</v>
      </c>
      <c r="S14" s="20">
        <v>13720</v>
      </c>
      <c r="T14" s="20">
        <v>0</v>
      </c>
      <c r="U14" s="20">
        <v>69088</v>
      </c>
      <c r="V14" s="20">
        <v>3574</v>
      </c>
      <c r="W14" s="33" t="str">
        <f>"{"&amp;"'coin':"&amp;表1_86121822[[#This Row],[补偿Coin]]&amp;",'"&amp;配置!$A$2&amp;"':"&amp;表1_86121822[[#This Row],[补偿辎重]]&amp;"},"</f>
        <v>{'coin':1000,'item036':10},</v>
      </c>
      <c r="X14" s="34" t="str">
        <f>"      '"&amp;表1_86121822[[#This Row],[区服]]&amp;"':{"</f>
        <v>      '65':{</v>
      </c>
    </row>
    <row r="15" ht="14.25" customHeight="1" spans="1:24">
      <c r="A15" s="17">
        <v>65</v>
      </c>
      <c r="B15" s="17">
        <f>VLOOKUP(表1_86121822[[#This Row],[区服]],$O$26:$P$33,2,FALSE)</f>
        <v>42</v>
      </c>
      <c r="C15" s="18" t="s">
        <v>63</v>
      </c>
      <c r="D15" s="19" t="str">
        <f>表1_86121822[[#This Row],[目标国家]]</f>
        <v>蜀</v>
      </c>
      <c r="E15" s="20">
        <f>(VLOOKUP(表1_86121822[[#This Row],[目标区服]],$Q$26:$R$29,2,FALSE)-表1_86121822[[#This Row],[开服天数]])*配置!$B$1</f>
        <v>1000</v>
      </c>
      <c r="F15" s="20">
        <f>表1_86121822[[#This Row],[补偿Coin]]*(表1_86121822[[#This Row],[活跃高战玩家数]]+表1_86121822[[#This Row],[活跃中坚玩家数]])</f>
        <v>22000</v>
      </c>
      <c r="G15" s="20">
        <f>(VLOOKUP(表1_86121822[[#This Row],[目标区服]],$Q$26:$R$29,2,FALSE)-表1_86121822[[#This Row],[开服天数]])*配置!$B$2</f>
        <v>10</v>
      </c>
      <c r="H15" s="19" t="s">
        <v>26</v>
      </c>
      <c r="I15" s="19">
        <f>IF(表1_86121822[[#This Row],[原国家]]="魏",0,IF(表1_86121822[[#This Row],[原国家]]="蜀",1,2))</f>
        <v>1</v>
      </c>
      <c r="J15" s="20">
        <v>5</v>
      </c>
      <c r="K15" s="20">
        <v>215</v>
      </c>
      <c r="L15" s="20">
        <v>5</v>
      </c>
      <c r="M15" s="20">
        <v>17</v>
      </c>
      <c r="N15" s="20">
        <v>127323</v>
      </c>
      <c r="O15" s="20">
        <v>1871083</v>
      </c>
      <c r="P15" s="26">
        <v>16711257</v>
      </c>
      <c r="Q15" s="496" t="s">
        <v>26</v>
      </c>
      <c r="R15" s="19">
        <f>IF(表1_86121822[[#This Row],[目标国家]]="魏",0,IF(表1_86121822[[#This Row],[目标国家]]="蜀",1,2))</f>
        <v>1</v>
      </c>
      <c r="S15" s="20">
        <v>43236</v>
      </c>
      <c r="T15" s="20">
        <v>0</v>
      </c>
      <c r="U15" s="20">
        <v>339286</v>
      </c>
      <c r="V15" s="20">
        <v>8295</v>
      </c>
      <c r="W15" s="33" t="str">
        <f>"{"&amp;"'coin':"&amp;表1_86121822[[#This Row],[补偿Coin]]&amp;",'"&amp;配置!$A$2&amp;"':"&amp;表1_86121822[[#This Row],[补偿辎重]]&amp;"},"</f>
        <v>{'coin':1000,'item036':10},</v>
      </c>
      <c r="X15" s="34" t="str">
        <f>"            'to_zone':'"&amp;表1_86121822[[#This Row],[目标区服]]&amp;"',
            'reward':"&amp;表1_86121822[[#This Row],[辅助导出]]&amp;"
            'country':["&amp;R14&amp;","&amp;R15&amp;","&amp;R16&amp;"],"</f>
        <v>            'to_zone':'h1_26',
            'reward':{'coin':1000,'item036':10},
            'country':[0,1,2],</v>
      </c>
    </row>
    <row r="16" ht="14.25" customHeight="1" spans="1:24">
      <c r="A16" s="17">
        <v>65</v>
      </c>
      <c r="B16" s="17">
        <f>VLOOKUP(表1_86121822[[#This Row],[区服]],$O$26:$P$33,2,FALSE)</f>
        <v>42</v>
      </c>
      <c r="C16" s="18" t="s">
        <v>63</v>
      </c>
      <c r="D16" s="19" t="str">
        <f>表1_86121822[[#This Row],[目标国家]]</f>
        <v>吴</v>
      </c>
      <c r="E16" s="20">
        <f>(VLOOKUP(表1_86121822[[#This Row],[目标区服]],$Q$26:$R$29,2,FALSE)-表1_86121822[[#This Row],[开服天数]])*配置!$B$1</f>
        <v>1000</v>
      </c>
      <c r="F16" s="20">
        <f>表1_86121822[[#This Row],[补偿Coin]]*(表1_86121822[[#This Row],[活跃高战玩家数]]+表1_86121822[[#This Row],[活跃中坚玩家数]])</f>
        <v>18000</v>
      </c>
      <c r="G16" s="20">
        <f>(VLOOKUP(表1_86121822[[#This Row],[目标区服]],$Q$26:$R$29,2,FALSE)-表1_86121822[[#This Row],[开服天数]])*配置!$B$2</f>
        <v>10</v>
      </c>
      <c r="H16" s="19" t="s">
        <v>27</v>
      </c>
      <c r="I16" s="19">
        <f>IF(表1_86121822[[#This Row],[原国家]]="魏",0,IF(表1_86121822[[#This Row],[原国家]]="蜀",1,2))</f>
        <v>2</v>
      </c>
      <c r="J16" s="20">
        <v>3</v>
      </c>
      <c r="K16" s="20">
        <v>133</v>
      </c>
      <c r="L16" s="20">
        <v>3</v>
      </c>
      <c r="M16" s="20">
        <v>15</v>
      </c>
      <c r="N16" s="20">
        <v>86826</v>
      </c>
      <c r="O16" s="20">
        <v>1646380</v>
      </c>
      <c r="P16" s="26">
        <v>11494623</v>
      </c>
      <c r="Q16" s="496" t="s">
        <v>27</v>
      </c>
      <c r="R16" s="19">
        <f>IF(表1_86121822[[#This Row],[目标国家]]="魏",0,IF(表1_86121822[[#This Row],[目标国家]]="蜀",1,2))</f>
        <v>2</v>
      </c>
      <c r="S16" s="20">
        <v>9648</v>
      </c>
      <c r="T16" s="20">
        <v>0</v>
      </c>
      <c r="U16" s="20">
        <v>192225</v>
      </c>
      <c r="V16" s="20">
        <v>5245</v>
      </c>
      <c r="W16" s="33" t="str">
        <f>"{"&amp;"'coin':"&amp;表1_86121822[[#This Row],[补偿Coin]]&amp;",'"&amp;配置!$A$2&amp;"':"&amp;表1_86121822[[#This Row],[补偿辎重]]&amp;"},"</f>
        <v>{'coin':1000,'item036':10},</v>
      </c>
      <c r="X16" s="34" t="str">
        <f t="shared" ref="X16" si="2">"      },"</f>
        <v>      },</v>
      </c>
    </row>
    <row r="17" ht="14.25" customHeight="1" spans="1:24">
      <c r="A17" s="17">
        <v>66</v>
      </c>
      <c r="B17" s="17">
        <f>VLOOKUP(表1_86121822[[#This Row],[区服]],$O$26:$P$33,2,FALSE)</f>
        <v>41</v>
      </c>
      <c r="C17" s="18" t="s">
        <v>63</v>
      </c>
      <c r="D17" s="19" t="str">
        <f>表1_86121822[[#This Row],[目标国家]]</f>
        <v>魏</v>
      </c>
      <c r="E17" s="20">
        <f>(VLOOKUP(表1_86121822[[#This Row],[目标区服]],$Q$26:$R$29,2,FALSE)-表1_86121822[[#This Row],[开服天数]])*配置!$B$1</f>
        <v>1500</v>
      </c>
      <c r="F17" s="20">
        <f>表1_86121822[[#This Row],[补偿Coin]]*(表1_86121822[[#This Row],[活跃高战玩家数]]+表1_86121822[[#This Row],[活跃中坚玩家数]])</f>
        <v>30000</v>
      </c>
      <c r="G17" s="20">
        <f>(VLOOKUP(表1_86121822[[#This Row],[目标区服]],$Q$26:$R$29,2,FALSE)-表1_86121822[[#This Row],[开服天数]])*配置!$B$2</f>
        <v>15</v>
      </c>
      <c r="H17" s="19" t="s">
        <v>25</v>
      </c>
      <c r="I17" s="19">
        <f>IF(表1_86121822[[#This Row],[原国家]]="魏",0,IF(表1_86121822[[#This Row],[原国家]]="蜀",1,2))</f>
        <v>0</v>
      </c>
      <c r="J17" s="20">
        <v>4</v>
      </c>
      <c r="K17" s="20">
        <v>154</v>
      </c>
      <c r="L17" s="20">
        <v>5</v>
      </c>
      <c r="M17" s="20">
        <v>15</v>
      </c>
      <c r="N17" s="20">
        <v>120566</v>
      </c>
      <c r="O17" s="20">
        <v>2445562</v>
      </c>
      <c r="P17" s="26">
        <v>15030820</v>
      </c>
      <c r="Q17" s="31" t="s">
        <v>25</v>
      </c>
      <c r="R17" s="19">
        <f>IF(表1_86121822[[#This Row],[目标国家]]="魏",0,IF(表1_86121822[[#This Row],[目标国家]]="蜀",1,2))</f>
        <v>0</v>
      </c>
      <c r="S17" s="20">
        <v>71188</v>
      </c>
      <c r="T17" s="20">
        <v>648</v>
      </c>
      <c r="U17" s="20">
        <v>556933</v>
      </c>
      <c r="V17" s="20">
        <v>8912</v>
      </c>
      <c r="W17" s="33" t="str">
        <f>"{"&amp;"'coin':"&amp;表1_86121822[[#This Row],[补偿Coin]]&amp;",'"&amp;配置!$A$2&amp;"':"&amp;表1_86121822[[#This Row],[补偿辎重]]&amp;"},"</f>
        <v>{'coin':1500,'item036':15},</v>
      </c>
      <c r="X17" s="34" t="str">
        <f>"      '"&amp;表1_86121822[[#This Row],[区服]]&amp;"':{"</f>
        <v>      '66':{</v>
      </c>
    </row>
    <row r="18" ht="14.25" customHeight="1" spans="1:24">
      <c r="A18" s="17">
        <v>66</v>
      </c>
      <c r="B18" s="17">
        <f>VLOOKUP(表1_86121822[[#This Row],[区服]],$O$26:$P$33,2,FALSE)</f>
        <v>41</v>
      </c>
      <c r="C18" s="18" t="s">
        <v>63</v>
      </c>
      <c r="D18" s="19" t="str">
        <f>表1_86121822[[#This Row],[目标国家]]</f>
        <v>蜀</v>
      </c>
      <c r="E18" s="20">
        <f>(VLOOKUP(表1_86121822[[#This Row],[目标区服]],$Q$26:$R$29,2,FALSE)-表1_86121822[[#This Row],[开服天数]])*配置!$B$1</f>
        <v>1500</v>
      </c>
      <c r="F18" s="20">
        <f>表1_86121822[[#This Row],[补偿Coin]]*(表1_86121822[[#This Row],[活跃高战玩家数]]+表1_86121822[[#This Row],[活跃中坚玩家数]])</f>
        <v>21000</v>
      </c>
      <c r="G18" s="20">
        <f>(VLOOKUP(表1_86121822[[#This Row],[目标区服]],$Q$26:$R$29,2,FALSE)-表1_86121822[[#This Row],[开服天数]])*配置!$B$2</f>
        <v>15</v>
      </c>
      <c r="H18" s="19" t="s">
        <v>26</v>
      </c>
      <c r="I18" s="19">
        <f>IF(表1_86121822[[#This Row],[原国家]]="魏",0,IF(表1_86121822[[#This Row],[原国家]]="蜀",1,2))</f>
        <v>1</v>
      </c>
      <c r="J18" s="20">
        <v>3</v>
      </c>
      <c r="K18" s="20">
        <v>147</v>
      </c>
      <c r="L18" s="20">
        <v>3</v>
      </c>
      <c r="M18" s="20">
        <v>11</v>
      </c>
      <c r="N18" s="20">
        <v>60948</v>
      </c>
      <c r="O18" s="20">
        <v>1900297</v>
      </c>
      <c r="P18" s="26">
        <v>7334658</v>
      </c>
      <c r="Q18" s="31" t="s">
        <v>26</v>
      </c>
      <c r="R18" s="19">
        <f>IF(表1_86121822[[#This Row],[目标国家]]="魏",0,IF(表1_86121822[[#This Row],[目标国家]]="蜀",1,2))</f>
        <v>1</v>
      </c>
      <c r="S18" s="20">
        <v>27138</v>
      </c>
      <c r="T18" s="20">
        <v>0</v>
      </c>
      <c r="U18" s="20">
        <v>246960</v>
      </c>
      <c r="V18" s="20">
        <v>5646</v>
      </c>
      <c r="W18" s="33" t="str">
        <f>"{"&amp;"'coin':"&amp;表1_86121822[[#This Row],[补偿Coin]]&amp;",'"&amp;配置!$A$2&amp;"':"&amp;表1_86121822[[#This Row],[补偿辎重]]&amp;"},"</f>
        <v>{'coin':1500,'item036':15},</v>
      </c>
      <c r="X18" s="34" t="str">
        <f>"            'to_zone':'"&amp;表1_86121822[[#This Row],[目标区服]]&amp;"',
            'reward':"&amp;表1_86121822[[#This Row],[辅助导出]]&amp;"
            'country':["&amp;R17&amp;","&amp;R18&amp;","&amp;R19&amp;"],"</f>
        <v>            'to_zone':'h1_26',
            'reward':{'coin':1500,'item036':15},
            'country':[0,1,2],</v>
      </c>
    </row>
    <row r="19" ht="14.25" customHeight="1" spans="1:24">
      <c r="A19" s="17">
        <v>66</v>
      </c>
      <c r="B19" s="17">
        <f>VLOOKUP(表1_86121822[[#This Row],[区服]],$O$26:$P$33,2,FALSE)</f>
        <v>41</v>
      </c>
      <c r="C19" s="18" t="s">
        <v>63</v>
      </c>
      <c r="D19" s="19" t="str">
        <f>表1_86121822[[#This Row],[目标国家]]</f>
        <v>吴</v>
      </c>
      <c r="E19" s="20">
        <f>(VLOOKUP(表1_86121822[[#This Row],[目标区服]],$Q$26:$R$29,2,FALSE)-表1_86121822[[#This Row],[开服天数]])*配置!$B$1</f>
        <v>1500</v>
      </c>
      <c r="F19" s="20">
        <f>表1_86121822[[#This Row],[补偿Coin]]*(表1_86121822[[#This Row],[活跃高战玩家数]]+表1_86121822[[#This Row],[活跃中坚玩家数]])</f>
        <v>18000</v>
      </c>
      <c r="G19" s="20">
        <f>(VLOOKUP(表1_86121822[[#This Row],[目标区服]],$Q$26:$R$29,2,FALSE)-表1_86121822[[#This Row],[开服天数]])*配置!$B$2</f>
        <v>15</v>
      </c>
      <c r="H19" s="19" t="s">
        <v>27</v>
      </c>
      <c r="I19" s="19">
        <f>IF(表1_86121822[[#This Row],[原国家]]="魏",0,IF(表1_86121822[[#This Row],[原国家]]="蜀",1,2))</f>
        <v>2</v>
      </c>
      <c r="J19" s="20">
        <v>2</v>
      </c>
      <c r="K19" s="20">
        <v>94</v>
      </c>
      <c r="L19" s="20">
        <v>2</v>
      </c>
      <c r="M19" s="20">
        <v>10</v>
      </c>
      <c r="N19" s="20">
        <v>76281</v>
      </c>
      <c r="O19" s="20">
        <v>2077382</v>
      </c>
      <c r="P19" s="26">
        <v>9898735</v>
      </c>
      <c r="Q19" s="31" t="s">
        <v>27</v>
      </c>
      <c r="R19" s="19">
        <f>IF(表1_86121822[[#This Row],[目标国家]]="魏",0,IF(表1_86121822[[#This Row],[目标国家]]="蜀",1,2))</f>
        <v>2</v>
      </c>
      <c r="S19" s="20">
        <v>48550</v>
      </c>
      <c r="T19" s="20">
        <v>0</v>
      </c>
      <c r="U19" s="20">
        <v>289208</v>
      </c>
      <c r="V19" s="20">
        <v>6189</v>
      </c>
      <c r="W19" s="33" t="str">
        <f>"{"&amp;"'coin':"&amp;表1_86121822[[#This Row],[补偿Coin]]&amp;",'"&amp;配置!$A$2&amp;"':"&amp;表1_86121822[[#This Row],[补偿辎重]]&amp;"},"</f>
        <v>{'coin':1500,'item036':15},</v>
      </c>
      <c r="X19" s="34" t="str">
        <f t="shared" ref="X19" si="3">"      },"</f>
        <v>      },</v>
      </c>
    </row>
    <row r="20" ht="14.25" customHeight="1" spans="1:24">
      <c r="A20" s="17"/>
      <c r="B20" s="17" t="e">
        <f>VLOOKUP(表1_86121822[[#This Row],[区服]],$O$26:$P$33,2,FALSE)</f>
        <v>#N/A</v>
      </c>
      <c r="C20" s="18" t="s">
        <v>56</v>
      </c>
      <c r="D20" s="19" t="str">
        <f>表1_86121822[[#This Row],[目标国家]]</f>
        <v>魏</v>
      </c>
      <c r="E20" s="20" t="e">
        <f>(VLOOKUP(表1_86121822[[#This Row],[目标区服]],$Q$26:$R$29,2,FALSE)-表1_86121822[[#This Row],[开服天数]])*配置!$B$1</f>
        <v>#N/A</v>
      </c>
      <c r="F20" s="20" t="e">
        <f>表1_86121822[[#This Row],[补偿Coin]]*(表1_86121822[[#This Row],[活跃高战玩家数]]+表1_86121822[[#This Row],[活跃中坚玩家数]])</f>
        <v>#N/A</v>
      </c>
      <c r="G20" s="20" t="e">
        <f>(VLOOKUP(表1_86121822[[#This Row],[目标区服]],$Q$26:$R$29,2,FALSE)-表1_86121822[[#This Row],[开服天数]])*配置!$B$2</f>
        <v>#N/A</v>
      </c>
      <c r="H20" s="19" t="s">
        <v>25</v>
      </c>
      <c r="I20" s="19">
        <f>IF(表1_86121822[[#This Row],[原国家]]="魏",0,IF(表1_86121822[[#This Row],[原国家]]="蜀",1,2))</f>
        <v>0</v>
      </c>
      <c r="J20" s="20">
        <v>0</v>
      </c>
      <c r="K20" s="20">
        <v>49</v>
      </c>
      <c r="L20" s="20">
        <v>2</v>
      </c>
      <c r="M20" s="20">
        <v>11</v>
      </c>
      <c r="N20" s="20">
        <v>62489</v>
      </c>
      <c r="O20" s="20">
        <v>1670122</v>
      </c>
      <c r="P20" s="26">
        <v>8129534</v>
      </c>
      <c r="Q20" s="31" t="s">
        <v>25</v>
      </c>
      <c r="R20" s="19">
        <f>IF(表1_86121822[[#This Row],[目标国家]]="魏",0,IF(表1_86121822[[#This Row],[目标国家]]="蜀",1,2))</f>
        <v>0</v>
      </c>
      <c r="S20" s="20">
        <v>35430</v>
      </c>
      <c r="T20" s="20">
        <v>0</v>
      </c>
      <c r="U20" s="20">
        <v>161345</v>
      </c>
      <c r="V20" s="20">
        <v>4429</v>
      </c>
      <c r="W20" s="33" t="e">
        <f>"{"&amp;"'coin':"&amp;表1_86121822[[#This Row],[补偿Coin]]&amp;",'"&amp;配置!$A$2&amp;"':"&amp;表1_86121822[[#This Row],[补偿辎重]]&amp;"},"</f>
        <v>#N/A</v>
      </c>
      <c r="X20" s="34" t="str">
        <f>"      '"&amp;表1_86121822[[#This Row],[区服]]&amp;"':{"</f>
        <v>      '':{</v>
      </c>
    </row>
    <row r="21" ht="14.25" customHeight="1" spans="1:24">
      <c r="A21" s="17"/>
      <c r="B21" s="17" t="e">
        <f>VLOOKUP(表1_86121822[[#This Row],[区服]],$O$26:$P$33,2,FALSE)</f>
        <v>#N/A</v>
      </c>
      <c r="C21" s="18" t="s">
        <v>56</v>
      </c>
      <c r="D21" s="19" t="str">
        <f>表1_86121822[[#This Row],[目标国家]]</f>
        <v>魏</v>
      </c>
      <c r="E21" s="20" t="e">
        <f>(VLOOKUP(表1_86121822[[#This Row],[目标区服]],$Q$26:$R$29,2,FALSE)-表1_86121822[[#This Row],[开服天数]])*配置!$B$1</f>
        <v>#N/A</v>
      </c>
      <c r="F21" s="20" t="e">
        <f>表1_86121822[[#This Row],[补偿Coin]]*(表1_86121822[[#This Row],[活跃高战玩家数]]+表1_86121822[[#This Row],[活跃中坚玩家数]])</f>
        <v>#N/A</v>
      </c>
      <c r="G21" s="20" t="e">
        <f>(VLOOKUP(表1_86121822[[#This Row],[目标区服]],$Q$26:$R$29,2,FALSE)-表1_86121822[[#This Row],[开服天数]])*配置!$B$2</f>
        <v>#N/A</v>
      </c>
      <c r="H21" s="19" t="s">
        <v>26</v>
      </c>
      <c r="I21" s="19">
        <f>IF(表1_86121822[[#This Row],[原国家]]="魏",0,IF(表1_86121822[[#This Row],[原国家]]="蜀",1,2))</f>
        <v>1</v>
      </c>
      <c r="J21" s="20">
        <v>9</v>
      </c>
      <c r="K21" s="20">
        <v>281</v>
      </c>
      <c r="L21" s="20">
        <v>7</v>
      </c>
      <c r="M21" s="20">
        <v>19</v>
      </c>
      <c r="N21" s="20">
        <v>153076</v>
      </c>
      <c r="O21" s="20">
        <v>2610614</v>
      </c>
      <c r="P21" s="26">
        <v>21794586</v>
      </c>
      <c r="Q21" s="31" t="s">
        <v>25</v>
      </c>
      <c r="R21" s="19">
        <f>IF(表1_86121822[[#This Row],[目标国家]]="魏",0,IF(表1_86121822[[#This Row],[目标国家]]="蜀",1,2))</f>
        <v>0</v>
      </c>
      <c r="S21" s="20">
        <v>96136</v>
      </c>
      <c r="T21" s="20">
        <v>806</v>
      </c>
      <c r="U21" s="20">
        <v>432828</v>
      </c>
      <c r="V21" s="20">
        <v>12374</v>
      </c>
      <c r="W21" s="33" t="e">
        <f>"{"&amp;"'coin':"&amp;表1_86121822[[#This Row],[补偿Coin]]&amp;",'"&amp;配置!$A$2&amp;"':"&amp;表1_86121822[[#This Row],[补偿辎重]]&amp;"},"</f>
        <v>#N/A</v>
      </c>
      <c r="X21" s="34" t="e">
        <f>"            'to_zone':'"&amp;表1_86121822[[#This Row],[目标区服]]&amp;"',
            'reward':"&amp;表1_86121822[[#This Row],[辅助导出]]&amp;"
            'country':["&amp;R20&amp;","&amp;R21&amp;","&amp;R22&amp;"],"</f>
        <v>#N/A</v>
      </c>
    </row>
    <row r="22" ht="14.25" customHeight="1" spans="1:24">
      <c r="A22" s="17"/>
      <c r="B22" s="17" t="e">
        <f>VLOOKUP(表1_86121822[[#This Row],[区服]],$O$26:$P$33,2,FALSE)</f>
        <v>#N/A</v>
      </c>
      <c r="C22" s="18" t="s">
        <v>56</v>
      </c>
      <c r="D22" s="19" t="str">
        <f>表1_86121822[[#This Row],[目标国家]]</f>
        <v>吴</v>
      </c>
      <c r="E22" s="20" t="e">
        <f>(VLOOKUP(表1_86121822[[#This Row],[目标区服]],$Q$26:$R$29,2,FALSE)-表1_86121822[[#This Row],[开服天数]])*配置!$B$1</f>
        <v>#N/A</v>
      </c>
      <c r="F22" s="20" t="e">
        <f>表1_86121822[[#This Row],[补偿Coin]]*(表1_86121822[[#This Row],[活跃高战玩家数]]+表1_86121822[[#This Row],[活跃中坚玩家数]])</f>
        <v>#N/A</v>
      </c>
      <c r="G22" s="20" t="e">
        <f>(VLOOKUP(表1_86121822[[#This Row],[目标区服]],$Q$26:$R$29,2,FALSE)-表1_86121822[[#This Row],[开服天数]])*配置!$B$2</f>
        <v>#N/A</v>
      </c>
      <c r="H22" s="19" t="s">
        <v>27</v>
      </c>
      <c r="I22" s="19">
        <f>IF(表1_86121822[[#This Row],[原国家]]="魏",0,IF(表1_86121822[[#This Row],[原国家]]="蜀",1,2))</f>
        <v>2</v>
      </c>
      <c r="J22" s="20">
        <v>0</v>
      </c>
      <c r="K22" s="20">
        <v>65</v>
      </c>
      <c r="L22" s="20">
        <v>0</v>
      </c>
      <c r="M22" s="20">
        <v>14</v>
      </c>
      <c r="N22" s="20">
        <v>49746</v>
      </c>
      <c r="O22" s="20">
        <v>944368</v>
      </c>
      <c r="P22" s="26">
        <v>5697367</v>
      </c>
      <c r="Q22" s="31" t="s">
        <v>27</v>
      </c>
      <c r="R22" s="19">
        <f>IF(表1_86121822[[#This Row],[目标国家]]="魏",0,IF(表1_86121822[[#This Row],[目标国家]]="蜀",1,2))</f>
        <v>2</v>
      </c>
      <c r="S22" s="20">
        <v>4074</v>
      </c>
      <c r="T22" s="20">
        <v>0</v>
      </c>
      <c r="U22" s="20">
        <v>136175</v>
      </c>
      <c r="V22" s="20">
        <v>2603</v>
      </c>
      <c r="W22" s="33" t="e">
        <f>"{"&amp;"'coin':"&amp;表1_86121822[[#This Row],[补偿Coin]]&amp;",'"&amp;配置!$A$2&amp;"':"&amp;表1_86121822[[#This Row],[补偿辎重]]&amp;"},"</f>
        <v>#N/A</v>
      </c>
      <c r="X22" s="34" t="str">
        <f t="shared" ref="X22" si="4">"      },"</f>
        <v>      },</v>
      </c>
    </row>
    <row r="25" ht="37.5" customHeight="1" spans="1:18">
      <c r="A25" s="36" t="s">
        <v>28</v>
      </c>
      <c r="B25" s="37" t="s">
        <v>29</v>
      </c>
      <c r="C25" s="38" t="s">
        <v>30</v>
      </c>
      <c r="D25" s="38" t="s">
        <v>31</v>
      </c>
      <c r="E25" s="38" t="s">
        <v>32</v>
      </c>
      <c r="F25" s="38" t="s">
        <v>33</v>
      </c>
      <c r="G25" s="38" t="s">
        <v>15</v>
      </c>
      <c r="H25" s="37" t="s">
        <v>18</v>
      </c>
      <c r="I25" s="37" t="s">
        <v>19</v>
      </c>
      <c r="J25" s="37" t="s">
        <v>34</v>
      </c>
      <c r="K25" s="38" t="s">
        <v>35</v>
      </c>
      <c r="L25" s="38" t="s">
        <v>36</v>
      </c>
      <c r="M25" s="38" t="s">
        <v>37</v>
      </c>
      <c r="O25" s="51" t="s">
        <v>0</v>
      </c>
      <c r="P25" s="51" t="s">
        <v>1</v>
      </c>
      <c r="Q25" s="51"/>
      <c r="R25" s="51" t="s">
        <v>38</v>
      </c>
    </row>
    <row r="26" ht="15" spans="1:18">
      <c r="A26" s="39" t="s">
        <v>61</v>
      </c>
      <c r="B26" s="39" t="s">
        <v>25</v>
      </c>
      <c r="C26" s="39">
        <f>COUNTIFS(表1_86121822[目标区服],表2_97131923[[#This Row],[合区区服]],表1_86121822[目标国家（映射）],表2_97131923[[#This Row],[国家]])</f>
        <v>2</v>
      </c>
      <c r="D26" s="39">
        <f>SUMIFS(表1_86121822[活跃高战玩家数],表1_86121822[目标区服],表2_97131923[[#This Row],[合区区服]],表1_86121822[目标国家（映射）],表2_97131923[[#This Row],[国家]])</f>
        <v>6</v>
      </c>
      <c r="E26" s="39">
        <f>SUMIFS(表1_86121822[活跃中坚玩家数],表1_86121822[目标区服],表2_97131923[[#This Row],[合区区服]],表1_86121822[目标国家（映射）],表2_97131923[[#This Row],[国家]])</f>
        <v>48</v>
      </c>
      <c r="F26" s="39">
        <f t="array" ref="F26">MAX((表1_86121822[目标区服]=表2_97131923[[#This Row],[合区区服]])*(表1_86121822[目标国家（映射）]=表2_97131923[[#This Row],[国家]])*表1_86121822[活跃尖端战力])</f>
        <v>2851449</v>
      </c>
      <c r="G26" s="40">
        <f>SUMIFS(表1_86121822[活跃总战力],表1_86121822[目标区服],表2_97131923[[#This Row],[合区区服]],表1_86121822[目标国家（映射）],表2_97131923[[#This Row],[国家]])</f>
        <v>44847030</v>
      </c>
      <c r="H26" s="39">
        <f>SUMIFS(表1_86121822[活跃实际充值],表1_86121822[目标区服],表2_97131923[[#This Row],[合区区服]],表1_86121822[目标国家（映射）],表2_97131923[[#This Row],[国家]])</f>
        <v>135984</v>
      </c>
      <c r="I26" s="39">
        <f>SUMIFS(表1_86121822[活跃虚拟充值],表1_86121822[目标区服],表2_97131923[[#This Row],[合区区服]],表1_86121822[目标国家（映射）],表2_97131923[[#This Row],[国家]])</f>
        <v>96</v>
      </c>
      <c r="J26" s="39">
        <f>SUMIFS(表1_86121822[活跃Coin],表1_86121822[目标区服],表2_97131923[[#This Row],[合区区服]],表1_86121822[目标国家（映射）],表2_97131923[[#This Row],[国家]])</f>
        <v>597907</v>
      </c>
      <c r="K26" s="39">
        <f>SUMIFS(表1_86121822[共计补偿Coin],表1_86121822[目标区服],表2_97131923[[#This Row],[合区区服]],表1_86121822[目标国家（映射）],表2_97131923[[#This Row],[国家]])</f>
        <v>80000</v>
      </c>
      <c r="L26" s="39">
        <f>表2_97131923[[#This Row],[活跃Coin]]+表2_97131923[[#This Row],[共计补偿Coin]]</f>
        <v>677907</v>
      </c>
      <c r="M26" s="39">
        <f>SUMIFS(表1_86121822[综合国力],表1_86121822[目标区服],表2_97131923[[#This Row],[合区区服]],表1_86121822[目标国家（映射）],表2_97131923[[#This Row],[国家]])</f>
        <v>18706</v>
      </c>
      <c r="O26" s="51">
        <v>61</v>
      </c>
      <c r="P26" s="51">
        <v>47</v>
      </c>
      <c r="Q26" s="51" t="s">
        <v>61</v>
      </c>
      <c r="R26" s="51">
        <v>49</v>
      </c>
    </row>
    <row r="27" ht="15" spans="1:18">
      <c r="A27" s="39" t="s">
        <v>61</v>
      </c>
      <c r="B27" s="39" t="s">
        <v>26</v>
      </c>
      <c r="C27" s="39">
        <f>COUNTIFS(表1_86121822[目标区服],表2_97131923[[#This Row],[合区区服]],表1_86121822[目标国家（映射）],表2_97131923[[#This Row],[国家]])</f>
        <v>2</v>
      </c>
      <c r="D27" s="39">
        <f>SUMIFS(表1_86121822[活跃高战玩家数],表1_86121822[目标区服],表2_97131923[[#This Row],[合区区服]],表1_86121822[目标国家（映射）],表2_97131923[[#This Row],[国家]])</f>
        <v>4</v>
      </c>
      <c r="E27" s="39">
        <f>SUMIFS(表1_86121822[活跃中坚玩家数],表1_86121822[目标区服],表2_97131923[[#This Row],[合区区服]],表1_86121822[目标国家（映射）],表2_97131923[[#This Row],[国家]])</f>
        <v>39</v>
      </c>
      <c r="F27" s="39">
        <f t="array" ref="F27">MAX((表1_86121822[目标区服]=表2_97131923[[#This Row],[合区区服]])*(表1_86121822[目标国家（映射）]=表2_97131923[[#This Row],[国家]])*表1_86121822[活跃尖端战力])</f>
        <v>2806121</v>
      </c>
      <c r="G27" s="40">
        <f>SUMIFS(表1_86121822[活跃总战力],表1_86121822[目标区服],表2_97131923[[#This Row],[合区区服]],表1_86121822[目标国家（映射）],表2_97131923[[#This Row],[国家]])</f>
        <v>36679563</v>
      </c>
      <c r="H27" s="39">
        <f>SUMIFS(表1_86121822[活跃实际充值],表1_86121822[目标区服],表2_97131923[[#This Row],[合区区服]],表1_86121822[目标国家（映射）],表2_97131923[[#This Row],[国家]])</f>
        <v>146324</v>
      </c>
      <c r="I27" s="39">
        <f>SUMIFS(表1_86121822[活跃虚拟充值],表1_86121822[目标区服],表2_97131923[[#This Row],[合区区服]],表1_86121822[目标国家（映射）],表2_97131923[[#This Row],[国家]])</f>
        <v>0</v>
      </c>
      <c r="J27" s="39">
        <f>SUMIFS(表1_86121822[活跃Coin],表1_86121822[目标区服],表2_97131923[[#This Row],[合区区服]],表1_86121822[目标国家（映射）],表2_97131923[[#This Row],[国家]])</f>
        <v>521145</v>
      </c>
      <c r="K27" s="39">
        <f>SUMIFS(表1_86121822[共计补偿Coin],表1_86121822[目标区服],表2_97131923[[#This Row],[合区区服]],表1_86121822[目标国家（映射）],表2_97131923[[#This Row],[国家]])</f>
        <v>64000</v>
      </c>
      <c r="L27" s="39">
        <f>表2_97131923[[#This Row],[活跃Coin]]+表2_97131923[[#This Row],[共计补偿Coin]]</f>
        <v>585145</v>
      </c>
      <c r="M27" s="39">
        <f>SUMIFS(表1_86121822[综合国力],表1_86121822[目标区服],表2_97131923[[#This Row],[合区区服]],表1_86121822[目标国家（映射）],表2_97131923[[#This Row],[国家]])</f>
        <v>17833</v>
      </c>
      <c r="O27" s="51">
        <v>62</v>
      </c>
      <c r="P27" s="51">
        <v>45</v>
      </c>
      <c r="Q27" s="51" t="s">
        <v>62</v>
      </c>
      <c r="R27" s="51">
        <v>46</v>
      </c>
    </row>
    <row r="28" ht="15" spans="1:18">
      <c r="A28" s="39" t="s">
        <v>61</v>
      </c>
      <c r="B28" s="39" t="s">
        <v>27</v>
      </c>
      <c r="C28" s="39">
        <f>COUNTIFS(表1_86121822[目标区服],表2_97131923[[#This Row],[合区区服]],表1_86121822[目标国家（映射）],表2_97131923[[#This Row],[国家]])</f>
        <v>2</v>
      </c>
      <c r="D28" s="39">
        <f>SUMIFS(表1_86121822[活跃高战玩家数],表1_86121822[目标区服],表2_97131923[[#This Row],[合区区服]],表1_86121822[目标国家（映射）],表2_97131923[[#This Row],[国家]])</f>
        <v>8</v>
      </c>
      <c r="E28" s="39">
        <f>SUMIFS(表1_86121822[活跃中坚玩家数],表1_86121822[目标区服],表2_97131923[[#This Row],[合区区服]],表1_86121822[目标国家（映射）],表2_97131923[[#This Row],[国家]])</f>
        <v>30</v>
      </c>
      <c r="F28" s="39">
        <f t="array" ref="F28">MAX((表1_86121822[目标区服]=表2_97131923[[#This Row],[合区区服]])*(表1_86121822[目标国家（映射）]=表2_97131923[[#This Row],[国家]])*表1_86121822[活跃尖端战力])</f>
        <v>2728020</v>
      </c>
      <c r="G28" s="40">
        <f>SUMIFS(表1_86121822[活跃总战力],表1_86121822[目标区服],表2_97131923[[#This Row],[合区区服]],表1_86121822[目标国家（映射）],表2_97131923[[#This Row],[国家]])</f>
        <v>36493544</v>
      </c>
      <c r="H28" s="39">
        <f>SUMIFS(表1_86121822[活跃实际充值],表1_86121822[目标区服],表2_97131923[[#This Row],[合区区服]],表1_86121822[目标国家（映射）],表2_97131923[[#This Row],[国家]])</f>
        <v>143590</v>
      </c>
      <c r="I28" s="39">
        <f>SUMIFS(表1_86121822[活跃虚拟充值],表1_86121822[目标区服],表2_97131923[[#This Row],[合区区服]],表1_86121822[目标国家（映射）],表2_97131923[[#This Row],[国家]])</f>
        <v>0</v>
      </c>
      <c r="J28" s="39">
        <f>SUMIFS(表1_86121822[活跃Coin],表1_86121822[目标区服],表2_97131923[[#This Row],[合区区服]],表1_86121822[目标国家（映射）],表2_97131923[[#This Row],[国家]])</f>
        <v>607105</v>
      </c>
      <c r="K28" s="39">
        <f>SUMIFS(表1_86121822[共计补偿Coin],表1_86121822[目标区服],表2_97131923[[#This Row],[合区区服]],表1_86121822[目标国家（映射）],表2_97131923[[#This Row],[国家]])</f>
        <v>57000</v>
      </c>
      <c r="L28" s="39">
        <f>表2_97131923[[#This Row],[活跃Coin]]+表2_97131923[[#This Row],[共计补偿Coin]]</f>
        <v>664105</v>
      </c>
      <c r="M28" s="39">
        <f>SUMIFS(表1_86121822[综合国力],表1_86121822[目标区服],表2_97131923[[#This Row],[合区区服]],表1_86121822[目标国家（映射）],表2_97131923[[#This Row],[国家]])</f>
        <v>17529</v>
      </c>
      <c r="O28" s="51">
        <v>63</v>
      </c>
      <c r="P28" s="51">
        <v>44</v>
      </c>
      <c r="Q28" s="51" t="s">
        <v>63</v>
      </c>
      <c r="R28" s="51">
        <v>44</v>
      </c>
    </row>
    <row r="29" ht="15" spans="1:18">
      <c r="A29" s="41" t="s">
        <v>62</v>
      </c>
      <c r="B29" s="41" t="s">
        <v>25</v>
      </c>
      <c r="C29" s="41">
        <f>COUNTIFS(表1_86121822[目标区服],表2_97131923[[#This Row],[合区区服]],表1_86121822[目标国家（映射）],表2_97131923[[#This Row],[国家]])</f>
        <v>3</v>
      </c>
      <c r="D29" s="41">
        <f>SUMIFS(表1_86121822[活跃高战玩家数],表1_86121822[目标区服],表2_97131923[[#This Row],[合区区服]],表1_86121822[目标国家（映射）],表2_97131923[[#This Row],[国家]])</f>
        <v>8</v>
      </c>
      <c r="E29" s="41">
        <f>SUMIFS(表1_86121822[活跃中坚玩家数],表1_86121822[目标区服],表2_97131923[[#This Row],[合区区服]],表1_86121822[目标国家（映射）],表2_97131923[[#This Row],[国家]])</f>
        <v>52</v>
      </c>
      <c r="F29" s="41">
        <f t="array" ref="F29">MAX((表1_86121822[目标区服]=表2_97131923[[#This Row],[合区区服]])*(表1_86121822[目标国家（映射）]=表2_97131923[[#This Row],[国家]])*表1_86121822[活跃尖端战力])</f>
        <v>2917674</v>
      </c>
      <c r="G29" s="42">
        <f>SUMIFS(表1_86121822[活跃总战力],表1_86121822[目标区服],表2_97131923[[#This Row],[合区区服]],表1_86121822[目标国家（映射）],表2_97131923[[#This Row],[国家]])</f>
        <v>46790823</v>
      </c>
      <c r="H29" s="41">
        <f>SUMIFS(表1_86121822[活跃实际充值],表1_86121822[目标区服],表2_97131923[[#This Row],[合区区服]],表1_86121822[目标国家（映射）],表2_97131923[[#This Row],[国家]])</f>
        <v>176972</v>
      </c>
      <c r="I29" s="41">
        <f>SUMIFS(表1_86121822[活跃虚拟充值],表1_86121822[目标区服],表2_97131923[[#This Row],[合区区服]],表1_86121822[目标国家（映射）],表2_97131923[[#This Row],[国家]])</f>
        <v>134</v>
      </c>
      <c r="J29" s="41">
        <f>SUMIFS(表1_86121822[活跃Coin],表1_86121822[目标区服],表2_97131923[[#This Row],[合区区服]],表1_86121822[目标国家（映射）],表2_97131923[[#This Row],[国家]])</f>
        <v>797226</v>
      </c>
      <c r="K29" s="41">
        <f>SUMIFS(表1_86121822[共计补偿Coin],表1_86121822[目标区服],表2_97131923[[#This Row],[合区区服]],表1_86121822[目标国家（映射）],表2_97131923[[#This Row],[国家]])</f>
        <v>81000</v>
      </c>
      <c r="L29" s="41">
        <f>表2_97131923[[#This Row],[活跃Coin]]+表2_97131923[[#This Row],[共计补偿Coin]]</f>
        <v>878226</v>
      </c>
      <c r="M29" s="41">
        <f>SUMIFS(表1_86121822[综合国力],表1_86121822[目标区服],表2_97131923[[#This Row],[合区区服]],表1_86121822[目标国家（映射）],表2_97131923[[#This Row],[国家]])</f>
        <v>23243</v>
      </c>
      <c r="O29" s="51">
        <v>64</v>
      </c>
      <c r="P29" s="51">
        <v>43</v>
      </c>
      <c r="Q29" s="51"/>
      <c r="R29" s="51"/>
    </row>
    <row r="30" ht="15" spans="1:16">
      <c r="A30" s="41" t="s">
        <v>62</v>
      </c>
      <c r="B30" s="41" t="s">
        <v>26</v>
      </c>
      <c r="C30" s="41">
        <f>COUNTIFS(表1_86121822[目标区服],表2_97131923[[#This Row],[合区区服]],表1_86121822[目标国家（映射）],表2_97131923[[#This Row],[国家]])</f>
        <v>1</v>
      </c>
      <c r="D30" s="41">
        <f>SUMIFS(表1_86121822[活跃高战玩家数],表1_86121822[目标区服],表2_97131923[[#This Row],[合区区服]],表1_86121822[目标国家（映射）],表2_97131923[[#This Row],[国家]])</f>
        <v>7</v>
      </c>
      <c r="E30" s="41">
        <f>SUMIFS(表1_86121822[活跃中坚玩家数],表1_86121822[目标区服],表2_97131923[[#This Row],[合区区服]],表1_86121822[目标国家（映射）],表2_97131923[[#This Row],[国家]])</f>
        <v>33</v>
      </c>
      <c r="F30" s="41">
        <f t="array" ref="F30">MAX((表1_86121822[目标区服]=表2_97131923[[#This Row],[合区区服]])*(表1_86121822[目标国家（映射）]=表2_97131923[[#This Row],[国家]])*表1_86121822[活跃尖端战力])</f>
        <v>3741788</v>
      </c>
      <c r="G30" s="42">
        <f>SUMIFS(表1_86121822[活跃总战力],表1_86121822[目标区服],表2_97131923[[#This Row],[合区区服]],表1_86121822[目标国家（映射）],表2_97131923[[#This Row],[国家]])</f>
        <v>38399998</v>
      </c>
      <c r="H30" s="41">
        <f>SUMIFS(表1_86121822[活跃实际充值],表1_86121822[目标区服],表2_97131923[[#This Row],[合区区服]],表1_86121822[目标国家（映射）],表2_97131923[[#This Row],[国家]])</f>
        <v>278706</v>
      </c>
      <c r="I30" s="41">
        <f>SUMIFS(表1_86121822[活跃虚拟充值],表1_86121822[目标区服],表2_97131923[[#This Row],[合区区服]],表1_86121822[目标国家（映射）],表2_97131923[[#This Row],[国家]])</f>
        <v>0</v>
      </c>
      <c r="J30" s="41">
        <f>SUMIFS(表1_86121822[活跃Coin],表1_86121822[目标区服],表2_97131923[[#This Row],[合区区服]],表1_86121822[目标国家（映射）],表2_97131923[[#This Row],[国家]])</f>
        <v>774583</v>
      </c>
      <c r="K30" s="41">
        <f>SUMIFS(表1_86121822[共计补偿Coin],表1_86121822[目标区服],表2_97131923[[#This Row],[合区区服]],表1_86121822[目标国家（映射）],表2_97131923[[#This Row],[国家]])</f>
        <v>40000</v>
      </c>
      <c r="L30" s="41">
        <f>表2_97131923[[#This Row],[活跃Coin]]+表2_97131923[[#This Row],[共计补偿Coin]]</f>
        <v>814583</v>
      </c>
      <c r="M30" s="41">
        <f>SUMIFS(表1_86121822[综合国力],表1_86121822[目标区服],表2_97131923[[#This Row],[合区区服]],表1_86121822[目标国家（映射）],表2_97131923[[#This Row],[国家]])</f>
        <v>20626</v>
      </c>
      <c r="O30" s="51">
        <v>65</v>
      </c>
      <c r="P30" s="51">
        <v>42</v>
      </c>
    </row>
    <row r="31" ht="15" spans="1:16">
      <c r="A31" s="41" t="s">
        <v>62</v>
      </c>
      <c r="B31" s="43" t="s">
        <v>27</v>
      </c>
      <c r="C31" s="43">
        <f>COUNTIFS(表1_86121822[目标区服],表2_97131923[[#This Row],[合区区服]],表1_86121822[目标国家（映射）],表2_97131923[[#This Row],[国家]])</f>
        <v>2</v>
      </c>
      <c r="D31" s="43">
        <f>SUMIFS(表1_86121822[活跃高战玩家数],表1_86121822[目标区服],表2_97131923[[#This Row],[合区区服]],表1_86121822[目标国家（映射）],表2_97131923[[#This Row],[国家]])</f>
        <v>5</v>
      </c>
      <c r="E31" s="43">
        <f>SUMIFS(表1_86121822[活跃中坚玩家数],表1_86121822[目标区服],表2_97131923[[#This Row],[合区区服]],表1_86121822[目标国家（映射）],表2_97131923[[#This Row],[国家]])</f>
        <v>55</v>
      </c>
      <c r="F31" s="43">
        <f t="array" ref="F31">MAX((表1_86121822[目标区服]=表2_97131923[[#This Row],[合区区服]])*(表1_86121822[目标国家（映射）]=表2_97131923[[#This Row],[国家]])*表1_86121822[活跃尖端战力])</f>
        <v>2899778</v>
      </c>
      <c r="G31" s="44">
        <f>SUMIFS(表1_86121822[活跃总战力],表1_86121822[目标区服],表2_97131923[[#This Row],[合区区服]],表1_86121822[目标国家（映射）],表2_97131923[[#This Row],[国家]])</f>
        <v>44857016</v>
      </c>
      <c r="H31" s="43">
        <f>SUMIFS(表1_86121822[活跃实际充值],表1_86121822[目标区服],表2_97131923[[#This Row],[合区区服]],表1_86121822[目标国家（映射）],表2_97131923[[#This Row],[国家]])</f>
        <v>148034</v>
      </c>
      <c r="I31" s="43">
        <f>SUMIFS(表1_86121822[活跃虚拟充值],表1_86121822[目标区服],表2_97131923[[#This Row],[合区区服]],表1_86121822[目标国家（映射）],表2_97131923[[#This Row],[国家]])</f>
        <v>68</v>
      </c>
      <c r="J31" s="43">
        <f>SUMIFS(表1_86121822[活跃Coin],表1_86121822[目标区服],表2_97131923[[#This Row],[合区区服]],表1_86121822[目标国家（映射）],表2_97131923[[#This Row],[国家]])</f>
        <v>570687</v>
      </c>
      <c r="K31" s="43">
        <f>SUMIFS(表1_86121822[共计补偿Coin],表1_86121822[目标区服],表2_97131923[[#This Row],[合区区服]],表1_86121822[目标国家（映射）],表2_97131923[[#This Row],[国家]])</f>
        <v>76500</v>
      </c>
      <c r="L31" s="43">
        <f>表2_97131923[[#This Row],[活跃Coin]]+表2_97131923[[#This Row],[共计补偿Coin]]</f>
        <v>647187</v>
      </c>
      <c r="M31" s="43">
        <f>SUMIFS(表1_86121822[综合国力],表1_86121822[目标区服],表2_97131923[[#This Row],[合区区服]],表1_86121822[目标国家（映射）],表2_97131923[[#This Row],[国家]])</f>
        <v>17532</v>
      </c>
      <c r="O31" s="51">
        <v>66</v>
      </c>
      <c r="P31" s="51">
        <v>41</v>
      </c>
    </row>
    <row r="32" ht="15" spans="1:16">
      <c r="A32" s="45" t="s">
        <v>63</v>
      </c>
      <c r="B32" s="46" t="s">
        <v>25</v>
      </c>
      <c r="C32" s="46">
        <f>COUNTIFS(表1_86121822[目标区服],表2_97131923[[#This Row],[合区区服]],表1_86121822[目标国家（映射）],表2_97131923[[#This Row],[国家]])</f>
        <v>2</v>
      </c>
      <c r="D32" s="46">
        <f>SUMIFS(表1_86121822[活跃高战玩家数],表1_86121822[目标区服],表2_97131923[[#This Row],[合区区服]],表1_86121822[目标国家（映射）],表2_97131923[[#This Row],[国家]])</f>
        <v>7</v>
      </c>
      <c r="E32" s="46">
        <f>SUMIFS(表1_86121822[活跃中坚玩家数],表1_86121822[目标区服],表2_97131923[[#This Row],[合区区服]],表1_86121822[目标国家（映射）],表2_97131923[[#This Row],[国家]])</f>
        <v>27</v>
      </c>
      <c r="F32" s="46">
        <f t="array" ref="F32">MAX((表1_86121822[目标区服]=表2_97131923[[#This Row],[合区区服]])*(表1_86121822[目标国家（映射）]=表2_97131923[[#This Row],[国家]])*表1_86121822[活跃尖端战力])</f>
        <v>2445562</v>
      </c>
      <c r="G32" s="47">
        <f>SUMIFS(表1_86121822[活跃总战力],表1_86121822[目标区服],表2_97131923[[#This Row],[合区区服]],表1_86121822[目标国家（映射）],表2_97131923[[#This Row],[国家]])</f>
        <v>23058426</v>
      </c>
      <c r="H32" s="46">
        <f>SUMIFS(表1_86121822[活跃实际充值],表1_86121822[目标区服],表2_97131923[[#This Row],[合区区服]],表1_86121822[目标国家（映射）],表2_97131923[[#This Row],[国家]])</f>
        <v>84908</v>
      </c>
      <c r="I32" s="46">
        <f>SUMIFS(表1_86121822[活跃虚拟充值],表1_86121822[目标区服],表2_97131923[[#This Row],[合区区服]],表1_86121822[目标国家（映射）],表2_97131923[[#This Row],[国家]])</f>
        <v>648</v>
      </c>
      <c r="J32" s="46">
        <f>SUMIFS(表1_86121822[活跃Coin],表1_86121822[目标区服],表2_97131923[[#This Row],[合区区服]],表1_86121822[目标国家（映射）],表2_97131923[[#This Row],[国家]])</f>
        <v>626021</v>
      </c>
      <c r="K32" s="46">
        <f>SUMIFS(表1_86121822[共计补偿Coin],表1_86121822[目标区服],表2_97131923[[#This Row],[合区区服]],表1_86121822[目标国家（映射）],表2_97131923[[#This Row],[国家]])</f>
        <v>44000</v>
      </c>
      <c r="L32" s="46">
        <f>表2_97131923[[#This Row],[活跃Coin]]+表2_97131923[[#This Row],[共计补偿Coin]]</f>
        <v>670021</v>
      </c>
      <c r="M32" s="46">
        <f>SUMIFS(表1_86121822[综合国力],表1_86121822[目标区服],表2_97131923[[#This Row],[合区区服]],表1_86121822[目标国家（映射）],表2_97131923[[#This Row],[国家]])</f>
        <v>12486</v>
      </c>
      <c r="O32" s="51"/>
      <c r="P32" s="51"/>
    </row>
    <row r="33" ht="15" spans="1:16">
      <c r="A33" s="45" t="s">
        <v>63</v>
      </c>
      <c r="B33" s="46" t="s">
        <v>26</v>
      </c>
      <c r="C33" s="46">
        <f>COUNTIFS(表1_86121822[目标区服],表2_97131923[[#This Row],[合区区服]],表1_86121822[目标国家（映射）],表2_97131923[[#This Row],[国家]])</f>
        <v>2</v>
      </c>
      <c r="D33" s="46">
        <f>SUMIFS(表1_86121822[活跃高战玩家数],表1_86121822[目标区服],表2_97131923[[#This Row],[合区区服]],表1_86121822[目标国家（映射）],表2_97131923[[#This Row],[国家]])</f>
        <v>8</v>
      </c>
      <c r="E33" s="46">
        <f>SUMIFS(表1_86121822[活跃中坚玩家数],表1_86121822[目标区服],表2_97131923[[#This Row],[合区区服]],表1_86121822[目标国家（映射）],表2_97131923[[#This Row],[国家]])</f>
        <v>28</v>
      </c>
      <c r="F33" s="46">
        <f t="array" ref="F33">MAX((表1_86121822[目标区服]=表2_97131923[[#This Row],[合区区服]])*(表1_86121822[目标国家（映射）]=表2_97131923[[#This Row],[国家]])*表1_86121822[活跃尖端战力])</f>
        <v>1900297</v>
      </c>
      <c r="G33" s="47">
        <f>SUMIFS(表1_86121822[活跃总战力],表1_86121822[目标区服],表2_97131923[[#This Row],[合区区服]],表1_86121822[目标国家（映射）],表2_97131923[[#This Row],[国家]])</f>
        <v>24045915</v>
      </c>
      <c r="H33" s="46">
        <f>SUMIFS(表1_86121822[活跃实际充值],表1_86121822[目标区服],表2_97131923[[#This Row],[合区区服]],表1_86121822[目标国家（映射）],表2_97131923[[#This Row],[国家]])</f>
        <v>70374</v>
      </c>
      <c r="I33" s="46">
        <f>SUMIFS(表1_86121822[活跃虚拟充值],表1_86121822[目标区服],表2_97131923[[#This Row],[合区区服]],表1_86121822[目标国家（映射）],表2_97131923[[#This Row],[国家]])</f>
        <v>0</v>
      </c>
      <c r="J33" s="46">
        <f>SUMIFS(表1_86121822[活跃Coin],表1_86121822[目标区服],表2_97131923[[#This Row],[合区区服]],表1_86121822[目标国家（映射）],表2_97131923[[#This Row],[国家]])</f>
        <v>586246</v>
      </c>
      <c r="K33" s="46">
        <f>SUMIFS(表1_86121822[共计补偿Coin],表1_86121822[目标区服],表2_97131923[[#This Row],[合区区服]],表1_86121822[目标国家（映射）],表2_97131923[[#This Row],[国家]])</f>
        <v>43000</v>
      </c>
      <c r="L33" s="46">
        <f>表2_97131923[[#This Row],[活跃Coin]]+表2_97131923[[#This Row],[共计补偿Coin]]</f>
        <v>629246</v>
      </c>
      <c r="M33" s="46">
        <f>SUMIFS(表1_86121822[综合国力],表1_86121822[目标区服],表2_97131923[[#This Row],[合区区服]],表1_86121822[目标国家（映射）],表2_97131923[[#This Row],[国家]])</f>
        <v>13941</v>
      </c>
      <c r="O33" s="51"/>
      <c r="P33" s="51"/>
    </row>
    <row r="34" ht="15" spans="1:13">
      <c r="A34" s="45" t="s">
        <v>63</v>
      </c>
      <c r="B34" s="48" t="s">
        <v>27</v>
      </c>
      <c r="C34" s="48">
        <f>COUNTIFS(表1_86121822[目标区服],表2_97131923[[#This Row],[合区区服]],表1_86121822[目标国家（映射）],表2_97131923[[#This Row],[国家]])</f>
        <v>2</v>
      </c>
      <c r="D34" s="48">
        <f>SUMIFS(表1_86121822[活跃高战玩家数],表1_86121822[目标区服],表2_97131923[[#This Row],[合区区服]],表1_86121822[目标国家（映射）],表2_97131923[[#This Row],[国家]])</f>
        <v>5</v>
      </c>
      <c r="E34" s="48">
        <f>SUMIFS(表1_86121822[活跃中坚玩家数],表1_86121822[目标区服],表2_97131923[[#This Row],[合区区服]],表1_86121822[目标国家（映射）],表2_97131923[[#This Row],[国家]])</f>
        <v>25</v>
      </c>
      <c r="F34" s="48">
        <f t="array" ref="F34">MAX((表1_86121822[目标区服]=表2_97131923[[#This Row],[合区区服]])*(表1_86121822[目标国家（映射）]=表2_97131923[[#This Row],[国家]])*表1_86121822[活跃尖端战力])</f>
        <v>2077382</v>
      </c>
      <c r="G34" s="458">
        <f>SUMIFS(表1_86121822[活跃总战力],表1_86121822[目标区服],表2_97131923[[#This Row],[合区区服]],表1_86121822[目标国家（映射）],表2_97131923[[#This Row],[国家]])</f>
        <v>21393358</v>
      </c>
      <c r="H34" s="48">
        <f>SUMIFS(表1_86121822[活跃实际充值],表1_86121822[目标区服],表2_97131923[[#This Row],[合区区服]],表1_86121822[目标国家（映射）],表2_97131923[[#This Row],[国家]])</f>
        <v>58198</v>
      </c>
      <c r="I34" s="48">
        <f>SUMIFS(表1_86121822[活跃虚拟充值],表1_86121822[目标区服],表2_97131923[[#This Row],[合区区服]],表1_86121822[目标国家（映射）],表2_97131923[[#This Row],[国家]])</f>
        <v>0</v>
      </c>
      <c r="J34" s="48">
        <f>SUMIFS(表1_86121822[活跃Coin],表1_86121822[目标区服],表2_97131923[[#This Row],[合区区服]],表1_86121822[目标国家（映射）],表2_97131923[[#This Row],[国家]])</f>
        <v>481433</v>
      </c>
      <c r="K34" s="48">
        <f>SUMIFS(表1_86121822[共计补偿Coin],表1_86121822[目标区服],表2_97131923[[#This Row],[合区区服]],表1_86121822[目标国家（映射）],表2_97131923[[#This Row],[国家]])</f>
        <v>36000</v>
      </c>
      <c r="L34" s="48">
        <f>表2_97131923[[#This Row],[活跃Coin]]+表2_97131923[[#This Row],[共计补偿Coin]]</f>
        <v>517433</v>
      </c>
      <c r="M34" s="48">
        <f>SUMIFS(表1_86121822[综合国力],表1_86121822[目标区服],表2_97131923[[#This Row],[合区区服]],表1_86121822[目标国家（映射）],表2_97131923[[#This Row],[国家]])</f>
        <v>11434</v>
      </c>
    </row>
    <row r="40" ht="27" spans="1:12">
      <c r="A40" s="49"/>
      <c r="B40" s="50" t="s">
        <v>9</v>
      </c>
      <c r="C40" s="50" t="s">
        <v>10</v>
      </c>
      <c r="D40" s="50" t="s">
        <v>11</v>
      </c>
      <c r="E40" s="50" t="s">
        <v>12</v>
      </c>
      <c r="F40" s="50" t="s">
        <v>13</v>
      </c>
      <c r="G40" s="50" t="s">
        <v>14</v>
      </c>
      <c r="H40" s="50" t="s">
        <v>15</v>
      </c>
      <c r="I40" s="50" t="s">
        <v>18</v>
      </c>
      <c r="J40" s="50" t="s">
        <v>19</v>
      </c>
      <c r="K40" s="50" t="s">
        <v>20</v>
      </c>
      <c r="L40" s="50" t="s">
        <v>21</v>
      </c>
    </row>
    <row r="41" spans="1:12">
      <c r="A41" s="50" t="s">
        <v>25</v>
      </c>
      <c r="B41" s="50">
        <v>3</v>
      </c>
      <c r="C41" s="50">
        <v>100</v>
      </c>
      <c r="D41" s="50">
        <v>2</v>
      </c>
      <c r="E41" s="50">
        <v>17</v>
      </c>
      <c r="F41" s="50">
        <v>67287</v>
      </c>
      <c r="G41" s="50">
        <v>1566323</v>
      </c>
      <c r="H41" s="50">
        <v>12928104</v>
      </c>
      <c r="I41" s="50">
        <v>31506</v>
      </c>
      <c r="J41" s="50">
        <v>0</v>
      </c>
      <c r="K41" s="50">
        <v>190630</v>
      </c>
      <c r="L41" s="50">
        <v>5536</v>
      </c>
    </row>
    <row r="42" spans="1:12">
      <c r="A42" s="50" t="s">
        <v>26</v>
      </c>
      <c r="B42" s="50">
        <v>2</v>
      </c>
      <c r="C42" s="50">
        <v>151</v>
      </c>
      <c r="D42" s="50">
        <v>4</v>
      </c>
      <c r="E42" s="50">
        <v>31</v>
      </c>
      <c r="F42" s="50">
        <v>135164</v>
      </c>
      <c r="G42" s="50">
        <v>1993086</v>
      </c>
      <c r="H42" s="50">
        <v>24596480</v>
      </c>
      <c r="I42" s="50">
        <v>44956</v>
      </c>
      <c r="J42" s="50">
        <v>30</v>
      </c>
      <c r="K42" s="50">
        <v>341710</v>
      </c>
      <c r="L42" s="50">
        <v>8358</v>
      </c>
    </row>
    <row r="43" spans="1:12">
      <c r="A43" s="50" t="s">
        <v>27</v>
      </c>
      <c r="B43" s="50">
        <v>4</v>
      </c>
      <c r="C43" s="50">
        <v>144</v>
      </c>
      <c r="D43" s="50">
        <v>4</v>
      </c>
      <c r="E43" s="50">
        <v>19</v>
      </c>
      <c r="F43" s="50">
        <v>96523</v>
      </c>
      <c r="G43" s="50">
        <v>1989037</v>
      </c>
      <c r="H43" s="50">
        <v>16891409</v>
      </c>
      <c r="I43" s="50">
        <v>25060</v>
      </c>
      <c r="J43" s="50">
        <v>0</v>
      </c>
      <c r="K43" s="50">
        <v>295969</v>
      </c>
      <c r="L43" s="50">
        <v>6900</v>
      </c>
    </row>
    <row r="44" spans="1:12">
      <c r="A44" s="50" t="s">
        <v>25</v>
      </c>
      <c r="B44" s="50">
        <v>3</v>
      </c>
      <c r="C44" s="50">
        <v>120</v>
      </c>
      <c r="D44" s="50">
        <v>5</v>
      </c>
      <c r="E44" s="50">
        <v>26</v>
      </c>
      <c r="F44" s="50">
        <v>148006</v>
      </c>
      <c r="G44" s="50">
        <v>2403817</v>
      </c>
      <c r="H44" s="50">
        <v>26282407</v>
      </c>
      <c r="I44" s="50">
        <v>80704</v>
      </c>
      <c r="J44" s="50">
        <v>0</v>
      </c>
      <c r="K44" s="50">
        <v>656675</v>
      </c>
      <c r="L44" s="50">
        <v>10021</v>
      </c>
    </row>
    <row r="45" spans="1:12">
      <c r="A45" s="50" t="s">
        <v>26</v>
      </c>
      <c r="B45" s="50">
        <v>4</v>
      </c>
      <c r="C45" s="50">
        <v>202</v>
      </c>
      <c r="D45" s="50">
        <v>5</v>
      </c>
      <c r="E45" s="50">
        <v>28</v>
      </c>
      <c r="F45" s="50">
        <v>116658</v>
      </c>
      <c r="G45" s="50">
        <v>3065822</v>
      </c>
      <c r="H45" s="50">
        <v>25791664</v>
      </c>
      <c r="I45" s="50">
        <v>114254</v>
      </c>
      <c r="J45" s="50">
        <v>746</v>
      </c>
      <c r="K45" s="50">
        <v>734407</v>
      </c>
      <c r="L45" s="50">
        <v>12450</v>
      </c>
    </row>
    <row r="46" spans="1:12">
      <c r="A46" s="50" t="s">
        <v>27</v>
      </c>
      <c r="B46" s="50">
        <v>2</v>
      </c>
      <c r="C46" s="50">
        <v>73</v>
      </c>
      <c r="D46" s="50">
        <v>0</v>
      </c>
      <c r="E46" s="50">
        <v>9</v>
      </c>
      <c r="F46" s="50">
        <v>30041</v>
      </c>
      <c r="G46" s="50">
        <v>1411477</v>
      </c>
      <c r="H46" s="50">
        <v>5601684</v>
      </c>
      <c r="I46" s="50">
        <v>4842</v>
      </c>
      <c r="J46" s="50">
        <v>0</v>
      </c>
      <c r="K46" s="50">
        <v>65792</v>
      </c>
      <c r="L46" s="50">
        <v>3230</v>
      </c>
    </row>
    <row r="47" spans="1:12">
      <c r="A47" s="50" t="s">
        <v>25</v>
      </c>
      <c r="B47" s="50">
        <v>4</v>
      </c>
      <c r="C47" s="50">
        <v>197</v>
      </c>
      <c r="D47" s="50">
        <v>5</v>
      </c>
      <c r="E47" s="50">
        <v>19</v>
      </c>
      <c r="F47" s="50">
        <v>120365</v>
      </c>
      <c r="G47" s="50">
        <v>2555591</v>
      </c>
      <c r="H47" s="50">
        <v>18558899</v>
      </c>
      <c r="I47" s="50">
        <v>80580</v>
      </c>
      <c r="J47" s="50">
        <v>0</v>
      </c>
      <c r="K47" s="50">
        <v>250695</v>
      </c>
      <c r="L47" s="50">
        <v>9926</v>
      </c>
    </row>
    <row r="48" spans="1:12">
      <c r="A48" s="50" t="s">
        <v>26</v>
      </c>
      <c r="B48" s="50">
        <v>2</v>
      </c>
      <c r="C48" s="50">
        <v>74</v>
      </c>
      <c r="D48" s="50">
        <v>2</v>
      </c>
      <c r="E48" s="50">
        <v>12</v>
      </c>
      <c r="F48" s="50">
        <v>70844</v>
      </c>
      <c r="G48" s="50">
        <v>1446625</v>
      </c>
      <c r="H48" s="50">
        <v>9609709</v>
      </c>
      <c r="I48" s="50">
        <v>42656</v>
      </c>
      <c r="J48" s="50">
        <v>0</v>
      </c>
      <c r="K48" s="50">
        <v>353421</v>
      </c>
      <c r="L48" s="50">
        <v>5158</v>
      </c>
    </row>
    <row r="49" spans="1:12">
      <c r="A49" s="50" t="s">
        <v>27</v>
      </c>
      <c r="B49" s="50">
        <v>3</v>
      </c>
      <c r="C49" s="50">
        <v>124</v>
      </c>
      <c r="D49" s="50">
        <v>3</v>
      </c>
      <c r="E49" s="50">
        <v>15</v>
      </c>
      <c r="F49" s="50">
        <v>95142</v>
      </c>
      <c r="G49" s="50">
        <v>2523995</v>
      </c>
      <c r="H49" s="50">
        <v>14575268</v>
      </c>
      <c r="I49" s="50">
        <v>45906</v>
      </c>
      <c r="J49" s="50">
        <v>0</v>
      </c>
      <c r="K49" s="50">
        <v>179619</v>
      </c>
      <c r="L49" s="50">
        <v>7464</v>
      </c>
    </row>
    <row r="50" spans="1:12">
      <c r="A50" s="50" t="s">
        <v>25</v>
      </c>
      <c r="B50" s="50">
        <v>2</v>
      </c>
      <c r="C50" s="50">
        <v>66</v>
      </c>
      <c r="D50" s="50">
        <v>1</v>
      </c>
      <c r="E50" s="50">
        <v>19</v>
      </c>
      <c r="F50" s="50">
        <v>64058</v>
      </c>
      <c r="G50" s="50">
        <v>913040</v>
      </c>
      <c r="H50" s="50">
        <v>8417274</v>
      </c>
      <c r="I50" s="50">
        <v>10114</v>
      </c>
      <c r="J50" s="50">
        <v>0</v>
      </c>
      <c r="K50" s="50">
        <v>152467</v>
      </c>
      <c r="L50" s="50">
        <v>3314</v>
      </c>
    </row>
    <row r="51" spans="1:12">
      <c r="A51" s="50" t="s">
        <v>26</v>
      </c>
      <c r="B51" s="50">
        <v>4</v>
      </c>
      <c r="C51" s="50">
        <v>196</v>
      </c>
      <c r="D51" s="50">
        <v>3</v>
      </c>
      <c r="E51" s="50">
        <v>17</v>
      </c>
      <c r="F51" s="50">
        <v>92529</v>
      </c>
      <c r="G51" s="50">
        <v>1577945</v>
      </c>
      <c r="H51" s="50">
        <v>11027498</v>
      </c>
      <c r="I51" s="50">
        <v>21172</v>
      </c>
      <c r="J51" s="50">
        <v>0</v>
      </c>
      <c r="K51" s="50">
        <v>372057</v>
      </c>
      <c r="L51" s="50">
        <v>6324</v>
      </c>
    </row>
    <row r="52" spans="1:12">
      <c r="A52" s="50" t="s">
        <v>27</v>
      </c>
      <c r="B52" s="50">
        <v>3</v>
      </c>
      <c r="C52" s="50">
        <v>133</v>
      </c>
      <c r="D52" s="50">
        <v>5</v>
      </c>
      <c r="E52" s="50">
        <v>11</v>
      </c>
      <c r="F52" s="50">
        <v>94201</v>
      </c>
      <c r="G52" s="50">
        <v>1571872</v>
      </c>
      <c r="H52" s="50">
        <v>10978260</v>
      </c>
      <c r="I52" s="50">
        <v>8800</v>
      </c>
      <c r="J52" s="50">
        <v>0</v>
      </c>
      <c r="K52" s="50">
        <v>152628</v>
      </c>
      <c r="L52" s="50">
        <v>5111</v>
      </c>
    </row>
    <row r="53" spans="1:12">
      <c r="A53" s="50" t="s">
        <v>25</v>
      </c>
      <c r="B53" s="50">
        <v>4</v>
      </c>
      <c r="C53" s="50">
        <v>163</v>
      </c>
      <c r="D53" s="50">
        <v>3</v>
      </c>
      <c r="E53" s="50">
        <v>20</v>
      </c>
      <c r="F53" s="50">
        <v>108839</v>
      </c>
      <c r="G53" s="50">
        <v>2143563</v>
      </c>
      <c r="H53" s="50">
        <v>14699213</v>
      </c>
      <c r="I53" s="50">
        <v>69988</v>
      </c>
      <c r="J53" s="50">
        <v>0</v>
      </c>
      <c r="K53" s="50">
        <v>316119</v>
      </c>
      <c r="L53" s="50">
        <v>8445</v>
      </c>
    </row>
    <row r="54" spans="1:12">
      <c r="A54" s="50" t="s">
        <v>26</v>
      </c>
      <c r="B54" s="50">
        <v>5</v>
      </c>
      <c r="C54" s="50">
        <v>190</v>
      </c>
      <c r="D54" s="50">
        <v>5</v>
      </c>
      <c r="E54" s="50">
        <v>15</v>
      </c>
      <c r="F54" s="50">
        <v>97051</v>
      </c>
      <c r="G54" s="50">
        <v>3584812</v>
      </c>
      <c r="H54" s="50">
        <v>17532467</v>
      </c>
      <c r="I54" s="50">
        <v>255426</v>
      </c>
      <c r="J54" s="50">
        <v>1998</v>
      </c>
      <c r="K54" s="50">
        <v>431304</v>
      </c>
      <c r="L54" s="50">
        <v>16121</v>
      </c>
    </row>
    <row r="55" spans="1:12">
      <c r="A55" s="50" t="s">
        <v>27</v>
      </c>
      <c r="B55" s="50">
        <v>0</v>
      </c>
      <c r="C55" s="50">
        <v>42</v>
      </c>
      <c r="D55" s="50">
        <v>2</v>
      </c>
      <c r="E55" s="50">
        <v>15</v>
      </c>
      <c r="F55" s="50">
        <v>66532</v>
      </c>
      <c r="G55" s="50">
        <v>1478258</v>
      </c>
      <c r="H55" s="50">
        <v>8654673</v>
      </c>
      <c r="I55" s="50">
        <v>20266</v>
      </c>
      <c r="J55" s="50">
        <v>648</v>
      </c>
      <c r="K55" s="50">
        <v>198138</v>
      </c>
      <c r="L55" s="50">
        <v>3809</v>
      </c>
    </row>
    <row r="56" spans="1:12">
      <c r="A56" s="50" t="s">
        <v>25</v>
      </c>
      <c r="B56" s="50">
        <v>3</v>
      </c>
      <c r="C56" s="50">
        <v>120</v>
      </c>
      <c r="D56" s="50">
        <v>4</v>
      </c>
      <c r="E56" s="50">
        <v>17</v>
      </c>
      <c r="F56" s="50">
        <v>100569</v>
      </c>
      <c r="G56" s="50">
        <v>1550700</v>
      </c>
      <c r="H56" s="50">
        <v>13266943</v>
      </c>
      <c r="I56" s="50">
        <v>13652</v>
      </c>
      <c r="J56" s="50">
        <v>60</v>
      </c>
      <c r="K56" s="50">
        <v>244079</v>
      </c>
      <c r="L56" s="50">
        <v>5412</v>
      </c>
    </row>
    <row r="57" spans="1:12">
      <c r="A57" s="50" t="s">
        <v>26</v>
      </c>
      <c r="B57" s="50">
        <v>4</v>
      </c>
      <c r="C57" s="50">
        <v>181</v>
      </c>
      <c r="D57" s="50">
        <v>4</v>
      </c>
      <c r="E57" s="50">
        <v>25</v>
      </c>
      <c r="F57" s="50">
        <v>109340</v>
      </c>
      <c r="G57" s="50">
        <v>2436675</v>
      </c>
      <c r="H57" s="50">
        <v>17826844</v>
      </c>
      <c r="I57" s="50">
        <v>89984</v>
      </c>
      <c r="J57" s="50">
        <v>998</v>
      </c>
      <c r="K57" s="50">
        <v>228680</v>
      </c>
      <c r="L57" s="50">
        <v>9799</v>
      </c>
    </row>
    <row r="58" spans="1:12">
      <c r="A58" s="50" t="s">
        <v>27</v>
      </c>
      <c r="B58" s="50">
        <v>2</v>
      </c>
      <c r="C58" s="50">
        <v>94</v>
      </c>
      <c r="D58" s="50">
        <v>2</v>
      </c>
      <c r="E58" s="50">
        <v>15</v>
      </c>
      <c r="F58" s="50">
        <v>74797</v>
      </c>
      <c r="G58" s="50">
        <v>1587039</v>
      </c>
      <c r="H58" s="50">
        <v>10149742</v>
      </c>
      <c r="I58" s="50">
        <v>12156</v>
      </c>
      <c r="J58" s="50">
        <v>3968</v>
      </c>
      <c r="K58" s="50">
        <v>124510</v>
      </c>
      <c r="L58" s="50">
        <v>4582</v>
      </c>
    </row>
    <row r="59" spans="1:12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</row>
    <row r="60" spans="1:12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</row>
    <row r="61" spans="1:12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</row>
  </sheetData>
  <conditionalFormatting sqref="F26:F2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{0aa98b44-2e9b-4f23-83be-9f0f8d5a0b85}</x14:id>
        </ext>
      </extLst>
    </cfRule>
  </conditionalFormatting>
  <conditionalFormatting sqref="F29:F31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{0432bb74-bb51-47fa-b2c0-93327c53b02d}</x14:id>
        </ext>
      </extLst>
    </cfRule>
  </conditionalFormatting>
  <conditionalFormatting sqref="F32:F34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{ebde69d7-6d6f-42e4-831f-db6f5ce810ed}</x14:id>
        </ext>
      </extLst>
    </cfRule>
  </conditionalFormatting>
  <conditionalFormatting sqref="G26:G28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{c80e138e-86e1-4a7f-ade2-f0ffff86bef5}</x14:id>
        </ext>
      </extLst>
    </cfRule>
  </conditionalFormatting>
  <conditionalFormatting sqref="G29:G3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{98dd3bca-200a-4fa6-86d1-88c17a60bb1a}</x14:id>
        </ext>
      </extLst>
    </cfRule>
  </conditionalFormatting>
  <conditionalFormatting sqref="G32:G34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{4180f5f1-df1e-4832-a7de-ec896c3d5433}</x14:id>
        </ext>
      </extLst>
    </cfRule>
  </conditionalFormatting>
  <conditionalFormatting sqref="O2:O19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{3d8da910-514f-45d0-90f5-360af7498155}</x14:id>
        </ext>
      </extLst>
    </cfRule>
  </conditionalFormatting>
  <conditionalFormatting sqref="O20:O22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{090b9c69-21e0-4d8f-ac44-b842ac4685c1}</x14:id>
        </ext>
      </extLst>
    </cfRule>
  </conditionalFormatting>
  <conditionalFormatting sqref="O26:O33">
    <cfRule type="cellIs" dxfId="37" priority="13" operator="equal">
      <formula>$S$26</formula>
    </cfRule>
  </conditionalFormatting>
  <conditionalFormatting sqref="P2:P19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{c5ea2cda-7476-49fb-a989-1a0b0e4c1622}</x14:id>
        </ext>
      </extLst>
    </cfRule>
  </conditionalFormatting>
  <conditionalFormatting sqref="P20:P2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{07147896-a416-4ab0-bdb7-b981eac445c3}</x14:id>
        </ext>
      </extLst>
    </cfRule>
  </conditionalFormatting>
  <conditionalFormatting sqref="Q2:Q19">
    <cfRule type="cellIs" dxfId="38" priority="10" operator="equal">
      <formula>配置!$D$4</formula>
    </cfRule>
    <cfRule type="cellIs" dxfId="39" priority="11" operator="equal">
      <formula>配置!$D$3</formula>
    </cfRule>
    <cfRule type="cellIs" dxfId="37" priority="12" operator="equal">
      <formula>配置!$D$2</formula>
    </cfRule>
  </conditionalFormatting>
  <conditionalFormatting sqref="Q20:Q22">
    <cfRule type="cellIs" dxfId="38" priority="1" operator="equal">
      <formula>配置!$D$4</formula>
    </cfRule>
    <cfRule type="cellIs" dxfId="39" priority="2" operator="equal">
      <formula>配置!$D$3</formula>
    </cfRule>
    <cfRule type="cellIs" dxfId="37" priority="3" operator="equal">
      <formula>配置!$D$2</formula>
    </cfRule>
    <cfRule type="cellIs" dxfId="38" priority="6" operator="equal">
      <formula>配置!$D$4</formula>
    </cfRule>
    <cfRule type="cellIs" dxfId="37" priority="7" operator="equal">
      <formula>配置!$D$2</formula>
    </cfRule>
  </conditionalFormatting>
  <conditionalFormatting sqref="Q26:Q29">
    <cfRule type="cellIs" dxfId="37" priority="14" operator="equal">
      <formula>$S$26</formula>
    </cfRule>
  </conditionalFormatting>
  <conditionalFormatting sqref="O23:O24 Q1:R1 Q2 Q4:Q19">
    <cfRule type="cellIs" dxfId="37" priority="22" operator="equal">
      <formula>配置!$D$2</formula>
    </cfRule>
  </conditionalFormatting>
  <conditionalFormatting sqref="Q2 Q4:Q19">
    <cfRule type="cellIs" dxfId="38" priority="21" operator="equal">
      <formula>配置!$D$4</formula>
    </cfRule>
  </conditionalFormatting>
  <dataValidations count="1">
    <dataValidation type="list" allowBlank="1" showInputMessage="1" showErrorMessage="1" sqref="Q2:Q22">
      <formula1>配置!$D$2:$D$4</formula1>
    </dataValidation>
  </dataValidations>
  <pageMargins left="0.7" right="0.7" top="0.75" bottom="0.75" header="0.3" footer="0.3"/>
  <pageSetup paperSize="9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aa98b44-2e9b-4f23-83be-9f0f8d5a0b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0432bb74-bb51-47fa-b2c0-93327c53b0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ebde69d7-6d6f-42e4-831f-db6f5ce810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c80e138e-86e1-4a7f-ade2-f0ffff86be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98dd3bca-200a-4fa6-86d1-88c17a60bb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4180f5f1-df1e-4832-a7de-ec896c3d54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3d8da910-514f-45d0-90f5-360af74981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090b9c69-21e0-4d8f-ac44-b842ac4685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c5ea2cda-7476-49fb-a989-1a0b0e4c16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07147896-a416-4ab0-bdb7-b981eac445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1"/>
  <sheetViews>
    <sheetView workbookViewId="0">
      <selection activeCell="U27" sqref="U27"/>
    </sheetView>
  </sheetViews>
  <sheetFormatPr defaultColWidth="9" defaultRowHeight="13.5"/>
  <sheetData>
    <row r="1" s="1" customFormat="1" ht="27.75" spans="1:24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22</v>
      </c>
      <c r="X1" s="22" t="s">
        <v>23</v>
      </c>
    </row>
    <row r="2" s="354" customFormat="1" ht="14.25" customHeight="1" spans="1:24">
      <c r="A2" s="371">
        <v>67</v>
      </c>
      <c r="B2" s="371">
        <f>VLOOKUP(表1_8612182224[[#This Row],[区服]],$O$26:$P$33,2,FALSE)</f>
        <v>41</v>
      </c>
      <c r="C2" s="372" t="s">
        <v>64</v>
      </c>
      <c r="D2" s="373" t="str">
        <f>表1_8612182224[[#This Row],[目标国家]]</f>
        <v>魏</v>
      </c>
      <c r="E2" s="374">
        <f>(VLOOKUP(表1_8612182224[[#This Row],[目标区服]],$Q$26:$R$29,2,FALSE)-表1_8612182224[[#This Row],[开服天数]])*配置!$B$1</f>
        <v>1000</v>
      </c>
      <c r="F2" s="374">
        <f>表1_8612182224[[#This Row],[补偿Coin]]*(表1_8612182224[[#This Row],[活跃高战玩家数]]+表1_8612182224[[#This Row],[活跃中坚玩家数]])</f>
        <v>13000</v>
      </c>
      <c r="G2" s="374">
        <f>(VLOOKUP(表1_8612182224[[#This Row],[目标区服]],$Q$26:$R$29,2,FALSE)-表1_8612182224[[#This Row],[开服天数]])*配置!$B$2</f>
        <v>10</v>
      </c>
      <c r="H2" s="376" t="s">
        <v>25</v>
      </c>
      <c r="I2" s="376">
        <f>IF(表1_8612182224[[#This Row],[原国家]]="魏",0,IF(表1_8612182224[[#This Row],[原国家]]="蜀",1,2))</f>
        <v>0</v>
      </c>
      <c r="J2" s="380">
        <v>1</v>
      </c>
      <c r="K2" s="380">
        <v>56</v>
      </c>
      <c r="L2" s="380">
        <v>1</v>
      </c>
      <c r="M2" s="380">
        <v>12</v>
      </c>
      <c r="N2" s="380">
        <v>36856</v>
      </c>
      <c r="O2" s="380">
        <v>970061</v>
      </c>
      <c r="P2" s="381">
        <v>5324299</v>
      </c>
      <c r="Q2" s="31" t="s">
        <v>25</v>
      </c>
      <c r="R2" s="376">
        <f>IF(表1_8612182224[[#This Row],[目标国家]]="魏",0,IF(表1_8612182224[[#This Row],[目标国家]]="蜀",1,2))</f>
        <v>0</v>
      </c>
      <c r="S2" s="380">
        <v>11942</v>
      </c>
      <c r="T2" s="380">
        <v>0</v>
      </c>
      <c r="U2" s="380">
        <v>123978</v>
      </c>
      <c r="V2" s="380">
        <v>2767</v>
      </c>
      <c r="W2" s="387" t="str">
        <f>"{"&amp;"'coin':"&amp;表1_8612182224[[#This Row],[补偿Coin]]&amp;",'"&amp;配置!$A$2&amp;"':"&amp;表1_8612182224[[#This Row],[补偿辎重]]&amp;"},"</f>
        <v>{'coin':1000,'item036':10},</v>
      </c>
      <c r="X2" s="388" t="str">
        <f>"      '"&amp;表1_8612182224[[#This Row],[区服]]&amp;"':{"</f>
        <v>      '67':{</v>
      </c>
    </row>
    <row r="3" s="354" customFormat="1" ht="14.25" customHeight="1" spans="1:24">
      <c r="A3" s="375">
        <v>67</v>
      </c>
      <c r="B3" s="371">
        <f>VLOOKUP(表1_8612182224[[#This Row],[区服]],$O$26:$P$33,2,FALSE)</f>
        <v>41</v>
      </c>
      <c r="C3" s="372" t="s">
        <v>64</v>
      </c>
      <c r="D3" s="376" t="str">
        <f>表1_8612182224[[#This Row],[目标国家]]</f>
        <v>蜀</v>
      </c>
      <c r="E3" s="380">
        <f>(VLOOKUP(表1_8612182224[[#This Row],[目标区服]],$Q$26:$R$29,2,FALSE)-表1_8612182224[[#This Row],[开服天数]])*配置!$B$1</f>
        <v>1000</v>
      </c>
      <c r="F3" s="380">
        <f>表1_8612182224[[#This Row],[补偿Coin]]*(表1_8612182224[[#This Row],[活跃高战玩家数]]+表1_8612182224[[#This Row],[活跃中坚玩家数]])</f>
        <v>24000</v>
      </c>
      <c r="G3" s="380">
        <f>(VLOOKUP(表1_8612182224[[#This Row],[目标区服]],$Q$26:$R$29,2,FALSE)-表1_8612182224[[#This Row],[开服天数]])*配置!$B$2</f>
        <v>10</v>
      </c>
      <c r="H3" s="376" t="s">
        <v>26</v>
      </c>
      <c r="I3" s="376">
        <f>IF(表1_8612182224[[#This Row],[原国家]]="魏",0,IF(表1_8612182224[[#This Row],[原国家]]="蜀",1,2))</f>
        <v>1</v>
      </c>
      <c r="J3" s="380">
        <v>2</v>
      </c>
      <c r="K3" s="380">
        <v>98</v>
      </c>
      <c r="L3" s="380">
        <v>4</v>
      </c>
      <c r="M3" s="380">
        <v>20</v>
      </c>
      <c r="N3" s="380">
        <v>106719</v>
      </c>
      <c r="O3" s="380">
        <v>2269149</v>
      </c>
      <c r="P3" s="381">
        <v>14536292</v>
      </c>
      <c r="Q3" s="31" t="s">
        <v>26</v>
      </c>
      <c r="R3" s="376">
        <f>IF(表1_8612182224[[#This Row],[目标国家]]="魏",0,IF(表1_8612182224[[#This Row],[目标国家]]="蜀",1,2))</f>
        <v>1</v>
      </c>
      <c r="S3" s="380">
        <v>24902</v>
      </c>
      <c r="T3" s="380">
        <v>0</v>
      </c>
      <c r="U3" s="380">
        <v>174324</v>
      </c>
      <c r="V3" s="380">
        <v>6270</v>
      </c>
      <c r="W3" s="387" t="str">
        <f>"{"&amp;"'coin':"&amp;表1_8612182224[[#This Row],[补偿Coin]]&amp;",'"&amp;配置!$A$2&amp;"':"&amp;表1_8612182224[[#This Row],[补偿辎重]]&amp;"},"</f>
        <v>{'coin':1000,'item036':10},</v>
      </c>
      <c r="X3" s="388" t="str">
        <f>"            'to_zone':'"&amp;表1_8612182224[[#This Row],[目标区服]]&amp;"',
            'reward':"&amp;表1_8612182224[[#This Row],[辅助导出]]&amp;"
            'country':["&amp;R2&amp;","&amp;R3&amp;","&amp;R4&amp;"],"</f>
        <v>            'to_zone':'h1_27',
            'reward':{'coin':1000,'item036':10},
            'country':[0,1,2],</v>
      </c>
    </row>
    <row r="4" s="354" customFormat="1" ht="14.25" customHeight="1" spans="1:24">
      <c r="A4" s="375">
        <v>67</v>
      </c>
      <c r="B4" s="371">
        <f>VLOOKUP(表1_8612182224[[#This Row],[区服]],$O$26:$P$33,2,FALSE)</f>
        <v>41</v>
      </c>
      <c r="C4" s="372" t="s">
        <v>64</v>
      </c>
      <c r="D4" s="376" t="str">
        <f>表1_8612182224[[#This Row],[目标国家]]</f>
        <v>吴</v>
      </c>
      <c r="E4" s="380">
        <f>(VLOOKUP(表1_8612182224[[#This Row],[目标区服]],$Q$26:$R$29,2,FALSE)-表1_8612182224[[#This Row],[开服天数]])*配置!$B$1</f>
        <v>1000</v>
      </c>
      <c r="F4" s="380">
        <f>表1_8612182224[[#This Row],[补偿Coin]]*(表1_8612182224[[#This Row],[活跃高战玩家数]]+表1_8612182224[[#This Row],[活跃中坚玩家数]])</f>
        <v>22000</v>
      </c>
      <c r="G4" s="380">
        <f>(VLOOKUP(表1_8612182224[[#This Row],[目标区服]],$Q$26:$R$29,2,FALSE)-表1_8612182224[[#This Row],[开服天数]])*配置!$B$2</f>
        <v>10</v>
      </c>
      <c r="H4" s="376" t="s">
        <v>27</v>
      </c>
      <c r="I4" s="376">
        <f>IF(表1_8612182224[[#This Row],[原国家]]="魏",0,IF(表1_8612182224[[#This Row],[原国家]]="蜀",1,2))</f>
        <v>2</v>
      </c>
      <c r="J4" s="380">
        <v>6</v>
      </c>
      <c r="K4" s="380">
        <v>241</v>
      </c>
      <c r="L4" s="380">
        <v>5</v>
      </c>
      <c r="M4" s="380">
        <v>17</v>
      </c>
      <c r="N4" s="380">
        <v>135690</v>
      </c>
      <c r="O4" s="380">
        <v>2564708</v>
      </c>
      <c r="P4" s="381">
        <v>18136935</v>
      </c>
      <c r="Q4" s="31" t="s">
        <v>27</v>
      </c>
      <c r="R4" s="376">
        <f>IF(表1_8612182224[[#This Row],[目标国家]]="魏",0,IF(表1_8612182224[[#This Row],[目标国家]]="蜀",1,2))</f>
        <v>2</v>
      </c>
      <c r="S4" s="380">
        <v>76202</v>
      </c>
      <c r="T4" s="380">
        <v>358</v>
      </c>
      <c r="U4" s="380">
        <v>575588</v>
      </c>
      <c r="V4" s="380">
        <v>10644</v>
      </c>
      <c r="W4" s="387" t="str">
        <f>"{"&amp;"'coin':"&amp;表1_8612182224[[#This Row],[补偿Coin]]&amp;",'"&amp;配置!$A$2&amp;"':"&amp;表1_8612182224[[#This Row],[补偿辎重]]&amp;"},"</f>
        <v>{'coin':1000,'item036':10},</v>
      </c>
      <c r="X4" s="388" t="str">
        <f>"      },"</f>
        <v>      },</v>
      </c>
    </row>
    <row r="5" s="354" customFormat="1" ht="14.25" customHeight="1" spans="1:24">
      <c r="A5" s="375">
        <v>68</v>
      </c>
      <c r="B5" s="371">
        <f>VLOOKUP(表1_8612182224[[#This Row],[区服]],$O$26:$P$33,2,FALSE)</f>
        <v>40</v>
      </c>
      <c r="C5" s="372" t="s">
        <v>64</v>
      </c>
      <c r="D5" s="376" t="str">
        <f>表1_8612182224[[#This Row],[目标国家]]</f>
        <v>魏</v>
      </c>
      <c r="E5" s="380">
        <f>(VLOOKUP(表1_8612182224[[#This Row],[目标区服]],$Q$26:$R$29,2,FALSE)-表1_8612182224[[#This Row],[开服天数]])*配置!$B$1</f>
        <v>1500</v>
      </c>
      <c r="F5" s="380">
        <f>表1_8612182224[[#This Row],[补偿Coin]]*(表1_8612182224[[#This Row],[活跃高战玩家数]]+表1_8612182224[[#This Row],[活跃中坚玩家数]])</f>
        <v>37500</v>
      </c>
      <c r="G5" s="380">
        <f>(VLOOKUP(表1_8612182224[[#This Row],[目标区服]],$Q$26:$R$29,2,FALSE)-表1_8612182224[[#This Row],[开服天数]])*配置!$B$2</f>
        <v>15</v>
      </c>
      <c r="H5" s="376" t="s">
        <v>25</v>
      </c>
      <c r="I5" s="376">
        <f>IF(表1_8612182224[[#This Row],[原国家]]="魏",0,IF(表1_8612182224[[#This Row],[原国家]]="蜀",1,2))</f>
        <v>0</v>
      </c>
      <c r="J5" s="380">
        <v>5</v>
      </c>
      <c r="K5" s="380">
        <v>198</v>
      </c>
      <c r="L5" s="380">
        <v>4</v>
      </c>
      <c r="M5" s="380">
        <v>21</v>
      </c>
      <c r="N5" s="380">
        <v>124427</v>
      </c>
      <c r="O5" s="380">
        <v>2005979</v>
      </c>
      <c r="P5" s="381">
        <v>16231814</v>
      </c>
      <c r="Q5" s="31" t="s">
        <v>25</v>
      </c>
      <c r="R5" s="376">
        <f>IF(表1_8612182224[[#This Row],[目标国家]]="魏",0,IF(表1_8612182224[[#This Row],[目标国家]]="蜀",1,2))</f>
        <v>0</v>
      </c>
      <c r="S5" s="380">
        <v>24728</v>
      </c>
      <c r="T5" s="380">
        <v>30</v>
      </c>
      <c r="U5" s="380">
        <v>347627</v>
      </c>
      <c r="V5" s="380">
        <v>7647</v>
      </c>
      <c r="W5" s="387" t="str">
        <f>"{"&amp;"'coin':"&amp;表1_8612182224[[#This Row],[补偿Coin]]&amp;",'"&amp;配置!$A$2&amp;"':"&amp;表1_8612182224[[#This Row],[补偿辎重]]&amp;"},"</f>
        <v>{'coin':1500,'item036':15},</v>
      </c>
      <c r="X5" s="388" t="str">
        <f>"      '"&amp;表1_8612182224[[#This Row],[区服]]&amp;"':{"</f>
        <v>      '68':{</v>
      </c>
    </row>
    <row r="6" s="354" customFormat="1" ht="14.25" customHeight="1" spans="1:24">
      <c r="A6" s="371">
        <v>68</v>
      </c>
      <c r="B6" s="371">
        <f>VLOOKUP(表1_8612182224[[#This Row],[区服]],$O$26:$P$33,2,FALSE)</f>
        <v>40</v>
      </c>
      <c r="C6" s="372" t="s">
        <v>64</v>
      </c>
      <c r="D6" s="376" t="str">
        <f>表1_8612182224[[#This Row],[目标国家]]</f>
        <v>吴</v>
      </c>
      <c r="E6" s="380">
        <f>(VLOOKUP(表1_8612182224[[#This Row],[目标区服]],$Q$26:$R$29,2,FALSE)-表1_8612182224[[#This Row],[开服天数]])*配置!$B$1</f>
        <v>1500</v>
      </c>
      <c r="F6" s="380">
        <f>表1_8612182224[[#This Row],[补偿Coin]]*(表1_8612182224[[#This Row],[活跃高战玩家数]]+表1_8612182224[[#This Row],[活跃中坚玩家数]])</f>
        <v>19500</v>
      </c>
      <c r="G6" s="380">
        <f>(VLOOKUP(表1_8612182224[[#This Row],[目标区服]],$Q$26:$R$29,2,FALSE)-表1_8612182224[[#This Row],[开服天数]])*配置!$B$2</f>
        <v>15</v>
      </c>
      <c r="H6" s="376" t="s">
        <v>26</v>
      </c>
      <c r="I6" s="376">
        <f>IF(表1_8612182224[[#This Row],[原国家]]="魏",0,IF(表1_8612182224[[#This Row],[原国家]]="蜀",1,2))</f>
        <v>1</v>
      </c>
      <c r="J6" s="380">
        <v>1</v>
      </c>
      <c r="K6" s="380">
        <v>71</v>
      </c>
      <c r="L6" s="380">
        <v>1</v>
      </c>
      <c r="M6" s="380">
        <v>12</v>
      </c>
      <c r="N6" s="380">
        <v>38529</v>
      </c>
      <c r="O6" s="380">
        <v>917407</v>
      </c>
      <c r="P6" s="381">
        <v>5666513</v>
      </c>
      <c r="Q6" s="31" t="s">
        <v>27</v>
      </c>
      <c r="R6" s="376">
        <f>IF(表1_8612182224[[#This Row],[目标国家]]="魏",0,IF(表1_8612182224[[#This Row],[目标国家]]="蜀",1,2))</f>
        <v>2</v>
      </c>
      <c r="S6" s="380">
        <v>4008</v>
      </c>
      <c r="T6" s="380">
        <v>0</v>
      </c>
      <c r="U6" s="380">
        <v>78898</v>
      </c>
      <c r="V6" s="380">
        <v>2646</v>
      </c>
      <c r="W6" s="387" t="str">
        <f>"{"&amp;"'coin':"&amp;表1_8612182224[[#This Row],[补偿Coin]]&amp;",'"&amp;配置!$A$2&amp;"':"&amp;表1_8612182224[[#This Row],[补偿辎重]]&amp;"},"</f>
        <v>{'coin':1500,'item036':15},</v>
      </c>
      <c r="X6" s="388" t="str">
        <f>"            'to_zone':'"&amp;表1_8612182224[[#This Row],[目标区服]]&amp;"',
            'reward':"&amp;表1_8612182224[[#This Row],[辅助导出]]&amp;"
            'country':["&amp;R5&amp;","&amp;R6&amp;","&amp;R7&amp;"],"</f>
        <v>            'to_zone':'h1_27',
            'reward':{'coin':1500,'item036':15},
            'country':[0,2,1],</v>
      </c>
    </row>
    <row r="7" s="354" customFormat="1" ht="14.25" customHeight="1" spans="1:24">
      <c r="A7" s="371">
        <v>68</v>
      </c>
      <c r="B7" s="371">
        <f>VLOOKUP(表1_8612182224[[#This Row],[区服]],$O$26:$P$33,2,FALSE)</f>
        <v>40</v>
      </c>
      <c r="C7" s="372" t="s">
        <v>64</v>
      </c>
      <c r="D7" s="376" t="str">
        <f>表1_8612182224[[#This Row],[目标国家]]</f>
        <v>蜀</v>
      </c>
      <c r="E7" s="380">
        <f>(VLOOKUP(表1_8612182224[[#This Row],[目标区服]],$Q$26:$R$29,2,FALSE)-表1_8612182224[[#This Row],[开服天数]])*配置!$B$1</f>
        <v>1500</v>
      </c>
      <c r="F7" s="380">
        <f>表1_8612182224[[#This Row],[补偿Coin]]*(表1_8612182224[[#This Row],[活跃高战玩家数]]+表1_8612182224[[#This Row],[活跃中坚玩家数]])</f>
        <v>36000</v>
      </c>
      <c r="G7" s="380">
        <f>(VLOOKUP(表1_8612182224[[#This Row],[目标区服]],$Q$26:$R$29,2,FALSE)-表1_8612182224[[#This Row],[开服天数]])*配置!$B$2</f>
        <v>15</v>
      </c>
      <c r="H7" s="376" t="s">
        <v>27</v>
      </c>
      <c r="I7" s="376">
        <f>IF(表1_8612182224[[#This Row],[原国家]]="魏",0,IF(表1_8612182224[[#This Row],[原国家]]="蜀",1,2))</f>
        <v>2</v>
      </c>
      <c r="J7" s="380">
        <v>3</v>
      </c>
      <c r="K7" s="380">
        <v>126</v>
      </c>
      <c r="L7" s="380">
        <v>4</v>
      </c>
      <c r="M7" s="380">
        <v>20</v>
      </c>
      <c r="N7" s="380">
        <v>106707</v>
      </c>
      <c r="O7" s="380">
        <v>1796000</v>
      </c>
      <c r="P7" s="381">
        <v>14821899</v>
      </c>
      <c r="Q7" s="31" t="s">
        <v>26</v>
      </c>
      <c r="R7" s="376">
        <f>IF(表1_8612182224[[#This Row],[目标国家]]="魏",0,IF(表1_8612182224[[#This Row],[目标国家]]="蜀",1,2))</f>
        <v>1</v>
      </c>
      <c r="S7" s="380">
        <v>68066</v>
      </c>
      <c r="T7" s="380">
        <v>0</v>
      </c>
      <c r="U7" s="380">
        <v>367115</v>
      </c>
      <c r="V7" s="380">
        <v>7597</v>
      </c>
      <c r="W7" s="387" t="str">
        <f>"{"&amp;"'coin':"&amp;表1_8612182224[[#This Row],[补偿Coin]]&amp;",'"&amp;配置!$A$2&amp;"':"&amp;表1_8612182224[[#This Row],[补偿辎重]]&amp;"},"</f>
        <v>{'coin':1500,'item036':15},</v>
      </c>
      <c r="X7" s="388" t="str">
        <f t="shared" ref="X7" si="0">"      },"</f>
        <v>      },</v>
      </c>
    </row>
    <row r="8" s="354" customFormat="1" ht="14.25" customHeight="1" spans="1:24">
      <c r="A8" s="259">
        <v>69</v>
      </c>
      <c r="B8" s="210">
        <f>VLOOKUP(表1_8612182224[[#This Row],[区服]],$O$26:$P$33,2,FALSE)</f>
        <v>39</v>
      </c>
      <c r="C8" s="296" t="s">
        <v>65</v>
      </c>
      <c r="D8" s="212" t="str">
        <f>表1_8612182224[[#This Row],[目标国家]]</f>
        <v>魏</v>
      </c>
      <c r="E8" s="213">
        <f>(VLOOKUP(表1_8612182224[[#This Row],[目标区服]],$Q$26:$R$29,2,FALSE)-表1_8612182224[[#This Row],[开服天数]])*配置!$B$1</f>
        <v>1000</v>
      </c>
      <c r="F8" s="213">
        <f>表1_8612182224[[#This Row],[补偿Coin]]*(表1_8612182224[[#This Row],[活跃高战玩家数]]+表1_8612182224[[#This Row],[活跃中坚玩家数]])</f>
        <v>17000</v>
      </c>
      <c r="G8" s="260">
        <f>(VLOOKUP(表1_8612182224[[#This Row],[目标区服]],$Q$26:$R$29,2,FALSE)-表1_8612182224[[#This Row],[开服天数]])*配置!$B$2</f>
        <v>10</v>
      </c>
      <c r="H8" s="212" t="s">
        <v>25</v>
      </c>
      <c r="I8" s="268">
        <f>IF(表1_8612182224[[#This Row],[原国家]]="魏",0,IF(表1_8612182224[[#This Row],[原国家]]="蜀",1,2))</f>
        <v>0</v>
      </c>
      <c r="J8" s="213">
        <v>2</v>
      </c>
      <c r="K8" s="213">
        <v>82</v>
      </c>
      <c r="L8" s="213">
        <v>2</v>
      </c>
      <c r="M8" s="213">
        <v>15</v>
      </c>
      <c r="N8" s="213">
        <v>51991</v>
      </c>
      <c r="O8" s="419">
        <v>3386988</v>
      </c>
      <c r="P8" s="420">
        <v>15442330</v>
      </c>
      <c r="Q8" s="31" t="s">
        <v>25</v>
      </c>
      <c r="R8" s="212">
        <f>IF(表1_8612182224[[#This Row],[目标国家]]="魏",0,IF(表1_8612182224[[#This Row],[目标国家]]="蜀",1,2))</f>
        <v>0</v>
      </c>
      <c r="S8" s="213">
        <v>36630</v>
      </c>
      <c r="T8" s="213">
        <v>128924</v>
      </c>
      <c r="U8" s="213">
        <v>533570</v>
      </c>
      <c r="V8" s="213">
        <v>8866</v>
      </c>
      <c r="W8" s="278" t="str">
        <f>"{"&amp;"'coin':"&amp;表1_8612182224[[#This Row],[补偿Coin]]&amp;",'"&amp;配置!$A$2&amp;"':"&amp;表1_8612182224[[#This Row],[补偿辎重]]&amp;"},"</f>
        <v>{'coin':1000,'item036':10},</v>
      </c>
      <c r="X8" s="278" t="str">
        <f>"      '"&amp;表1_8612182224[[#This Row],[区服]]&amp;"':{"</f>
        <v>      '69':{</v>
      </c>
    </row>
    <row r="9" s="354" customFormat="1" ht="14.25" customHeight="1" spans="1:24">
      <c r="A9" s="259">
        <v>69</v>
      </c>
      <c r="B9" s="210">
        <f>VLOOKUP(表1_8612182224[[#This Row],[区服]],$O$26:$P$33,2,FALSE)</f>
        <v>39</v>
      </c>
      <c r="C9" s="296" t="s">
        <v>65</v>
      </c>
      <c r="D9" s="212" t="str">
        <f>表1_8612182224[[#This Row],[目标国家]]</f>
        <v>蜀</v>
      </c>
      <c r="E9" s="213">
        <f>(VLOOKUP(表1_8612182224[[#This Row],[目标区服]],$Q$26:$R$29,2,FALSE)-表1_8612182224[[#This Row],[开服天数]])*配置!$B$1</f>
        <v>1000</v>
      </c>
      <c r="F9" s="213">
        <f>表1_8612182224[[#This Row],[补偿Coin]]*(表1_8612182224[[#This Row],[活跃高战玩家数]]+表1_8612182224[[#This Row],[活跃中坚玩家数]])</f>
        <v>48000</v>
      </c>
      <c r="G9" s="260">
        <f>(VLOOKUP(表1_8612182224[[#This Row],[目标区服]],$Q$26:$R$29,2,FALSE)-表1_8612182224[[#This Row],[开服天数]])*配置!$B$2</f>
        <v>10</v>
      </c>
      <c r="H9" s="212" t="s">
        <v>26</v>
      </c>
      <c r="I9" s="268">
        <f>IF(表1_8612182224[[#This Row],[原国家]]="魏",0,IF(表1_8612182224[[#This Row],[原国家]]="蜀",1,2))</f>
        <v>1</v>
      </c>
      <c r="J9" s="213">
        <v>3</v>
      </c>
      <c r="K9" s="213">
        <v>156</v>
      </c>
      <c r="L9" s="213">
        <v>6</v>
      </c>
      <c r="M9" s="213">
        <v>42</v>
      </c>
      <c r="N9" s="213">
        <v>171173</v>
      </c>
      <c r="O9" s="419">
        <v>4517773</v>
      </c>
      <c r="P9" s="420">
        <v>47176729</v>
      </c>
      <c r="Q9" s="31" t="s">
        <v>26</v>
      </c>
      <c r="R9" s="212">
        <f>IF(表1_8612182224[[#This Row],[目标国家]]="魏",0,IF(表1_8612182224[[#This Row],[目标国家]]="蜀",1,2))</f>
        <v>1</v>
      </c>
      <c r="S9" s="213">
        <v>525064</v>
      </c>
      <c r="T9" s="213">
        <v>0</v>
      </c>
      <c r="U9" s="213">
        <v>1052578</v>
      </c>
      <c r="V9" s="213">
        <v>28229</v>
      </c>
      <c r="W9" s="278" t="str">
        <f>"{"&amp;"'coin':"&amp;表1_8612182224[[#This Row],[补偿Coin]]&amp;",'"&amp;配置!$A$2&amp;"':"&amp;表1_8612182224[[#This Row],[补偿辎重]]&amp;"},"</f>
        <v>{'coin':1000,'item036':10},</v>
      </c>
      <c r="X9" s="278" t="str">
        <f>"            'to_zone':'"&amp;表1_8612182224[[#This Row],[目标区服]]&amp;"',
            'reward':"&amp;表1_8612182224[[#This Row],[辅助导出]]&amp;"
            'country':["&amp;R8&amp;","&amp;R9&amp;","&amp;R10&amp;"],"</f>
        <v>            'to_zone':'h1_28',
            'reward':{'coin':1000,'item036':10},
            'country':[0,1,2],</v>
      </c>
    </row>
    <row r="10" s="354" customFormat="1" ht="14.25" customHeight="1" spans="1:24">
      <c r="A10" s="259">
        <v>69</v>
      </c>
      <c r="B10" s="210">
        <f>VLOOKUP(表1_8612182224[[#This Row],[区服]],$O$26:$P$33,2,FALSE)</f>
        <v>39</v>
      </c>
      <c r="C10" s="296" t="s">
        <v>65</v>
      </c>
      <c r="D10" s="212" t="str">
        <f>表1_8612182224[[#This Row],[目标国家]]</f>
        <v>吴</v>
      </c>
      <c r="E10" s="213">
        <f>(VLOOKUP(表1_8612182224[[#This Row],[目标区服]],$Q$26:$R$29,2,FALSE)-表1_8612182224[[#This Row],[开服天数]])*配置!$B$1</f>
        <v>1000</v>
      </c>
      <c r="F10" s="213">
        <f>表1_8612182224[[#This Row],[补偿Coin]]*(表1_8612182224[[#This Row],[活跃高战玩家数]]+表1_8612182224[[#This Row],[活跃中坚玩家数]])</f>
        <v>21000</v>
      </c>
      <c r="G10" s="260">
        <f>(VLOOKUP(表1_8612182224[[#This Row],[目标区服]],$Q$26:$R$29,2,FALSE)-表1_8612182224[[#This Row],[开服天数]])*配置!$B$2</f>
        <v>10</v>
      </c>
      <c r="H10" s="212" t="s">
        <v>27</v>
      </c>
      <c r="I10" s="268">
        <f>IF(表1_8612182224[[#This Row],[原国家]]="魏",0,IF(表1_8612182224[[#This Row],[原国家]]="蜀",1,2))</f>
        <v>2</v>
      </c>
      <c r="J10" s="213">
        <v>4</v>
      </c>
      <c r="K10" s="213">
        <v>157</v>
      </c>
      <c r="L10" s="213">
        <v>2</v>
      </c>
      <c r="M10" s="213">
        <v>19</v>
      </c>
      <c r="N10" s="213">
        <v>81979</v>
      </c>
      <c r="O10" s="419">
        <v>3739804</v>
      </c>
      <c r="P10" s="420">
        <v>23100758</v>
      </c>
      <c r="Q10" s="31" t="s">
        <v>27</v>
      </c>
      <c r="R10" s="212">
        <f>IF(表1_8612182224[[#This Row],[目标国家]]="魏",0,IF(表1_8612182224[[#This Row],[目标国家]]="蜀",1,2))</f>
        <v>2</v>
      </c>
      <c r="S10" s="213">
        <v>243520</v>
      </c>
      <c r="T10" s="213">
        <v>0</v>
      </c>
      <c r="U10" s="213">
        <v>399941</v>
      </c>
      <c r="V10" s="213">
        <v>15935</v>
      </c>
      <c r="W10" s="278" t="str">
        <f>"{"&amp;"'coin':"&amp;表1_8612182224[[#This Row],[补偿Coin]]&amp;",'"&amp;配置!$A$2&amp;"':"&amp;表1_8612182224[[#This Row],[补偿辎重]]&amp;"},"</f>
        <v>{'coin':1000,'item036':10},</v>
      </c>
      <c r="X10" s="278" t="str">
        <f>"      },"</f>
        <v>      },</v>
      </c>
    </row>
    <row r="11" s="354" customFormat="1" ht="14.25" customHeight="1" spans="1:24">
      <c r="A11" s="259">
        <v>70</v>
      </c>
      <c r="B11" s="210">
        <f>VLOOKUP(表1_8612182224[[#This Row],[区服]],$O$26:$P$33,2,FALSE)</f>
        <v>38</v>
      </c>
      <c r="C11" s="296" t="s">
        <v>65</v>
      </c>
      <c r="D11" s="212" t="str">
        <f>表1_8612182224[[#This Row],[目标国家]]</f>
        <v>魏</v>
      </c>
      <c r="E11" s="213">
        <f>(VLOOKUP(表1_8612182224[[#This Row],[目标区服]],$Q$26:$R$29,2,FALSE)-表1_8612182224[[#This Row],[开服天数]])*配置!$B$1</f>
        <v>1500</v>
      </c>
      <c r="F11" s="213">
        <f>表1_8612182224[[#This Row],[补偿Coin]]*(表1_8612182224[[#This Row],[活跃高战玩家数]]+表1_8612182224[[#This Row],[活跃中坚玩家数]])</f>
        <v>60000</v>
      </c>
      <c r="G11" s="260">
        <f>(VLOOKUP(表1_8612182224[[#This Row],[目标区服]],$Q$26:$R$29,2,FALSE)-表1_8612182224[[#This Row],[开服天数]])*配置!$B$2</f>
        <v>15</v>
      </c>
      <c r="H11" s="212" t="s">
        <v>25</v>
      </c>
      <c r="I11" s="268">
        <f>IF(表1_8612182224[[#This Row],[原国家]]="魏",0,IF(表1_8612182224[[#This Row],[原国家]]="蜀",1,2))</f>
        <v>0</v>
      </c>
      <c r="J11" s="213">
        <v>8</v>
      </c>
      <c r="K11" s="213">
        <v>324</v>
      </c>
      <c r="L11" s="213">
        <v>9</v>
      </c>
      <c r="M11" s="213">
        <v>31</v>
      </c>
      <c r="N11" s="213">
        <v>216021</v>
      </c>
      <c r="O11" s="419">
        <v>3210565</v>
      </c>
      <c r="P11" s="420">
        <v>34411635</v>
      </c>
      <c r="Q11" s="31" t="s">
        <v>25</v>
      </c>
      <c r="R11" s="212">
        <f>IF(表1_8612182224[[#This Row],[目标国家]]="魏",0,IF(表1_8612182224[[#This Row],[目标国家]]="蜀",1,2))</f>
        <v>0</v>
      </c>
      <c r="S11" s="213">
        <v>276466</v>
      </c>
      <c r="T11" s="213">
        <v>150</v>
      </c>
      <c r="U11" s="213">
        <v>1026667</v>
      </c>
      <c r="V11" s="213">
        <v>20580</v>
      </c>
      <c r="W11" s="278" t="str">
        <f>"{"&amp;"'coin':"&amp;表1_8612182224[[#This Row],[补偿Coin]]&amp;",'"&amp;配置!$A$2&amp;"':"&amp;表1_8612182224[[#This Row],[补偿辎重]]&amp;"},"</f>
        <v>{'coin':1500,'item036':15},</v>
      </c>
      <c r="X11" s="278" t="str">
        <f>"      '"&amp;表1_8612182224[[#This Row],[区服]]&amp;"':{"</f>
        <v>      '70':{</v>
      </c>
    </row>
    <row r="12" s="354" customFormat="1" ht="14.25" customHeight="1" spans="1:24">
      <c r="A12" s="259">
        <v>70</v>
      </c>
      <c r="B12" s="210">
        <f>VLOOKUP(表1_8612182224[[#This Row],[区服]],$O$26:$P$33,2,FALSE)</f>
        <v>38</v>
      </c>
      <c r="C12" s="296" t="s">
        <v>65</v>
      </c>
      <c r="D12" s="212" t="str">
        <f>表1_8612182224[[#This Row],[目标国家]]</f>
        <v>吴</v>
      </c>
      <c r="E12" s="213">
        <f>(VLOOKUP(表1_8612182224[[#This Row],[目标区服]],$Q$26:$R$29,2,FALSE)-表1_8612182224[[#This Row],[开服天数]])*配置!$B$1</f>
        <v>1500</v>
      </c>
      <c r="F12" s="213">
        <f>表1_8612182224[[#This Row],[补偿Coin]]*(表1_8612182224[[#This Row],[活跃高战玩家数]]+表1_8612182224[[#This Row],[活跃中坚玩家数]])</f>
        <v>16500</v>
      </c>
      <c r="G12" s="260">
        <f>(VLOOKUP(表1_8612182224[[#This Row],[目标区服]],$Q$26:$R$29,2,FALSE)-表1_8612182224[[#This Row],[开服天数]])*配置!$B$2</f>
        <v>15</v>
      </c>
      <c r="H12" s="212" t="s">
        <v>26</v>
      </c>
      <c r="I12" s="268">
        <f>IF(表1_8612182224[[#This Row],[原国家]]="魏",0,IF(表1_8612182224[[#This Row],[原国家]]="蜀",1,2))</f>
        <v>1</v>
      </c>
      <c r="J12" s="213">
        <v>0</v>
      </c>
      <c r="K12" s="213">
        <v>18</v>
      </c>
      <c r="L12" s="213">
        <v>0</v>
      </c>
      <c r="M12" s="213">
        <v>11</v>
      </c>
      <c r="N12" s="213">
        <v>27690</v>
      </c>
      <c r="O12" s="419">
        <v>619651</v>
      </c>
      <c r="P12" s="420">
        <v>4391481</v>
      </c>
      <c r="Q12" s="31" t="s">
        <v>27</v>
      </c>
      <c r="R12" s="212">
        <f>IF(表1_8612182224[[#This Row],[目标国家]]="魏",0,IF(表1_8612182224[[#This Row],[目标国家]]="蜀",1,2))</f>
        <v>2</v>
      </c>
      <c r="S12" s="213">
        <v>4856</v>
      </c>
      <c r="T12" s="213">
        <v>128</v>
      </c>
      <c r="U12" s="213">
        <v>94768</v>
      </c>
      <c r="V12" s="213">
        <v>1571</v>
      </c>
      <c r="W12" s="278" t="str">
        <f>"{"&amp;"'coin':"&amp;表1_8612182224[[#This Row],[补偿Coin]]&amp;",'"&amp;配置!$A$2&amp;"':"&amp;表1_8612182224[[#This Row],[补偿辎重]]&amp;"},"</f>
        <v>{'coin':1500,'item036':15},</v>
      </c>
      <c r="X12" s="278" t="str">
        <f>"            'to_zone':'"&amp;表1_8612182224[[#This Row],[目标区服]]&amp;"',
            'reward':"&amp;表1_8612182224[[#This Row],[辅助导出]]&amp;"
            'country':["&amp;R11&amp;","&amp;R12&amp;","&amp;R13&amp;"],"</f>
        <v>            'to_zone':'h1_28',
            'reward':{'coin':1500,'item036':15},
            'country':[0,2,2],</v>
      </c>
    </row>
    <row r="13" s="354" customFormat="1" ht="14.25" customHeight="1" spans="1:24">
      <c r="A13" s="259">
        <v>70</v>
      </c>
      <c r="B13" s="210">
        <f>VLOOKUP(表1_8612182224[[#This Row],[区服]],$O$26:$P$33,2,FALSE)</f>
        <v>38</v>
      </c>
      <c r="C13" s="296" t="s">
        <v>65</v>
      </c>
      <c r="D13" s="212" t="str">
        <f>表1_8612182224[[#This Row],[目标国家]]</f>
        <v>吴</v>
      </c>
      <c r="E13" s="213">
        <f>(VLOOKUP(表1_8612182224[[#This Row],[目标区服]],$Q$26:$R$29,2,FALSE)-表1_8612182224[[#This Row],[开服天数]])*配置!$B$1</f>
        <v>1500</v>
      </c>
      <c r="F13" s="213">
        <f>表1_8612182224[[#This Row],[补偿Coin]]*(表1_8612182224[[#This Row],[活跃高战玩家数]]+表1_8612182224[[#This Row],[活跃中坚玩家数]])</f>
        <v>24000</v>
      </c>
      <c r="G13" s="260">
        <f>(VLOOKUP(表1_8612182224[[#This Row],[目标区服]],$Q$26:$R$29,2,FALSE)-表1_8612182224[[#This Row],[开服天数]])*配置!$B$2</f>
        <v>15</v>
      </c>
      <c r="H13" s="212" t="s">
        <v>27</v>
      </c>
      <c r="I13" s="268">
        <f>IF(表1_8612182224[[#This Row],[原国家]]="魏",0,IF(表1_8612182224[[#This Row],[原国家]]="蜀",1,2))</f>
        <v>2</v>
      </c>
      <c r="J13" s="213">
        <v>1</v>
      </c>
      <c r="K13" s="213">
        <v>53</v>
      </c>
      <c r="L13" s="213">
        <v>1</v>
      </c>
      <c r="M13" s="213">
        <v>15</v>
      </c>
      <c r="N13" s="213">
        <v>41459</v>
      </c>
      <c r="O13" s="419">
        <v>1513336</v>
      </c>
      <c r="P13" s="420">
        <v>6836513</v>
      </c>
      <c r="Q13" s="31" t="s">
        <v>27</v>
      </c>
      <c r="R13" s="212">
        <f>IF(表1_8612182224[[#This Row],[目标国家]]="魏",0,IF(表1_8612182224[[#This Row],[目标国家]]="蜀",1,2))</f>
        <v>2</v>
      </c>
      <c r="S13" s="213">
        <v>20852</v>
      </c>
      <c r="T13" s="213">
        <v>0</v>
      </c>
      <c r="U13" s="213">
        <v>248934</v>
      </c>
      <c r="V13" s="213">
        <v>3784</v>
      </c>
      <c r="W13" s="278" t="str">
        <f>"{"&amp;"'coin':"&amp;表1_8612182224[[#This Row],[补偿Coin]]&amp;",'"&amp;配置!$A$2&amp;"':"&amp;表1_8612182224[[#This Row],[补偿辎重]]&amp;"},"</f>
        <v>{'coin':1500,'item036':15},</v>
      </c>
      <c r="X13" s="278" t="str">
        <f t="shared" ref="X13" si="1">"      },"</f>
        <v>      },</v>
      </c>
    </row>
    <row r="14" ht="14.25" customHeight="1" spans="1:24">
      <c r="A14" s="17"/>
      <c r="B14" s="17" t="e">
        <f>VLOOKUP(表1_8612182224[[#This Row],[区服]],$O$26:$P$33,2,FALSE)</f>
        <v>#N/A</v>
      </c>
      <c r="C14" s="18" t="s">
        <v>63</v>
      </c>
      <c r="D14" s="19" t="str">
        <f>表1_8612182224[[#This Row],[目标国家]]</f>
        <v>魏</v>
      </c>
      <c r="E14" s="20" t="e">
        <f>(VLOOKUP(表1_8612182224[[#This Row],[目标区服]],$Q$26:$R$29,2,FALSE)-表1_8612182224[[#This Row],[开服天数]])*配置!$B$1</f>
        <v>#N/A</v>
      </c>
      <c r="F14" s="20" t="e">
        <f>表1_8612182224[[#This Row],[补偿Coin]]*(表1_8612182224[[#This Row],[活跃高战玩家数]]+表1_8612182224[[#This Row],[活跃中坚玩家数]])</f>
        <v>#N/A</v>
      </c>
      <c r="G14" s="20" t="e">
        <f>(VLOOKUP(表1_8612182224[[#This Row],[目标区服]],$Q$26:$R$29,2,FALSE)-表1_8612182224[[#This Row],[开服天数]])*配置!$B$2</f>
        <v>#N/A</v>
      </c>
      <c r="H14" s="19" t="s">
        <v>25</v>
      </c>
      <c r="I14" s="19">
        <f>IF(表1_8612182224[[#This Row],[原国家]]="魏",0,IF(表1_8612182224[[#This Row],[原国家]]="蜀",1,2))</f>
        <v>0</v>
      </c>
      <c r="J14" s="20">
        <v>1</v>
      </c>
      <c r="K14" s="20">
        <v>47</v>
      </c>
      <c r="L14" s="20">
        <v>2</v>
      </c>
      <c r="M14" s="20">
        <v>12</v>
      </c>
      <c r="N14" s="20">
        <v>58522</v>
      </c>
      <c r="O14" s="20">
        <v>1462658</v>
      </c>
      <c r="P14" s="26">
        <v>8027606</v>
      </c>
      <c r="Q14" s="496" t="s">
        <v>25</v>
      </c>
      <c r="R14" s="19">
        <f>IF(表1_8612182224[[#This Row],[目标国家]]="魏",0,IF(表1_8612182224[[#This Row],[目标国家]]="蜀",1,2))</f>
        <v>0</v>
      </c>
      <c r="S14" s="20">
        <v>13720</v>
      </c>
      <c r="T14" s="20">
        <v>0</v>
      </c>
      <c r="U14" s="20">
        <v>69088</v>
      </c>
      <c r="V14" s="20">
        <v>3574</v>
      </c>
      <c r="W14" s="33" t="e">
        <f>"{"&amp;"'coin':"&amp;表1_8612182224[[#This Row],[补偿Coin]]&amp;",'"&amp;配置!$A$2&amp;"':"&amp;表1_8612182224[[#This Row],[补偿辎重]]&amp;"},"</f>
        <v>#N/A</v>
      </c>
      <c r="X14" s="34" t="str">
        <f>"      '"&amp;表1_8612182224[[#This Row],[区服]]&amp;"':{"</f>
        <v>      '':{</v>
      </c>
    </row>
    <row r="15" ht="14.25" customHeight="1" spans="1:24">
      <c r="A15" s="17"/>
      <c r="B15" s="17" t="e">
        <f>VLOOKUP(表1_8612182224[[#This Row],[区服]],$O$26:$P$33,2,FALSE)</f>
        <v>#N/A</v>
      </c>
      <c r="C15" s="18" t="s">
        <v>63</v>
      </c>
      <c r="D15" s="19" t="str">
        <f>表1_8612182224[[#This Row],[目标国家]]</f>
        <v>蜀</v>
      </c>
      <c r="E15" s="20" t="e">
        <f>(VLOOKUP(表1_8612182224[[#This Row],[目标区服]],$Q$26:$R$29,2,FALSE)-表1_8612182224[[#This Row],[开服天数]])*配置!$B$1</f>
        <v>#N/A</v>
      </c>
      <c r="F15" s="20" t="e">
        <f>表1_8612182224[[#This Row],[补偿Coin]]*(表1_8612182224[[#This Row],[活跃高战玩家数]]+表1_8612182224[[#This Row],[活跃中坚玩家数]])</f>
        <v>#N/A</v>
      </c>
      <c r="G15" s="20" t="e">
        <f>(VLOOKUP(表1_8612182224[[#This Row],[目标区服]],$Q$26:$R$29,2,FALSE)-表1_8612182224[[#This Row],[开服天数]])*配置!$B$2</f>
        <v>#N/A</v>
      </c>
      <c r="H15" s="19" t="s">
        <v>26</v>
      </c>
      <c r="I15" s="19">
        <f>IF(表1_8612182224[[#This Row],[原国家]]="魏",0,IF(表1_8612182224[[#This Row],[原国家]]="蜀",1,2))</f>
        <v>1</v>
      </c>
      <c r="J15" s="20">
        <v>5</v>
      </c>
      <c r="K15" s="20">
        <v>215</v>
      </c>
      <c r="L15" s="20">
        <v>5</v>
      </c>
      <c r="M15" s="20">
        <v>17</v>
      </c>
      <c r="N15" s="20">
        <v>127323</v>
      </c>
      <c r="O15" s="20">
        <v>1871083</v>
      </c>
      <c r="P15" s="26">
        <v>16711257</v>
      </c>
      <c r="Q15" s="496" t="s">
        <v>26</v>
      </c>
      <c r="R15" s="19">
        <f>IF(表1_8612182224[[#This Row],[目标国家]]="魏",0,IF(表1_8612182224[[#This Row],[目标国家]]="蜀",1,2))</f>
        <v>1</v>
      </c>
      <c r="S15" s="20">
        <v>43236</v>
      </c>
      <c r="T15" s="20">
        <v>0</v>
      </c>
      <c r="U15" s="20">
        <v>339286</v>
      </c>
      <c r="V15" s="20">
        <v>8295</v>
      </c>
      <c r="W15" s="33" t="e">
        <f>"{"&amp;"'coin':"&amp;表1_8612182224[[#This Row],[补偿Coin]]&amp;",'"&amp;配置!$A$2&amp;"':"&amp;表1_8612182224[[#This Row],[补偿辎重]]&amp;"},"</f>
        <v>#N/A</v>
      </c>
      <c r="X15" s="34" t="e">
        <f>"            'to_zone':'"&amp;表1_8612182224[[#This Row],[目标区服]]&amp;"',
            'reward':"&amp;表1_8612182224[[#This Row],[辅助导出]]&amp;"
            'country':["&amp;R14&amp;","&amp;R15&amp;","&amp;R16&amp;"],"</f>
        <v>#N/A</v>
      </c>
    </row>
    <row r="16" ht="14.25" customHeight="1" spans="1:24">
      <c r="A16" s="17"/>
      <c r="B16" s="17" t="e">
        <f>VLOOKUP(表1_8612182224[[#This Row],[区服]],$O$26:$P$33,2,FALSE)</f>
        <v>#N/A</v>
      </c>
      <c r="C16" s="18" t="s">
        <v>63</v>
      </c>
      <c r="D16" s="19" t="str">
        <f>表1_8612182224[[#This Row],[目标国家]]</f>
        <v>吴</v>
      </c>
      <c r="E16" s="20" t="e">
        <f>(VLOOKUP(表1_8612182224[[#This Row],[目标区服]],$Q$26:$R$29,2,FALSE)-表1_8612182224[[#This Row],[开服天数]])*配置!$B$1</f>
        <v>#N/A</v>
      </c>
      <c r="F16" s="20" t="e">
        <f>表1_8612182224[[#This Row],[补偿Coin]]*(表1_8612182224[[#This Row],[活跃高战玩家数]]+表1_8612182224[[#This Row],[活跃中坚玩家数]])</f>
        <v>#N/A</v>
      </c>
      <c r="G16" s="20" t="e">
        <f>(VLOOKUP(表1_8612182224[[#This Row],[目标区服]],$Q$26:$R$29,2,FALSE)-表1_8612182224[[#This Row],[开服天数]])*配置!$B$2</f>
        <v>#N/A</v>
      </c>
      <c r="H16" s="19" t="s">
        <v>27</v>
      </c>
      <c r="I16" s="19">
        <f>IF(表1_8612182224[[#This Row],[原国家]]="魏",0,IF(表1_8612182224[[#This Row],[原国家]]="蜀",1,2))</f>
        <v>2</v>
      </c>
      <c r="J16" s="20">
        <v>3</v>
      </c>
      <c r="K16" s="20">
        <v>133</v>
      </c>
      <c r="L16" s="20">
        <v>3</v>
      </c>
      <c r="M16" s="20">
        <v>15</v>
      </c>
      <c r="N16" s="20">
        <v>86826</v>
      </c>
      <c r="O16" s="20">
        <v>1646380</v>
      </c>
      <c r="P16" s="26">
        <v>11494623</v>
      </c>
      <c r="Q16" s="496" t="s">
        <v>27</v>
      </c>
      <c r="R16" s="19">
        <f>IF(表1_8612182224[[#This Row],[目标国家]]="魏",0,IF(表1_8612182224[[#This Row],[目标国家]]="蜀",1,2))</f>
        <v>2</v>
      </c>
      <c r="S16" s="20">
        <v>9648</v>
      </c>
      <c r="T16" s="20">
        <v>0</v>
      </c>
      <c r="U16" s="20">
        <v>192225</v>
      </c>
      <c r="V16" s="20">
        <v>5245</v>
      </c>
      <c r="W16" s="33" t="e">
        <f>"{"&amp;"'coin':"&amp;表1_8612182224[[#This Row],[补偿Coin]]&amp;",'"&amp;配置!$A$2&amp;"':"&amp;表1_8612182224[[#This Row],[补偿辎重]]&amp;"},"</f>
        <v>#N/A</v>
      </c>
      <c r="X16" s="34" t="str">
        <f t="shared" ref="X16" si="2">"      },"</f>
        <v>      },</v>
      </c>
    </row>
    <row r="17" ht="14.25" customHeight="1" spans="1:24">
      <c r="A17" s="17"/>
      <c r="B17" s="17" t="e">
        <f>VLOOKUP(表1_8612182224[[#This Row],[区服]],$O$26:$P$33,2,FALSE)</f>
        <v>#N/A</v>
      </c>
      <c r="C17" s="18" t="s">
        <v>63</v>
      </c>
      <c r="D17" s="19" t="str">
        <f>表1_8612182224[[#This Row],[目标国家]]</f>
        <v>魏</v>
      </c>
      <c r="E17" s="20" t="e">
        <f>(VLOOKUP(表1_8612182224[[#This Row],[目标区服]],$Q$26:$R$29,2,FALSE)-表1_8612182224[[#This Row],[开服天数]])*配置!$B$1</f>
        <v>#N/A</v>
      </c>
      <c r="F17" s="20" t="e">
        <f>表1_8612182224[[#This Row],[补偿Coin]]*(表1_8612182224[[#This Row],[活跃高战玩家数]]+表1_8612182224[[#This Row],[活跃中坚玩家数]])</f>
        <v>#N/A</v>
      </c>
      <c r="G17" s="20" t="e">
        <f>(VLOOKUP(表1_8612182224[[#This Row],[目标区服]],$Q$26:$R$29,2,FALSE)-表1_8612182224[[#This Row],[开服天数]])*配置!$B$2</f>
        <v>#N/A</v>
      </c>
      <c r="H17" s="19" t="s">
        <v>25</v>
      </c>
      <c r="I17" s="19">
        <f>IF(表1_8612182224[[#This Row],[原国家]]="魏",0,IF(表1_8612182224[[#This Row],[原国家]]="蜀",1,2))</f>
        <v>0</v>
      </c>
      <c r="J17" s="20">
        <v>4</v>
      </c>
      <c r="K17" s="20">
        <v>154</v>
      </c>
      <c r="L17" s="20">
        <v>5</v>
      </c>
      <c r="M17" s="20">
        <v>15</v>
      </c>
      <c r="N17" s="20">
        <v>120566</v>
      </c>
      <c r="O17" s="20">
        <v>2445562</v>
      </c>
      <c r="P17" s="26">
        <v>15030820</v>
      </c>
      <c r="Q17" s="31" t="s">
        <v>25</v>
      </c>
      <c r="R17" s="19">
        <f>IF(表1_8612182224[[#This Row],[目标国家]]="魏",0,IF(表1_8612182224[[#This Row],[目标国家]]="蜀",1,2))</f>
        <v>0</v>
      </c>
      <c r="S17" s="20">
        <v>71188</v>
      </c>
      <c r="T17" s="20">
        <v>648</v>
      </c>
      <c r="U17" s="20">
        <v>556933</v>
      </c>
      <c r="V17" s="20">
        <v>8912</v>
      </c>
      <c r="W17" s="33" t="e">
        <f>"{"&amp;"'coin':"&amp;表1_8612182224[[#This Row],[补偿Coin]]&amp;",'"&amp;配置!$A$2&amp;"':"&amp;表1_8612182224[[#This Row],[补偿辎重]]&amp;"},"</f>
        <v>#N/A</v>
      </c>
      <c r="X17" s="34" t="str">
        <f>"      '"&amp;表1_8612182224[[#This Row],[区服]]&amp;"':{"</f>
        <v>      '':{</v>
      </c>
    </row>
    <row r="18" ht="14.25" customHeight="1" spans="1:24">
      <c r="A18" s="17"/>
      <c r="B18" s="17" t="e">
        <f>VLOOKUP(表1_8612182224[[#This Row],[区服]],$O$26:$P$33,2,FALSE)</f>
        <v>#N/A</v>
      </c>
      <c r="C18" s="18" t="s">
        <v>63</v>
      </c>
      <c r="D18" s="19" t="str">
        <f>表1_8612182224[[#This Row],[目标国家]]</f>
        <v>蜀</v>
      </c>
      <c r="E18" s="20" t="e">
        <f>(VLOOKUP(表1_8612182224[[#This Row],[目标区服]],$Q$26:$R$29,2,FALSE)-表1_8612182224[[#This Row],[开服天数]])*配置!$B$1</f>
        <v>#N/A</v>
      </c>
      <c r="F18" s="20" t="e">
        <f>表1_8612182224[[#This Row],[补偿Coin]]*(表1_8612182224[[#This Row],[活跃高战玩家数]]+表1_8612182224[[#This Row],[活跃中坚玩家数]])</f>
        <v>#N/A</v>
      </c>
      <c r="G18" s="20" t="e">
        <f>(VLOOKUP(表1_8612182224[[#This Row],[目标区服]],$Q$26:$R$29,2,FALSE)-表1_8612182224[[#This Row],[开服天数]])*配置!$B$2</f>
        <v>#N/A</v>
      </c>
      <c r="H18" s="19" t="s">
        <v>26</v>
      </c>
      <c r="I18" s="19">
        <f>IF(表1_8612182224[[#This Row],[原国家]]="魏",0,IF(表1_8612182224[[#This Row],[原国家]]="蜀",1,2))</f>
        <v>1</v>
      </c>
      <c r="J18" s="20">
        <v>3</v>
      </c>
      <c r="K18" s="20">
        <v>147</v>
      </c>
      <c r="L18" s="20">
        <v>3</v>
      </c>
      <c r="M18" s="20">
        <v>11</v>
      </c>
      <c r="N18" s="20">
        <v>60948</v>
      </c>
      <c r="O18" s="20">
        <v>1900297</v>
      </c>
      <c r="P18" s="26">
        <v>7334658</v>
      </c>
      <c r="Q18" s="31" t="s">
        <v>26</v>
      </c>
      <c r="R18" s="19">
        <f>IF(表1_8612182224[[#This Row],[目标国家]]="魏",0,IF(表1_8612182224[[#This Row],[目标国家]]="蜀",1,2))</f>
        <v>1</v>
      </c>
      <c r="S18" s="20">
        <v>27138</v>
      </c>
      <c r="T18" s="20">
        <v>0</v>
      </c>
      <c r="U18" s="20">
        <v>246960</v>
      </c>
      <c r="V18" s="20">
        <v>5646</v>
      </c>
      <c r="W18" s="33" t="e">
        <f>"{"&amp;"'coin':"&amp;表1_8612182224[[#This Row],[补偿Coin]]&amp;",'"&amp;配置!$A$2&amp;"':"&amp;表1_8612182224[[#This Row],[补偿辎重]]&amp;"},"</f>
        <v>#N/A</v>
      </c>
      <c r="X18" s="34" t="e">
        <f>"            'to_zone':'"&amp;表1_8612182224[[#This Row],[目标区服]]&amp;"',
            'reward':"&amp;表1_8612182224[[#This Row],[辅助导出]]&amp;"
            'country':["&amp;R17&amp;","&amp;R18&amp;","&amp;R19&amp;"],"</f>
        <v>#N/A</v>
      </c>
    </row>
    <row r="19" ht="14.25" customHeight="1" spans="1:24">
      <c r="A19" s="17"/>
      <c r="B19" s="17" t="e">
        <f>VLOOKUP(表1_8612182224[[#This Row],[区服]],$O$26:$P$33,2,FALSE)</f>
        <v>#N/A</v>
      </c>
      <c r="C19" s="18" t="s">
        <v>63</v>
      </c>
      <c r="D19" s="19" t="str">
        <f>表1_8612182224[[#This Row],[目标国家]]</f>
        <v>吴</v>
      </c>
      <c r="E19" s="20" t="e">
        <f>(VLOOKUP(表1_8612182224[[#This Row],[目标区服]],$Q$26:$R$29,2,FALSE)-表1_8612182224[[#This Row],[开服天数]])*配置!$B$1</f>
        <v>#N/A</v>
      </c>
      <c r="F19" s="20" t="e">
        <f>表1_8612182224[[#This Row],[补偿Coin]]*(表1_8612182224[[#This Row],[活跃高战玩家数]]+表1_8612182224[[#This Row],[活跃中坚玩家数]])</f>
        <v>#N/A</v>
      </c>
      <c r="G19" s="20" t="e">
        <f>(VLOOKUP(表1_8612182224[[#This Row],[目标区服]],$Q$26:$R$29,2,FALSE)-表1_8612182224[[#This Row],[开服天数]])*配置!$B$2</f>
        <v>#N/A</v>
      </c>
      <c r="H19" s="19" t="s">
        <v>27</v>
      </c>
      <c r="I19" s="19">
        <f>IF(表1_8612182224[[#This Row],[原国家]]="魏",0,IF(表1_8612182224[[#This Row],[原国家]]="蜀",1,2))</f>
        <v>2</v>
      </c>
      <c r="J19" s="20">
        <v>2</v>
      </c>
      <c r="K19" s="20">
        <v>94</v>
      </c>
      <c r="L19" s="20">
        <v>2</v>
      </c>
      <c r="M19" s="20">
        <v>10</v>
      </c>
      <c r="N19" s="20">
        <v>76281</v>
      </c>
      <c r="O19" s="20">
        <v>2077382</v>
      </c>
      <c r="P19" s="26">
        <v>9898735</v>
      </c>
      <c r="Q19" s="31" t="s">
        <v>27</v>
      </c>
      <c r="R19" s="19">
        <f>IF(表1_8612182224[[#This Row],[目标国家]]="魏",0,IF(表1_8612182224[[#This Row],[目标国家]]="蜀",1,2))</f>
        <v>2</v>
      </c>
      <c r="S19" s="20">
        <v>48550</v>
      </c>
      <c r="T19" s="20">
        <v>0</v>
      </c>
      <c r="U19" s="20">
        <v>289208</v>
      </c>
      <c r="V19" s="20">
        <v>6189</v>
      </c>
      <c r="W19" s="33" t="e">
        <f>"{"&amp;"'coin':"&amp;表1_8612182224[[#This Row],[补偿Coin]]&amp;",'"&amp;配置!$A$2&amp;"':"&amp;表1_8612182224[[#This Row],[补偿辎重]]&amp;"},"</f>
        <v>#N/A</v>
      </c>
      <c r="X19" s="34" t="str">
        <f t="shared" ref="X19" si="3">"      },"</f>
        <v>      },</v>
      </c>
    </row>
    <row r="20" ht="14.25" customHeight="1" spans="1:24">
      <c r="A20" s="17"/>
      <c r="B20" s="17" t="e">
        <f>VLOOKUP(表1_8612182224[[#This Row],[区服]],$O$26:$P$33,2,FALSE)</f>
        <v>#N/A</v>
      </c>
      <c r="C20" s="18" t="s">
        <v>56</v>
      </c>
      <c r="D20" s="19" t="str">
        <f>表1_8612182224[[#This Row],[目标国家]]</f>
        <v>魏</v>
      </c>
      <c r="E20" s="20" t="e">
        <f>(VLOOKUP(表1_8612182224[[#This Row],[目标区服]],$Q$26:$R$29,2,FALSE)-表1_8612182224[[#This Row],[开服天数]])*配置!$B$1</f>
        <v>#N/A</v>
      </c>
      <c r="F20" s="20" t="e">
        <f>表1_8612182224[[#This Row],[补偿Coin]]*(表1_8612182224[[#This Row],[活跃高战玩家数]]+表1_8612182224[[#This Row],[活跃中坚玩家数]])</f>
        <v>#N/A</v>
      </c>
      <c r="G20" s="20" t="e">
        <f>(VLOOKUP(表1_8612182224[[#This Row],[目标区服]],$Q$26:$R$29,2,FALSE)-表1_8612182224[[#This Row],[开服天数]])*配置!$B$2</f>
        <v>#N/A</v>
      </c>
      <c r="H20" s="19" t="s">
        <v>25</v>
      </c>
      <c r="I20" s="19">
        <f>IF(表1_8612182224[[#This Row],[原国家]]="魏",0,IF(表1_8612182224[[#This Row],[原国家]]="蜀",1,2))</f>
        <v>0</v>
      </c>
      <c r="J20" s="20">
        <v>0</v>
      </c>
      <c r="K20" s="20">
        <v>49</v>
      </c>
      <c r="L20" s="20">
        <v>2</v>
      </c>
      <c r="M20" s="20">
        <v>11</v>
      </c>
      <c r="N20" s="20">
        <v>62489</v>
      </c>
      <c r="O20" s="20">
        <v>1670122</v>
      </c>
      <c r="P20" s="26">
        <v>8129534</v>
      </c>
      <c r="Q20" s="31" t="s">
        <v>25</v>
      </c>
      <c r="R20" s="19">
        <f>IF(表1_8612182224[[#This Row],[目标国家]]="魏",0,IF(表1_8612182224[[#This Row],[目标国家]]="蜀",1,2))</f>
        <v>0</v>
      </c>
      <c r="S20" s="20">
        <v>35430</v>
      </c>
      <c r="T20" s="20">
        <v>0</v>
      </c>
      <c r="U20" s="20">
        <v>161345</v>
      </c>
      <c r="V20" s="20">
        <v>4429</v>
      </c>
      <c r="W20" s="33" t="e">
        <f>"{"&amp;"'coin':"&amp;表1_8612182224[[#This Row],[补偿Coin]]&amp;",'"&amp;配置!$A$2&amp;"':"&amp;表1_8612182224[[#This Row],[补偿辎重]]&amp;"},"</f>
        <v>#N/A</v>
      </c>
      <c r="X20" s="34" t="str">
        <f>"      '"&amp;表1_8612182224[[#This Row],[区服]]&amp;"':{"</f>
        <v>      '':{</v>
      </c>
    </row>
    <row r="21" ht="14.25" customHeight="1" spans="1:24">
      <c r="A21" s="17"/>
      <c r="B21" s="17" t="e">
        <f>VLOOKUP(表1_8612182224[[#This Row],[区服]],$O$26:$P$33,2,FALSE)</f>
        <v>#N/A</v>
      </c>
      <c r="C21" s="18" t="s">
        <v>56</v>
      </c>
      <c r="D21" s="19" t="str">
        <f>表1_8612182224[[#This Row],[目标国家]]</f>
        <v>魏</v>
      </c>
      <c r="E21" s="20" t="e">
        <f>(VLOOKUP(表1_8612182224[[#This Row],[目标区服]],$Q$26:$R$29,2,FALSE)-表1_8612182224[[#This Row],[开服天数]])*配置!$B$1</f>
        <v>#N/A</v>
      </c>
      <c r="F21" s="20" t="e">
        <f>表1_8612182224[[#This Row],[补偿Coin]]*(表1_8612182224[[#This Row],[活跃高战玩家数]]+表1_8612182224[[#This Row],[活跃中坚玩家数]])</f>
        <v>#N/A</v>
      </c>
      <c r="G21" s="20" t="e">
        <f>(VLOOKUP(表1_8612182224[[#This Row],[目标区服]],$Q$26:$R$29,2,FALSE)-表1_8612182224[[#This Row],[开服天数]])*配置!$B$2</f>
        <v>#N/A</v>
      </c>
      <c r="H21" s="19" t="s">
        <v>26</v>
      </c>
      <c r="I21" s="19">
        <f>IF(表1_8612182224[[#This Row],[原国家]]="魏",0,IF(表1_8612182224[[#This Row],[原国家]]="蜀",1,2))</f>
        <v>1</v>
      </c>
      <c r="J21" s="20">
        <v>9</v>
      </c>
      <c r="K21" s="20">
        <v>281</v>
      </c>
      <c r="L21" s="20">
        <v>7</v>
      </c>
      <c r="M21" s="20">
        <v>19</v>
      </c>
      <c r="N21" s="20">
        <v>153076</v>
      </c>
      <c r="O21" s="20">
        <v>2610614</v>
      </c>
      <c r="P21" s="26">
        <v>21794586</v>
      </c>
      <c r="Q21" s="31" t="s">
        <v>25</v>
      </c>
      <c r="R21" s="19">
        <f>IF(表1_8612182224[[#This Row],[目标国家]]="魏",0,IF(表1_8612182224[[#This Row],[目标国家]]="蜀",1,2))</f>
        <v>0</v>
      </c>
      <c r="S21" s="20">
        <v>96136</v>
      </c>
      <c r="T21" s="20">
        <v>806</v>
      </c>
      <c r="U21" s="20">
        <v>432828</v>
      </c>
      <c r="V21" s="20">
        <v>12374</v>
      </c>
      <c r="W21" s="33" t="e">
        <f>"{"&amp;"'coin':"&amp;表1_8612182224[[#This Row],[补偿Coin]]&amp;",'"&amp;配置!$A$2&amp;"':"&amp;表1_8612182224[[#This Row],[补偿辎重]]&amp;"},"</f>
        <v>#N/A</v>
      </c>
      <c r="X21" s="34" t="e">
        <f>"            'to_zone':'"&amp;表1_8612182224[[#This Row],[目标区服]]&amp;"',
            'reward':"&amp;表1_8612182224[[#This Row],[辅助导出]]&amp;"
            'country':["&amp;R20&amp;","&amp;R21&amp;","&amp;R22&amp;"],"</f>
        <v>#N/A</v>
      </c>
    </row>
    <row r="22" ht="14.25" customHeight="1" spans="1:24">
      <c r="A22" s="17"/>
      <c r="B22" s="17" t="e">
        <f>VLOOKUP(表1_8612182224[[#This Row],[区服]],$O$26:$P$33,2,FALSE)</f>
        <v>#N/A</v>
      </c>
      <c r="C22" s="18" t="s">
        <v>56</v>
      </c>
      <c r="D22" s="19" t="str">
        <f>表1_8612182224[[#This Row],[目标国家]]</f>
        <v>吴</v>
      </c>
      <c r="E22" s="20" t="e">
        <f>(VLOOKUP(表1_8612182224[[#This Row],[目标区服]],$Q$26:$R$29,2,FALSE)-表1_8612182224[[#This Row],[开服天数]])*配置!$B$1</f>
        <v>#N/A</v>
      </c>
      <c r="F22" s="20" t="e">
        <f>表1_8612182224[[#This Row],[补偿Coin]]*(表1_8612182224[[#This Row],[活跃高战玩家数]]+表1_8612182224[[#This Row],[活跃中坚玩家数]])</f>
        <v>#N/A</v>
      </c>
      <c r="G22" s="20" t="e">
        <f>(VLOOKUP(表1_8612182224[[#This Row],[目标区服]],$Q$26:$R$29,2,FALSE)-表1_8612182224[[#This Row],[开服天数]])*配置!$B$2</f>
        <v>#N/A</v>
      </c>
      <c r="H22" s="19" t="s">
        <v>27</v>
      </c>
      <c r="I22" s="19">
        <f>IF(表1_8612182224[[#This Row],[原国家]]="魏",0,IF(表1_8612182224[[#This Row],[原国家]]="蜀",1,2))</f>
        <v>2</v>
      </c>
      <c r="J22" s="20">
        <v>0</v>
      </c>
      <c r="K22" s="20">
        <v>65</v>
      </c>
      <c r="L22" s="20">
        <v>0</v>
      </c>
      <c r="M22" s="20">
        <v>14</v>
      </c>
      <c r="N22" s="20">
        <v>49746</v>
      </c>
      <c r="O22" s="20">
        <v>944368</v>
      </c>
      <c r="P22" s="26">
        <v>5697367</v>
      </c>
      <c r="Q22" s="31" t="s">
        <v>27</v>
      </c>
      <c r="R22" s="19">
        <f>IF(表1_8612182224[[#This Row],[目标国家]]="魏",0,IF(表1_8612182224[[#This Row],[目标国家]]="蜀",1,2))</f>
        <v>2</v>
      </c>
      <c r="S22" s="20">
        <v>4074</v>
      </c>
      <c r="T22" s="20">
        <v>0</v>
      </c>
      <c r="U22" s="20">
        <v>136175</v>
      </c>
      <c r="V22" s="20">
        <v>2603</v>
      </c>
      <c r="W22" s="33" t="e">
        <f>"{"&amp;"'coin':"&amp;表1_8612182224[[#This Row],[补偿Coin]]&amp;",'"&amp;配置!$A$2&amp;"':"&amp;表1_8612182224[[#This Row],[补偿辎重]]&amp;"},"</f>
        <v>#N/A</v>
      </c>
      <c r="X22" s="34" t="str">
        <f t="shared" ref="X22" si="4">"      },"</f>
        <v>      },</v>
      </c>
    </row>
    <row r="25" ht="37.5" customHeight="1" spans="1:18">
      <c r="A25" s="36" t="s">
        <v>28</v>
      </c>
      <c r="B25" s="37" t="s">
        <v>29</v>
      </c>
      <c r="C25" s="38" t="s">
        <v>30</v>
      </c>
      <c r="D25" s="38" t="s">
        <v>31</v>
      </c>
      <c r="E25" s="38" t="s">
        <v>32</v>
      </c>
      <c r="F25" s="38" t="s">
        <v>33</v>
      </c>
      <c r="G25" s="38" t="s">
        <v>15</v>
      </c>
      <c r="H25" s="37" t="s">
        <v>18</v>
      </c>
      <c r="I25" s="37" t="s">
        <v>19</v>
      </c>
      <c r="J25" s="37" t="s">
        <v>34</v>
      </c>
      <c r="K25" s="38" t="s">
        <v>35</v>
      </c>
      <c r="L25" s="38" t="s">
        <v>36</v>
      </c>
      <c r="M25" s="38" t="s">
        <v>37</v>
      </c>
      <c r="O25" s="51" t="s">
        <v>0</v>
      </c>
      <c r="P25" s="51" t="s">
        <v>1</v>
      </c>
      <c r="Q25" s="51"/>
      <c r="R25" s="51" t="s">
        <v>38</v>
      </c>
    </row>
    <row r="26" ht="15" spans="1:18">
      <c r="A26" s="39" t="s">
        <v>64</v>
      </c>
      <c r="B26" s="39" t="s">
        <v>25</v>
      </c>
      <c r="C26" s="39">
        <f>COUNTIFS(表1_8612182224[目标区服],表2_9713192325[[#This Row],[合区区服]],表1_8612182224[目标国家（映射）],表2_9713192325[[#This Row],[国家]])</f>
        <v>2</v>
      </c>
      <c r="D26" s="39">
        <f>SUMIFS(表1_8612182224[活跃高战玩家数],表1_8612182224[目标区服],表2_9713192325[[#This Row],[合区区服]],表1_8612182224[目标国家（映射）],表2_9713192325[[#This Row],[国家]])</f>
        <v>5</v>
      </c>
      <c r="E26" s="39">
        <f>SUMIFS(表1_8612182224[活跃中坚玩家数],表1_8612182224[目标区服],表2_9713192325[[#This Row],[合区区服]],表1_8612182224[目标国家（映射）],表2_9713192325[[#This Row],[国家]])</f>
        <v>33</v>
      </c>
      <c r="F26" s="39">
        <f t="array" ref="F26">MAX((表1_8612182224[目标区服]=表2_9713192325[[#This Row],[合区区服]])*(表1_8612182224[目标国家（映射）]=表2_9713192325[[#This Row],[国家]])*表1_8612182224[活跃尖端战力])</f>
        <v>2005979</v>
      </c>
      <c r="G26" s="40">
        <f>SUMIFS(表1_8612182224[活跃总战力],表1_8612182224[目标区服],表2_9713192325[[#This Row],[合区区服]],表1_8612182224[目标国家（映射）],表2_9713192325[[#This Row],[国家]])</f>
        <v>21556113</v>
      </c>
      <c r="H26" s="39">
        <f>SUMIFS(表1_8612182224[活跃实际充值],表1_8612182224[目标区服],表2_9713192325[[#This Row],[合区区服]],表1_8612182224[目标国家（映射）],表2_9713192325[[#This Row],[国家]])</f>
        <v>36670</v>
      </c>
      <c r="I26" s="39">
        <f>SUMIFS(表1_8612182224[活跃虚拟充值],表1_8612182224[目标区服],表2_9713192325[[#This Row],[合区区服]],表1_8612182224[目标国家（映射）],表2_9713192325[[#This Row],[国家]])</f>
        <v>30</v>
      </c>
      <c r="J26" s="39">
        <f>SUMIFS(表1_8612182224[活跃Coin],表1_8612182224[目标区服],表2_9713192325[[#This Row],[合区区服]],表1_8612182224[目标国家（映射）],表2_9713192325[[#This Row],[国家]])</f>
        <v>471605</v>
      </c>
      <c r="K26" s="39">
        <f>SUMIFS(表1_8612182224[共计补偿Coin],表1_8612182224[目标区服],表2_9713192325[[#This Row],[合区区服]],表1_8612182224[目标国家（映射）],表2_9713192325[[#This Row],[国家]])</f>
        <v>50500</v>
      </c>
      <c r="L26" s="39">
        <f>表2_9713192325[[#This Row],[活跃Coin]]+表2_9713192325[[#This Row],[共计补偿Coin]]</f>
        <v>522105</v>
      </c>
      <c r="M26" s="39">
        <f>SUMIFS(表1_8612182224[综合国力],表1_8612182224[目标区服],表2_9713192325[[#This Row],[合区区服]],表1_8612182224[目标国家（映射）],表2_9713192325[[#This Row],[国家]])</f>
        <v>10414</v>
      </c>
      <c r="O26" s="51">
        <v>67</v>
      </c>
      <c r="P26" s="51">
        <v>41</v>
      </c>
      <c r="Q26" s="51" t="s">
        <v>64</v>
      </c>
      <c r="R26" s="51">
        <v>43</v>
      </c>
    </row>
    <row r="27" ht="15" spans="1:18">
      <c r="A27" s="39" t="s">
        <v>64</v>
      </c>
      <c r="B27" s="39" t="s">
        <v>26</v>
      </c>
      <c r="C27" s="39">
        <f>COUNTIFS(表1_8612182224[目标区服],表2_9713192325[[#This Row],[合区区服]],表1_8612182224[目标国家（映射）],表2_9713192325[[#This Row],[国家]])</f>
        <v>2</v>
      </c>
      <c r="D27" s="39">
        <f>SUMIFS(表1_8612182224[活跃高战玩家数],表1_8612182224[目标区服],表2_9713192325[[#This Row],[合区区服]],表1_8612182224[目标国家（映射）],表2_9713192325[[#This Row],[国家]])</f>
        <v>8</v>
      </c>
      <c r="E27" s="39">
        <f>SUMIFS(表1_8612182224[活跃中坚玩家数],表1_8612182224[目标区服],表2_9713192325[[#This Row],[合区区服]],表1_8612182224[目标国家（映射）],表2_9713192325[[#This Row],[国家]])</f>
        <v>40</v>
      </c>
      <c r="F27" s="39">
        <f t="array" ref="F27">MAX((表1_8612182224[目标区服]=表2_9713192325[[#This Row],[合区区服]])*(表1_8612182224[目标国家（映射）]=表2_9713192325[[#This Row],[国家]])*表1_8612182224[活跃尖端战力])</f>
        <v>2269149</v>
      </c>
      <c r="G27" s="40">
        <f>SUMIFS(表1_8612182224[活跃总战力],表1_8612182224[目标区服],表2_9713192325[[#This Row],[合区区服]],表1_8612182224[目标国家（映射）],表2_9713192325[[#This Row],[国家]])</f>
        <v>29358191</v>
      </c>
      <c r="H27" s="39">
        <f>SUMIFS(表1_8612182224[活跃实际充值],表1_8612182224[目标区服],表2_9713192325[[#This Row],[合区区服]],表1_8612182224[目标国家（映射）],表2_9713192325[[#This Row],[国家]])</f>
        <v>92968</v>
      </c>
      <c r="I27" s="39">
        <f>SUMIFS(表1_8612182224[活跃虚拟充值],表1_8612182224[目标区服],表2_9713192325[[#This Row],[合区区服]],表1_8612182224[目标国家（映射）],表2_9713192325[[#This Row],[国家]])</f>
        <v>0</v>
      </c>
      <c r="J27" s="39">
        <f>SUMIFS(表1_8612182224[活跃Coin],表1_8612182224[目标区服],表2_9713192325[[#This Row],[合区区服]],表1_8612182224[目标国家（映射）],表2_9713192325[[#This Row],[国家]])</f>
        <v>541439</v>
      </c>
      <c r="K27" s="39">
        <f>SUMIFS(表1_8612182224[共计补偿Coin],表1_8612182224[目标区服],表2_9713192325[[#This Row],[合区区服]],表1_8612182224[目标国家（映射）],表2_9713192325[[#This Row],[国家]])</f>
        <v>60000</v>
      </c>
      <c r="L27" s="39">
        <f>表2_9713192325[[#This Row],[活跃Coin]]+表2_9713192325[[#This Row],[共计补偿Coin]]</f>
        <v>601439</v>
      </c>
      <c r="M27" s="39">
        <f>SUMIFS(表1_8612182224[综合国力],表1_8612182224[目标区服],表2_9713192325[[#This Row],[合区区服]],表1_8612182224[目标国家（映射）],表2_9713192325[[#This Row],[国家]])</f>
        <v>13867</v>
      </c>
      <c r="O27" s="51">
        <v>68</v>
      </c>
      <c r="P27" s="51">
        <v>40</v>
      </c>
      <c r="Q27" s="51" t="s">
        <v>65</v>
      </c>
      <c r="R27" s="51">
        <v>41</v>
      </c>
    </row>
    <row r="28" ht="15" spans="1:18">
      <c r="A28" s="39" t="s">
        <v>64</v>
      </c>
      <c r="B28" s="39" t="s">
        <v>27</v>
      </c>
      <c r="C28" s="39">
        <f>COUNTIFS(表1_8612182224[目标区服],表2_9713192325[[#This Row],[合区区服]],表1_8612182224[目标国家（映射）],表2_9713192325[[#This Row],[国家]])</f>
        <v>2</v>
      </c>
      <c r="D28" s="39">
        <f>SUMIFS(表1_8612182224[活跃高战玩家数],表1_8612182224[目标区服],表2_9713192325[[#This Row],[合区区服]],表1_8612182224[目标国家（映射）],表2_9713192325[[#This Row],[国家]])</f>
        <v>6</v>
      </c>
      <c r="E28" s="39">
        <f>SUMIFS(表1_8612182224[活跃中坚玩家数],表1_8612182224[目标区服],表2_9713192325[[#This Row],[合区区服]],表1_8612182224[目标国家（映射）],表2_9713192325[[#This Row],[国家]])</f>
        <v>29</v>
      </c>
      <c r="F28" s="39">
        <f t="array" ref="F28">MAX((表1_8612182224[目标区服]=表2_9713192325[[#This Row],[合区区服]])*(表1_8612182224[目标国家（映射）]=表2_9713192325[[#This Row],[国家]])*表1_8612182224[活跃尖端战力])</f>
        <v>2564708</v>
      </c>
      <c r="G28" s="40">
        <f>SUMIFS(表1_8612182224[活跃总战力],表1_8612182224[目标区服],表2_9713192325[[#This Row],[合区区服]],表1_8612182224[目标国家（映射）],表2_9713192325[[#This Row],[国家]])</f>
        <v>23803448</v>
      </c>
      <c r="H28" s="39">
        <f>SUMIFS(表1_8612182224[活跃实际充值],表1_8612182224[目标区服],表2_9713192325[[#This Row],[合区区服]],表1_8612182224[目标国家（映射）],表2_9713192325[[#This Row],[国家]])</f>
        <v>80210</v>
      </c>
      <c r="I28" s="39">
        <f>SUMIFS(表1_8612182224[活跃虚拟充值],表1_8612182224[目标区服],表2_9713192325[[#This Row],[合区区服]],表1_8612182224[目标国家（映射）],表2_9713192325[[#This Row],[国家]])</f>
        <v>358</v>
      </c>
      <c r="J28" s="39">
        <f>SUMIFS(表1_8612182224[活跃Coin],表1_8612182224[目标区服],表2_9713192325[[#This Row],[合区区服]],表1_8612182224[目标国家（映射）],表2_9713192325[[#This Row],[国家]])</f>
        <v>654486</v>
      </c>
      <c r="K28" s="39">
        <f>SUMIFS(表1_8612182224[共计补偿Coin],表1_8612182224[目标区服],表2_9713192325[[#This Row],[合区区服]],表1_8612182224[目标国家（映射）],表2_9713192325[[#This Row],[国家]])</f>
        <v>41500</v>
      </c>
      <c r="L28" s="39">
        <f>表2_9713192325[[#This Row],[活跃Coin]]+表2_9713192325[[#This Row],[共计补偿Coin]]</f>
        <v>695986</v>
      </c>
      <c r="M28" s="39">
        <f>SUMIFS(表1_8612182224[综合国力],表1_8612182224[目标区服],表2_9713192325[[#This Row],[合区区服]],表1_8612182224[目标国家（映射）],表2_9713192325[[#This Row],[国家]])</f>
        <v>13290</v>
      </c>
      <c r="O28" s="51">
        <v>69</v>
      </c>
      <c r="P28" s="51">
        <v>39</v>
      </c>
      <c r="Q28" s="51"/>
      <c r="R28" s="51"/>
    </row>
    <row r="29" ht="15" spans="1:18">
      <c r="A29" s="41" t="s">
        <v>65</v>
      </c>
      <c r="B29" s="41" t="s">
        <v>25</v>
      </c>
      <c r="C29" s="41">
        <f>COUNTIFS(表1_8612182224[目标区服],表2_9713192325[[#This Row],[合区区服]],表1_8612182224[目标国家（映射）],表2_9713192325[[#This Row],[国家]])</f>
        <v>2</v>
      </c>
      <c r="D29" s="41">
        <f>SUMIFS(表1_8612182224[活跃高战玩家数],表1_8612182224[目标区服],表2_9713192325[[#This Row],[合区区服]],表1_8612182224[目标国家（映射）],表2_9713192325[[#This Row],[国家]])</f>
        <v>11</v>
      </c>
      <c r="E29" s="41">
        <f>SUMIFS(表1_8612182224[活跃中坚玩家数],表1_8612182224[目标区服],表2_9713192325[[#This Row],[合区区服]],表1_8612182224[目标国家（映射）],表2_9713192325[[#This Row],[国家]])</f>
        <v>46</v>
      </c>
      <c r="F29" s="41">
        <f t="array" ref="F29">MAX((表1_8612182224[目标区服]=表2_9713192325[[#This Row],[合区区服]])*(表1_8612182224[目标国家（映射）]=表2_9713192325[[#This Row],[国家]])*表1_8612182224[活跃尖端战力])</f>
        <v>3386988</v>
      </c>
      <c r="G29" s="42">
        <f>SUMIFS(表1_8612182224[活跃总战力],表1_8612182224[目标区服],表2_9713192325[[#This Row],[合区区服]],表1_8612182224[目标国家（映射）],表2_9713192325[[#This Row],[国家]])</f>
        <v>49853965</v>
      </c>
      <c r="H29" s="41">
        <f>SUMIFS(表1_8612182224[活跃实际充值],表1_8612182224[目标区服],表2_9713192325[[#This Row],[合区区服]],表1_8612182224[目标国家（映射）],表2_9713192325[[#This Row],[国家]])</f>
        <v>313096</v>
      </c>
      <c r="I29" s="41">
        <f>SUMIFS(表1_8612182224[活跃虚拟充值],表1_8612182224[目标区服],表2_9713192325[[#This Row],[合区区服]],表1_8612182224[目标国家（映射）],表2_9713192325[[#This Row],[国家]])</f>
        <v>129074</v>
      </c>
      <c r="J29" s="41">
        <f>SUMIFS(表1_8612182224[活跃Coin],表1_8612182224[目标区服],表2_9713192325[[#This Row],[合区区服]],表1_8612182224[目标国家（映射）],表2_9713192325[[#This Row],[国家]])</f>
        <v>1560237</v>
      </c>
      <c r="K29" s="41">
        <f>SUMIFS(表1_8612182224[共计补偿Coin],表1_8612182224[目标区服],表2_9713192325[[#This Row],[合区区服]],表1_8612182224[目标国家（映射）],表2_9713192325[[#This Row],[国家]])</f>
        <v>77000</v>
      </c>
      <c r="L29" s="41">
        <f>表2_9713192325[[#This Row],[活跃Coin]]+表2_9713192325[[#This Row],[共计补偿Coin]]</f>
        <v>1637237</v>
      </c>
      <c r="M29" s="41">
        <f>SUMIFS(表1_8612182224[综合国力],表1_8612182224[目标区服],表2_9713192325[[#This Row],[合区区服]],表1_8612182224[目标国家（映射）],表2_9713192325[[#This Row],[国家]])</f>
        <v>29446</v>
      </c>
      <c r="O29" s="51">
        <v>70</v>
      </c>
      <c r="P29" s="51">
        <v>38</v>
      </c>
      <c r="Q29" s="51"/>
      <c r="R29" s="51"/>
    </row>
    <row r="30" ht="15" spans="1:16">
      <c r="A30" s="41" t="s">
        <v>65</v>
      </c>
      <c r="B30" s="41" t="s">
        <v>26</v>
      </c>
      <c r="C30" s="41">
        <f>COUNTIFS(表1_8612182224[目标区服],表2_9713192325[[#This Row],[合区区服]],表1_8612182224[目标国家（映射）],表2_9713192325[[#This Row],[国家]])</f>
        <v>1</v>
      </c>
      <c r="D30" s="41">
        <f>SUMIFS(表1_8612182224[活跃高战玩家数],表1_8612182224[目标区服],表2_9713192325[[#This Row],[合区区服]],表1_8612182224[目标国家（映射）],表2_9713192325[[#This Row],[国家]])</f>
        <v>6</v>
      </c>
      <c r="E30" s="41">
        <f>SUMIFS(表1_8612182224[活跃中坚玩家数],表1_8612182224[目标区服],表2_9713192325[[#This Row],[合区区服]],表1_8612182224[目标国家（映射）],表2_9713192325[[#This Row],[国家]])</f>
        <v>42</v>
      </c>
      <c r="F30" s="41">
        <f t="array" ref="F30">MAX((表1_8612182224[目标区服]=表2_9713192325[[#This Row],[合区区服]])*(表1_8612182224[目标国家（映射）]=表2_9713192325[[#This Row],[国家]])*表1_8612182224[活跃尖端战力])</f>
        <v>4517773</v>
      </c>
      <c r="G30" s="42">
        <f>SUMIFS(表1_8612182224[活跃总战力],表1_8612182224[目标区服],表2_9713192325[[#This Row],[合区区服]],表1_8612182224[目标国家（映射）],表2_9713192325[[#This Row],[国家]])</f>
        <v>47176729</v>
      </c>
      <c r="H30" s="41">
        <f>SUMIFS(表1_8612182224[活跃实际充值],表1_8612182224[目标区服],表2_9713192325[[#This Row],[合区区服]],表1_8612182224[目标国家（映射）],表2_9713192325[[#This Row],[国家]])</f>
        <v>525064</v>
      </c>
      <c r="I30" s="41">
        <f>SUMIFS(表1_8612182224[活跃虚拟充值],表1_8612182224[目标区服],表2_9713192325[[#This Row],[合区区服]],表1_8612182224[目标国家（映射）],表2_9713192325[[#This Row],[国家]])</f>
        <v>0</v>
      </c>
      <c r="J30" s="41">
        <f>SUMIFS(表1_8612182224[活跃Coin],表1_8612182224[目标区服],表2_9713192325[[#This Row],[合区区服]],表1_8612182224[目标国家（映射）],表2_9713192325[[#This Row],[国家]])</f>
        <v>1052578</v>
      </c>
      <c r="K30" s="41">
        <f>SUMIFS(表1_8612182224[共计补偿Coin],表1_8612182224[目标区服],表2_9713192325[[#This Row],[合区区服]],表1_8612182224[目标国家（映射）],表2_9713192325[[#This Row],[国家]])</f>
        <v>48000</v>
      </c>
      <c r="L30" s="41">
        <f>表2_9713192325[[#This Row],[活跃Coin]]+表2_9713192325[[#This Row],[共计补偿Coin]]</f>
        <v>1100578</v>
      </c>
      <c r="M30" s="41">
        <f>SUMIFS(表1_8612182224[综合国力],表1_8612182224[目标区服],表2_9713192325[[#This Row],[合区区服]],表1_8612182224[目标国家（映射）],表2_9713192325[[#This Row],[国家]])</f>
        <v>28229</v>
      </c>
      <c r="O30" s="51"/>
      <c r="P30" s="51"/>
    </row>
    <row r="31" ht="15" spans="1:16">
      <c r="A31" s="41" t="s">
        <v>65</v>
      </c>
      <c r="B31" s="43" t="s">
        <v>27</v>
      </c>
      <c r="C31" s="43">
        <f>COUNTIFS(表1_8612182224[目标区服],表2_9713192325[[#This Row],[合区区服]],表1_8612182224[目标国家（映射）],表2_9713192325[[#This Row],[国家]])</f>
        <v>3</v>
      </c>
      <c r="D31" s="43">
        <f>SUMIFS(表1_8612182224[活跃高战玩家数],表1_8612182224[目标区服],表2_9713192325[[#This Row],[合区区服]],表1_8612182224[目标国家（映射）],表2_9713192325[[#This Row],[国家]])</f>
        <v>3</v>
      </c>
      <c r="E31" s="43">
        <f>SUMIFS(表1_8612182224[活跃中坚玩家数],表1_8612182224[目标区服],表2_9713192325[[#This Row],[合区区服]],表1_8612182224[目标国家（映射）],表2_9713192325[[#This Row],[国家]])</f>
        <v>45</v>
      </c>
      <c r="F31" s="43">
        <f t="array" ref="F31">MAX((表1_8612182224[目标区服]=表2_9713192325[[#This Row],[合区区服]])*(表1_8612182224[目标国家（映射）]=表2_9713192325[[#This Row],[国家]])*表1_8612182224[活跃尖端战力])</f>
        <v>3739804</v>
      </c>
      <c r="G31" s="44">
        <f>SUMIFS(表1_8612182224[活跃总战力],表1_8612182224[目标区服],表2_9713192325[[#This Row],[合区区服]],表1_8612182224[目标国家（映射）],表2_9713192325[[#This Row],[国家]])</f>
        <v>34328752</v>
      </c>
      <c r="H31" s="43">
        <f>SUMIFS(表1_8612182224[活跃实际充值],表1_8612182224[目标区服],表2_9713192325[[#This Row],[合区区服]],表1_8612182224[目标国家（映射）],表2_9713192325[[#This Row],[国家]])</f>
        <v>269228</v>
      </c>
      <c r="I31" s="43">
        <f>SUMIFS(表1_8612182224[活跃虚拟充值],表1_8612182224[目标区服],表2_9713192325[[#This Row],[合区区服]],表1_8612182224[目标国家（映射）],表2_9713192325[[#This Row],[国家]])</f>
        <v>128</v>
      </c>
      <c r="J31" s="43">
        <f>SUMIFS(表1_8612182224[活跃Coin],表1_8612182224[目标区服],表2_9713192325[[#This Row],[合区区服]],表1_8612182224[目标国家（映射）],表2_9713192325[[#This Row],[国家]])</f>
        <v>743643</v>
      </c>
      <c r="K31" s="43">
        <f>SUMIFS(表1_8612182224[共计补偿Coin],表1_8612182224[目标区服],表2_9713192325[[#This Row],[合区区服]],表1_8612182224[目标国家（映射）],表2_9713192325[[#This Row],[国家]])</f>
        <v>61500</v>
      </c>
      <c r="L31" s="43">
        <f>表2_9713192325[[#This Row],[活跃Coin]]+表2_9713192325[[#This Row],[共计补偿Coin]]</f>
        <v>805143</v>
      </c>
      <c r="M31" s="43">
        <f>SUMIFS(表1_8612182224[综合国力],表1_8612182224[目标区服],表2_9713192325[[#This Row],[合区区服]],表1_8612182224[目标国家（映射）],表2_9713192325[[#This Row],[国家]])</f>
        <v>21290</v>
      </c>
      <c r="O31" s="51"/>
      <c r="P31" s="51"/>
    </row>
    <row r="32" ht="15" spans="1:16">
      <c r="A32" s="45"/>
      <c r="B32" s="46" t="s">
        <v>25</v>
      </c>
      <c r="C32" s="46">
        <f>COUNTIFS(表1_8612182224[目标区服],表2_9713192325[[#This Row],[合区区服]],表1_8612182224[目标国家（映射）],表2_9713192325[[#This Row],[国家]])</f>
        <v>0</v>
      </c>
      <c r="D32" s="46">
        <f>SUMIFS(表1_8612182224[活跃高战玩家数],表1_8612182224[目标区服],表2_9713192325[[#This Row],[合区区服]],表1_8612182224[目标国家（映射）],表2_9713192325[[#This Row],[国家]])</f>
        <v>0</v>
      </c>
      <c r="E32" s="46">
        <f>SUMIFS(表1_8612182224[活跃中坚玩家数],表1_8612182224[目标区服],表2_9713192325[[#This Row],[合区区服]],表1_8612182224[目标国家（映射）],表2_9713192325[[#This Row],[国家]])</f>
        <v>0</v>
      </c>
      <c r="F32" s="46">
        <f t="array" ref="F32">MAX((表1_8612182224[目标区服]=表2_9713192325[[#This Row],[合区区服]])*(表1_8612182224[目标国家（映射）]=表2_9713192325[[#This Row],[国家]])*表1_8612182224[活跃尖端战力])</f>
        <v>0</v>
      </c>
      <c r="G32" s="47">
        <f>SUMIFS(表1_8612182224[活跃总战力],表1_8612182224[目标区服],表2_9713192325[[#This Row],[合区区服]],表1_8612182224[目标国家（映射）],表2_9713192325[[#This Row],[国家]])</f>
        <v>0</v>
      </c>
      <c r="H32" s="46">
        <f>SUMIFS(表1_8612182224[活跃实际充值],表1_8612182224[目标区服],表2_9713192325[[#This Row],[合区区服]],表1_8612182224[目标国家（映射）],表2_9713192325[[#This Row],[国家]])</f>
        <v>0</v>
      </c>
      <c r="I32" s="46">
        <f>SUMIFS(表1_8612182224[活跃虚拟充值],表1_8612182224[目标区服],表2_9713192325[[#This Row],[合区区服]],表1_8612182224[目标国家（映射）],表2_9713192325[[#This Row],[国家]])</f>
        <v>0</v>
      </c>
      <c r="J32" s="46">
        <f>SUMIFS(表1_8612182224[活跃Coin],表1_8612182224[目标区服],表2_9713192325[[#This Row],[合区区服]],表1_8612182224[目标国家（映射）],表2_9713192325[[#This Row],[国家]])</f>
        <v>0</v>
      </c>
      <c r="K32" s="46">
        <f>SUMIFS(表1_8612182224[共计补偿Coin],表1_8612182224[目标区服],表2_9713192325[[#This Row],[合区区服]],表1_8612182224[目标国家（映射）],表2_9713192325[[#This Row],[国家]])</f>
        <v>0</v>
      </c>
      <c r="L32" s="46">
        <f>表2_9713192325[[#This Row],[活跃Coin]]+表2_9713192325[[#This Row],[共计补偿Coin]]</f>
        <v>0</v>
      </c>
      <c r="M32" s="46">
        <f>SUMIFS(表1_8612182224[综合国力],表1_8612182224[目标区服],表2_9713192325[[#This Row],[合区区服]],表1_8612182224[目标国家（映射）],表2_9713192325[[#This Row],[国家]])</f>
        <v>0</v>
      </c>
      <c r="O32" s="51"/>
      <c r="P32" s="51"/>
    </row>
    <row r="33" ht="15" spans="1:16">
      <c r="A33" s="45"/>
      <c r="B33" s="46" t="s">
        <v>26</v>
      </c>
      <c r="C33" s="46">
        <f>COUNTIFS(表1_8612182224[目标区服],表2_9713192325[[#This Row],[合区区服]],表1_8612182224[目标国家（映射）],表2_9713192325[[#This Row],[国家]])</f>
        <v>0</v>
      </c>
      <c r="D33" s="46">
        <f>SUMIFS(表1_8612182224[活跃高战玩家数],表1_8612182224[目标区服],表2_9713192325[[#This Row],[合区区服]],表1_8612182224[目标国家（映射）],表2_9713192325[[#This Row],[国家]])</f>
        <v>0</v>
      </c>
      <c r="E33" s="46">
        <f>SUMIFS(表1_8612182224[活跃中坚玩家数],表1_8612182224[目标区服],表2_9713192325[[#This Row],[合区区服]],表1_8612182224[目标国家（映射）],表2_9713192325[[#This Row],[国家]])</f>
        <v>0</v>
      </c>
      <c r="F33" s="46">
        <f t="array" ref="F33">MAX((表1_8612182224[目标区服]=表2_9713192325[[#This Row],[合区区服]])*(表1_8612182224[目标国家（映射）]=表2_9713192325[[#This Row],[国家]])*表1_8612182224[活跃尖端战力])</f>
        <v>0</v>
      </c>
      <c r="G33" s="47">
        <f>SUMIFS(表1_8612182224[活跃总战力],表1_8612182224[目标区服],表2_9713192325[[#This Row],[合区区服]],表1_8612182224[目标国家（映射）],表2_9713192325[[#This Row],[国家]])</f>
        <v>0</v>
      </c>
      <c r="H33" s="46">
        <f>SUMIFS(表1_8612182224[活跃实际充值],表1_8612182224[目标区服],表2_9713192325[[#This Row],[合区区服]],表1_8612182224[目标国家（映射）],表2_9713192325[[#This Row],[国家]])</f>
        <v>0</v>
      </c>
      <c r="I33" s="46">
        <f>SUMIFS(表1_8612182224[活跃虚拟充值],表1_8612182224[目标区服],表2_9713192325[[#This Row],[合区区服]],表1_8612182224[目标国家（映射）],表2_9713192325[[#This Row],[国家]])</f>
        <v>0</v>
      </c>
      <c r="J33" s="46">
        <f>SUMIFS(表1_8612182224[活跃Coin],表1_8612182224[目标区服],表2_9713192325[[#This Row],[合区区服]],表1_8612182224[目标国家（映射）],表2_9713192325[[#This Row],[国家]])</f>
        <v>0</v>
      </c>
      <c r="K33" s="46">
        <f>SUMIFS(表1_8612182224[共计补偿Coin],表1_8612182224[目标区服],表2_9713192325[[#This Row],[合区区服]],表1_8612182224[目标国家（映射）],表2_9713192325[[#This Row],[国家]])</f>
        <v>0</v>
      </c>
      <c r="L33" s="46">
        <f>表2_9713192325[[#This Row],[活跃Coin]]+表2_9713192325[[#This Row],[共计补偿Coin]]</f>
        <v>0</v>
      </c>
      <c r="M33" s="46">
        <f>SUMIFS(表1_8612182224[综合国力],表1_8612182224[目标区服],表2_9713192325[[#This Row],[合区区服]],表1_8612182224[目标国家（映射）],表2_9713192325[[#This Row],[国家]])</f>
        <v>0</v>
      </c>
      <c r="O33" s="51"/>
      <c r="P33" s="51"/>
    </row>
    <row r="34" ht="15" spans="1:13">
      <c r="A34" s="45"/>
      <c r="B34" s="48" t="s">
        <v>27</v>
      </c>
      <c r="C34" s="48">
        <f>COUNTIFS(表1_8612182224[目标区服],表2_9713192325[[#This Row],[合区区服]],表1_8612182224[目标国家（映射）],表2_9713192325[[#This Row],[国家]])</f>
        <v>0</v>
      </c>
      <c r="D34" s="48">
        <f>SUMIFS(表1_8612182224[活跃高战玩家数],表1_8612182224[目标区服],表2_9713192325[[#This Row],[合区区服]],表1_8612182224[目标国家（映射）],表2_9713192325[[#This Row],[国家]])</f>
        <v>0</v>
      </c>
      <c r="E34" s="48">
        <f>SUMIFS(表1_8612182224[活跃中坚玩家数],表1_8612182224[目标区服],表2_9713192325[[#This Row],[合区区服]],表1_8612182224[目标国家（映射）],表2_9713192325[[#This Row],[国家]])</f>
        <v>0</v>
      </c>
      <c r="F34" s="48">
        <f t="array" ref="F34">MAX((表1_8612182224[目标区服]=表2_9713192325[[#This Row],[合区区服]])*(表1_8612182224[目标国家（映射）]=表2_9713192325[[#This Row],[国家]])*表1_8612182224[活跃尖端战力])</f>
        <v>0</v>
      </c>
      <c r="G34" s="458">
        <f>SUMIFS(表1_8612182224[活跃总战力],表1_8612182224[目标区服],表2_9713192325[[#This Row],[合区区服]],表1_8612182224[目标国家（映射）],表2_9713192325[[#This Row],[国家]])</f>
        <v>0</v>
      </c>
      <c r="H34" s="48">
        <f>SUMIFS(表1_8612182224[活跃实际充值],表1_8612182224[目标区服],表2_9713192325[[#This Row],[合区区服]],表1_8612182224[目标国家（映射）],表2_9713192325[[#This Row],[国家]])</f>
        <v>0</v>
      </c>
      <c r="I34" s="48">
        <f>SUMIFS(表1_8612182224[活跃虚拟充值],表1_8612182224[目标区服],表2_9713192325[[#This Row],[合区区服]],表1_8612182224[目标国家（映射）],表2_9713192325[[#This Row],[国家]])</f>
        <v>0</v>
      </c>
      <c r="J34" s="48">
        <f>SUMIFS(表1_8612182224[活跃Coin],表1_8612182224[目标区服],表2_9713192325[[#This Row],[合区区服]],表1_8612182224[目标国家（映射）],表2_9713192325[[#This Row],[国家]])</f>
        <v>0</v>
      </c>
      <c r="K34" s="48">
        <f>SUMIFS(表1_8612182224[共计补偿Coin],表1_8612182224[目标区服],表2_9713192325[[#This Row],[合区区服]],表1_8612182224[目标国家（映射）],表2_9713192325[[#This Row],[国家]])</f>
        <v>0</v>
      </c>
      <c r="L34" s="48">
        <f>表2_9713192325[[#This Row],[活跃Coin]]+表2_9713192325[[#This Row],[共计补偿Coin]]</f>
        <v>0</v>
      </c>
      <c r="M34" s="48">
        <f>SUMIFS(表1_8612182224[综合国力],表1_8612182224[目标区服],表2_9713192325[[#This Row],[合区区服]],表1_8612182224[目标国家（映射）],表2_9713192325[[#This Row],[国家]])</f>
        <v>0</v>
      </c>
    </row>
    <row r="40" ht="27" spans="1:12">
      <c r="A40" s="49"/>
      <c r="B40" s="50" t="s">
        <v>9</v>
      </c>
      <c r="C40" s="50" t="s">
        <v>10</v>
      </c>
      <c r="D40" s="50" t="s">
        <v>11</v>
      </c>
      <c r="E40" s="50" t="s">
        <v>12</v>
      </c>
      <c r="F40" s="50" t="s">
        <v>13</v>
      </c>
      <c r="G40" s="50" t="s">
        <v>14</v>
      </c>
      <c r="H40" s="50" t="s">
        <v>15</v>
      </c>
      <c r="I40" s="50" t="s">
        <v>18</v>
      </c>
      <c r="J40" s="50" t="s">
        <v>19</v>
      </c>
      <c r="K40" s="50" t="s">
        <v>20</v>
      </c>
      <c r="L40" s="50" t="s">
        <v>21</v>
      </c>
    </row>
    <row r="41" spans="1:12">
      <c r="A41" s="50" t="s">
        <v>25</v>
      </c>
      <c r="B41" s="50">
        <v>1</v>
      </c>
      <c r="C41" s="50">
        <v>56</v>
      </c>
      <c r="D41" s="50">
        <v>1</v>
      </c>
      <c r="E41" s="50">
        <v>12</v>
      </c>
      <c r="F41" s="50">
        <v>36856</v>
      </c>
      <c r="G41" s="50">
        <v>970061</v>
      </c>
      <c r="H41" s="50">
        <v>5324299</v>
      </c>
      <c r="I41" s="50">
        <v>11942</v>
      </c>
      <c r="J41" s="50">
        <v>0</v>
      </c>
      <c r="K41" s="50">
        <v>123978</v>
      </c>
      <c r="L41" s="50">
        <v>2767</v>
      </c>
    </row>
    <row r="42" spans="1:12">
      <c r="A42" s="50" t="s">
        <v>26</v>
      </c>
      <c r="B42" s="50">
        <v>2</v>
      </c>
      <c r="C42" s="50">
        <v>98</v>
      </c>
      <c r="D42" s="50">
        <v>4</v>
      </c>
      <c r="E42" s="50">
        <v>20</v>
      </c>
      <c r="F42" s="50">
        <v>106719</v>
      </c>
      <c r="G42" s="50">
        <v>2269149</v>
      </c>
      <c r="H42" s="50">
        <v>14536292</v>
      </c>
      <c r="I42" s="50">
        <v>24902</v>
      </c>
      <c r="J42" s="50">
        <v>0</v>
      </c>
      <c r="K42" s="50">
        <v>174324</v>
      </c>
      <c r="L42" s="50">
        <v>6270</v>
      </c>
    </row>
    <row r="43" spans="1:12">
      <c r="A43" s="50" t="s">
        <v>27</v>
      </c>
      <c r="B43" s="50">
        <v>6</v>
      </c>
      <c r="C43" s="50">
        <v>241</v>
      </c>
      <c r="D43" s="50">
        <v>5</v>
      </c>
      <c r="E43" s="50">
        <v>17</v>
      </c>
      <c r="F43" s="50">
        <v>135690</v>
      </c>
      <c r="G43" s="50">
        <v>2564708</v>
      </c>
      <c r="H43" s="50">
        <v>18136935</v>
      </c>
      <c r="I43" s="50">
        <v>76202</v>
      </c>
      <c r="J43" s="50">
        <v>358</v>
      </c>
      <c r="K43" s="50">
        <v>575588</v>
      </c>
      <c r="L43" s="50">
        <v>10644</v>
      </c>
    </row>
    <row r="44" spans="1:12">
      <c r="A44" s="50" t="s">
        <v>25</v>
      </c>
      <c r="B44" s="50">
        <v>5</v>
      </c>
      <c r="C44" s="50">
        <v>198</v>
      </c>
      <c r="D44" s="50">
        <v>4</v>
      </c>
      <c r="E44" s="50">
        <v>21</v>
      </c>
      <c r="F44" s="50">
        <v>124427</v>
      </c>
      <c r="G44" s="50">
        <v>2005979</v>
      </c>
      <c r="H44" s="50">
        <v>16231814</v>
      </c>
      <c r="I44" s="50">
        <v>24728</v>
      </c>
      <c r="J44" s="50">
        <v>30</v>
      </c>
      <c r="K44" s="50">
        <v>347627</v>
      </c>
      <c r="L44" s="50">
        <v>7647</v>
      </c>
    </row>
    <row r="45" spans="1:12">
      <c r="A45" s="50" t="s">
        <v>26</v>
      </c>
      <c r="B45" s="50">
        <v>1</v>
      </c>
      <c r="C45" s="50">
        <v>71</v>
      </c>
      <c r="D45" s="50">
        <v>1</v>
      </c>
      <c r="E45" s="50">
        <v>12</v>
      </c>
      <c r="F45" s="50">
        <v>38529</v>
      </c>
      <c r="G45" s="50">
        <v>917407</v>
      </c>
      <c r="H45" s="50">
        <v>5666513</v>
      </c>
      <c r="I45" s="50">
        <v>4008</v>
      </c>
      <c r="J45" s="50">
        <v>0</v>
      </c>
      <c r="K45" s="50">
        <v>78898</v>
      </c>
      <c r="L45" s="50">
        <v>2646</v>
      </c>
    </row>
    <row r="46" spans="1:12">
      <c r="A46" s="50" t="s">
        <v>27</v>
      </c>
      <c r="B46" s="50">
        <v>3</v>
      </c>
      <c r="C46" s="50">
        <v>126</v>
      </c>
      <c r="D46" s="50">
        <v>4</v>
      </c>
      <c r="E46" s="50">
        <v>20</v>
      </c>
      <c r="F46" s="50">
        <v>106707</v>
      </c>
      <c r="G46" s="50">
        <v>1796000</v>
      </c>
      <c r="H46" s="50">
        <v>14821899</v>
      </c>
      <c r="I46" s="50">
        <v>68066</v>
      </c>
      <c r="J46" s="50">
        <v>0</v>
      </c>
      <c r="K46" s="50">
        <v>367115</v>
      </c>
      <c r="L46" s="50">
        <v>7597</v>
      </c>
    </row>
    <row r="47" spans="1:12">
      <c r="A47" s="50" t="s">
        <v>25</v>
      </c>
      <c r="B47" s="50">
        <v>2</v>
      </c>
      <c r="C47" s="50">
        <v>82</v>
      </c>
      <c r="D47" s="50">
        <v>2</v>
      </c>
      <c r="E47" s="50">
        <v>15</v>
      </c>
      <c r="F47" s="50">
        <v>51991</v>
      </c>
      <c r="G47" s="50">
        <v>3386988</v>
      </c>
      <c r="H47" s="50">
        <v>15442330</v>
      </c>
      <c r="I47" s="50">
        <v>36630</v>
      </c>
      <c r="J47" s="50">
        <v>128924</v>
      </c>
      <c r="K47" s="50">
        <v>533570</v>
      </c>
      <c r="L47" s="50">
        <v>8866</v>
      </c>
    </row>
    <row r="48" spans="1:12">
      <c r="A48" s="50" t="s">
        <v>26</v>
      </c>
      <c r="B48" s="50">
        <v>3</v>
      </c>
      <c r="C48" s="50">
        <v>156</v>
      </c>
      <c r="D48" s="50">
        <v>6</v>
      </c>
      <c r="E48" s="50">
        <v>42</v>
      </c>
      <c r="F48" s="50">
        <v>171173</v>
      </c>
      <c r="G48" s="50">
        <v>4517773</v>
      </c>
      <c r="H48" s="50">
        <v>47176729</v>
      </c>
      <c r="I48" s="50">
        <v>525064</v>
      </c>
      <c r="J48" s="50">
        <v>0</v>
      </c>
      <c r="K48" s="50">
        <v>1052578</v>
      </c>
      <c r="L48" s="50">
        <v>28229</v>
      </c>
    </row>
    <row r="49" spans="1:12">
      <c r="A49" s="50" t="s">
        <v>27</v>
      </c>
      <c r="B49" s="50">
        <v>4</v>
      </c>
      <c r="C49" s="50">
        <v>157</v>
      </c>
      <c r="D49" s="50">
        <v>2</v>
      </c>
      <c r="E49" s="50">
        <v>19</v>
      </c>
      <c r="F49" s="50">
        <v>81979</v>
      </c>
      <c r="G49" s="50">
        <v>3739804</v>
      </c>
      <c r="H49" s="50">
        <v>23100758</v>
      </c>
      <c r="I49" s="50">
        <v>243520</v>
      </c>
      <c r="J49" s="50">
        <v>0</v>
      </c>
      <c r="K49" s="50">
        <v>399941</v>
      </c>
      <c r="L49" s="50">
        <v>15935</v>
      </c>
    </row>
    <row r="50" spans="1:12">
      <c r="A50" s="50" t="s">
        <v>25</v>
      </c>
      <c r="B50" s="50">
        <v>8</v>
      </c>
      <c r="C50" s="50">
        <v>324</v>
      </c>
      <c r="D50" s="50">
        <v>9</v>
      </c>
      <c r="E50" s="50">
        <v>31</v>
      </c>
      <c r="F50" s="50">
        <v>216021</v>
      </c>
      <c r="G50" s="50">
        <v>3210565</v>
      </c>
      <c r="H50" s="50">
        <v>34411635</v>
      </c>
      <c r="I50" s="50">
        <v>276466</v>
      </c>
      <c r="J50" s="50">
        <v>150</v>
      </c>
      <c r="K50" s="50">
        <v>1026667</v>
      </c>
      <c r="L50" s="50">
        <v>20580</v>
      </c>
    </row>
    <row r="51" spans="1:12">
      <c r="A51" s="50" t="s">
        <v>26</v>
      </c>
      <c r="B51" s="50">
        <v>0</v>
      </c>
      <c r="C51" s="50">
        <v>18</v>
      </c>
      <c r="D51" s="50">
        <v>0</v>
      </c>
      <c r="E51" s="50">
        <v>11</v>
      </c>
      <c r="F51" s="50">
        <v>27690</v>
      </c>
      <c r="G51" s="50">
        <v>619651</v>
      </c>
      <c r="H51" s="50">
        <v>4391481</v>
      </c>
      <c r="I51" s="50">
        <v>4856</v>
      </c>
      <c r="J51" s="50">
        <v>128</v>
      </c>
      <c r="K51" s="50">
        <v>94768</v>
      </c>
      <c r="L51" s="50">
        <v>1571</v>
      </c>
    </row>
    <row r="52" spans="1:12">
      <c r="A52" s="50" t="s">
        <v>27</v>
      </c>
      <c r="B52" s="50">
        <v>1</v>
      </c>
      <c r="C52" s="50">
        <v>53</v>
      </c>
      <c r="D52" s="50">
        <v>1</v>
      </c>
      <c r="E52" s="50">
        <v>15</v>
      </c>
      <c r="F52" s="50">
        <v>41459</v>
      </c>
      <c r="G52" s="50">
        <v>1513336</v>
      </c>
      <c r="H52" s="50">
        <v>6836513</v>
      </c>
      <c r="I52" s="50">
        <v>20852</v>
      </c>
      <c r="J52" s="50">
        <v>0</v>
      </c>
      <c r="K52" s="50">
        <v>248934</v>
      </c>
      <c r="L52" s="50">
        <v>3784</v>
      </c>
    </row>
    <row r="53" spans="1:12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</row>
    <row r="54" spans="1:12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</row>
    <row r="55" spans="1:12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</row>
    <row r="56" spans="1:12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</row>
    <row r="57" spans="1:12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</row>
    <row r="58" spans="1:12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</row>
    <row r="59" spans="1:12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</row>
    <row r="60" spans="1:12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</row>
    <row r="61" spans="1:13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t="s">
        <v>66</v>
      </c>
    </row>
  </sheetData>
  <conditionalFormatting sqref="F26:F2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{6b4b1425-3a2e-4ccb-94a5-c01e21b64a04}</x14:id>
        </ext>
      </extLst>
    </cfRule>
  </conditionalFormatting>
  <conditionalFormatting sqref="F29:F31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{5a86ebeb-f276-46eb-b223-379ec8bdce4a}</x14:id>
        </ext>
      </extLst>
    </cfRule>
  </conditionalFormatting>
  <conditionalFormatting sqref="F32:F34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{489516c9-6fde-4126-8a15-ca3bd94ae40d}</x14:id>
        </ext>
      </extLst>
    </cfRule>
  </conditionalFormatting>
  <conditionalFormatting sqref="G26:G28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{ee38e469-a1af-48fe-a810-f2b02054bf64}</x14:id>
        </ext>
      </extLst>
    </cfRule>
  </conditionalFormatting>
  <conditionalFormatting sqref="G29:G3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{4d982485-cdaf-44fd-8dbe-36b6cad2178c}</x14:id>
        </ext>
      </extLst>
    </cfRule>
  </conditionalFormatting>
  <conditionalFormatting sqref="G32:G34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{b1820ef0-e912-43c3-bf3f-301ec89013ad}</x14:id>
        </ext>
      </extLst>
    </cfRule>
  </conditionalFormatting>
  <conditionalFormatting sqref="O2:O19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{9262d76e-7b09-47d3-8bf4-d0a317db1802}</x14:id>
        </ext>
      </extLst>
    </cfRule>
  </conditionalFormatting>
  <conditionalFormatting sqref="O20:O22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{33985738-605c-4929-acce-193c4c34e776}</x14:id>
        </ext>
      </extLst>
    </cfRule>
  </conditionalFormatting>
  <conditionalFormatting sqref="O26:O33">
    <cfRule type="cellIs" dxfId="37" priority="13" operator="equal">
      <formula>$S$26</formula>
    </cfRule>
  </conditionalFormatting>
  <conditionalFormatting sqref="P2:P19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{1181ed6c-44c5-4e84-a56b-e25827ca27d6}</x14:id>
        </ext>
      </extLst>
    </cfRule>
  </conditionalFormatting>
  <conditionalFormatting sqref="P20:P2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{3b3bf41b-50ad-4cb4-8dfd-c7fda8a514fb}</x14:id>
        </ext>
      </extLst>
    </cfRule>
  </conditionalFormatting>
  <conditionalFormatting sqref="Q2:Q19">
    <cfRule type="cellIs" dxfId="38" priority="10" operator="equal">
      <formula>配置!$D$4</formula>
    </cfRule>
    <cfRule type="cellIs" dxfId="39" priority="11" operator="equal">
      <formula>配置!$D$3</formula>
    </cfRule>
    <cfRule type="cellIs" dxfId="37" priority="12" operator="equal">
      <formula>配置!$D$2</formula>
    </cfRule>
  </conditionalFormatting>
  <conditionalFormatting sqref="Q20:Q22">
    <cfRule type="cellIs" dxfId="38" priority="1" operator="equal">
      <formula>配置!$D$4</formula>
    </cfRule>
    <cfRule type="cellIs" dxfId="39" priority="2" operator="equal">
      <formula>配置!$D$3</formula>
    </cfRule>
    <cfRule type="cellIs" dxfId="37" priority="3" operator="equal">
      <formula>配置!$D$2</formula>
    </cfRule>
    <cfRule type="cellIs" dxfId="38" priority="6" operator="equal">
      <formula>配置!$D$4</formula>
    </cfRule>
    <cfRule type="cellIs" dxfId="37" priority="7" operator="equal">
      <formula>配置!$D$2</formula>
    </cfRule>
  </conditionalFormatting>
  <conditionalFormatting sqref="Q26:Q29">
    <cfRule type="cellIs" dxfId="37" priority="14" operator="equal">
      <formula>$S$26</formula>
    </cfRule>
  </conditionalFormatting>
  <conditionalFormatting sqref="O23:O24 Q1:R1 Q2 Q4:Q19">
    <cfRule type="cellIs" dxfId="37" priority="22" operator="equal">
      <formula>配置!$D$2</formula>
    </cfRule>
  </conditionalFormatting>
  <conditionalFormatting sqref="Q2 Q4:Q19">
    <cfRule type="cellIs" dxfId="38" priority="21" operator="equal">
      <formula>配置!$D$4</formula>
    </cfRule>
  </conditionalFormatting>
  <dataValidations count="1">
    <dataValidation type="list" allowBlank="1" showInputMessage="1" showErrorMessage="1" sqref="Q2:Q22">
      <formula1>配置!$D$2:$D$4</formula1>
    </dataValidation>
  </dataValidations>
  <pageMargins left="0.7" right="0.7" top="0.75" bottom="0.75" header="0.3" footer="0.3"/>
  <pageSetup paperSize="9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b4b1425-3a2e-4ccb-94a5-c01e21b64a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5a86ebeb-f276-46eb-b223-379ec8bdce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489516c9-6fde-4126-8a15-ca3bd94ae4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ee38e469-a1af-48fe-a810-f2b02054bf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4d982485-cdaf-44fd-8dbe-36b6cad217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b1820ef0-e912-43c3-bf3f-301ec89013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9262d76e-7b09-47d3-8bf4-d0a317db18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33985738-605c-4929-acce-193c4c34e7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1181ed6c-44c5-4e84-a56b-e25827ca27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3b3bf41b-50ad-4cb4-8dfd-c7fda8a514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1"/>
  <sheetViews>
    <sheetView workbookViewId="0">
      <selection activeCell="J12" sqref="J12"/>
    </sheetView>
  </sheetViews>
  <sheetFormatPr defaultColWidth="9" defaultRowHeight="13.5"/>
  <sheetData>
    <row r="1" s="1" customFormat="1" ht="27.75" spans="1:24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22</v>
      </c>
      <c r="X1" s="22" t="s">
        <v>23</v>
      </c>
    </row>
    <row r="2" s="354" customFormat="1" ht="14.25" customHeight="1" spans="1:24">
      <c r="A2" s="371">
        <v>71</v>
      </c>
      <c r="B2" s="371">
        <f>VLOOKUP(表1_86121822242628[[#This Row],[区服]],$O$26:$P$33,2,FALSE)</f>
        <v>44</v>
      </c>
      <c r="C2" s="372" t="s">
        <v>67</v>
      </c>
      <c r="D2" s="373" t="str">
        <f>表1_86121822242628[[#This Row],[目标国家]]</f>
        <v>魏</v>
      </c>
      <c r="E2" s="374">
        <f>(VLOOKUP(表1_86121822242628[[#This Row],[目标区服]],$Q$26:$R$29,2,FALSE)-表1_86121822242628[[#This Row],[开服天数]])*配置!$B$1</f>
        <v>1000</v>
      </c>
      <c r="F2" s="374">
        <f>表1_86121822242628[[#This Row],[补偿Coin]]*(表1_86121822242628[[#This Row],[活跃高战玩家数]]+表1_86121822242628[[#This Row],[活跃中坚玩家数]])</f>
        <v>21000</v>
      </c>
      <c r="G2" s="374">
        <f>(VLOOKUP(表1_86121822242628[[#This Row],[目标区服]],$Q$26:$R$29,2,FALSE)-表1_86121822242628[[#This Row],[开服天数]])*配置!$B$2</f>
        <v>10</v>
      </c>
      <c r="H2" s="376" t="s">
        <v>25</v>
      </c>
      <c r="I2" s="376">
        <f>IF(表1_86121822242628[[#This Row],[原国家]]="魏",0,IF(表1_86121822242628[[#This Row],[原国家]]="蜀",1,2))</f>
        <v>0</v>
      </c>
      <c r="J2" s="380">
        <v>2</v>
      </c>
      <c r="K2" s="380">
        <v>69</v>
      </c>
      <c r="L2" s="380">
        <v>2</v>
      </c>
      <c r="M2" s="380">
        <v>19</v>
      </c>
      <c r="N2" s="380">
        <v>88575</v>
      </c>
      <c r="O2" s="380">
        <v>1491097</v>
      </c>
      <c r="P2" s="381">
        <v>11500364</v>
      </c>
      <c r="Q2" s="31" t="s">
        <v>25</v>
      </c>
      <c r="R2" s="376">
        <f>IF(表1_86121822242628[[#This Row],[目标国家]]="魏",0,IF(表1_86121822242628[[#This Row],[目标国家]]="蜀",1,2))</f>
        <v>0</v>
      </c>
      <c r="S2" s="380">
        <v>18308</v>
      </c>
      <c r="T2" s="380">
        <v>0</v>
      </c>
      <c r="U2" s="380">
        <v>217485</v>
      </c>
      <c r="V2" s="380">
        <v>4631</v>
      </c>
      <c r="W2" s="387" t="str">
        <f>"{"&amp;"'coin':"&amp;表1_86121822242628[[#This Row],[补偿Coin]]&amp;",'"&amp;配置!$A$2&amp;"':"&amp;表1_86121822242628[[#This Row],[补偿辎重]]&amp;"},"</f>
        <v>{'coin':1000,'item036':10},</v>
      </c>
      <c r="X2" s="388" t="str">
        <f>"      '"&amp;表1_86121822242628[[#This Row],[区服]]&amp;"':{"</f>
        <v>      '71':{</v>
      </c>
    </row>
    <row r="3" s="354" customFormat="1" ht="14.25" customHeight="1" spans="1:24">
      <c r="A3" s="375">
        <v>71</v>
      </c>
      <c r="B3" s="371">
        <f>VLOOKUP(表1_86121822242628[[#This Row],[区服]],$O$26:$P$33,2,FALSE)</f>
        <v>44</v>
      </c>
      <c r="C3" s="372" t="s">
        <v>67</v>
      </c>
      <c r="D3" s="376" t="str">
        <f>表1_86121822242628[[#This Row],[目标国家]]</f>
        <v>蜀</v>
      </c>
      <c r="E3" s="380">
        <f>(VLOOKUP(表1_86121822242628[[#This Row],[目标区服]],$Q$26:$R$29,2,FALSE)-表1_86121822242628[[#This Row],[开服天数]])*配置!$B$1</f>
        <v>1000</v>
      </c>
      <c r="F3" s="380">
        <f>表1_86121822242628[[#This Row],[补偿Coin]]*(表1_86121822242628[[#This Row],[活跃高战玩家数]]+表1_86121822242628[[#This Row],[活跃中坚玩家数]])</f>
        <v>12000</v>
      </c>
      <c r="G3" s="380">
        <f>(VLOOKUP(表1_86121822242628[[#This Row],[目标区服]],$Q$26:$R$29,2,FALSE)-表1_86121822242628[[#This Row],[开服天数]])*配置!$B$2</f>
        <v>10</v>
      </c>
      <c r="H3" s="376" t="s">
        <v>26</v>
      </c>
      <c r="I3" s="376">
        <f>IF(表1_86121822242628[[#This Row],[原国家]]="魏",0,IF(表1_86121822242628[[#This Row],[原国家]]="蜀",1,2))</f>
        <v>1</v>
      </c>
      <c r="J3" s="380">
        <v>1</v>
      </c>
      <c r="K3" s="380">
        <v>74</v>
      </c>
      <c r="L3" s="380">
        <v>2</v>
      </c>
      <c r="M3" s="380">
        <v>10</v>
      </c>
      <c r="N3" s="380">
        <v>45202</v>
      </c>
      <c r="O3" s="380">
        <v>1288410</v>
      </c>
      <c r="P3" s="381">
        <v>6163425</v>
      </c>
      <c r="Q3" s="31" t="s">
        <v>26</v>
      </c>
      <c r="R3" s="376">
        <f>IF(表1_86121822242628[[#This Row],[目标国家]]="魏",0,IF(表1_86121822242628[[#This Row],[目标国家]]="蜀",1,2))</f>
        <v>1</v>
      </c>
      <c r="S3" s="380">
        <v>14556</v>
      </c>
      <c r="T3" s="380">
        <v>0</v>
      </c>
      <c r="U3" s="380">
        <v>212086</v>
      </c>
      <c r="V3" s="380">
        <v>3513</v>
      </c>
      <c r="W3" s="387" t="str">
        <f>"{"&amp;"'coin':"&amp;表1_86121822242628[[#This Row],[补偿Coin]]&amp;",'"&amp;配置!$A$2&amp;"':"&amp;表1_86121822242628[[#This Row],[补偿辎重]]&amp;"},"</f>
        <v>{'coin':1000,'item036':10},</v>
      </c>
      <c r="X3" s="388" t="str">
        <f>"            'to_zone':'"&amp;表1_86121822242628[[#This Row],[目标区服]]&amp;"',
            'reward':"&amp;表1_86121822242628[[#This Row],[辅助导出]]&amp;"
            'country':["&amp;R2&amp;","&amp;R3&amp;","&amp;R4&amp;"],"</f>
        <v>            'to_zone':'h1_29',
            'reward':{'coin':1000,'item036':10},
            'country':[0,1,2],</v>
      </c>
    </row>
    <row r="4" s="354" customFormat="1" ht="14.25" customHeight="1" spans="1:24">
      <c r="A4" s="375">
        <v>71</v>
      </c>
      <c r="B4" s="371">
        <f>VLOOKUP(表1_86121822242628[[#This Row],[区服]],$O$26:$P$33,2,FALSE)</f>
        <v>44</v>
      </c>
      <c r="C4" s="372" t="s">
        <v>67</v>
      </c>
      <c r="D4" s="376" t="str">
        <f>表1_86121822242628[[#This Row],[目标国家]]</f>
        <v>吴</v>
      </c>
      <c r="E4" s="380">
        <f>(VLOOKUP(表1_86121822242628[[#This Row],[目标区服]],$Q$26:$R$29,2,FALSE)-表1_86121822242628[[#This Row],[开服天数]])*配置!$B$1</f>
        <v>1000</v>
      </c>
      <c r="F4" s="380">
        <f>表1_86121822242628[[#This Row],[补偿Coin]]*(表1_86121822242628[[#This Row],[活跃高战玩家数]]+表1_86121822242628[[#This Row],[活跃中坚玩家数]])</f>
        <v>22000</v>
      </c>
      <c r="G4" s="380">
        <f>(VLOOKUP(表1_86121822242628[[#This Row],[目标区服]],$Q$26:$R$29,2,FALSE)-表1_86121822242628[[#This Row],[开服天数]])*配置!$B$2</f>
        <v>10</v>
      </c>
      <c r="H4" s="376" t="s">
        <v>27</v>
      </c>
      <c r="I4" s="376">
        <f>IF(表1_86121822242628[[#This Row],[原国家]]="魏",0,IF(表1_86121822242628[[#This Row],[原国家]]="蜀",1,2))</f>
        <v>2</v>
      </c>
      <c r="J4" s="380">
        <v>6</v>
      </c>
      <c r="K4" s="380">
        <v>252</v>
      </c>
      <c r="L4" s="380">
        <v>6</v>
      </c>
      <c r="M4" s="380">
        <v>16</v>
      </c>
      <c r="N4" s="380">
        <v>123239</v>
      </c>
      <c r="O4" s="380">
        <v>2275163</v>
      </c>
      <c r="P4" s="381">
        <v>17664257</v>
      </c>
      <c r="Q4" s="31" t="s">
        <v>27</v>
      </c>
      <c r="R4" s="376">
        <f>IF(表1_86121822242628[[#This Row],[目标国家]]="魏",0,IF(表1_86121822242628[[#This Row],[目标国家]]="蜀",1,2))</f>
        <v>2</v>
      </c>
      <c r="S4" s="380">
        <v>73698</v>
      </c>
      <c r="T4" s="380">
        <v>0</v>
      </c>
      <c r="U4" s="380">
        <v>395877</v>
      </c>
      <c r="V4" s="380">
        <v>10186</v>
      </c>
      <c r="W4" s="387" t="str">
        <f>"{"&amp;"'coin':"&amp;表1_86121822242628[[#This Row],[补偿Coin]]&amp;",'"&amp;配置!$A$2&amp;"':"&amp;表1_86121822242628[[#This Row],[补偿辎重]]&amp;"},"</f>
        <v>{'coin':1000,'item036':10},</v>
      </c>
      <c r="X4" s="388" t="str">
        <f>"      },"</f>
        <v>      },</v>
      </c>
    </row>
    <row r="5" s="354" customFormat="1" ht="14.25" customHeight="1" spans="1:24">
      <c r="A5" s="375">
        <v>72</v>
      </c>
      <c r="B5" s="371">
        <f>VLOOKUP(表1_86121822242628[[#This Row],[区服]],$O$26:$P$33,2,FALSE)</f>
        <v>43</v>
      </c>
      <c r="C5" s="372" t="s">
        <v>67</v>
      </c>
      <c r="D5" s="376" t="str">
        <f>表1_86121822242628[[#This Row],[目标国家]]</f>
        <v>魏</v>
      </c>
      <c r="E5" s="380">
        <f>(VLOOKUP(表1_86121822242628[[#This Row],[目标区服]],$Q$26:$R$29,2,FALSE)-表1_86121822242628[[#This Row],[开服天数]])*配置!$B$1</f>
        <v>1500</v>
      </c>
      <c r="F5" s="380">
        <f>表1_86121822242628[[#This Row],[补偿Coin]]*(表1_86121822242628[[#This Row],[活跃高战玩家数]]+表1_86121822242628[[#This Row],[活跃中坚玩家数]])</f>
        <v>27000</v>
      </c>
      <c r="G5" s="380">
        <f>(VLOOKUP(表1_86121822242628[[#This Row],[目标区服]],$Q$26:$R$29,2,FALSE)-表1_86121822242628[[#This Row],[开服天数]])*配置!$B$2</f>
        <v>15</v>
      </c>
      <c r="H5" s="376" t="s">
        <v>25</v>
      </c>
      <c r="I5" s="376">
        <f>IF(表1_86121822242628[[#This Row],[原国家]]="魏",0,IF(表1_86121822242628[[#This Row],[原国家]]="蜀",1,2))</f>
        <v>0</v>
      </c>
      <c r="J5" s="380">
        <v>2</v>
      </c>
      <c r="K5" s="380">
        <v>103</v>
      </c>
      <c r="L5" s="380">
        <v>5</v>
      </c>
      <c r="M5" s="380">
        <v>13</v>
      </c>
      <c r="N5" s="380">
        <v>98330</v>
      </c>
      <c r="O5" s="380">
        <v>2428767</v>
      </c>
      <c r="P5" s="381">
        <v>14040365</v>
      </c>
      <c r="Q5" s="31" t="s">
        <v>25</v>
      </c>
      <c r="R5" s="376">
        <f>IF(表1_86121822242628[[#This Row],[目标国家]]="魏",0,IF(表1_86121822242628[[#This Row],[目标国家]]="蜀",1,2))</f>
        <v>0</v>
      </c>
      <c r="S5" s="380">
        <v>43100</v>
      </c>
      <c r="T5" s="380">
        <v>0</v>
      </c>
      <c r="U5" s="380">
        <v>140809</v>
      </c>
      <c r="V5" s="380">
        <v>6917</v>
      </c>
      <c r="W5" s="387" t="str">
        <f>"{"&amp;"'coin':"&amp;表1_86121822242628[[#This Row],[补偿Coin]]&amp;",'"&amp;配置!$A$2&amp;"':"&amp;表1_86121822242628[[#This Row],[补偿辎重]]&amp;"},"</f>
        <v>{'coin':1500,'item036':15},</v>
      </c>
      <c r="X5" s="388" t="str">
        <f>"      '"&amp;表1_86121822242628[[#This Row],[区服]]&amp;"':{"</f>
        <v>      '72':{</v>
      </c>
    </row>
    <row r="6" s="354" customFormat="1" ht="14.25" customHeight="1" spans="1:24">
      <c r="A6" s="371">
        <v>72</v>
      </c>
      <c r="B6" s="371">
        <f>VLOOKUP(表1_86121822242628[[#This Row],[区服]],$O$26:$P$33,2,FALSE)</f>
        <v>43</v>
      </c>
      <c r="C6" s="372" t="s">
        <v>67</v>
      </c>
      <c r="D6" s="376" t="str">
        <f>表1_86121822242628[[#This Row],[目标国家]]</f>
        <v>吴</v>
      </c>
      <c r="E6" s="380">
        <f>(VLOOKUP(表1_86121822242628[[#This Row],[目标区服]],$Q$26:$R$29,2,FALSE)-表1_86121822242628[[#This Row],[开服天数]])*配置!$B$1</f>
        <v>1500</v>
      </c>
      <c r="F6" s="380">
        <f>表1_86121822242628[[#This Row],[补偿Coin]]*(表1_86121822242628[[#This Row],[活跃高战玩家数]]+表1_86121822242628[[#This Row],[活跃中坚玩家数]])</f>
        <v>16500</v>
      </c>
      <c r="G6" s="380">
        <f>(VLOOKUP(表1_86121822242628[[#This Row],[目标区服]],$Q$26:$R$29,2,FALSE)-表1_86121822242628[[#This Row],[开服天数]])*配置!$B$2</f>
        <v>15</v>
      </c>
      <c r="H6" s="376" t="s">
        <v>26</v>
      </c>
      <c r="I6" s="376">
        <f>IF(表1_86121822242628[[#This Row],[原国家]]="魏",0,IF(表1_86121822242628[[#This Row],[原国家]]="蜀",1,2))</f>
        <v>1</v>
      </c>
      <c r="J6" s="380">
        <v>2</v>
      </c>
      <c r="K6" s="380">
        <v>75</v>
      </c>
      <c r="L6" s="380">
        <v>0</v>
      </c>
      <c r="M6" s="380">
        <v>11</v>
      </c>
      <c r="N6" s="380">
        <v>45618</v>
      </c>
      <c r="O6" s="380">
        <v>1264019</v>
      </c>
      <c r="P6" s="381">
        <v>6018599</v>
      </c>
      <c r="Q6" s="31" t="s">
        <v>27</v>
      </c>
      <c r="R6" s="376">
        <f>IF(表1_86121822242628[[#This Row],[目标国家]]="魏",0,IF(表1_86121822242628[[#This Row],[目标国家]]="蜀",1,2))</f>
        <v>2</v>
      </c>
      <c r="S6" s="380">
        <v>6764</v>
      </c>
      <c r="T6" s="380">
        <v>0</v>
      </c>
      <c r="U6" s="380">
        <v>62801</v>
      </c>
      <c r="V6" s="380">
        <v>3278</v>
      </c>
      <c r="W6" s="387" t="str">
        <f>"{"&amp;"'coin':"&amp;表1_86121822242628[[#This Row],[补偿Coin]]&amp;",'"&amp;配置!$A$2&amp;"':"&amp;表1_86121822242628[[#This Row],[补偿辎重]]&amp;"},"</f>
        <v>{'coin':1500,'item036':15},</v>
      </c>
      <c r="X6" s="388" t="str">
        <f>"            'to_zone':'"&amp;表1_86121822242628[[#This Row],[目标区服]]&amp;"',
            'reward':"&amp;表1_86121822242628[[#This Row],[辅助导出]]&amp;"
            'country':["&amp;R5&amp;","&amp;R6&amp;","&amp;R7&amp;"],"</f>
        <v>            'to_zone':'h1_29',
            'reward':{'coin':1500,'item036':15},
            'country':[0,2,1],</v>
      </c>
    </row>
    <row r="7" s="354" customFormat="1" ht="14.25" customHeight="1" spans="1:24">
      <c r="A7" s="371">
        <v>72</v>
      </c>
      <c r="B7" s="371">
        <f>VLOOKUP(表1_86121822242628[[#This Row],[区服]],$O$26:$P$33,2,FALSE)</f>
        <v>43</v>
      </c>
      <c r="C7" s="372" t="s">
        <v>67</v>
      </c>
      <c r="D7" s="376" t="str">
        <f>表1_86121822242628[[#This Row],[目标国家]]</f>
        <v>蜀</v>
      </c>
      <c r="E7" s="380">
        <f>(VLOOKUP(表1_86121822242628[[#This Row],[目标区服]],$Q$26:$R$29,2,FALSE)-表1_86121822242628[[#This Row],[开服天数]])*配置!$B$1</f>
        <v>1500</v>
      </c>
      <c r="F7" s="380">
        <f>表1_86121822242628[[#This Row],[补偿Coin]]*(表1_86121822242628[[#This Row],[活跃高战玩家数]]+表1_86121822242628[[#This Row],[活跃中坚玩家数]])</f>
        <v>42000</v>
      </c>
      <c r="G7" s="380">
        <f>(VLOOKUP(表1_86121822242628[[#This Row],[目标区服]],$Q$26:$R$29,2,FALSE)-表1_86121822242628[[#This Row],[开服天数]])*配置!$B$2</f>
        <v>15</v>
      </c>
      <c r="H7" s="376" t="s">
        <v>27</v>
      </c>
      <c r="I7" s="376">
        <f>IF(表1_86121822242628[[#This Row],[原国家]]="魏",0,IF(表1_86121822242628[[#This Row],[原国家]]="蜀",1,2))</f>
        <v>2</v>
      </c>
      <c r="J7" s="380">
        <v>5</v>
      </c>
      <c r="K7" s="380">
        <v>217</v>
      </c>
      <c r="L7" s="380">
        <v>5</v>
      </c>
      <c r="M7" s="380">
        <v>23</v>
      </c>
      <c r="N7" s="380">
        <v>146069</v>
      </c>
      <c r="O7" s="380">
        <v>2374865</v>
      </c>
      <c r="P7" s="381">
        <v>20485966</v>
      </c>
      <c r="Q7" s="31" t="s">
        <v>26</v>
      </c>
      <c r="R7" s="376">
        <f>IF(表1_86121822242628[[#This Row],[目标国家]]="魏",0,IF(表1_86121822242628[[#This Row],[目标国家]]="蜀",1,2))</f>
        <v>1</v>
      </c>
      <c r="S7" s="380">
        <v>70340</v>
      </c>
      <c r="T7" s="380">
        <v>0</v>
      </c>
      <c r="U7" s="380">
        <v>675453</v>
      </c>
      <c r="V7" s="380">
        <v>10271</v>
      </c>
      <c r="W7" s="387" t="str">
        <f>"{"&amp;"'coin':"&amp;表1_86121822242628[[#This Row],[补偿Coin]]&amp;",'"&amp;配置!$A$2&amp;"':"&amp;表1_86121822242628[[#This Row],[补偿辎重]]&amp;"},"</f>
        <v>{'coin':1500,'item036':15},</v>
      </c>
      <c r="X7" s="388" t="str">
        <f t="shared" ref="X7" si="0">"      },"</f>
        <v>      },</v>
      </c>
    </row>
    <row r="8" s="354" customFormat="1" ht="14.25" customHeight="1" spans="1:24">
      <c r="A8" s="259">
        <v>73</v>
      </c>
      <c r="B8" s="210">
        <f>VLOOKUP(表1_86121822242628[[#This Row],[区服]],$O$26:$P$33,2,FALSE)</f>
        <v>42</v>
      </c>
      <c r="C8" s="296" t="s">
        <v>68</v>
      </c>
      <c r="D8" s="212" t="str">
        <f>表1_86121822242628[[#This Row],[目标国家]]</f>
        <v>吴</v>
      </c>
      <c r="E8" s="213">
        <f>(VLOOKUP(表1_86121822242628[[#This Row],[目标区服]],$Q$26:$R$29,2,FALSE)-表1_86121822242628[[#This Row],[开服天数]])*配置!$B$1</f>
        <v>1000</v>
      </c>
      <c r="F8" s="213">
        <f>表1_86121822242628[[#This Row],[补偿Coin]]*(表1_86121822242628[[#This Row],[活跃高战玩家数]]+表1_86121822242628[[#This Row],[活跃中坚玩家数]])</f>
        <v>23000</v>
      </c>
      <c r="G8" s="260">
        <f>(VLOOKUP(表1_86121822242628[[#This Row],[目标区服]],$Q$26:$R$29,2,FALSE)-表1_86121822242628[[#This Row],[开服天数]])*配置!$B$2</f>
        <v>10</v>
      </c>
      <c r="H8" s="212" t="s">
        <v>25</v>
      </c>
      <c r="I8" s="268">
        <f>IF(表1_86121822242628[[#This Row],[原国家]]="魏",0,IF(表1_86121822242628[[#This Row],[原国家]]="蜀",1,2))</f>
        <v>0</v>
      </c>
      <c r="J8" s="213">
        <v>3</v>
      </c>
      <c r="K8" s="213">
        <v>137</v>
      </c>
      <c r="L8" s="213">
        <v>3</v>
      </c>
      <c r="M8" s="213">
        <v>20</v>
      </c>
      <c r="N8" s="213">
        <v>90038</v>
      </c>
      <c r="O8" s="419">
        <v>2526689</v>
      </c>
      <c r="P8" s="420">
        <v>15005083</v>
      </c>
      <c r="Q8" s="31" t="s">
        <v>27</v>
      </c>
      <c r="R8" s="212">
        <f>IF(表1_86121822242628[[#This Row],[目标国家]]="魏",0,IF(表1_86121822242628[[#This Row],[目标国家]]="蜀",1,2))</f>
        <v>2</v>
      </c>
      <c r="S8" s="213">
        <v>66222</v>
      </c>
      <c r="T8" s="213">
        <v>0</v>
      </c>
      <c r="U8" s="213">
        <v>372356</v>
      </c>
      <c r="V8" s="213">
        <v>8320</v>
      </c>
      <c r="W8" s="278" t="str">
        <f>"{"&amp;"'coin':"&amp;表1_86121822242628[[#This Row],[补偿Coin]]&amp;",'"&amp;配置!$A$2&amp;"':"&amp;表1_86121822242628[[#This Row],[补偿辎重]]&amp;"},"</f>
        <v>{'coin':1000,'item036':10},</v>
      </c>
      <c r="X8" s="278" t="str">
        <f>"      '"&amp;表1_86121822242628[[#This Row],[区服]]&amp;"':{"</f>
        <v>      '73':{</v>
      </c>
    </row>
    <row r="9" s="354" customFormat="1" ht="14.25" customHeight="1" spans="1:24">
      <c r="A9" s="259">
        <v>73</v>
      </c>
      <c r="B9" s="210">
        <f>VLOOKUP(表1_86121822242628[[#This Row],[区服]],$O$26:$P$33,2,FALSE)</f>
        <v>42</v>
      </c>
      <c r="C9" s="296" t="s">
        <v>68</v>
      </c>
      <c r="D9" s="212" t="str">
        <f>表1_86121822242628[[#This Row],[目标国家]]</f>
        <v>蜀</v>
      </c>
      <c r="E9" s="213">
        <f>(VLOOKUP(表1_86121822242628[[#This Row],[目标区服]],$Q$26:$R$29,2,FALSE)-表1_86121822242628[[#This Row],[开服天数]])*配置!$B$1</f>
        <v>1000</v>
      </c>
      <c r="F9" s="213">
        <f>表1_86121822242628[[#This Row],[补偿Coin]]*(表1_86121822242628[[#This Row],[活跃高战玩家数]]+表1_86121822242628[[#This Row],[活跃中坚玩家数]])</f>
        <v>32000</v>
      </c>
      <c r="G9" s="260">
        <f>(VLOOKUP(表1_86121822242628[[#This Row],[目标区服]],$Q$26:$R$29,2,FALSE)-表1_86121822242628[[#This Row],[开服天数]])*配置!$B$2</f>
        <v>10</v>
      </c>
      <c r="H9" s="212" t="s">
        <v>26</v>
      </c>
      <c r="I9" s="268">
        <f>IF(表1_86121822242628[[#This Row],[原国家]]="魏",0,IF(表1_86121822242628[[#This Row],[原国家]]="蜀",1,2))</f>
        <v>1</v>
      </c>
      <c r="J9" s="213">
        <v>3</v>
      </c>
      <c r="K9" s="213">
        <v>154</v>
      </c>
      <c r="L9" s="213">
        <v>3</v>
      </c>
      <c r="M9" s="213">
        <v>29</v>
      </c>
      <c r="N9" s="213">
        <v>134722</v>
      </c>
      <c r="O9" s="419">
        <v>2109141</v>
      </c>
      <c r="P9" s="420">
        <v>19902223</v>
      </c>
      <c r="Q9" s="31" t="s">
        <v>26</v>
      </c>
      <c r="R9" s="212">
        <f>IF(表1_86121822242628[[#This Row],[目标国家]]="魏",0,IF(表1_86121822242628[[#This Row],[目标国家]]="蜀",1,2))</f>
        <v>1</v>
      </c>
      <c r="S9" s="213">
        <v>40444</v>
      </c>
      <c r="T9" s="213">
        <v>0</v>
      </c>
      <c r="U9" s="213">
        <v>445274</v>
      </c>
      <c r="V9" s="213">
        <v>8048</v>
      </c>
      <c r="W9" s="278" t="str">
        <f>"{"&amp;"'coin':"&amp;表1_86121822242628[[#This Row],[补偿Coin]]&amp;",'"&amp;配置!$A$2&amp;"':"&amp;表1_86121822242628[[#This Row],[补偿辎重]]&amp;"},"</f>
        <v>{'coin':1000,'item036':10},</v>
      </c>
      <c r="X9" s="278" t="str">
        <f>"            'to_zone':'"&amp;表1_86121822242628[[#This Row],[目标区服]]&amp;"',
            'reward':"&amp;表1_86121822242628[[#This Row],[辅助导出]]&amp;"
            'country':["&amp;R8&amp;","&amp;R9&amp;","&amp;R10&amp;"],"</f>
        <v>            'to_zone':'h1_30',
            'reward':{'coin':1000,'item036':10},
            'country':[2,1,2],</v>
      </c>
    </row>
    <row r="10" s="354" customFormat="1" ht="14.25" customHeight="1" spans="1:24">
      <c r="A10" s="259">
        <v>73</v>
      </c>
      <c r="B10" s="210">
        <f>VLOOKUP(表1_86121822242628[[#This Row],[区服]],$O$26:$P$33,2,FALSE)</f>
        <v>42</v>
      </c>
      <c r="C10" s="296" t="s">
        <v>68</v>
      </c>
      <c r="D10" s="212" t="str">
        <f>表1_86121822242628[[#This Row],[目标国家]]</f>
        <v>吴</v>
      </c>
      <c r="E10" s="213">
        <f>(VLOOKUP(表1_86121822242628[[#This Row],[目标区服]],$Q$26:$R$29,2,FALSE)-表1_86121822242628[[#This Row],[开服天数]])*配置!$B$1</f>
        <v>1000</v>
      </c>
      <c r="F10" s="213">
        <f>表1_86121822242628[[#This Row],[补偿Coin]]*(表1_86121822242628[[#This Row],[活跃高战玩家数]]+表1_86121822242628[[#This Row],[活跃中坚玩家数]])</f>
        <v>22000</v>
      </c>
      <c r="G10" s="260">
        <f>(VLOOKUP(表1_86121822242628[[#This Row],[目标区服]],$Q$26:$R$29,2,FALSE)-表1_86121822242628[[#This Row],[开服天数]])*配置!$B$2</f>
        <v>10</v>
      </c>
      <c r="H10" s="212" t="s">
        <v>27</v>
      </c>
      <c r="I10" s="268">
        <f>IF(表1_86121822242628[[#This Row],[原国家]]="魏",0,IF(表1_86121822242628[[#This Row],[原国家]]="蜀",1,2))</f>
        <v>2</v>
      </c>
      <c r="J10" s="213">
        <v>3</v>
      </c>
      <c r="K10" s="213">
        <v>104</v>
      </c>
      <c r="L10" s="213">
        <v>4</v>
      </c>
      <c r="M10" s="213">
        <v>18</v>
      </c>
      <c r="N10" s="213">
        <v>83352</v>
      </c>
      <c r="O10" s="419">
        <v>2071820</v>
      </c>
      <c r="P10" s="420">
        <v>13492537</v>
      </c>
      <c r="Q10" s="31" t="s">
        <v>27</v>
      </c>
      <c r="R10" s="212">
        <f>IF(表1_86121822242628[[#This Row],[目标国家]]="魏",0,IF(表1_86121822242628[[#This Row],[目标国家]]="蜀",1,2))</f>
        <v>2</v>
      </c>
      <c r="S10" s="213">
        <v>34788</v>
      </c>
      <c r="T10" s="213">
        <v>0</v>
      </c>
      <c r="U10" s="213">
        <v>205743</v>
      </c>
      <c r="V10" s="213">
        <v>6324</v>
      </c>
      <c r="W10" s="278" t="str">
        <f>"{"&amp;"'coin':"&amp;表1_86121822242628[[#This Row],[补偿Coin]]&amp;",'"&amp;配置!$A$2&amp;"':"&amp;表1_86121822242628[[#This Row],[补偿辎重]]&amp;"},"</f>
        <v>{'coin':1000,'item036':10},</v>
      </c>
      <c r="X10" s="278" t="str">
        <f>"      },"</f>
        <v>      },</v>
      </c>
    </row>
    <row r="11" s="354" customFormat="1" ht="14.25" customHeight="1" spans="1:24">
      <c r="A11" s="259">
        <v>74</v>
      </c>
      <c r="B11" s="210">
        <f>VLOOKUP(表1_86121822242628[[#This Row],[区服]],$O$26:$P$33,2,FALSE)</f>
        <v>41</v>
      </c>
      <c r="C11" s="296" t="s">
        <v>68</v>
      </c>
      <c r="D11" s="212" t="str">
        <f>表1_86121822242628[[#This Row],[目标国家]]</f>
        <v>魏</v>
      </c>
      <c r="E11" s="213">
        <f>(VLOOKUP(表1_86121822242628[[#This Row],[目标区服]],$Q$26:$R$29,2,FALSE)-表1_86121822242628[[#This Row],[开服天数]])*配置!$B$1</f>
        <v>1500</v>
      </c>
      <c r="F11" s="213">
        <f>表1_86121822242628[[#This Row],[补偿Coin]]*(表1_86121822242628[[#This Row],[活跃高战玩家数]]+表1_86121822242628[[#This Row],[活跃中坚玩家数]])</f>
        <v>39000</v>
      </c>
      <c r="G11" s="260">
        <f>(VLOOKUP(表1_86121822242628[[#This Row],[目标区服]],$Q$26:$R$29,2,FALSE)-表1_86121822242628[[#This Row],[开服天数]])*配置!$B$2</f>
        <v>15</v>
      </c>
      <c r="H11" s="212" t="s">
        <v>25</v>
      </c>
      <c r="I11" s="268">
        <f>IF(表1_86121822242628[[#This Row],[原国家]]="魏",0,IF(表1_86121822242628[[#This Row],[原国家]]="蜀",1,2))</f>
        <v>0</v>
      </c>
      <c r="J11" s="213">
        <v>9</v>
      </c>
      <c r="K11" s="213">
        <v>295</v>
      </c>
      <c r="L11" s="213">
        <v>9</v>
      </c>
      <c r="M11" s="213">
        <v>17</v>
      </c>
      <c r="N11" s="213">
        <v>173823</v>
      </c>
      <c r="O11" s="419">
        <v>2666861</v>
      </c>
      <c r="P11" s="420">
        <v>21468245</v>
      </c>
      <c r="Q11" s="31" t="s">
        <v>25</v>
      </c>
      <c r="R11" s="212">
        <f>IF(表1_86121822242628[[#This Row],[目标国家]]="魏",0,IF(表1_86121822242628[[#This Row],[目标国家]]="蜀",1,2))</f>
        <v>0</v>
      </c>
      <c r="S11" s="213">
        <v>77848</v>
      </c>
      <c r="T11" s="213">
        <v>0</v>
      </c>
      <c r="U11" s="213">
        <v>666597</v>
      </c>
      <c r="V11" s="213">
        <v>12201</v>
      </c>
      <c r="W11" s="278" t="str">
        <f>"{"&amp;"'coin':"&amp;表1_86121822242628[[#This Row],[补偿Coin]]&amp;",'"&amp;配置!$A$2&amp;"':"&amp;表1_86121822242628[[#This Row],[补偿辎重]]&amp;"},"</f>
        <v>{'coin':1500,'item036':15},</v>
      </c>
      <c r="X11" s="278" t="str">
        <f>"      '"&amp;表1_86121822242628[[#This Row],[区服]]&amp;"':{"</f>
        <v>      '74':{</v>
      </c>
    </row>
    <row r="12" s="354" customFormat="1" ht="14.25" customHeight="1" spans="1:24">
      <c r="A12" s="259">
        <v>74</v>
      </c>
      <c r="B12" s="210">
        <f>VLOOKUP(表1_86121822242628[[#This Row],[区服]],$O$26:$P$33,2,FALSE)</f>
        <v>41</v>
      </c>
      <c r="C12" s="296" t="s">
        <v>68</v>
      </c>
      <c r="D12" s="212" t="str">
        <f>表1_86121822242628[[#This Row],[目标国家]]</f>
        <v>魏</v>
      </c>
      <c r="E12" s="213">
        <f>(VLOOKUP(表1_86121822242628[[#This Row],[目标区服]],$Q$26:$R$29,2,FALSE)-表1_86121822242628[[#This Row],[开服天数]])*配置!$B$1</f>
        <v>1500</v>
      </c>
      <c r="F12" s="213">
        <f>表1_86121822242628[[#This Row],[补偿Coin]]*(表1_86121822242628[[#This Row],[活跃高战玩家数]]+表1_86121822242628[[#This Row],[活跃中坚玩家数]])</f>
        <v>15000</v>
      </c>
      <c r="G12" s="260">
        <f>(VLOOKUP(表1_86121822242628[[#This Row],[目标区服]],$Q$26:$R$29,2,FALSE)-表1_86121822242628[[#This Row],[开服天数]])*配置!$B$2</f>
        <v>15</v>
      </c>
      <c r="H12" s="212" t="s">
        <v>26</v>
      </c>
      <c r="I12" s="268">
        <f>IF(表1_86121822242628[[#This Row],[原国家]]="魏",0,IF(表1_86121822242628[[#This Row],[原国家]]="蜀",1,2))</f>
        <v>1</v>
      </c>
      <c r="J12" s="213">
        <v>0</v>
      </c>
      <c r="K12" s="213">
        <v>46</v>
      </c>
      <c r="L12" s="213">
        <v>0</v>
      </c>
      <c r="M12" s="213">
        <v>10</v>
      </c>
      <c r="N12" s="213">
        <v>37030</v>
      </c>
      <c r="O12" s="419">
        <v>962541</v>
      </c>
      <c r="P12" s="420">
        <v>4292499</v>
      </c>
      <c r="Q12" s="31" t="s">
        <v>25</v>
      </c>
      <c r="R12" s="212">
        <f>IF(表1_86121822242628[[#This Row],[目标国家]]="魏",0,IF(表1_86121822242628[[#This Row],[目标国家]]="蜀",1,2))</f>
        <v>0</v>
      </c>
      <c r="S12" s="213">
        <v>5080</v>
      </c>
      <c r="T12" s="213">
        <v>0</v>
      </c>
      <c r="U12" s="213">
        <v>37167</v>
      </c>
      <c r="V12" s="213">
        <v>2207</v>
      </c>
      <c r="W12" s="278" t="str">
        <f>"{"&amp;"'coin':"&amp;表1_86121822242628[[#This Row],[补偿Coin]]&amp;",'"&amp;配置!$A$2&amp;"':"&amp;表1_86121822242628[[#This Row],[补偿辎重]]&amp;"},"</f>
        <v>{'coin':1500,'item036':15},</v>
      </c>
      <c r="X12" s="278" t="str">
        <f>"            'to_zone':'"&amp;表1_86121822242628[[#This Row],[目标区服]]&amp;"',
            'reward':"&amp;表1_86121822242628[[#This Row],[辅助导出]]&amp;"
            'country':["&amp;R11&amp;","&amp;R12&amp;","&amp;R13&amp;"],"</f>
        <v>            'to_zone':'h1_30',
            'reward':{'coin':1500,'item036':15},
            'country':[0,0,1],</v>
      </c>
    </row>
    <row r="13" s="354" customFormat="1" ht="14.25" customHeight="1" spans="1:24">
      <c r="A13" s="259">
        <v>74</v>
      </c>
      <c r="B13" s="210">
        <f>VLOOKUP(表1_86121822242628[[#This Row],[区服]],$O$26:$P$33,2,FALSE)</f>
        <v>41</v>
      </c>
      <c r="C13" s="296" t="s">
        <v>68</v>
      </c>
      <c r="D13" s="212" t="str">
        <f>表1_86121822242628[[#This Row],[目标国家]]</f>
        <v>蜀</v>
      </c>
      <c r="E13" s="213">
        <f>(VLOOKUP(表1_86121822242628[[#This Row],[目标区服]],$Q$26:$R$29,2,FALSE)-表1_86121822242628[[#This Row],[开服天数]])*配置!$B$1</f>
        <v>1500</v>
      </c>
      <c r="F13" s="213">
        <f>表1_86121822242628[[#This Row],[补偿Coin]]*(表1_86121822242628[[#This Row],[活跃高战玩家数]]+表1_86121822242628[[#This Row],[活跃中坚玩家数]])</f>
        <v>21000</v>
      </c>
      <c r="G13" s="260">
        <f>(VLOOKUP(表1_86121822242628[[#This Row],[目标区服]],$Q$26:$R$29,2,FALSE)-表1_86121822242628[[#This Row],[开服天数]])*配置!$B$2</f>
        <v>15</v>
      </c>
      <c r="H13" s="212" t="s">
        <v>27</v>
      </c>
      <c r="I13" s="268">
        <f>IF(表1_86121822242628[[#This Row],[原国家]]="魏",0,IF(表1_86121822242628[[#This Row],[原国家]]="蜀",1,2))</f>
        <v>2</v>
      </c>
      <c r="J13" s="213">
        <v>0</v>
      </c>
      <c r="K13" s="213">
        <v>54</v>
      </c>
      <c r="L13" s="213">
        <v>0</v>
      </c>
      <c r="M13" s="213">
        <v>14</v>
      </c>
      <c r="N13" s="213">
        <v>57271</v>
      </c>
      <c r="O13" s="419">
        <v>830655</v>
      </c>
      <c r="P13" s="420">
        <v>5959353</v>
      </c>
      <c r="Q13" s="31" t="s">
        <v>26</v>
      </c>
      <c r="R13" s="212">
        <f>IF(表1_86121822242628[[#This Row],[目标国家]]="魏",0,IF(表1_86121822242628[[#This Row],[目标国家]]="蜀",1,2))</f>
        <v>1</v>
      </c>
      <c r="S13" s="213">
        <v>4932</v>
      </c>
      <c r="T13" s="213">
        <v>0</v>
      </c>
      <c r="U13" s="213">
        <v>61994</v>
      </c>
      <c r="V13" s="213">
        <v>2431</v>
      </c>
      <c r="W13" s="278" t="str">
        <f>"{"&amp;"'coin':"&amp;表1_86121822242628[[#This Row],[补偿Coin]]&amp;",'"&amp;配置!$A$2&amp;"':"&amp;表1_86121822242628[[#This Row],[补偿辎重]]&amp;"},"</f>
        <v>{'coin':1500,'item036':15},</v>
      </c>
      <c r="X13" s="278" t="str">
        <f t="shared" ref="X13" si="1">"      },"</f>
        <v>      },</v>
      </c>
    </row>
    <row r="14" ht="14.25" customHeight="1" spans="1:24">
      <c r="A14" s="17"/>
      <c r="B14" s="17" t="e">
        <f>VLOOKUP(表1_86121822242628[[#This Row],[区服]],$O$26:$P$33,2,FALSE)</f>
        <v>#N/A</v>
      </c>
      <c r="C14" s="18"/>
      <c r="D14" s="19" t="str">
        <f>表1_86121822242628[[#This Row],[目标国家]]</f>
        <v>魏</v>
      </c>
      <c r="E14" s="20" t="e">
        <f>(VLOOKUP(表1_86121822242628[[#This Row],[目标区服]],$Q$26:$R$29,2,FALSE)-表1_86121822242628[[#This Row],[开服天数]])*配置!$B$1</f>
        <v>#N/A</v>
      </c>
      <c r="F14" s="20" t="e">
        <f>表1_86121822242628[[#This Row],[补偿Coin]]*(表1_86121822242628[[#This Row],[活跃高战玩家数]]+表1_86121822242628[[#This Row],[活跃中坚玩家数]])</f>
        <v>#N/A</v>
      </c>
      <c r="G14" s="20" t="e">
        <f>(VLOOKUP(表1_86121822242628[[#This Row],[目标区服]],$Q$26:$R$29,2,FALSE)-表1_86121822242628[[#This Row],[开服天数]])*配置!$B$2</f>
        <v>#N/A</v>
      </c>
      <c r="H14" s="19" t="s">
        <v>25</v>
      </c>
      <c r="I14" s="19">
        <f>IF(表1_86121822242628[[#This Row],[原国家]]="魏",0,IF(表1_86121822242628[[#This Row],[原国家]]="蜀",1,2))</f>
        <v>0</v>
      </c>
      <c r="J14" s="20"/>
      <c r="K14" s="20"/>
      <c r="L14" s="20"/>
      <c r="M14" s="20"/>
      <c r="N14" s="20"/>
      <c r="O14" s="20"/>
      <c r="P14" s="26"/>
      <c r="Q14" s="31" t="s">
        <v>25</v>
      </c>
      <c r="R14" s="19">
        <f>IF(表1_86121822242628[[#This Row],[目标国家]]="魏",0,IF(表1_86121822242628[[#This Row],[目标国家]]="蜀",1,2))</f>
        <v>0</v>
      </c>
      <c r="S14" s="20"/>
      <c r="T14" s="20"/>
      <c r="U14" s="20"/>
      <c r="V14" s="20"/>
      <c r="W14" s="33" t="e">
        <f>"{"&amp;"'coin':"&amp;表1_86121822242628[[#This Row],[补偿Coin]]&amp;",'"&amp;配置!$A$2&amp;"':"&amp;表1_86121822242628[[#This Row],[补偿辎重]]&amp;"},"</f>
        <v>#N/A</v>
      </c>
      <c r="X14" s="34" t="str">
        <f>"      '"&amp;表1_86121822242628[[#This Row],[区服]]&amp;"':{"</f>
        <v>      '':{</v>
      </c>
    </row>
    <row r="15" ht="14.25" customHeight="1" spans="1:24">
      <c r="A15" s="17"/>
      <c r="B15" s="17" t="e">
        <f>VLOOKUP(表1_86121822242628[[#This Row],[区服]],$O$26:$P$33,2,FALSE)</f>
        <v>#N/A</v>
      </c>
      <c r="C15" s="18"/>
      <c r="D15" s="19" t="str">
        <f>表1_86121822242628[[#This Row],[目标国家]]</f>
        <v>蜀</v>
      </c>
      <c r="E15" s="20" t="e">
        <f>(VLOOKUP(表1_86121822242628[[#This Row],[目标区服]],$Q$26:$R$29,2,FALSE)-表1_86121822242628[[#This Row],[开服天数]])*配置!$B$1</f>
        <v>#N/A</v>
      </c>
      <c r="F15" s="20" t="e">
        <f>表1_86121822242628[[#This Row],[补偿Coin]]*(表1_86121822242628[[#This Row],[活跃高战玩家数]]+表1_86121822242628[[#This Row],[活跃中坚玩家数]])</f>
        <v>#N/A</v>
      </c>
      <c r="G15" s="20" t="e">
        <f>(VLOOKUP(表1_86121822242628[[#This Row],[目标区服]],$Q$26:$R$29,2,FALSE)-表1_86121822242628[[#This Row],[开服天数]])*配置!$B$2</f>
        <v>#N/A</v>
      </c>
      <c r="H15" s="19" t="s">
        <v>26</v>
      </c>
      <c r="I15" s="19">
        <f>IF(表1_86121822242628[[#This Row],[原国家]]="魏",0,IF(表1_86121822242628[[#This Row],[原国家]]="蜀",1,2))</f>
        <v>1</v>
      </c>
      <c r="J15" s="20"/>
      <c r="K15" s="20"/>
      <c r="L15" s="20"/>
      <c r="M15" s="20"/>
      <c r="N15" s="20"/>
      <c r="O15" s="20"/>
      <c r="P15" s="26"/>
      <c r="Q15" s="31" t="s">
        <v>26</v>
      </c>
      <c r="R15" s="19">
        <f>IF(表1_86121822242628[[#This Row],[目标国家]]="魏",0,IF(表1_86121822242628[[#This Row],[目标国家]]="蜀",1,2))</f>
        <v>1</v>
      </c>
      <c r="S15" s="20"/>
      <c r="T15" s="20"/>
      <c r="U15" s="20"/>
      <c r="V15" s="20"/>
      <c r="W15" s="33" t="e">
        <f>"{"&amp;"'coin':"&amp;表1_86121822242628[[#This Row],[补偿Coin]]&amp;",'"&amp;配置!$A$2&amp;"':"&amp;表1_86121822242628[[#This Row],[补偿辎重]]&amp;"},"</f>
        <v>#N/A</v>
      </c>
      <c r="X15" s="34" t="e">
        <f>"            'to_zone':'"&amp;表1_86121822242628[[#This Row],[目标区服]]&amp;"',
            'reward':"&amp;表1_86121822242628[[#This Row],[辅助导出]]&amp;"
            'country':["&amp;R14&amp;","&amp;R15&amp;","&amp;R16&amp;"],"</f>
        <v>#N/A</v>
      </c>
    </row>
    <row r="16" ht="14.25" customHeight="1" spans="1:24">
      <c r="A16" s="17"/>
      <c r="B16" s="17" t="e">
        <f>VLOOKUP(表1_86121822242628[[#This Row],[区服]],$O$26:$P$33,2,FALSE)</f>
        <v>#N/A</v>
      </c>
      <c r="C16" s="18"/>
      <c r="D16" s="19" t="str">
        <f>表1_86121822242628[[#This Row],[目标国家]]</f>
        <v>吴</v>
      </c>
      <c r="E16" s="20" t="e">
        <f>(VLOOKUP(表1_86121822242628[[#This Row],[目标区服]],$Q$26:$R$29,2,FALSE)-表1_86121822242628[[#This Row],[开服天数]])*配置!$B$1</f>
        <v>#N/A</v>
      </c>
      <c r="F16" s="20" t="e">
        <f>表1_86121822242628[[#This Row],[补偿Coin]]*(表1_86121822242628[[#This Row],[活跃高战玩家数]]+表1_86121822242628[[#This Row],[活跃中坚玩家数]])</f>
        <v>#N/A</v>
      </c>
      <c r="G16" s="20" t="e">
        <f>(VLOOKUP(表1_86121822242628[[#This Row],[目标区服]],$Q$26:$R$29,2,FALSE)-表1_86121822242628[[#This Row],[开服天数]])*配置!$B$2</f>
        <v>#N/A</v>
      </c>
      <c r="H16" s="19" t="s">
        <v>27</v>
      </c>
      <c r="I16" s="19">
        <f>IF(表1_86121822242628[[#This Row],[原国家]]="魏",0,IF(表1_86121822242628[[#This Row],[原国家]]="蜀",1,2))</f>
        <v>2</v>
      </c>
      <c r="J16" s="20"/>
      <c r="K16" s="20"/>
      <c r="L16" s="20"/>
      <c r="M16" s="20"/>
      <c r="N16" s="20"/>
      <c r="O16" s="20"/>
      <c r="P16" s="26"/>
      <c r="Q16" s="31" t="s">
        <v>27</v>
      </c>
      <c r="R16" s="19">
        <f>IF(表1_86121822242628[[#This Row],[目标国家]]="魏",0,IF(表1_86121822242628[[#This Row],[目标国家]]="蜀",1,2))</f>
        <v>2</v>
      </c>
      <c r="S16" s="20"/>
      <c r="T16" s="20"/>
      <c r="U16" s="20"/>
      <c r="V16" s="20"/>
      <c r="W16" s="33" t="e">
        <f>"{"&amp;"'coin':"&amp;表1_86121822242628[[#This Row],[补偿Coin]]&amp;",'"&amp;配置!$A$2&amp;"':"&amp;表1_86121822242628[[#This Row],[补偿辎重]]&amp;"},"</f>
        <v>#N/A</v>
      </c>
      <c r="X16" s="34" t="str">
        <f t="shared" ref="X16" si="2">"      },"</f>
        <v>      },</v>
      </c>
    </row>
    <row r="17" ht="14.25" customHeight="1" spans="1:24">
      <c r="A17" s="17"/>
      <c r="B17" s="17" t="e">
        <f>VLOOKUP(表1_86121822242628[[#This Row],[区服]],$O$26:$P$33,2,FALSE)</f>
        <v>#N/A</v>
      </c>
      <c r="C17" s="18"/>
      <c r="D17" s="19" t="str">
        <f>表1_86121822242628[[#This Row],[目标国家]]</f>
        <v>魏</v>
      </c>
      <c r="E17" s="20" t="e">
        <f>(VLOOKUP(表1_86121822242628[[#This Row],[目标区服]],$Q$26:$R$29,2,FALSE)-表1_86121822242628[[#This Row],[开服天数]])*配置!$B$1</f>
        <v>#N/A</v>
      </c>
      <c r="F17" s="20" t="e">
        <f>表1_86121822242628[[#This Row],[补偿Coin]]*(表1_86121822242628[[#This Row],[活跃高战玩家数]]+表1_86121822242628[[#This Row],[活跃中坚玩家数]])</f>
        <v>#N/A</v>
      </c>
      <c r="G17" s="20" t="e">
        <f>(VLOOKUP(表1_86121822242628[[#This Row],[目标区服]],$Q$26:$R$29,2,FALSE)-表1_86121822242628[[#This Row],[开服天数]])*配置!$B$2</f>
        <v>#N/A</v>
      </c>
      <c r="H17" s="19" t="s">
        <v>25</v>
      </c>
      <c r="I17" s="19">
        <f>IF(表1_86121822242628[[#This Row],[原国家]]="魏",0,IF(表1_86121822242628[[#This Row],[原国家]]="蜀",1,2))</f>
        <v>0</v>
      </c>
      <c r="J17" s="20"/>
      <c r="K17" s="20"/>
      <c r="L17" s="20"/>
      <c r="M17" s="20"/>
      <c r="N17" s="20"/>
      <c r="O17" s="20"/>
      <c r="P17" s="26"/>
      <c r="Q17" s="31" t="s">
        <v>25</v>
      </c>
      <c r="R17" s="19">
        <f>IF(表1_86121822242628[[#This Row],[目标国家]]="魏",0,IF(表1_86121822242628[[#This Row],[目标国家]]="蜀",1,2))</f>
        <v>0</v>
      </c>
      <c r="S17" s="20"/>
      <c r="T17" s="20"/>
      <c r="U17" s="20"/>
      <c r="V17" s="20"/>
      <c r="W17" s="33" t="e">
        <f>"{"&amp;"'coin':"&amp;表1_86121822242628[[#This Row],[补偿Coin]]&amp;",'"&amp;配置!$A$2&amp;"':"&amp;表1_86121822242628[[#This Row],[补偿辎重]]&amp;"},"</f>
        <v>#N/A</v>
      </c>
      <c r="X17" s="34" t="str">
        <f>"      '"&amp;表1_86121822242628[[#This Row],[区服]]&amp;"':{"</f>
        <v>      '':{</v>
      </c>
    </row>
    <row r="18" ht="14.25" customHeight="1" spans="1:24">
      <c r="A18" s="17"/>
      <c r="B18" s="17" t="e">
        <f>VLOOKUP(表1_86121822242628[[#This Row],[区服]],$O$26:$P$33,2,FALSE)</f>
        <v>#N/A</v>
      </c>
      <c r="C18" s="18"/>
      <c r="D18" s="19" t="str">
        <f>表1_86121822242628[[#This Row],[目标国家]]</f>
        <v>蜀</v>
      </c>
      <c r="E18" s="20" t="e">
        <f>(VLOOKUP(表1_86121822242628[[#This Row],[目标区服]],$Q$26:$R$29,2,FALSE)-表1_86121822242628[[#This Row],[开服天数]])*配置!$B$1</f>
        <v>#N/A</v>
      </c>
      <c r="F18" s="20" t="e">
        <f>表1_86121822242628[[#This Row],[补偿Coin]]*(表1_86121822242628[[#This Row],[活跃高战玩家数]]+表1_86121822242628[[#This Row],[活跃中坚玩家数]])</f>
        <v>#N/A</v>
      </c>
      <c r="G18" s="20" t="e">
        <f>(VLOOKUP(表1_86121822242628[[#This Row],[目标区服]],$Q$26:$R$29,2,FALSE)-表1_86121822242628[[#This Row],[开服天数]])*配置!$B$2</f>
        <v>#N/A</v>
      </c>
      <c r="H18" s="19" t="s">
        <v>26</v>
      </c>
      <c r="I18" s="19">
        <f>IF(表1_86121822242628[[#This Row],[原国家]]="魏",0,IF(表1_86121822242628[[#This Row],[原国家]]="蜀",1,2))</f>
        <v>1</v>
      </c>
      <c r="J18" s="20"/>
      <c r="K18" s="20"/>
      <c r="L18" s="20"/>
      <c r="M18" s="20"/>
      <c r="N18" s="20"/>
      <c r="O18" s="20"/>
      <c r="P18" s="26"/>
      <c r="Q18" s="31" t="s">
        <v>26</v>
      </c>
      <c r="R18" s="19">
        <f>IF(表1_86121822242628[[#This Row],[目标国家]]="魏",0,IF(表1_86121822242628[[#This Row],[目标国家]]="蜀",1,2))</f>
        <v>1</v>
      </c>
      <c r="S18" s="20"/>
      <c r="T18" s="20"/>
      <c r="U18" s="20"/>
      <c r="V18" s="20"/>
      <c r="W18" s="33" t="e">
        <f>"{"&amp;"'coin':"&amp;表1_86121822242628[[#This Row],[补偿Coin]]&amp;",'"&amp;配置!$A$2&amp;"':"&amp;表1_86121822242628[[#This Row],[补偿辎重]]&amp;"},"</f>
        <v>#N/A</v>
      </c>
      <c r="X18" s="34" t="e">
        <f>"            'to_zone':'"&amp;表1_86121822242628[[#This Row],[目标区服]]&amp;"',
            'reward':"&amp;表1_86121822242628[[#This Row],[辅助导出]]&amp;"
            'country':["&amp;R17&amp;","&amp;R18&amp;","&amp;R19&amp;"],"</f>
        <v>#N/A</v>
      </c>
    </row>
    <row r="19" ht="14.25" customHeight="1" spans="1:24">
      <c r="A19" s="17"/>
      <c r="B19" s="17" t="e">
        <f>VLOOKUP(表1_86121822242628[[#This Row],[区服]],$O$26:$P$33,2,FALSE)</f>
        <v>#N/A</v>
      </c>
      <c r="C19" s="18"/>
      <c r="D19" s="19" t="str">
        <f>表1_86121822242628[[#This Row],[目标国家]]</f>
        <v>吴</v>
      </c>
      <c r="E19" s="20" t="e">
        <f>(VLOOKUP(表1_86121822242628[[#This Row],[目标区服]],$Q$26:$R$29,2,FALSE)-表1_86121822242628[[#This Row],[开服天数]])*配置!$B$1</f>
        <v>#N/A</v>
      </c>
      <c r="F19" s="20" t="e">
        <f>表1_86121822242628[[#This Row],[补偿Coin]]*(表1_86121822242628[[#This Row],[活跃高战玩家数]]+表1_86121822242628[[#This Row],[活跃中坚玩家数]])</f>
        <v>#N/A</v>
      </c>
      <c r="G19" s="20" t="e">
        <f>(VLOOKUP(表1_86121822242628[[#This Row],[目标区服]],$Q$26:$R$29,2,FALSE)-表1_86121822242628[[#This Row],[开服天数]])*配置!$B$2</f>
        <v>#N/A</v>
      </c>
      <c r="H19" s="19" t="s">
        <v>27</v>
      </c>
      <c r="I19" s="19">
        <f>IF(表1_86121822242628[[#This Row],[原国家]]="魏",0,IF(表1_86121822242628[[#This Row],[原国家]]="蜀",1,2))</f>
        <v>2</v>
      </c>
      <c r="J19" s="20"/>
      <c r="K19" s="20"/>
      <c r="L19" s="20"/>
      <c r="M19" s="20"/>
      <c r="N19" s="20"/>
      <c r="O19" s="20"/>
      <c r="P19" s="26"/>
      <c r="Q19" s="31" t="s">
        <v>27</v>
      </c>
      <c r="R19" s="19">
        <f>IF(表1_86121822242628[[#This Row],[目标国家]]="魏",0,IF(表1_86121822242628[[#This Row],[目标国家]]="蜀",1,2))</f>
        <v>2</v>
      </c>
      <c r="S19" s="20"/>
      <c r="T19" s="20"/>
      <c r="U19" s="20"/>
      <c r="V19" s="20"/>
      <c r="W19" s="33" t="e">
        <f>"{"&amp;"'coin':"&amp;表1_86121822242628[[#This Row],[补偿Coin]]&amp;",'"&amp;配置!$A$2&amp;"':"&amp;表1_86121822242628[[#This Row],[补偿辎重]]&amp;"},"</f>
        <v>#N/A</v>
      </c>
      <c r="X19" s="34" t="str">
        <f t="shared" ref="X19" si="3">"      },"</f>
        <v>      },</v>
      </c>
    </row>
    <row r="20" ht="14.25" customHeight="1" spans="1:24">
      <c r="A20" s="17"/>
      <c r="B20" s="17" t="e">
        <f>VLOOKUP(表1_86121822242628[[#This Row],[区服]],$O$26:$P$33,2,FALSE)</f>
        <v>#N/A</v>
      </c>
      <c r="C20" s="18"/>
      <c r="D20" s="19" t="str">
        <f>表1_86121822242628[[#This Row],[目标国家]]</f>
        <v>魏</v>
      </c>
      <c r="E20" s="20" t="e">
        <f>(VLOOKUP(表1_86121822242628[[#This Row],[目标区服]],$Q$26:$R$29,2,FALSE)-表1_86121822242628[[#This Row],[开服天数]])*配置!$B$1</f>
        <v>#N/A</v>
      </c>
      <c r="F20" s="20" t="e">
        <f>表1_86121822242628[[#This Row],[补偿Coin]]*(表1_86121822242628[[#This Row],[活跃高战玩家数]]+表1_86121822242628[[#This Row],[活跃中坚玩家数]])</f>
        <v>#N/A</v>
      </c>
      <c r="G20" s="20" t="e">
        <f>(VLOOKUP(表1_86121822242628[[#This Row],[目标区服]],$Q$26:$R$29,2,FALSE)-表1_86121822242628[[#This Row],[开服天数]])*配置!$B$2</f>
        <v>#N/A</v>
      </c>
      <c r="H20" s="19" t="s">
        <v>25</v>
      </c>
      <c r="I20" s="19">
        <f>IF(表1_86121822242628[[#This Row],[原国家]]="魏",0,IF(表1_86121822242628[[#This Row],[原国家]]="蜀",1,2))</f>
        <v>0</v>
      </c>
      <c r="J20" s="20"/>
      <c r="K20" s="20"/>
      <c r="L20" s="20"/>
      <c r="M20" s="20"/>
      <c r="N20" s="20"/>
      <c r="O20" s="20"/>
      <c r="P20" s="26"/>
      <c r="Q20" s="31" t="s">
        <v>25</v>
      </c>
      <c r="R20" s="19">
        <f>IF(表1_86121822242628[[#This Row],[目标国家]]="魏",0,IF(表1_86121822242628[[#This Row],[目标国家]]="蜀",1,2))</f>
        <v>0</v>
      </c>
      <c r="S20" s="20"/>
      <c r="T20" s="20"/>
      <c r="U20" s="20"/>
      <c r="V20" s="20"/>
      <c r="W20" s="33" t="e">
        <f>"{"&amp;"'coin':"&amp;表1_86121822242628[[#This Row],[补偿Coin]]&amp;",'"&amp;配置!$A$2&amp;"':"&amp;表1_86121822242628[[#This Row],[补偿辎重]]&amp;"},"</f>
        <v>#N/A</v>
      </c>
      <c r="X20" s="34" t="str">
        <f>"      '"&amp;表1_86121822242628[[#This Row],[区服]]&amp;"':{"</f>
        <v>      '':{</v>
      </c>
    </row>
    <row r="21" ht="14.25" customHeight="1" spans="1:24">
      <c r="A21" s="17"/>
      <c r="B21" s="17" t="e">
        <f>VLOOKUP(表1_86121822242628[[#This Row],[区服]],$O$26:$P$33,2,FALSE)</f>
        <v>#N/A</v>
      </c>
      <c r="C21" s="18"/>
      <c r="D21" s="19" t="str">
        <f>表1_86121822242628[[#This Row],[目标国家]]</f>
        <v>蜀</v>
      </c>
      <c r="E21" s="20" t="e">
        <f>(VLOOKUP(表1_86121822242628[[#This Row],[目标区服]],$Q$26:$R$29,2,FALSE)-表1_86121822242628[[#This Row],[开服天数]])*配置!$B$1</f>
        <v>#N/A</v>
      </c>
      <c r="F21" s="20" t="e">
        <f>表1_86121822242628[[#This Row],[补偿Coin]]*(表1_86121822242628[[#This Row],[活跃高战玩家数]]+表1_86121822242628[[#This Row],[活跃中坚玩家数]])</f>
        <v>#N/A</v>
      </c>
      <c r="G21" s="20" t="e">
        <f>(VLOOKUP(表1_86121822242628[[#This Row],[目标区服]],$Q$26:$R$29,2,FALSE)-表1_86121822242628[[#This Row],[开服天数]])*配置!$B$2</f>
        <v>#N/A</v>
      </c>
      <c r="H21" s="19" t="s">
        <v>26</v>
      </c>
      <c r="I21" s="19">
        <f>IF(表1_86121822242628[[#This Row],[原国家]]="魏",0,IF(表1_86121822242628[[#This Row],[原国家]]="蜀",1,2))</f>
        <v>1</v>
      </c>
      <c r="J21" s="20"/>
      <c r="K21" s="20"/>
      <c r="L21" s="20"/>
      <c r="M21" s="20"/>
      <c r="N21" s="20"/>
      <c r="O21" s="20"/>
      <c r="P21" s="26"/>
      <c r="Q21" s="31" t="s">
        <v>26</v>
      </c>
      <c r="R21" s="19">
        <f>IF(表1_86121822242628[[#This Row],[目标国家]]="魏",0,IF(表1_86121822242628[[#This Row],[目标国家]]="蜀",1,2))</f>
        <v>1</v>
      </c>
      <c r="S21" s="20"/>
      <c r="T21" s="20"/>
      <c r="U21" s="20"/>
      <c r="V21" s="20"/>
      <c r="W21" s="33" t="e">
        <f>"{"&amp;"'coin':"&amp;表1_86121822242628[[#This Row],[补偿Coin]]&amp;",'"&amp;配置!$A$2&amp;"':"&amp;表1_86121822242628[[#This Row],[补偿辎重]]&amp;"},"</f>
        <v>#N/A</v>
      </c>
      <c r="X21" s="34" t="e">
        <f>"            'to_zone':'"&amp;表1_86121822242628[[#This Row],[目标区服]]&amp;"',
            'reward':"&amp;表1_86121822242628[[#This Row],[辅助导出]]&amp;"
            'country':["&amp;R20&amp;","&amp;R21&amp;","&amp;R22&amp;"],"</f>
        <v>#N/A</v>
      </c>
    </row>
    <row r="22" ht="14.25" customHeight="1" spans="1:24">
      <c r="A22" s="17"/>
      <c r="B22" s="17" t="e">
        <f>VLOOKUP(表1_86121822242628[[#This Row],[区服]],$O$26:$P$33,2,FALSE)</f>
        <v>#N/A</v>
      </c>
      <c r="C22" s="18"/>
      <c r="D22" s="19" t="str">
        <f>表1_86121822242628[[#This Row],[目标国家]]</f>
        <v>吴</v>
      </c>
      <c r="E22" s="20" t="e">
        <f>(VLOOKUP(表1_86121822242628[[#This Row],[目标区服]],$Q$26:$R$29,2,FALSE)-表1_86121822242628[[#This Row],[开服天数]])*配置!$B$1</f>
        <v>#N/A</v>
      </c>
      <c r="F22" s="20" t="e">
        <f>表1_86121822242628[[#This Row],[补偿Coin]]*(表1_86121822242628[[#This Row],[活跃高战玩家数]]+表1_86121822242628[[#This Row],[活跃中坚玩家数]])</f>
        <v>#N/A</v>
      </c>
      <c r="G22" s="20" t="e">
        <f>(VLOOKUP(表1_86121822242628[[#This Row],[目标区服]],$Q$26:$R$29,2,FALSE)-表1_86121822242628[[#This Row],[开服天数]])*配置!$B$2</f>
        <v>#N/A</v>
      </c>
      <c r="H22" s="19" t="s">
        <v>27</v>
      </c>
      <c r="I22" s="19">
        <f>IF(表1_86121822242628[[#This Row],[原国家]]="魏",0,IF(表1_86121822242628[[#This Row],[原国家]]="蜀",1,2))</f>
        <v>2</v>
      </c>
      <c r="J22" s="20"/>
      <c r="K22" s="20"/>
      <c r="L22" s="20"/>
      <c r="M22" s="20"/>
      <c r="N22" s="20"/>
      <c r="O22" s="20"/>
      <c r="P22" s="26"/>
      <c r="Q22" s="31" t="s">
        <v>27</v>
      </c>
      <c r="R22" s="19">
        <f>IF(表1_86121822242628[[#This Row],[目标国家]]="魏",0,IF(表1_86121822242628[[#This Row],[目标国家]]="蜀",1,2))</f>
        <v>2</v>
      </c>
      <c r="S22" s="20"/>
      <c r="T22" s="20"/>
      <c r="U22" s="20"/>
      <c r="V22" s="20"/>
      <c r="W22" s="33" t="e">
        <f>"{"&amp;"'coin':"&amp;表1_86121822242628[[#This Row],[补偿Coin]]&amp;",'"&amp;配置!$A$2&amp;"':"&amp;表1_86121822242628[[#This Row],[补偿辎重]]&amp;"},"</f>
        <v>#N/A</v>
      </c>
      <c r="X22" s="34" t="str">
        <f t="shared" ref="X22" si="4">"      },"</f>
        <v>      },</v>
      </c>
    </row>
    <row r="25" ht="37.5" customHeight="1" spans="1:18">
      <c r="A25" s="36" t="s">
        <v>28</v>
      </c>
      <c r="B25" s="37" t="s">
        <v>29</v>
      </c>
      <c r="C25" s="38" t="s">
        <v>30</v>
      </c>
      <c r="D25" s="38" t="s">
        <v>31</v>
      </c>
      <c r="E25" s="38" t="s">
        <v>32</v>
      </c>
      <c r="F25" s="38" t="s">
        <v>33</v>
      </c>
      <c r="G25" s="38" t="s">
        <v>15</v>
      </c>
      <c r="H25" s="37" t="s">
        <v>18</v>
      </c>
      <c r="I25" s="37" t="s">
        <v>19</v>
      </c>
      <c r="J25" s="37" t="s">
        <v>34</v>
      </c>
      <c r="K25" s="38" t="s">
        <v>35</v>
      </c>
      <c r="L25" s="38" t="s">
        <v>36</v>
      </c>
      <c r="M25" s="38" t="s">
        <v>37</v>
      </c>
      <c r="O25" s="51" t="s">
        <v>0</v>
      </c>
      <c r="P25" s="51" t="s">
        <v>1</v>
      </c>
      <c r="Q25" s="51"/>
      <c r="R25" s="51" t="s">
        <v>38</v>
      </c>
    </row>
    <row r="26" ht="15" spans="1:18">
      <c r="A26" s="39" t="s">
        <v>67</v>
      </c>
      <c r="B26" s="39" t="s">
        <v>25</v>
      </c>
      <c r="C26" s="39">
        <f>COUNTIFS(表1_86121822242628[目标区服],表2_97131923252729[[#This Row],[合区区服]],表1_86121822242628[目标国家（映射）],表2_97131923252729[[#This Row],[国家]])</f>
        <v>2</v>
      </c>
      <c r="D26" s="39">
        <f>SUMIFS(表1_86121822242628[活跃高战玩家数],表1_86121822242628[目标区服],表2_97131923252729[[#This Row],[合区区服]],表1_86121822242628[目标国家（映射）],表2_97131923252729[[#This Row],[国家]])</f>
        <v>7</v>
      </c>
      <c r="E26" s="39">
        <f>SUMIFS(表1_86121822242628[活跃中坚玩家数],表1_86121822242628[目标区服],表2_97131923252729[[#This Row],[合区区服]],表1_86121822242628[目标国家（映射）],表2_97131923252729[[#This Row],[国家]])</f>
        <v>32</v>
      </c>
      <c r="F26" s="39">
        <f t="array" ref="F26">MAX((表1_86121822242628[目标区服]=表2_97131923252729[[#This Row],[合区区服]])*(表1_86121822242628[目标国家（映射）]=表2_97131923252729[[#This Row],[国家]])*表1_86121822242628[活跃尖端战力])</f>
        <v>2428767</v>
      </c>
      <c r="G26" s="40">
        <f>SUMIFS(表1_86121822242628[活跃总战力],表1_86121822242628[目标区服],表2_97131923252729[[#This Row],[合区区服]],表1_86121822242628[目标国家（映射）],表2_97131923252729[[#This Row],[国家]])</f>
        <v>25540729</v>
      </c>
      <c r="H26" s="39">
        <f>SUMIFS(表1_86121822242628[活跃实际充值],表1_86121822242628[目标区服],表2_97131923252729[[#This Row],[合区区服]],表1_86121822242628[目标国家（映射）],表2_97131923252729[[#This Row],[国家]])</f>
        <v>61408</v>
      </c>
      <c r="I26" s="39">
        <f>SUMIFS(表1_86121822242628[活跃虚拟充值],表1_86121822242628[目标区服],表2_97131923252729[[#This Row],[合区区服]],表1_86121822242628[目标国家（映射）],表2_97131923252729[[#This Row],[国家]])</f>
        <v>0</v>
      </c>
      <c r="J26" s="39">
        <f>SUMIFS(表1_86121822242628[活跃Coin],表1_86121822242628[目标区服],表2_97131923252729[[#This Row],[合区区服]],表1_86121822242628[目标国家（映射）],表2_97131923252729[[#This Row],[国家]])</f>
        <v>358294</v>
      </c>
      <c r="K26" s="39">
        <f>SUMIFS(表1_86121822242628[共计补偿Coin],表1_86121822242628[目标区服],表2_97131923252729[[#This Row],[合区区服]],表1_86121822242628[目标国家（映射）],表2_97131923252729[[#This Row],[国家]])</f>
        <v>48000</v>
      </c>
      <c r="L26" s="39">
        <f>表2_97131923252729[[#This Row],[活跃Coin]]+表2_97131923252729[[#This Row],[共计补偿Coin]]</f>
        <v>406294</v>
      </c>
      <c r="M26" s="39">
        <f>SUMIFS(表1_86121822242628[综合国力],表1_86121822242628[目标区服],表2_97131923252729[[#This Row],[合区区服]],表1_86121822242628[目标国家（映射）],表2_97131923252729[[#This Row],[国家]])</f>
        <v>11548</v>
      </c>
      <c r="O26" s="51">
        <v>71</v>
      </c>
      <c r="P26" s="51">
        <v>44</v>
      </c>
      <c r="Q26" s="51" t="s">
        <v>67</v>
      </c>
      <c r="R26" s="51">
        <v>46</v>
      </c>
    </row>
    <row r="27" ht="15" spans="1:18">
      <c r="A27" s="39" t="s">
        <v>67</v>
      </c>
      <c r="B27" s="39" t="s">
        <v>26</v>
      </c>
      <c r="C27" s="39">
        <f>COUNTIFS(表1_86121822242628[目标区服],表2_97131923252729[[#This Row],[合区区服]],表1_86121822242628[目标国家（映射）],表2_97131923252729[[#This Row],[国家]])</f>
        <v>2</v>
      </c>
      <c r="D27" s="39">
        <f>SUMIFS(表1_86121822242628[活跃高战玩家数],表1_86121822242628[目标区服],表2_97131923252729[[#This Row],[合区区服]],表1_86121822242628[目标国家（映射）],表2_97131923252729[[#This Row],[国家]])</f>
        <v>7</v>
      </c>
      <c r="E27" s="39">
        <f>SUMIFS(表1_86121822242628[活跃中坚玩家数],表1_86121822242628[目标区服],表2_97131923252729[[#This Row],[合区区服]],表1_86121822242628[目标国家（映射）],表2_97131923252729[[#This Row],[国家]])</f>
        <v>33</v>
      </c>
      <c r="F27" s="39">
        <f t="array" ref="F27">MAX((表1_86121822242628[目标区服]=表2_97131923252729[[#This Row],[合区区服]])*(表1_86121822242628[目标国家（映射）]=表2_97131923252729[[#This Row],[国家]])*表1_86121822242628[活跃尖端战力])</f>
        <v>2374865</v>
      </c>
      <c r="G27" s="40">
        <f>SUMIFS(表1_86121822242628[活跃总战力],表1_86121822242628[目标区服],表2_97131923252729[[#This Row],[合区区服]],表1_86121822242628[目标国家（映射）],表2_97131923252729[[#This Row],[国家]])</f>
        <v>26649391</v>
      </c>
      <c r="H27" s="39">
        <f>SUMIFS(表1_86121822242628[活跃实际充值],表1_86121822242628[目标区服],表2_97131923252729[[#This Row],[合区区服]],表1_86121822242628[目标国家（映射）],表2_97131923252729[[#This Row],[国家]])</f>
        <v>84896</v>
      </c>
      <c r="I27" s="39">
        <f>SUMIFS(表1_86121822242628[活跃虚拟充值],表1_86121822242628[目标区服],表2_97131923252729[[#This Row],[合区区服]],表1_86121822242628[目标国家（映射）],表2_97131923252729[[#This Row],[国家]])</f>
        <v>0</v>
      </c>
      <c r="J27" s="39">
        <f>SUMIFS(表1_86121822242628[活跃Coin],表1_86121822242628[目标区服],表2_97131923252729[[#This Row],[合区区服]],表1_86121822242628[目标国家（映射）],表2_97131923252729[[#This Row],[国家]])</f>
        <v>887539</v>
      </c>
      <c r="K27" s="39">
        <f>SUMIFS(表1_86121822242628[共计补偿Coin],表1_86121822242628[目标区服],表2_97131923252729[[#This Row],[合区区服]],表1_86121822242628[目标国家（映射）],表2_97131923252729[[#This Row],[国家]])</f>
        <v>54000</v>
      </c>
      <c r="L27" s="39">
        <f>表2_97131923252729[[#This Row],[活跃Coin]]+表2_97131923252729[[#This Row],[共计补偿Coin]]</f>
        <v>941539</v>
      </c>
      <c r="M27" s="39">
        <f>SUMIFS(表1_86121822242628[综合国力],表1_86121822242628[目标区服],表2_97131923252729[[#This Row],[合区区服]],表1_86121822242628[目标国家（映射）],表2_97131923252729[[#This Row],[国家]])</f>
        <v>13784</v>
      </c>
      <c r="O27" s="51">
        <v>72</v>
      </c>
      <c r="P27" s="51">
        <v>43</v>
      </c>
      <c r="Q27" s="51" t="s">
        <v>68</v>
      </c>
      <c r="R27" s="51">
        <v>44</v>
      </c>
    </row>
    <row r="28" ht="15" spans="1:18">
      <c r="A28" s="39" t="s">
        <v>67</v>
      </c>
      <c r="B28" s="39" t="s">
        <v>27</v>
      </c>
      <c r="C28" s="39">
        <f>COUNTIFS(表1_86121822242628[目标区服],表2_97131923252729[[#This Row],[合区区服]],表1_86121822242628[目标国家（映射）],表2_97131923252729[[#This Row],[国家]])</f>
        <v>2</v>
      </c>
      <c r="D28" s="39">
        <f>SUMIFS(表1_86121822242628[活跃高战玩家数],表1_86121822242628[目标区服],表2_97131923252729[[#This Row],[合区区服]],表1_86121822242628[目标国家（映射）],表2_97131923252729[[#This Row],[国家]])</f>
        <v>6</v>
      </c>
      <c r="E28" s="39">
        <f>SUMIFS(表1_86121822242628[活跃中坚玩家数],表1_86121822242628[目标区服],表2_97131923252729[[#This Row],[合区区服]],表1_86121822242628[目标国家（映射）],表2_97131923252729[[#This Row],[国家]])</f>
        <v>27</v>
      </c>
      <c r="F28" s="39">
        <f t="array" ref="F28">MAX((表1_86121822242628[目标区服]=表2_97131923252729[[#This Row],[合区区服]])*(表1_86121822242628[目标国家（映射）]=表2_97131923252729[[#This Row],[国家]])*表1_86121822242628[活跃尖端战力])</f>
        <v>2275163</v>
      </c>
      <c r="G28" s="40">
        <f>SUMIFS(表1_86121822242628[活跃总战力],表1_86121822242628[目标区服],表2_97131923252729[[#This Row],[合区区服]],表1_86121822242628[目标国家（映射）],表2_97131923252729[[#This Row],[国家]])</f>
        <v>23682856</v>
      </c>
      <c r="H28" s="39">
        <f>SUMIFS(表1_86121822242628[活跃实际充值],表1_86121822242628[目标区服],表2_97131923252729[[#This Row],[合区区服]],表1_86121822242628[目标国家（映射）],表2_97131923252729[[#This Row],[国家]])</f>
        <v>80462</v>
      </c>
      <c r="I28" s="39">
        <f>SUMIFS(表1_86121822242628[活跃虚拟充值],表1_86121822242628[目标区服],表2_97131923252729[[#This Row],[合区区服]],表1_86121822242628[目标国家（映射）],表2_97131923252729[[#This Row],[国家]])</f>
        <v>0</v>
      </c>
      <c r="J28" s="39">
        <f>SUMIFS(表1_86121822242628[活跃Coin],表1_86121822242628[目标区服],表2_97131923252729[[#This Row],[合区区服]],表1_86121822242628[目标国家（映射）],表2_97131923252729[[#This Row],[国家]])</f>
        <v>458678</v>
      </c>
      <c r="K28" s="39">
        <f>SUMIFS(表1_86121822242628[共计补偿Coin],表1_86121822242628[目标区服],表2_97131923252729[[#This Row],[合区区服]],表1_86121822242628[目标国家（映射）],表2_97131923252729[[#This Row],[国家]])</f>
        <v>38500</v>
      </c>
      <c r="L28" s="39">
        <f>表2_97131923252729[[#This Row],[活跃Coin]]+表2_97131923252729[[#This Row],[共计补偿Coin]]</f>
        <v>497178</v>
      </c>
      <c r="M28" s="39">
        <f>SUMIFS(表1_86121822242628[综合国力],表1_86121822242628[目标区服],表2_97131923252729[[#This Row],[合区区服]],表1_86121822242628[目标国家（映射）],表2_97131923252729[[#This Row],[国家]])</f>
        <v>13464</v>
      </c>
      <c r="O28" s="51">
        <v>73</v>
      </c>
      <c r="P28" s="51">
        <v>42</v>
      </c>
      <c r="Q28" s="51"/>
      <c r="R28" s="51"/>
    </row>
    <row r="29" ht="15" spans="1:18">
      <c r="A29" s="41" t="s">
        <v>68</v>
      </c>
      <c r="B29" s="41" t="s">
        <v>25</v>
      </c>
      <c r="C29" s="41">
        <f>COUNTIFS(表1_86121822242628[目标区服],表2_97131923252729[[#This Row],[合区区服]],表1_86121822242628[目标国家（映射）],表2_97131923252729[[#This Row],[国家]])</f>
        <v>2</v>
      </c>
      <c r="D29" s="41">
        <f>SUMIFS(表1_86121822242628[活跃高战玩家数],表1_86121822242628[目标区服],表2_97131923252729[[#This Row],[合区区服]],表1_86121822242628[目标国家（映射）],表2_97131923252729[[#This Row],[国家]])</f>
        <v>9</v>
      </c>
      <c r="E29" s="41">
        <f>SUMIFS(表1_86121822242628[活跃中坚玩家数],表1_86121822242628[目标区服],表2_97131923252729[[#This Row],[合区区服]],表1_86121822242628[目标国家（映射）],表2_97131923252729[[#This Row],[国家]])</f>
        <v>27</v>
      </c>
      <c r="F29" s="41">
        <f t="array" ref="F29">MAX((表1_86121822242628[目标区服]=表2_97131923252729[[#This Row],[合区区服]])*(表1_86121822242628[目标国家（映射）]=表2_97131923252729[[#This Row],[国家]])*表1_86121822242628[活跃尖端战力])</f>
        <v>2666861</v>
      </c>
      <c r="G29" s="42">
        <f>SUMIFS(表1_86121822242628[活跃总战力],表1_86121822242628[目标区服],表2_97131923252729[[#This Row],[合区区服]],表1_86121822242628[目标国家（映射）],表2_97131923252729[[#This Row],[国家]])</f>
        <v>25760744</v>
      </c>
      <c r="H29" s="41">
        <f>SUMIFS(表1_86121822242628[活跃实际充值],表1_86121822242628[目标区服],表2_97131923252729[[#This Row],[合区区服]],表1_86121822242628[目标国家（映射）],表2_97131923252729[[#This Row],[国家]])</f>
        <v>82928</v>
      </c>
      <c r="I29" s="41">
        <f>SUMIFS(表1_86121822242628[活跃虚拟充值],表1_86121822242628[目标区服],表2_97131923252729[[#This Row],[合区区服]],表1_86121822242628[目标国家（映射）],表2_97131923252729[[#This Row],[国家]])</f>
        <v>0</v>
      </c>
      <c r="J29" s="41">
        <f>SUMIFS(表1_86121822242628[活跃Coin],表1_86121822242628[目标区服],表2_97131923252729[[#This Row],[合区区服]],表1_86121822242628[目标国家（映射）],表2_97131923252729[[#This Row],[国家]])</f>
        <v>703764</v>
      </c>
      <c r="K29" s="41">
        <f>SUMIFS(表1_86121822242628[共计补偿Coin],表1_86121822242628[目标区服],表2_97131923252729[[#This Row],[合区区服]],表1_86121822242628[目标国家（映射）],表2_97131923252729[[#This Row],[国家]])</f>
        <v>54000</v>
      </c>
      <c r="L29" s="41">
        <f>表2_97131923252729[[#This Row],[活跃Coin]]+表2_97131923252729[[#This Row],[共计补偿Coin]]</f>
        <v>757764</v>
      </c>
      <c r="M29" s="41">
        <f>SUMIFS(表1_86121822242628[综合国力],表1_86121822242628[目标区服],表2_97131923252729[[#This Row],[合区区服]],表1_86121822242628[目标国家（映射）],表2_97131923252729[[#This Row],[国家]])</f>
        <v>14408</v>
      </c>
      <c r="O29" s="51">
        <v>74</v>
      </c>
      <c r="P29" s="51">
        <v>41</v>
      </c>
      <c r="Q29" s="51"/>
      <c r="R29" s="51"/>
    </row>
    <row r="30" ht="15" spans="1:16">
      <c r="A30" s="41" t="s">
        <v>68</v>
      </c>
      <c r="B30" s="41" t="s">
        <v>26</v>
      </c>
      <c r="C30" s="41">
        <f>COUNTIFS(表1_86121822242628[目标区服],表2_97131923252729[[#This Row],[合区区服]],表1_86121822242628[目标国家（映射）],表2_97131923252729[[#This Row],[国家]])</f>
        <v>2</v>
      </c>
      <c r="D30" s="41">
        <f>SUMIFS(表1_86121822242628[活跃高战玩家数],表1_86121822242628[目标区服],表2_97131923252729[[#This Row],[合区区服]],表1_86121822242628[目标国家（映射）],表2_97131923252729[[#This Row],[国家]])</f>
        <v>3</v>
      </c>
      <c r="E30" s="41">
        <f>SUMIFS(表1_86121822242628[活跃中坚玩家数],表1_86121822242628[目标区服],表2_97131923252729[[#This Row],[合区区服]],表1_86121822242628[目标国家（映射）],表2_97131923252729[[#This Row],[国家]])</f>
        <v>43</v>
      </c>
      <c r="F30" s="41">
        <f t="array" ref="F30">MAX((表1_86121822242628[目标区服]=表2_97131923252729[[#This Row],[合区区服]])*(表1_86121822242628[目标国家（映射）]=表2_97131923252729[[#This Row],[国家]])*表1_86121822242628[活跃尖端战力])</f>
        <v>2109141</v>
      </c>
      <c r="G30" s="42">
        <f>SUMIFS(表1_86121822242628[活跃总战力],表1_86121822242628[目标区服],表2_97131923252729[[#This Row],[合区区服]],表1_86121822242628[目标国家（映射）],表2_97131923252729[[#This Row],[国家]])</f>
        <v>25861576</v>
      </c>
      <c r="H30" s="41">
        <f>SUMIFS(表1_86121822242628[活跃实际充值],表1_86121822242628[目标区服],表2_97131923252729[[#This Row],[合区区服]],表1_86121822242628[目标国家（映射）],表2_97131923252729[[#This Row],[国家]])</f>
        <v>45376</v>
      </c>
      <c r="I30" s="41">
        <f>SUMIFS(表1_86121822242628[活跃虚拟充值],表1_86121822242628[目标区服],表2_97131923252729[[#This Row],[合区区服]],表1_86121822242628[目标国家（映射）],表2_97131923252729[[#This Row],[国家]])</f>
        <v>0</v>
      </c>
      <c r="J30" s="41">
        <f>SUMIFS(表1_86121822242628[活跃Coin],表1_86121822242628[目标区服],表2_97131923252729[[#This Row],[合区区服]],表1_86121822242628[目标国家（映射）],表2_97131923252729[[#This Row],[国家]])</f>
        <v>507268</v>
      </c>
      <c r="K30" s="41">
        <f>SUMIFS(表1_86121822242628[共计补偿Coin],表1_86121822242628[目标区服],表2_97131923252729[[#This Row],[合区区服]],表1_86121822242628[目标国家（映射）],表2_97131923252729[[#This Row],[国家]])</f>
        <v>53000</v>
      </c>
      <c r="L30" s="41">
        <f>表2_97131923252729[[#This Row],[活跃Coin]]+表2_97131923252729[[#This Row],[共计补偿Coin]]</f>
        <v>560268</v>
      </c>
      <c r="M30" s="41">
        <f>SUMIFS(表1_86121822242628[综合国力],表1_86121822242628[目标区服],表2_97131923252729[[#This Row],[合区区服]],表1_86121822242628[目标国家（映射）],表2_97131923252729[[#This Row],[国家]])</f>
        <v>10479</v>
      </c>
      <c r="O30" s="51"/>
      <c r="P30" s="51"/>
    </row>
    <row r="31" ht="15" spans="1:16">
      <c r="A31" s="41" t="s">
        <v>68</v>
      </c>
      <c r="B31" s="43" t="s">
        <v>27</v>
      </c>
      <c r="C31" s="43">
        <f>COUNTIFS(表1_86121822242628[目标区服],表2_97131923252729[[#This Row],[合区区服]],表1_86121822242628[目标国家（映射）],表2_97131923252729[[#This Row],[国家]])</f>
        <v>2</v>
      </c>
      <c r="D31" s="43">
        <f>SUMIFS(表1_86121822242628[活跃高战玩家数],表1_86121822242628[目标区服],表2_97131923252729[[#This Row],[合区区服]],表1_86121822242628[目标国家（映射）],表2_97131923252729[[#This Row],[国家]])</f>
        <v>7</v>
      </c>
      <c r="E31" s="43">
        <f>SUMIFS(表1_86121822242628[活跃中坚玩家数],表1_86121822242628[目标区服],表2_97131923252729[[#This Row],[合区区服]],表1_86121822242628[目标国家（映射）],表2_97131923252729[[#This Row],[国家]])</f>
        <v>38</v>
      </c>
      <c r="F31" s="43">
        <f t="array" ref="F31">MAX((表1_86121822242628[目标区服]=表2_97131923252729[[#This Row],[合区区服]])*(表1_86121822242628[目标国家（映射）]=表2_97131923252729[[#This Row],[国家]])*表1_86121822242628[活跃尖端战力])</f>
        <v>2526689</v>
      </c>
      <c r="G31" s="44">
        <f>SUMIFS(表1_86121822242628[活跃总战力],表1_86121822242628[目标区服],表2_97131923252729[[#This Row],[合区区服]],表1_86121822242628[目标国家（映射）],表2_97131923252729[[#This Row],[国家]])</f>
        <v>28497620</v>
      </c>
      <c r="H31" s="43">
        <f>SUMIFS(表1_86121822242628[活跃实际充值],表1_86121822242628[目标区服],表2_97131923252729[[#This Row],[合区区服]],表1_86121822242628[目标国家（映射）],表2_97131923252729[[#This Row],[国家]])</f>
        <v>101010</v>
      </c>
      <c r="I31" s="43">
        <f>SUMIFS(表1_86121822242628[活跃虚拟充值],表1_86121822242628[目标区服],表2_97131923252729[[#This Row],[合区区服]],表1_86121822242628[目标国家（映射）],表2_97131923252729[[#This Row],[国家]])</f>
        <v>0</v>
      </c>
      <c r="J31" s="43">
        <f>SUMIFS(表1_86121822242628[活跃Coin],表1_86121822242628[目标区服],表2_97131923252729[[#This Row],[合区区服]],表1_86121822242628[目标国家（映射）],表2_97131923252729[[#This Row],[国家]])</f>
        <v>578099</v>
      </c>
      <c r="K31" s="43">
        <f>SUMIFS(表1_86121822242628[共计补偿Coin],表1_86121822242628[目标区服],表2_97131923252729[[#This Row],[合区区服]],表1_86121822242628[目标国家（映射）],表2_97131923252729[[#This Row],[国家]])</f>
        <v>45000</v>
      </c>
      <c r="L31" s="43">
        <f>表2_97131923252729[[#This Row],[活跃Coin]]+表2_97131923252729[[#This Row],[共计补偿Coin]]</f>
        <v>623099</v>
      </c>
      <c r="M31" s="43">
        <f>SUMIFS(表1_86121822242628[综合国力],表1_86121822242628[目标区服],表2_97131923252729[[#This Row],[合区区服]],表1_86121822242628[目标国家（映射）],表2_97131923252729[[#This Row],[国家]])</f>
        <v>14644</v>
      </c>
      <c r="O31" s="51"/>
      <c r="P31" s="51"/>
    </row>
    <row r="32" ht="15" spans="1:16">
      <c r="A32" s="45"/>
      <c r="B32" s="46" t="s">
        <v>25</v>
      </c>
      <c r="C32" s="46">
        <f>COUNTIFS(表1_86121822242628[目标区服],表2_97131923252729[[#This Row],[合区区服]],表1_86121822242628[目标国家（映射）],表2_97131923252729[[#This Row],[国家]])</f>
        <v>0</v>
      </c>
      <c r="D32" s="46">
        <f>SUMIFS(表1_86121822242628[活跃高战玩家数],表1_86121822242628[目标区服],表2_97131923252729[[#This Row],[合区区服]],表1_86121822242628[目标国家（映射）],表2_97131923252729[[#This Row],[国家]])</f>
        <v>0</v>
      </c>
      <c r="E32" s="46">
        <f>SUMIFS(表1_86121822242628[活跃中坚玩家数],表1_86121822242628[目标区服],表2_97131923252729[[#This Row],[合区区服]],表1_86121822242628[目标国家（映射）],表2_97131923252729[[#This Row],[国家]])</f>
        <v>0</v>
      </c>
      <c r="F32" s="46">
        <f t="array" ref="F32">MAX((表1_86121822242628[目标区服]=表2_97131923252729[[#This Row],[合区区服]])*(表1_86121822242628[目标国家（映射）]=表2_97131923252729[[#This Row],[国家]])*表1_86121822242628[活跃尖端战力])</f>
        <v>0</v>
      </c>
      <c r="G32" s="47">
        <f>SUMIFS(表1_86121822242628[活跃总战力],表1_86121822242628[目标区服],表2_97131923252729[[#This Row],[合区区服]],表1_86121822242628[目标国家（映射）],表2_97131923252729[[#This Row],[国家]])</f>
        <v>0</v>
      </c>
      <c r="H32" s="46">
        <f>SUMIFS(表1_86121822242628[活跃实际充值],表1_86121822242628[目标区服],表2_97131923252729[[#This Row],[合区区服]],表1_86121822242628[目标国家（映射）],表2_97131923252729[[#This Row],[国家]])</f>
        <v>0</v>
      </c>
      <c r="I32" s="46">
        <f>SUMIFS(表1_86121822242628[活跃虚拟充值],表1_86121822242628[目标区服],表2_97131923252729[[#This Row],[合区区服]],表1_86121822242628[目标国家（映射）],表2_97131923252729[[#This Row],[国家]])</f>
        <v>0</v>
      </c>
      <c r="J32" s="46">
        <f>SUMIFS(表1_86121822242628[活跃Coin],表1_86121822242628[目标区服],表2_97131923252729[[#This Row],[合区区服]],表1_86121822242628[目标国家（映射）],表2_97131923252729[[#This Row],[国家]])</f>
        <v>0</v>
      </c>
      <c r="K32" s="46">
        <f>SUMIFS(表1_86121822242628[共计补偿Coin],表1_86121822242628[目标区服],表2_97131923252729[[#This Row],[合区区服]],表1_86121822242628[目标国家（映射）],表2_97131923252729[[#This Row],[国家]])</f>
        <v>0</v>
      </c>
      <c r="L32" s="46">
        <f>表2_97131923252729[[#This Row],[活跃Coin]]+表2_97131923252729[[#This Row],[共计补偿Coin]]</f>
        <v>0</v>
      </c>
      <c r="M32" s="46">
        <f>SUMIFS(表1_86121822242628[综合国力],表1_86121822242628[目标区服],表2_97131923252729[[#This Row],[合区区服]],表1_86121822242628[目标国家（映射）],表2_97131923252729[[#This Row],[国家]])</f>
        <v>0</v>
      </c>
      <c r="O32" s="51"/>
      <c r="P32" s="51"/>
    </row>
    <row r="33" ht="15" spans="1:16">
      <c r="A33" s="45"/>
      <c r="B33" s="46" t="s">
        <v>26</v>
      </c>
      <c r="C33" s="46">
        <f>COUNTIFS(表1_86121822242628[目标区服],表2_97131923252729[[#This Row],[合区区服]],表1_86121822242628[目标国家（映射）],表2_97131923252729[[#This Row],[国家]])</f>
        <v>0</v>
      </c>
      <c r="D33" s="46">
        <f>SUMIFS(表1_86121822242628[活跃高战玩家数],表1_86121822242628[目标区服],表2_97131923252729[[#This Row],[合区区服]],表1_86121822242628[目标国家（映射）],表2_97131923252729[[#This Row],[国家]])</f>
        <v>0</v>
      </c>
      <c r="E33" s="46">
        <f>SUMIFS(表1_86121822242628[活跃中坚玩家数],表1_86121822242628[目标区服],表2_97131923252729[[#This Row],[合区区服]],表1_86121822242628[目标国家（映射）],表2_97131923252729[[#This Row],[国家]])</f>
        <v>0</v>
      </c>
      <c r="F33" s="46">
        <f t="array" ref="F33">MAX((表1_86121822242628[目标区服]=表2_97131923252729[[#This Row],[合区区服]])*(表1_86121822242628[目标国家（映射）]=表2_97131923252729[[#This Row],[国家]])*表1_86121822242628[活跃尖端战力])</f>
        <v>0</v>
      </c>
      <c r="G33" s="47">
        <f>SUMIFS(表1_86121822242628[活跃总战力],表1_86121822242628[目标区服],表2_97131923252729[[#This Row],[合区区服]],表1_86121822242628[目标国家（映射）],表2_97131923252729[[#This Row],[国家]])</f>
        <v>0</v>
      </c>
      <c r="H33" s="46">
        <f>SUMIFS(表1_86121822242628[活跃实际充值],表1_86121822242628[目标区服],表2_97131923252729[[#This Row],[合区区服]],表1_86121822242628[目标国家（映射）],表2_97131923252729[[#This Row],[国家]])</f>
        <v>0</v>
      </c>
      <c r="I33" s="46">
        <f>SUMIFS(表1_86121822242628[活跃虚拟充值],表1_86121822242628[目标区服],表2_97131923252729[[#This Row],[合区区服]],表1_86121822242628[目标国家（映射）],表2_97131923252729[[#This Row],[国家]])</f>
        <v>0</v>
      </c>
      <c r="J33" s="46">
        <f>SUMIFS(表1_86121822242628[活跃Coin],表1_86121822242628[目标区服],表2_97131923252729[[#This Row],[合区区服]],表1_86121822242628[目标国家（映射）],表2_97131923252729[[#This Row],[国家]])</f>
        <v>0</v>
      </c>
      <c r="K33" s="46">
        <f>SUMIFS(表1_86121822242628[共计补偿Coin],表1_86121822242628[目标区服],表2_97131923252729[[#This Row],[合区区服]],表1_86121822242628[目标国家（映射）],表2_97131923252729[[#This Row],[国家]])</f>
        <v>0</v>
      </c>
      <c r="L33" s="46">
        <f>表2_97131923252729[[#This Row],[活跃Coin]]+表2_97131923252729[[#This Row],[共计补偿Coin]]</f>
        <v>0</v>
      </c>
      <c r="M33" s="46">
        <f>SUMIFS(表1_86121822242628[综合国力],表1_86121822242628[目标区服],表2_97131923252729[[#This Row],[合区区服]],表1_86121822242628[目标国家（映射）],表2_97131923252729[[#This Row],[国家]])</f>
        <v>0</v>
      </c>
      <c r="O33" s="51"/>
      <c r="P33" s="51"/>
    </row>
    <row r="34" ht="15" spans="1:13">
      <c r="A34" s="45"/>
      <c r="B34" s="48" t="s">
        <v>27</v>
      </c>
      <c r="C34" s="48">
        <f>COUNTIFS(表1_86121822242628[目标区服],表2_97131923252729[[#This Row],[合区区服]],表1_86121822242628[目标国家（映射）],表2_97131923252729[[#This Row],[国家]])</f>
        <v>0</v>
      </c>
      <c r="D34" s="48">
        <f>SUMIFS(表1_86121822242628[活跃高战玩家数],表1_86121822242628[目标区服],表2_97131923252729[[#This Row],[合区区服]],表1_86121822242628[目标国家（映射）],表2_97131923252729[[#This Row],[国家]])</f>
        <v>0</v>
      </c>
      <c r="E34" s="48">
        <f>SUMIFS(表1_86121822242628[活跃中坚玩家数],表1_86121822242628[目标区服],表2_97131923252729[[#This Row],[合区区服]],表1_86121822242628[目标国家（映射）],表2_97131923252729[[#This Row],[国家]])</f>
        <v>0</v>
      </c>
      <c r="F34" s="48">
        <f t="array" ref="F34">MAX((表1_86121822242628[目标区服]=表2_97131923252729[[#This Row],[合区区服]])*(表1_86121822242628[目标国家（映射）]=表2_97131923252729[[#This Row],[国家]])*表1_86121822242628[活跃尖端战力])</f>
        <v>0</v>
      </c>
      <c r="G34" s="458">
        <f>SUMIFS(表1_86121822242628[活跃总战力],表1_86121822242628[目标区服],表2_97131923252729[[#This Row],[合区区服]],表1_86121822242628[目标国家（映射）],表2_97131923252729[[#This Row],[国家]])</f>
        <v>0</v>
      </c>
      <c r="H34" s="48">
        <f>SUMIFS(表1_86121822242628[活跃实际充值],表1_86121822242628[目标区服],表2_97131923252729[[#This Row],[合区区服]],表1_86121822242628[目标国家（映射）],表2_97131923252729[[#This Row],[国家]])</f>
        <v>0</v>
      </c>
      <c r="I34" s="48">
        <f>SUMIFS(表1_86121822242628[活跃虚拟充值],表1_86121822242628[目标区服],表2_97131923252729[[#This Row],[合区区服]],表1_86121822242628[目标国家（映射）],表2_97131923252729[[#This Row],[国家]])</f>
        <v>0</v>
      </c>
      <c r="J34" s="48">
        <f>SUMIFS(表1_86121822242628[活跃Coin],表1_86121822242628[目标区服],表2_97131923252729[[#This Row],[合区区服]],表1_86121822242628[目标国家（映射）],表2_97131923252729[[#This Row],[国家]])</f>
        <v>0</v>
      </c>
      <c r="K34" s="48">
        <f>SUMIFS(表1_86121822242628[共计补偿Coin],表1_86121822242628[目标区服],表2_97131923252729[[#This Row],[合区区服]],表1_86121822242628[目标国家（映射）],表2_97131923252729[[#This Row],[国家]])</f>
        <v>0</v>
      </c>
      <c r="L34" s="48">
        <f>表2_97131923252729[[#This Row],[活跃Coin]]+表2_97131923252729[[#This Row],[共计补偿Coin]]</f>
        <v>0</v>
      </c>
      <c r="M34" s="48">
        <f>SUMIFS(表1_86121822242628[综合国力],表1_86121822242628[目标区服],表2_97131923252729[[#This Row],[合区区服]],表1_86121822242628[目标国家（映射）],表2_97131923252729[[#This Row],[国家]])</f>
        <v>0</v>
      </c>
    </row>
    <row r="40" ht="27" spans="1:12">
      <c r="A40" s="49"/>
      <c r="B40" s="50" t="s">
        <v>9</v>
      </c>
      <c r="C40" s="50" t="s">
        <v>10</v>
      </c>
      <c r="D40" s="50" t="s">
        <v>11</v>
      </c>
      <c r="E40" s="50" t="s">
        <v>12</v>
      </c>
      <c r="F40" s="50" t="s">
        <v>13</v>
      </c>
      <c r="G40" s="50" t="s">
        <v>14</v>
      </c>
      <c r="H40" s="50" t="s">
        <v>15</v>
      </c>
      <c r="I40" s="50" t="s">
        <v>18</v>
      </c>
      <c r="J40" s="50" t="s">
        <v>19</v>
      </c>
      <c r="K40" s="50" t="s">
        <v>20</v>
      </c>
      <c r="L40" s="50" t="s">
        <v>21</v>
      </c>
    </row>
    <row r="41" spans="1:12">
      <c r="A41" s="50" t="s">
        <v>25</v>
      </c>
      <c r="B41" s="50">
        <v>2</v>
      </c>
      <c r="C41" s="50">
        <v>69</v>
      </c>
      <c r="D41" s="50">
        <v>2</v>
      </c>
      <c r="E41" s="50">
        <v>19</v>
      </c>
      <c r="F41" s="50">
        <v>88575</v>
      </c>
      <c r="G41" s="50">
        <v>1491097</v>
      </c>
      <c r="H41" s="50">
        <v>11500364</v>
      </c>
      <c r="I41" s="50">
        <v>18308</v>
      </c>
      <c r="J41" s="50">
        <v>0</v>
      </c>
      <c r="K41" s="50">
        <v>217485</v>
      </c>
      <c r="L41" s="50">
        <v>4631</v>
      </c>
    </row>
    <row r="42" spans="1:12">
      <c r="A42" s="50" t="s">
        <v>26</v>
      </c>
      <c r="B42" s="50">
        <v>1</v>
      </c>
      <c r="C42" s="50">
        <v>74</v>
      </c>
      <c r="D42" s="50">
        <v>2</v>
      </c>
      <c r="E42" s="50">
        <v>10</v>
      </c>
      <c r="F42" s="50">
        <v>45202</v>
      </c>
      <c r="G42" s="50">
        <v>1288410</v>
      </c>
      <c r="H42" s="50">
        <v>6163425</v>
      </c>
      <c r="I42" s="50">
        <v>14556</v>
      </c>
      <c r="J42" s="50">
        <v>0</v>
      </c>
      <c r="K42" s="50">
        <v>212086</v>
      </c>
      <c r="L42" s="50">
        <v>3513</v>
      </c>
    </row>
    <row r="43" spans="1:12">
      <c r="A43" s="50" t="s">
        <v>27</v>
      </c>
      <c r="B43" s="50">
        <v>6</v>
      </c>
      <c r="C43" s="50">
        <v>252</v>
      </c>
      <c r="D43" s="50">
        <v>6</v>
      </c>
      <c r="E43" s="50">
        <v>16</v>
      </c>
      <c r="F43" s="50">
        <v>123239</v>
      </c>
      <c r="G43" s="50">
        <v>2275163</v>
      </c>
      <c r="H43" s="50">
        <v>17664257</v>
      </c>
      <c r="I43" s="50">
        <v>73698</v>
      </c>
      <c r="J43" s="50">
        <v>0</v>
      </c>
      <c r="K43" s="50">
        <v>395877</v>
      </c>
      <c r="L43" s="50">
        <v>10186</v>
      </c>
    </row>
    <row r="44" spans="1:12">
      <c r="A44" s="50" t="s">
        <v>25</v>
      </c>
      <c r="B44" s="50">
        <v>2</v>
      </c>
      <c r="C44" s="50">
        <v>103</v>
      </c>
      <c r="D44" s="50">
        <v>5</v>
      </c>
      <c r="E44" s="50">
        <v>13</v>
      </c>
      <c r="F44" s="50">
        <v>98330</v>
      </c>
      <c r="G44" s="50">
        <v>2428767</v>
      </c>
      <c r="H44" s="50">
        <v>14040365</v>
      </c>
      <c r="I44" s="50">
        <v>43100</v>
      </c>
      <c r="J44" s="50">
        <v>0</v>
      </c>
      <c r="K44" s="50">
        <v>140809</v>
      </c>
      <c r="L44" s="50">
        <v>6917</v>
      </c>
    </row>
    <row r="45" spans="1:12">
      <c r="A45" s="50" t="s">
        <v>26</v>
      </c>
      <c r="B45" s="50">
        <v>2</v>
      </c>
      <c r="C45" s="50">
        <v>75</v>
      </c>
      <c r="D45" s="50">
        <v>0</v>
      </c>
      <c r="E45" s="50">
        <v>11</v>
      </c>
      <c r="F45" s="50">
        <v>45618</v>
      </c>
      <c r="G45" s="50">
        <v>1264019</v>
      </c>
      <c r="H45" s="50">
        <v>6018599</v>
      </c>
      <c r="I45" s="50">
        <v>6764</v>
      </c>
      <c r="J45" s="50">
        <v>0</v>
      </c>
      <c r="K45" s="50">
        <v>62801</v>
      </c>
      <c r="L45" s="50">
        <v>3278</v>
      </c>
    </row>
    <row r="46" spans="1:12">
      <c r="A46" s="50" t="s">
        <v>27</v>
      </c>
      <c r="B46" s="50">
        <v>5</v>
      </c>
      <c r="C46" s="50">
        <v>217</v>
      </c>
      <c r="D46" s="50">
        <v>5</v>
      </c>
      <c r="E46" s="50">
        <v>23</v>
      </c>
      <c r="F46" s="50">
        <v>146069</v>
      </c>
      <c r="G46" s="50">
        <v>2374865</v>
      </c>
      <c r="H46" s="50">
        <v>20485966</v>
      </c>
      <c r="I46" s="50">
        <v>70340</v>
      </c>
      <c r="J46" s="50">
        <v>0</v>
      </c>
      <c r="K46" s="50">
        <v>675453</v>
      </c>
      <c r="L46" s="50">
        <v>10271</v>
      </c>
    </row>
    <row r="47" spans="1:12">
      <c r="A47" s="50" t="s">
        <v>25</v>
      </c>
      <c r="B47" s="50">
        <v>3</v>
      </c>
      <c r="C47" s="50">
        <v>137</v>
      </c>
      <c r="D47" s="50">
        <v>3</v>
      </c>
      <c r="E47" s="50">
        <v>20</v>
      </c>
      <c r="F47" s="50">
        <v>90038</v>
      </c>
      <c r="G47" s="50">
        <v>2526689</v>
      </c>
      <c r="H47" s="50">
        <v>15005083</v>
      </c>
      <c r="I47" s="50">
        <v>66222</v>
      </c>
      <c r="J47" s="50">
        <v>0</v>
      </c>
      <c r="K47" s="50">
        <v>372356</v>
      </c>
      <c r="L47" s="50">
        <v>8320</v>
      </c>
    </row>
    <row r="48" spans="1:12">
      <c r="A48" s="50" t="s">
        <v>26</v>
      </c>
      <c r="B48" s="50">
        <v>3</v>
      </c>
      <c r="C48" s="50">
        <v>154</v>
      </c>
      <c r="D48" s="50">
        <v>3</v>
      </c>
      <c r="E48" s="50">
        <v>29</v>
      </c>
      <c r="F48" s="50">
        <v>134722</v>
      </c>
      <c r="G48" s="50">
        <v>2109141</v>
      </c>
      <c r="H48" s="50">
        <v>19902223</v>
      </c>
      <c r="I48" s="50">
        <v>40444</v>
      </c>
      <c r="J48" s="50">
        <v>0</v>
      </c>
      <c r="K48" s="50">
        <v>445274</v>
      </c>
      <c r="L48" s="50">
        <v>8048</v>
      </c>
    </row>
    <row r="49" spans="1:12">
      <c r="A49" s="50" t="s">
        <v>27</v>
      </c>
      <c r="B49" s="50">
        <v>3</v>
      </c>
      <c r="C49" s="50">
        <v>104</v>
      </c>
      <c r="D49" s="50">
        <v>4</v>
      </c>
      <c r="E49" s="50">
        <v>18</v>
      </c>
      <c r="F49" s="50">
        <v>83352</v>
      </c>
      <c r="G49" s="50">
        <v>2071820</v>
      </c>
      <c r="H49" s="50">
        <v>13492537</v>
      </c>
      <c r="I49" s="50">
        <v>34788</v>
      </c>
      <c r="J49" s="50">
        <v>0</v>
      </c>
      <c r="K49" s="50">
        <v>205743</v>
      </c>
      <c r="L49" s="50">
        <v>6324</v>
      </c>
    </row>
    <row r="50" spans="1:12">
      <c r="A50" s="50" t="s">
        <v>25</v>
      </c>
      <c r="B50" s="50">
        <v>9</v>
      </c>
      <c r="C50" s="50">
        <v>295</v>
      </c>
      <c r="D50" s="50">
        <v>9</v>
      </c>
      <c r="E50" s="50">
        <v>17</v>
      </c>
      <c r="F50" s="50">
        <v>173823</v>
      </c>
      <c r="G50" s="50">
        <v>2666861</v>
      </c>
      <c r="H50" s="50">
        <v>21468245</v>
      </c>
      <c r="I50" s="50">
        <v>77848</v>
      </c>
      <c r="J50" s="50">
        <v>0</v>
      </c>
      <c r="K50" s="50">
        <v>666597</v>
      </c>
      <c r="L50" s="50">
        <v>12201</v>
      </c>
    </row>
    <row r="51" spans="1:12">
      <c r="A51" s="50" t="s">
        <v>26</v>
      </c>
      <c r="B51" s="50">
        <v>0</v>
      </c>
      <c r="C51" s="50">
        <v>46</v>
      </c>
      <c r="D51" s="50">
        <v>0</v>
      </c>
      <c r="E51" s="50">
        <v>10</v>
      </c>
      <c r="F51" s="50">
        <v>37030</v>
      </c>
      <c r="G51" s="50">
        <v>962541</v>
      </c>
      <c r="H51" s="50">
        <v>4292499</v>
      </c>
      <c r="I51" s="50">
        <v>5080</v>
      </c>
      <c r="J51" s="50">
        <v>0</v>
      </c>
      <c r="K51" s="50">
        <v>37167</v>
      </c>
      <c r="L51" s="50">
        <v>2207</v>
      </c>
    </row>
    <row r="52" spans="1:12">
      <c r="A52" s="50" t="s">
        <v>27</v>
      </c>
      <c r="B52" s="50">
        <v>0</v>
      </c>
      <c r="C52" s="50">
        <v>54</v>
      </c>
      <c r="D52" s="50">
        <v>0</v>
      </c>
      <c r="E52" s="50">
        <v>14</v>
      </c>
      <c r="F52" s="50">
        <v>57271</v>
      </c>
      <c r="G52" s="50">
        <v>830655</v>
      </c>
      <c r="H52" s="50">
        <v>5959353</v>
      </c>
      <c r="I52" s="50">
        <v>4932</v>
      </c>
      <c r="J52" s="50">
        <v>0</v>
      </c>
      <c r="K52" s="50">
        <v>61994</v>
      </c>
      <c r="L52" s="50">
        <v>2431</v>
      </c>
    </row>
    <row r="53" spans="1:12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</row>
    <row r="54" spans="1:12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</row>
    <row r="55" spans="1:12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</row>
    <row r="56" spans="1:12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</row>
    <row r="57" spans="1:12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</row>
    <row r="58" spans="1:12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</row>
    <row r="59" spans="1:12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</row>
    <row r="60" spans="1:12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</row>
    <row r="61" spans="1:13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t="s">
        <v>66</v>
      </c>
    </row>
  </sheetData>
  <conditionalFormatting sqref="F26:F28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{0586d399-4cee-40b0-8951-2c06a8ded524}</x14:id>
        </ext>
      </extLst>
    </cfRule>
  </conditionalFormatting>
  <conditionalFormatting sqref="F29:F3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{1afbd264-ad57-468a-949c-a4389335790c}</x14:id>
        </ext>
      </extLst>
    </cfRule>
  </conditionalFormatting>
  <conditionalFormatting sqref="F32:F34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{7acadce8-1032-4574-898b-72dd5e952293}</x14:id>
        </ext>
      </extLst>
    </cfRule>
  </conditionalFormatting>
  <conditionalFormatting sqref="G26:G28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{e39b4d6f-efe2-4b1e-b318-d0cfa1300c1d}</x14:id>
        </ext>
      </extLst>
    </cfRule>
  </conditionalFormatting>
  <conditionalFormatting sqref="G29:G31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{2558c2eb-cb74-4d76-a8fa-6d07dd496958}</x14:id>
        </ext>
      </extLst>
    </cfRule>
  </conditionalFormatting>
  <conditionalFormatting sqref="G32:G34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{d42b937f-7e63-4a2b-be61-3c635df84c5c}</x14:id>
        </ext>
      </extLst>
    </cfRule>
  </conditionalFormatting>
  <conditionalFormatting sqref="O2:O19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{24697790-1dfc-4c85-a04b-d3517b165cb2}</x14:id>
        </ext>
      </extLst>
    </cfRule>
  </conditionalFormatting>
  <conditionalFormatting sqref="O20:O2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{e944ea1e-8cf2-4444-a219-b5def974e9d0}</x14:id>
        </ext>
      </extLst>
    </cfRule>
  </conditionalFormatting>
  <conditionalFormatting sqref="O26:O33">
    <cfRule type="cellIs" dxfId="37" priority="8" operator="equal">
      <formula>$S$26</formula>
    </cfRule>
  </conditionalFormatting>
  <conditionalFormatting sqref="P2:P19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{aeffc92c-6ebd-4418-8e96-7fe7684d75df}</x14:id>
        </ext>
      </extLst>
    </cfRule>
  </conditionalFormatting>
  <conditionalFormatting sqref="P20:P2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{93eeb899-28a8-4314-8605-701f3aabf5ae}</x14:id>
        </ext>
      </extLst>
    </cfRule>
  </conditionalFormatting>
  <conditionalFormatting sqref="Q2:Q22">
    <cfRule type="cellIs" dxfId="38" priority="5" operator="equal">
      <formula>配置!$D$4</formula>
    </cfRule>
    <cfRule type="cellIs" dxfId="39" priority="6" operator="equal">
      <formula>配置!$D$3</formula>
    </cfRule>
    <cfRule type="cellIs" dxfId="37" priority="7" operator="equal">
      <formula>配置!$D$2</formula>
    </cfRule>
  </conditionalFormatting>
  <conditionalFormatting sqref="Q26:Q29">
    <cfRule type="cellIs" dxfId="37" priority="9" operator="equal">
      <formula>$S$26</formula>
    </cfRule>
  </conditionalFormatting>
  <conditionalFormatting sqref="O23:O24 Q1:R1 Q2 Q4:Q5 Q7:Q8 Q10:Q11 Q13:Q14 Q16:Q17 Q19:Q20 Q22">
    <cfRule type="cellIs" dxfId="37" priority="17" operator="equal">
      <formula>配置!$D$2</formula>
    </cfRule>
  </conditionalFormatting>
  <conditionalFormatting sqref="Q2 Q4:Q5 Q7:Q8 Q10:Q11 Q13:Q14 Q16:Q17 Q19:Q20 Q22">
    <cfRule type="cellIs" dxfId="38" priority="16" operator="equal">
      <formula>配置!$D$4</formula>
    </cfRule>
  </conditionalFormatting>
  <dataValidations count="1">
    <dataValidation type="list" allowBlank="1" showInputMessage="1" showErrorMessage="1" sqref="Q2:Q22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86d399-4cee-40b0-8951-2c06a8ded5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1afbd264-ad57-468a-949c-a438933579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7acadce8-1032-4574-898b-72dd5e9522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e39b4d6f-efe2-4b1e-b318-d0cfa1300c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2558c2eb-cb74-4d76-a8fa-6d07dd4969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d42b937f-7e63-4a2b-be61-3c635df84c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24697790-1dfc-4c85-a04b-d3517b165c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e944ea1e-8cf2-4444-a219-b5def974e9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aeffc92c-6ebd-4418-8e96-7fe7684d75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93eeb899-28a8-4314-8605-701f3aabf5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1"/>
  <sheetViews>
    <sheetView workbookViewId="0">
      <selection activeCell="G23" sqref="G23"/>
    </sheetView>
  </sheetViews>
  <sheetFormatPr defaultColWidth="9" defaultRowHeight="13.5"/>
  <sheetData>
    <row r="1" s="1" customFormat="1" ht="27.75" spans="1:24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22</v>
      </c>
      <c r="X1" s="22" t="s">
        <v>23</v>
      </c>
    </row>
    <row r="2" s="354" customFormat="1" ht="14.25" customHeight="1" spans="1:24">
      <c r="A2" s="371">
        <v>5001</v>
      </c>
      <c r="B2" s="371">
        <f>VLOOKUP(表1_86121822242630[[#This Row],[区服]],$O$26:$P$33,2,FALSE)</f>
        <v>40</v>
      </c>
      <c r="C2" s="372" t="s">
        <v>69</v>
      </c>
      <c r="D2" s="373" t="str">
        <f>表1_86121822242630[[#This Row],[目标国家]]</f>
        <v>魏</v>
      </c>
      <c r="E2" s="374">
        <f>(VLOOKUP(表1_86121822242630[[#This Row],[目标区服]],$Q$26:$R$29,2,FALSE)-表1_86121822242630[[#This Row],[开服天数]])*配置!$B$1</f>
        <v>1000</v>
      </c>
      <c r="F2" s="374">
        <f>表1_86121822242630[[#This Row],[补偿Coin]]*(表1_86121822242630[[#This Row],[活跃高战玩家数]]+表1_86121822242630[[#This Row],[活跃中坚玩家数]])</f>
        <v>23000</v>
      </c>
      <c r="G2" s="374">
        <f>(VLOOKUP(表1_86121822242630[[#This Row],[目标区服]],$Q$26:$R$29,2,FALSE)-表1_86121822242630[[#This Row],[开服天数]])*配置!$B$2</f>
        <v>10</v>
      </c>
      <c r="H2" s="376" t="s">
        <v>25</v>
      </c>
      <c r="I2" s="376">
        <f>IF(表1_86121822242630[[#This Row],[原国家]]="魏",0,IF(表1_86121822242630[[#This Row],[原国家]]="蜀",1,2))</f>
        <v>0</v>
      </c>
      <c r="J2" s="380">
        <v>3</v>
      </c>
      <c r="K2" s="380">
        <v>125</v>
      </c>
      <c r="L2" s="380">
        <v>4</v>
      </c>
      <c r="M2" s="380">
        <v>19</v>
      </c>
      <c r="N2" s="380">
        <v>106196</v>
      </c>
      <c r="O2" s="380">
        <v>1401610</v>
      </c>
      <c r="P2" s="381">
        <v>12071916</v>
      </c>
      <c r="Q2" s="31" t="s">
        <v>25</v>
      </c>
      <c r="R2" s="376">
        <f>IF(表1_86121822242630[[#This Row],[目标国家]]="魏",0,IF(表1_86121822242630[[#This Row],[目标国家]]="蜀",1,2))</f>
        <v>0</v>
      </c>
      <c r="S2" s="380">
        <v>38438</v>
      </c>
      <c r="T2" s="380">
        <v>5710</v>
      </c>
      <c r="U2" s="380">
        <v>415301</v>
      </c>
      <c r="V2" s="380">
        <v>6107</v>
      </c>
      <c r="W2" s="387" t="str">
        <f>"{"&amp;"'coin':"&amp;表1_86121822242630[[#This Row],[补偿Coin]]&amp;",'"&amp;配置!$A$2&amp;"':"&amp;表1_86121822242630[[#This Row],[补偿辎重]]&amp;"},"</f>
        <v>{'coin':1000,'item036':10},</v>
      </c>
      <c r="X2" s="388" t="str">
        <f>"      '"&amp;表1_86121822242630[[#This Row],[区服]]&amp;"':{"</f>
        <v>      '5001':{</v>
      </c>
    </row>
    <row r="3" s="354" customFormat="1" ht="14.25" customHeight="1" spans="1:24">
      <c r="A3" s="375">
        <v>5001</v>
      </c>
      <c r="B3" s="371">
        <f>VLOOKUP(表1_86121822242630[[#This Row],[区服]],$O$26:$P$33,2,FALSE)</f>
        <v>40</v>
      </c>
      <c r="C3" s="372" t="s">
        <v>69</v>
      </c>
      <c r="D3" s="376" t="str">
        <f>表1_86121822242630[[#This Row],[目标国家]]</f>
        <v>蜀</v>
      </c>
      <c r="E3" s="380">
        <f>(VLOOKUP(表1_86121822242630[[#This Row],[目标区服]],$Q$26:$R$29,2,FALSE)-表1_86121822242630[[#This Row],[开服天数]])*配置!$B$1</f>
        <v>1000</v>
      </c>
      <c r="F3" s="380">
        <f>表1_86121822242630[[#This Row],[补偿Coin]]*(表1_86121822242630[[#This Row],[活跃高战玩家数]]+表1_86121822242630[[#This Row],[活跃中坚玩家数]])</f>
        <v>18000</v>
      </c>
      <c r="G3" s="380">
        <f>(VLOOKUP(表1_86121822242630[[#This Row],[目标区服]],$Q$26:$R$29,2,FALSE)-表1_86121822242630[[#This Row],[开服天数]])*配置!$B$2</f>
        <v>10</v>
      </c>
      <c r="H3" s="376" t="s">
        <v>26</v>
      </c>
      <c r="I3" s="376">
        <f>IF(表1_86121822242630[[#This Row],[原国家]]="魏",0,IF(表1_86121822242630[[#This Row],[原国家]]="蜀",1,2))</f>
        <v>1</v>
      </c>
      <c r="J3" s="380">
        <v>2</v>
      </c>
      <c r="K3" s="380">
        <v>101</v>
      </c>
      <c r="L3" s="380">
        <v>2</v>
      </c>
      <c r="M3" s="380">
        <v>16</v>
      </c>
      <c r="N3" s="380">
        <v>68142</v>
      </c>
      <c r="O3" s="380">
        <v>1120097</v>
      </c>
      <c r="P3" s="381">
        <v>7630788</v>
      </c>
      <c r="Q3" s="31" t="s">
        <v>26</v>
      </c>
      <c r="R3" s="376">
        <f>IF(表1_86121822242630[[#This Row],[目标国家]]="魏",0,IF(表1_86121822242630[[#This Row],[目标国家]]="蜀",1,2))</f>
        <v>1</v>
      </c>
      <c r="S3" s="380">
        <v>1350</v>
      </c>
      <c r="T3" s="380">
        <v>12608</v>
      </c>
      <c r="U3" s="380">
        <v>193050</v>
      </c>
      <c r="V3" s="380">
        <v>3696</v>
      </c>
      <c r="W3" s="387" t="str">
        <f>"{"&amp;"'coin':"&amp;表1_86121822242630[[#This Row],[补偿Coin]]&amp;",'"&amp;配置!$A$2&amp;"':"&amp;表1_86121822242630[[#This Row],[补偿辎重]]&amp;"},"</f>
        <v>{'coin':1000,'item036':10},</v>
      </c>
      <c r="X3" s="388" t="str">
        <f>"            'to_zone':'"&amp;表1_86121822242630[[#This Row],[目标区服]]&amp;"',
            'reward':"&amp;表1_86121822242630[[#This Row],[辅助导出]]&amp;"
            'country':["&amp;R2&amp;","&amp;R3&amp;","&amp;R4&amp;"],"</f>
        <v>            'to_zone':'h1_5001',
            'reward':{'coin':1000,'item036':10},
            'country':[0,1,2],</v>
      </c>
    </row>
    <row r="4" s="354" customFormat="1" ht="14.25" customHeight="1" spans="1:24">
      <c r="A4" s="375">
        <v>5001</v>
      </c>
      <c r="B4" s="371">
        <f>VLOOKUP(表1_86121822242630[[#This Row],[区服]],$O$26:$P$33,2,FALSE)</f>
        <v>40</v>
      </c>
      <c r="C4" s="372" t="s">
        <v>69</v>
      </c>
      <c r="D4" s="376" t="str">
        <f>表1_86121822242630[[#This Row],[目标国家]]</f>
        <v>吴</v>
      </c>
      <c r="E4" s="380">
        <f>(VLOOKUP(表1_86121822242630[[#This Row],[目标区服]],$Q$26:$R$29,2,FALSE)-表1_86121822242630[[#This Row],[开服天数]])*配置!$B$1</f>
        <v>1000</v>
      </c>
      <c r="F4" s="380">
        <f>表1_86121822242630[[#This Row],[补偿Coin]]*(表1_86121822242630[[#This Row],[活跃高战玩家数]]+表1_86121822242630[[#This Row],[活跃中坚玩家数]])</f>
        <v>24000</v>
      </c>
      <c r="G4" s="380">
        <f>(VLOOKUP(表1_86121822242630[[#This Row],[目标区服]],$Q$26:$R$29,2,FALSE)-表1_86121822242630[[#This Row],[开服天数]])*配置!$B$2</f>
        <v>10</v>
      </c>
      <c r="H4" s="376" t="s">
        <v>27</v>
      </c>
      <c r="I4" s="376">
        <f>IF(表1_86121822242630[[#This Row],[原国家]]="魏",0,IF(表1_86121822242630[[#This Row],[原国家]]="蜀",1,2))</f>
        <v>2</v>
      </c>
      <c r="J4" s="380">
        <v>4</v>
      </c>
      <c r="K4" s="380">
        <v>169</v>
      </c>
      <c r="L4" s="380">
        <v>4</v>
      </c>
      <c r="M4" s="380">
        <v>20</v>
      </c>
      <c r="N4" s="380">
        <v>127106</v>
      </c>
      <c r="O4" s="380">
        <v>1630978</v>
      </c>
      <c r="P4" s="381">
        <v>14277412</v>
      </c>
      <c r="Q4" s="31" t="s">
        <v>27</v>
      </c>
      <c r="R4" s="376">
        <f>IF(表1_86121822242630[[#This Row],[目标国家]]="魏",0,IF(表1_86121822242630[[#This Row],[目标国家]]="蜀",1,2))</f>
        <v>2</v>
      </c>
      <c r="S4" s="380">
        <v>29088</v>
      </c>
      <c r="T4" s="380">
        <v>23756</v>
      </c>
      <c r="U4" s="380">
        <v>455663</v>
      </c>
      <c r="V4" s="380">
        <v>7122</v>
      </c>
      <c r="W4" s="387" t="str">
        <f>"{"&amp;"'coin':"&amp;表1_86121822242630[[#This Row],[补偿Coin]]&amp;",'"&amp;配置!$A$2&amp;"':"&amp;表1_86121822242630[[#This Row],[补偿辎重]]&amp;"},"</f>
        <v>{'coin':1000,'item036':10},</v>
      </c>
      <c r="X4" s="388" t="str">
        <f>"      },"</f>
        <v>      },</v>
      </c>
    </row>
    <row r="5" s="354" customFormat="1" ht="14.25" customHeight="1" spans="1:24">
      <c r="A5" s="375">
        <v>5002</v>
      </c>
      <c r="B5" s="371">
        <f>VLOOKUP(表1_86121822242630[[#This Row],[区服]],$O$26:$P$33,2,FALSE)</f>
        <v>39</v>
      </c>
      <c r="C5" s="372" t="s">
        <v>69</v>
      </c>
      <c r="D5" s="376" t="str">
        <f>表1_86121822242630[[#This Row],[目标国家]]</f>
        <v>魏</v>
      </c>
      <c r="E5" s="380">
        <f>(VLOOKUP(表1_86121822242630[[#This Row],[目标区服]],$Q$26:$R$29,2,FALSE)-表1_86121822242630[[#This Row],[开服天数]])*配置!$B$1</f>
        <v>1500</v>
      </c>
      <c r="F5" s="380">
        <f>表1_86121822242630[[#This Row],[补偿Coin]]*(表1_86121822242630[[#This Row],[活跃高战玩家数]]+表1_86121822242630[[#This Row],[活跃中坚玩家数]])</f>
        <v>31500</v>
      </c>
      <c r="G5" s="380">
        <f>(VLOOKUP(表1_86121822242630[[#This Row],[目标区服]],$Q$26:$R$29,2,FALSE)-表1_86121822242630[[#This Row],[开服天数]])*配置!$B$2</f>
        <v>15</v>
      </c>
      <c r="H5" s="376" t="s">
        <v>25</v>
      </c>
      <c r="I5" s="376">
        <f>IF(表1_86121822242630[[#This Row],[原国家]]="魏",0,IF(表1_86121822242630[[#This Row],[原国家]]="蜀",1,2))</f>
        <v>0</v>
      </c>
      <c r="J5" s="380">
        <v>1</v>
      </c>
      <c r="K5" s="380">
        <v>91</v>
      </c>
      <c r="L5" s="380">
        <v>3</v>
      </c>
      <c r="M5" s="380">
        <v>18</v>
      </c>
      <c r="N5" s="380">
        <v>78493</v>
      </c>
      <c r="O5" s="380">
        <v>1288714</v>
      </c>
      <c r="P5" s="381">
        <v>8288642</v>
      </c>
      <c r="Q5" s="31" t="s">
        <v>25</v>
      </c>
      <c r="R5" s="376">
        <f>IF(表1_86121822242630[[#This Row],[目标国家]]="魏",0,IF(表1_86121822242630[[#This Row],[目标国家]]="蜀",1,2))</f>
        <v>0</v>
      </c>
      <c r="S5" s="380">
        <v>8766</v>
      </c>
      <c r="T5" s="380">
        <v>19674</v>
      </c>
      <c r="U5" s="380">
        <v>172298</v>
      </c>
      <c r="V5" s="380">
        <v>4065</v>
      </c>
      <c r="W5" s="387" t="str">
        <f>"{"&amp;"'coin':"&amp;表1_86121822242630[[#This Row],[补偿Coin]]&amp;",'"&amp;配置!$A$2&amp;"':"&amp;表1_86121822242630[[#This Row],[补偿辎重]]&amp;"},"</f>
        <v>{'coin':1500,'item036':15},</v>
      </c>
      <c r="X5" s="388" t="str">
        <f>"      '"&amp;表1_86121822242630[[#This Row],[区服]]&amp;"':{"</f>
        <v>      '5002':{</v>
      </c>
    </row>
    <row r="6" s="354" customFormat="1" ht="14.25" customHeight="1" spans="1:24">
      <c r="A6" s="371">
        <v>5002</v>
      </c>
      <c r="B6" s="371">
        <f>VLOOKUP(表1_86121822242630[[#This Row],[区服]],$O$26:$P$33,2,FALSE)</f>
        <v>39</v>
      </c>
      <c r="C6" s="372" t="s">
        <v>69</v>
      </c>
      <c r="D6" s="376" t="str">
        <f>表1_86121822242630[[#This Row],[目标国家]]</f>
        <v>吴</v>
      </c>
      <c r="E6" s="380">
        <f>(VLOOKUP(表1_86121822242630[[#This Row],[目标区服]],$Q$26:$R$29,2,FALSE)-表1_86121822242630[[#This Row],[开服天数]])*配置!$B$1</f>
        <v>1500</v>
      </c>
      <c r="F6" s="380">
        <f>表1_86121822242630[[#This Row],[补偿Coin]]*(表1_86121822242630[[#This Row],[活跃高战玩家数]]+表1_86121822242630[[#This Row],[活跃中坚玩家数]])</f>
        <v>28500</v>
      </c>
      <c r="G6" s="380">
        <f>(VLOOKUP(表1_86121822242630[[#This Row],[目标区服]],$Q$26:$R$29,2,FALSE)-表1_86121822242630[[#This Row],[开服天数]])*配置!$B$2</f>
        <v>15</v>
      </c>
      <c r="H6" s="376" t="s">
        <v>26</v>
      </c>
      <c r="I6" s="376">
        <f>IF(表1_86121822242630[[#This Row],[原国家]]="魏",0,IF(表1_86121822242630[[#This Row],[原国家]]="蜀",1,2))</f>
        <v>1</v>
      </c>
      <c r="J6" s="380">
        <v>4</v>
      </c>
      <c r="K6" s="380">
        <v>154</v>
      </c>
      <c r="L6" s="380">
        <v>3</v>
      </c>
      <c r="M6" s="380">
        <v>16</v>
      </c>
      <c r="N6" s="380">
        <v>91593</v>
      </c>
      <c r="O6" s="380">
        <v>1159259</v>
      </c>
      <c r="P6" s="381">
        <v>8197052</v>
      </c>
      <c r="Q6" s="31" t="s">
        <v>27</v>
      </c>
      <c r="R6" s="376">
        <f>IF(表1_86121822242630[[#This Row],[目标国家]]="魏",0,IF(表1_86121822242630[[#This Row],[目标国家]]="蜀",1,2))</f>
        <v>2</v>
      </c>
      <c r="S6" s="380">
        <v>10148</v>
      </c>
      <c r="T6" s="380">
        <v>196</v>
      </c>
      <c r="U6" s="380">
        <v>245373</v>
      </c>
      <c r="V6" s="380">
        <v>4806</v>
      </c>
      <c r="W6" s="387" t="str">
        <f>"{"&amp;"'coin':"&amp;表1_86121822242630[[#This Row],[补偿Coin]]&amp;",'"&amp;配置!$A$2&amp;"':"&amp;表1_86121822242630[[#This Row],[补偿辎重]]&amp;"},"</f>
        <v>{'coin':1500,'item036':15},</v>
      </c>
      <c r="X6" s="388" t="str">
        <f>"            'to_zone':'"&amp;表1_86121822242630[[#This Row],[目标区服]]&amp;"',
            'reward':"&amp;表1_86121822242630[[#This Row],[辅助导出]]&amp;"
            'country':["&amp;R5&amp;","&amp;R6&amp;","&amp;R7&amp;"],"</f>
        <v>            'to_zone':'h1_5001',
            'reward':{'coin':1500,'item036':15},
            'country':[0,2,1],</v>
      </c>
    </row>
    <row r="7" s="354" customFormat="1" ht="14.25" customHeight="1" spans="1:24">
      <c r="A7" s="371">
        <v>5002</v>
      </c>
      <c r="B7" s="371">
        <f>VLOOKUP(表1_86121822242630[[#This Row],[区服]],$O$26:$P$33,2,FALSE)</f>
        <v>39</v>
      </c>
      <c r="C7" s="372" t="s">
        <v>69</v>
      </c>
      <c r="D7" s="376" t="str">
        <f>表1_86121822242630[[#This Row],[目标国家]]</f>
        <v>蜀</v>
      </c>
      <c r="E7" s="380">
        <f>(VLOOKUP(表1_86121822242630[[#This Row],[目标区服]],$Q$26:$R$29,2,FALSE)-表1_86121822242630[[#This Row],[开服天数]])*配置!$B$1</f>
        <v>1500</v>
      </c>
      <c r="F7" s="380">
        <f>表1_86121822242630[[#This Row],[补偿Coin]]*(表1_86121822242630[[#This Row],[活跃高战玩家数]]+表1_86121822242630[[#This Row],[活跃中坚玩家数]])</f>
        <v>27000</v>
      </c>
      <c r="G7" s="380">
        <f>(VLOOKUP(表1_86121822242630[[#This Row],[目标区服]],$Q$26:$R$29,2,FALSE)-表1_86121822242630[[#This Row],[开服天数]])*配置!$B$2</f>
        <v>15</v>
      </c>
      <c r="H7" s="376" t="s">
        <v>27</v>
      </c>
      <c r="I7" s="376">
        <f>IF(表1_86121822242630[[#This Row],[原国家]]="魏",0,IF(表1_86121822242630[[#This Row],[原国家]]="蜀",1,2))</f>
        <v>2</v>
      </c>
      <c r="J7" s="380">
        <v>4</v>
      </c>
      <c r="K7" s="380">
        <v>150</v>
      </c>
      <c r="L7" s="380">
        <v>4</v>
      </c>
      <c r="M7" s="380">
        <v>14</v>
      </c>
      <c r="N7" s="380">
        <v>108767</v>
      </c>
      <c r="O7" s="380">
        <v>1937877</v>
      </c>
      <c r="P7" s="381">
        <v>11394823</v>
      </c>
      <c r="Q7" s="31" t="s">
        <v>26</v>
      </c>
      <c r="R7" s="376">
        <f>IF(表1_86121822242630[[#This Row],[目标国家]]="魏",0,IF(表1_86121822242630[[#This Row],[目标国家]]="蜀",1,2))</f>
        <v>1</v>
      </c>
      <c r="S7" s="380">
        <v>57230</v>
      </c>
      <c r="T7" s="380">
        <v>4586</v>
      </c>
      <c r="U7" s="380">
        <v>171025</v>
      </c>
      <c r="V7" s="380">
        <v>7369</v>
      </c>
      <c r="W7" s="387" t="str">
        <f>"{"&amp;"'coin':"&amp;表1_86121822242630[[#This Row],[补偿Coin]]&amp;",'"&amp;配置!$A$2&amp;"':"&amp;表1_86121822242630[[#This Row],[补偿辎重]]&amp;"},"</f>
        <v>{'coin':1500,'item036':15},</v>
      </c>
      <c r="X7" s="388" t="str">
        <f t="shared" ref="X7" si="0">"      },"</f>
        <v>      },</v>
      </c>
    </row>
    <row r="8" s="354" customFormat="1" ht="14.25" customHeight="1" spans="1:24">
      <c r="A8" s="375">
        <v>5003</v>
      </c>
      <c r="B8" s="371">
        <f>VLOOKUP(表1_86121822242630[[#This Row],[区服]],$O$26:$P$33,2,FALSE)</f>
        <v>38</v>
      </c>
      <c r="C8" s="372" t="s">
        <v>69</v>
      </c>
      <c r="D8" s="376" t="str">
        <f>表1_86121822242630[[#This Row],[目标国家]]</f>
        <v>魏</v>
      </c>
      <c r="E8" s="380">
        <f>(VLOOKUP(表1_86121822242630[[#This Row],[目标区服]],$Q$26:$R$29,2,FALSE)-表1_86121822242630[[#This Row],[开服天数]])*配置!$B$1</f>
        <v>2000</v>
      </c>
      <c r="F8" s="380">
        <f>表1_86121822242630[[#This Row],[补偿Coin]]*(表1_86121822242630[[#This Row],[活跃高战玩家数]]+表1_86121822242630[[#This Row],[活跃中坚玩家数]])</f>
        <v>14000</v>
      </c>
      <c r="G8" s="380">
        <f>(VLOOKUP(表1_86121822242630[[#This Row],[目标区服]],$Q$26:$R$29,2,FALSE)-表1_86121822242630[[#This Row],[开服天数]])*配置!$B$2</f>
        <v>20</v>
      </c>
      <c r="H8" s="376" t="s">
        <v>25</v>
      </c>
      <c r="I8" s="376">
        <f>IF(表1_86121822242630[[#This Row],[原国家]]="魏",0,IF(表1_86121822242630[[#This Row],[原国家]]="蜀",1,2))</f>
        <v>0</v>
      </c>
      <c r="J8" s="380">
        <v>3</v>
      </c>
      <c r="K8" s="380">
        <v>207</v>
      </c>
      <c r="L8" s="380">
        <v>5</v>
      </c>
      <c r="M8" s="380">
        <v>2</v>
      </c>
      <c r="N8" s="380">
        <v>59464</v>
      </c>
      <c r="O8" s="380">
        <v>1033290</v>
      </c>
      <c r="P8" s="381">
        <v>3613676</v>
      </c>
      <c r="Q8" s="31" t="s">
        <v>25</v>
      </c>
      <c r="R8" s="376">
        <f>IF(表1_86121822242630[[#This Row],[目标国家]]="魏",0,IF(表1_86121822242630[[#This Row],[目标国家]]="蜀",1,2))</f>
        <v>0</v>
      </c>
      <c r="S8" s="380">
        <v>6390</v>
      </c>
      <c r="T8" s="380">
        <v>0</v>
      </c>
      <c r="U8" s="380">
        <v>121047</v>
      </c>
      <c r="V8" s="380">
        <v>4314</v>
      </c>
      <c r="W8" s="387" t="str">
        <f>"{"&amp;"'coin':"&amp;表1_86121822242630[[#This Row],[补偿Coin]]&amp;",'"&amp;配置!$A$2&amp;"':"&amp;表1_86121822242630[[#This Row],[补偿辎重]]&amp;"},"</f>
        <v>{'coin':2000,'item036':20},</v>
      </c>
      <c r="X8" s="388" t="str">
        <f>"      '"&amp;表1_86121822242630[[#This Row],[区服]]&amp;"':{"</f>
        <v>      '5003':{</v>
      </c>
    </row>
    <row r="9" s="354" customFormat="1" ht="14.25" customHeight="1" spans="1:24">
      <c r="A9" s="371">
        <v>5003</v>
      </c>
      <c r="B9" s="371">
        <f>VLOOKUP(表1_86121822242630[[#This Row],[区服]],$O$26:$P$33,2,FALSE)</f>
        <v>38</v>
      </c>
      <c r="C9" s="372" t="s">
        <v>69</v>
      </c>
      <c r="D9" s="376" t="str">
        <f>表1_86121822242630[[#This Row],[目标国家]]</f>
        <v>蜀</v>
      </c>
      <c r="E9" s="380">
        <f>(VLOOKUP(表1_86121822242630[[#This Row],[目标区服]],$Q$26:$R$29,2,FALSE)-表1_86121822242630[[#This Row],[开服天数]])*配置!$B$1</f>
        <v>2000</v>
      </c>
      <c r="F9" s="380">
        <f>表1_86121822242630[[#This Row],[补偿Coin]]*(表1_86121822242630[[#This Row],[活跃高战玩家数]]+表1_86121822242630[[#This Row],[活跃中坚玩家数]])</f>
        <v>6000</v>
      </c>
      <c r="G9" s="380">
        <f>(VLOOKUP(表1_86121822242630[[#This Row],[目标区服]],$Q$26:$R$29,2,FALSE)-表1_86121822242630[[#This Row],[开服天数]])*配置!$B$2</f>
        <v>20</v>
      </c>
      <c r="H9" s="376" t="s">
        <v>26</v>
      </c>
      <c r="I9" s="376">
        <f>IF(表1_86121822242630[[#This Row],[原国家]]="魏",0,IF(表1_86121822242630[[#This Row],[原国家]]="蜀",1,2))</f>
        <v>1</v>
      </c>
      <c r="J9" s="380">
        <v>3</v>
      </c>
      <c r="K9" s="380">
        <v>79</v>
      </c>
      <c r="L9" s="380">
        <v>1</v>
      </c>
      <c r="M9" s="380">
        <v>2</v>
      </c>
      <c r="N9" s="380">
        <v>24034</v>
      </c>
      <c r="O9" s="380">
        <v>413704</v>
      </c>
      <c r="P9" s="381">
        <v>936937</v>
      </c>
      <c r="Q9" s="31" t="s">
        <v>26</v>
      </c>
      <c r="R9" s="376">
        <f>IF(表1_86121822242630[[#This Row],[目标国家]]="魏",0,IF(表1_86121822242630[[#This Row],[目标国家]]="蜀",1,2))</f>
        <v>1</v>
      </c>
      <c r="S9" s="380">
        <v>1758</v>
      </c>
      <c r="T9" s="380">
        <v>0</v>
      </c>
      <c r="U9" s="380">
        <v>38753</v>
      </c>
      <c r="V9" s="380">
        <v>1789</v>
      </c>
      <c r="W9" s="387" t="str">
        <f>"{"&amp;"'coin':"&amp;表1_86121822242630[[#This Row],[补偿Coin]]&amp;",'"&amp;配置!$A$2&amp;"':"&amp;表1_86121822242630[[#This Row],[补偿辎重]]&amp;"},"</f>
        <v>{'coin':2000,'item036':20},</v>
      </c>
      <c r="X9" s="388" t="str">
        <f>"            'to_zone':'"&amp;表1_86121822242630[[#This Row],[目标区服]]&amp;"',
            'reward':"&amp;表1_86121822242630[[#This Row],[辅助导出]]&amp;"
            'country':["&amp;R8&amp;","&amp;R9&amp;","&amp;R10&amp;"],"</f>
        <v>            'to_zone':'h1_5001',
            'reward':{'coin':2000,'item036':20},
            'country':[0,1,2],</v>
      </c>
    </row>
    <row r="10" s="354" customFormat="1" ht="14.25" customHeight="1" spans="1:24">
      <c r="A10" s="371">
        <v>5003</v>
      </c>
      <c r="B10" s="371">
        <f>VLOOKUP(表1_86121822242630[[#This Row],[区服]],$O$26:$P$33,2,FALSE)</f>
        <v>38</v>
      </c>
      <c r="C10" s="372" t="s">
        <v>69</v>
      </c>
      <c r="D10" s="376" t="str">
        <f>表1_86121822242630[[#This Row],[目标国家]]</f>
        <v>吴</v>
      </c>
      <c r="E10" s="380">
        <f>(VLOOKUP(表1_86121822242630[[#This Row],[目标区服]],$Q$26:$R$29,2,FALSE)-表1_86121822242630[[#This Row],[开服天数]])*配置!$B$1</f>
        <v>2000</v>
      </c>
      <c r="F10" s="380">
        <f>表1_86121822242630[[#This Row],[补偿Coin]]*(表1_86121822242630[[#This Row],[活跃高战玩家数]]+表1_86121822242630[[#This Row],[活跃中坚玩家数]])</f>
        <v>4000</v>
      </c>
      <c r="G10" s="380">
        <f>(VLOOKUP(表1_86121822242630[[#This Row],[目标区服]],$Q$26:$R$29,2,FALSE)-表1_86121822242630[[#This Row],[开服天数]])*配置!$B$2</f>
        <v>20</v>
      </c>
      <c r="H10" s="376" t="s">
        <v>27</v>
      </c>
      <c r="I10" s="376">
        <f>IF(表1_86121822242630[[#This Row],[原国家]]="魏",0,IF(表1_86121822242630[[#This Row],[原国家]]="蜀",1,2))</f>
        <v>2</v>
      </c>
      <c r="J10" s="380">
        <v>3</v>
      </c>
      <c r="K10" s="380">
        <v>109</v>
      </c>
      <c r="L10" s="380">
        <v>1</v>
      </c>
      <c r="M10" s="380">
        <v>1</v>
      </c>
      <c r="N10" s="380">
        <v>16165</v>
      </c>
      <c r="O10" s="380">
        <v>428922</v>
      </c>
      <c r="P10" s="381">
        <v>888206</v>
      </c>
      <c r="Q10" s="31" t="s">
        <v>27</v>
      </c>
      <c r="R10" s="376">
        <f>IF(表1_86121822242630[[#This Row],[目标国家]]="魏",0,IF(表1_86121822242630[[#This Row],[目标国家]]="蜀",1,2))</f>
        <v>2</v>
      </c>
      <c r="S10" s="380">
        <v>3944</v>
      </c>
      <c r="T10" s="380">
        <v>0</v>
      </c>
      <c r="U10" s="380">
        <v>17554</v>
      </c>
      <c r="V10" s="380">
        <v>2115</v>
      </c>
      <c r="W10" s="387" t="str">
        <f>"{"&amp;"'coin':"&amp;表1_86121822242630[[#This Row],[补偿Coin]]&amp;",'"&amp;配置!$A$2&amp;"':"&amp;表1_86121822242630[[#This Row],[补偿辎重]]&amp;"},"</f>
        <v>{'coin':2000,'item036':20},</v>
      </c>
      <c r="X10" s="388" t="str">
        <f t="shared" ref="X10" si="1">"      },"</f>
        <v>      },</v>
      </c>
    </row>
    <row r="11" s="354" customFormat="1" ht="14.25" customHeight="1" spans="1:24">
      <c r="A11" s="259"/>
      <c r="B11" s="210" t="e">
        <f>VLOOKUP(表1_86121822242630[[#This Row],[区服]],$O$26:$P$33,2,FALSE)</f>
        <v>#N/A</v>
      </c>
      <c r="C11" s="296"/>
      <c r="D11" s="212" t="str">
        <f>表1_86121822242630[[#This Row],[目标国家]]</f>
        <v>魏</v>
      </c>
      <c r="E11" s="213" t="e">
        <f>(VLOOKUP(表1_86121822242630[[#This Row],[目标区服]],$Q$26:$R$29,2,FALSE)-表1_86121822242630[[#This Row],[开服天数]])*配置!$B$1</f>
        <v>#N/A</v>
      </c>
      <c r="F11" s="213" t="e">
        <f>表1_86121822242630[[#This Row],[补偿Coin]]*(表1_86121822242630[[#This Row],[活跃高战玩家数]]+表1_86121822242630[[#This Row],[活跃中坚玩家数]])</f>
        <v>#N/A</v>
      </c>
      <c r="G11" s="260" t="e">
        <f>(VLOOKUP(表1_86121822242630[[#This Row],[目标区服]],$Q$26:$R$29,2,FALSE)-表1_86121822242630[[#This Row],[开服天数]])*配置!$B$2</f>
        <v>#N/A</v>
      </c>
      <c r="H11" s="212" t="s">
        <v>25</v>
      </c>
      <c r="I11" s="268">
        <f>IF(表1_86121822242630[[#This Row],[原国家]]="魏",0,IF(表1_86121822242630[[#This Row],[原国家]]="蜀",1,2))</f>
        <v>0</v>
      </c>
      <c r="J11" s="213"/>
      <c r="K11" s="213"/>
      <c r="L11" s="213"/>
      <c r="M11" s="213"/>
      <c r="N11" s="213"/>
      <c r="O11" s="419"/>
      <c r="P11" s="420"/>
      <c r="Q11" s="31" t="s">
        <v>25</v>
      </c>
      <c r="R11" s="212">
        <f>IF(表1_86121822242630[[#This Row],[目标国家]]="魏",0,IF(表1_86121822242630[[#This Row],[目标国家]]="蜀",1,2))</f>
        <v>0</v>
      </c>
      <c r="S11" s="213"/>
      <c r="T11" s="213"/>
      <c r="U11" s="213"/>
      <c r="V11" s="213"/>
      <c r="W11" s="278" t="e">
        <f>"{"&amp;"'coin':"&amp;表1_86121822242630[[#This Row],[补偿Coin]]&amp;",'"&amp;配置!$A$2&amp;"':"&amp;表1_86121822242630[[#This Row],[补偿辎重]]&amp;"},"</f>
        <v>#N/A</v>
      </c>
      <c r="X11" s="278" t="str">
        <f>"      '"&amp;表1_86121822242630[[#This Row],[区服]]&amp;"':{"</f>
        <v>      '':{</v>
      </c>
    </row>
    <row r="12" s="354" customFormat="1" ht="14.25" customHeight="1" spans="1:24">
      <c r="A12" s="259"/>
      <c r="B12" s="210" t="e">
        <f>VLOOKUP(表1_86121822242630[[#This Row],[区服]],$O$26:$P$33,2,FALSE)</f>
        <v>#N/A</v>
      </c>
      <c r="C12" s="296"/>
      <c r="D12" s="212" t="str">
        <f>表1_86121822242630[[#This Row],[目标国家]]</f>
        <v>蜀</v>
      </c>
      <c r="E12" s="213" t="e">
        <f>(VLOOKUP(表1_86121822242630[[#This Row],[目标区服]],$Q$26:$R$29,2,FALSE)-表1_86121822242630[[#This Row],[开服天数]])*配置!$B$1</f>
        <v>#N/A</v>
      </c>
      <c r="F12" s="213" t="e">
        <f>表1_86121822242630[[#This Row],[补偿Coin]]*(表1_86121822242630[[#This Row],[活跃高战玩家数]]+表1_86121822242630[[#This Row],[活跃中坚玩家数]])</f>
        <v>#N/A</v>
      </c>
      <c r="G12" s="260" t="e">
        <f>(VLOOKUP(表1_86121822242630[[#This Row],[目标区服]],$Q$26:$R$29,2,FALSE)-表1_86121822242630[[#This Row],[开服天数]])*配置!$B$2</f>
        <v>#N/A</v>
      </c>
      <c r="H12" s="212" t="s">
        <v>26</v>
      </c>
      <c r="I12" s="268">
        <f>IF(表1_86121822242630[[#This Row],[原国家]]="魏",0,IF(表1_86121822242630[[#This Row],[原国家]]="蜀",1,2))</f>
        <v>1</v>
      </c>
      <c r="J12" s="213"/>
      <c r="K12" s="213"/>
      <c r="L12" s="213"/>
      <c r="M12" s="213"/>
      <c r="N12" s="213"/>
      <c r="O12" s="419"/>
      <c r="P12" s="420"/>
      <c r="Q12" s="31" t="s">
        <v>26</v>
      </c>
      <c r="R12" s="212">
        <f>IF(表1_86121822242630[[#This Row],[目标国家]]="魏",0,IF(表1_86121822242630[[#This Row],[目标国家]]="蜀",1,2))</f>
        <v>1</v>
      </c>
      <c r="S12" s="213"/>
      <c r="T12" s="213"/>
      <c r="U12" s="213"/>
      <c r="V12" s="213"/>
      <c r="W12" s="278" t="e">
        <f>"{"&amp;"'coin':"&amp;表1_86121822242630[[#This Row],[补偿Coin]]&amp;",'"&amp;配置!$A$2&amp;"':"&amp;表1_86121822242630[[#This Row],[补偿辎重]]&amp;"},"</f>
        <v>#N/A</v>
      </c>
      <c r="X12" s="278" t="e">
        <f>"            'to_zone':'"&amp;表1_86121822242630[[#This Row],[目标区服]]&amp;"',
            'reward':"&amp;表1_86121822242630[[#This Row],[辅助导出]]&amp;"
            'country':["&amp;R11&amp;","&amp;R12&amp;","&amp;R13&amp;"],"</f>
        <v>#N/A</v>
      </c>
    </row>
    <row r="13" s="354" customFormat="1" ht="14.25" customHeight="1" spans="1:24">
      <c r="A13" s="259"/>
      <c r="B13" s="210" t="e">
        <f>VLOOKUP(表1_86121822242630[[#This Row],[区服]],$O$26:$P$33,2,FALSE)</f>
        <v>#N/A</v>
      </c>
      <c r="C13" s="296"/>
      <c r="D13" s="212" t="str">
        <f>表1_86121822242630[[#This Row],[目标国家]]</f>
        <v>吴</v>
      </c>
      <c r="E13" s="213" t="e">
        <f>(VLOOKUP(表1_86121822242630[[#This Row],[目标区服]],$Q$26:$R$29,2,FALSE)-表1_86121822242630[[#This Row],[开服天数]])*配置!$B$1</f>
        <v>#N/A</v>
      </c>
      <c r="F13" s="213" t="e">
        <f>表1_86121822242630[[#This Row],[补偿Coin]]*(表1_86121822242630[[#This Row],[活跃高战玩家数]]+表1_86121822242630[[#This Row],[活跃中坚玩家数]])</f>
        <v>#N/A</v>
      </c>
      <c r="G13" s="260" t="e">
        <f>(VLOOKUP(表1_86121822242630[[#This Row],[目标区服]],$Q$26:$R$29,2,FALSE)-表1_86121822242630[[#This Row],[开服天数]])*配置!$B$2</f>
        <v>#N/A</v>
      </c>
      <c r="H13" s="212" t="s">
        <v>27</v>
      </c>
      <c r="I13" s="268">
        <f>IF(表1_86121822242630[[#This Row],[原国家]]="魏",0,IF(表1_86121822242630[[#This Row],[原国家]]="蜀",1,2))</f>
        <v>2</v>
      </c>
      <c r="J13" s="213"/>
      <c r="K13" s="213"/>
      <c r="L13" s="213"/>
      <c r="M13" s="213"/>
      <c r="N13" s="213"/>
      <c r="O13" s="419"/>
      <c r="P13" s="420"/>
      <c r="Q13" s="31" t="s">
        <v>27</v>
      </c>
      <c r="R13" s="212">
        <f>IF(表1_86121822242630[[#This Row],[目标国家]]="魏",0,IF(表1_86121822242630[[#This Row],[目标国家]]="蜀",1,2))</f>
        <v>2</v>
      </c>
      <c r="S13" s="213"/>
      <c r="T13" s="213"/>
      <c r="U13" s="213"/>
      <c r="V13" s="213"/>
      <c r="W13" s="278" t="e">
        <f>"{"&amp;"'coin':"&amp;表1_86121822242630[[#This Row],[补偿Coin]]&amp;",'"&amp;配置!$A$2&amp;"':"&amp;表1_86121822242630[[#This Row],[补偿辎重]]&amp;"},"</f>
        <v>#N/A</v>
      </c>
      <c r="X13" s="278" t="str">
        <f t="shared" ref="X13" si="2">"      },"</f>
        <v>      },</v>
      </c>
    </row>
    <row r="14" ht="14.25" customHeight="1" spans="1:24">
      <c r="A14" s="17"/>
      <c r="B14" s="17" t="e">
        <f>VLOOKUP(表1_86121822242630[[#This Row],[区服]],$O$26:$P$33,2,FALSE)</f>
        <v>#N/A</v>
      </c>
      <c r="C14" s="18"/>
      <c r="D14" s="19" t="str">
        <f>表1_86121822242630[[#This Row],[目标国家]]</f>
        <v>魏</v>
      </c>
      <c r="E14" s="20" t="e">
        <f>(VLOOKUP(表1_86121822242630[[#This Row],[目标区服]],$Q$26:$R$29,2,FALSE)-表1_86121822242630[[#This Row],[开服天数]])*配置!$B$1</f>
        <v>#N/A</v>
      </c>
      <c r="F14" s="20" t="e">
        <f>表1_86121822242630[[#This Row],[补偿Coin]]*(表1_86121822242630[[#This Row],[活跃高战玩家数]]+表1_86121822242630[[#This Row],[活跃中坚玩家数]])</f>
        <v>#N/A</v>
      </c>
      <c r="G14" s="20" t="e">
        <f>(VLOOKUP(表1_86121822242630[[#This Row],[目标区服]],$Q$26:$R$29,2,FALSE)-表1_86121822242630[[#This Row],[开服天数]])*配置!$B$2</f>
        <v>#N/A</v>
      </c>
      <c r="H14" s="19" t="s">
        <v>25</v>
      </c>
      <c r="I14" s="19">
        <f>IF(表1_86121822242630[[#This Row],[原国家]]="魏",0,IF(表1_86121822242630[[#This Row],[原国家]]="蜀",1,2))</f>
        <v>0</v>
      </c>
      <c r="J14" s="20"/>
      <c r="K14" s="20"/>
      <c r="L14" s="20"/>
      <c r="M14" s="20"/>
      <c r="N14" s="20"/>
      <c r="O14" s="20"/>
      <c r="P14" s="26"/>
      <c r="Q14" s="31" t="s">
        <v>25</v>
      </c>
      <c r="R14" s="19">
        <f>IF(表1_86121822242630[[#This Row],[目标国家]]="魏",0,IF(表1_86121822242630[[#This Row],[目标国家]]="蜀",1,2))</f>
        <v>0</v>
      </c>
      <c r="S14" s="20"/>
      <c r="T14" s="20"/>
      <c r="U14" s="20"/>
      <c r="V14" s="20"/>
      <c r="W14" s="33" t="e">
        <f>"{"&amp;"'coin':"&amp;表1_86121822242630[[#This Row],[补偿Coin]]&amp;",'"&amp;配置!$A$2&amp;"':"&amp;表1_86121822242630[[#This Row],[补偿辎重]]&amp;"},"</f>
        <v>#N/A</v>
      </c>
      <c r="X14" s="34" t="str">
        <f>"      '"&amp;表1_86121822242630[[#This Row],[区服]]&amp;"':{"</f>
        <v>      '':{</v>
      </c>
    </row>
    <row r="15" ht="14.25" customHeight="1" spans="1:24">
      <c r="A15" s="17"/>
      <c r="B15" s="17" t="e">
        <f>VLOOKUP(表1_86121822242630[[#This Row],[区服]],$O$26:$P$33,2,FALSE)</f>
        <v>#N/A</v>
      </c>
      <c r="C15" s="18"/>
      <c r="D15" s="19" t="str">
        <f>表1_86121822242630[[#This Row],[目标国家]]</f>
        <v>蜀</v>
      </c>
      <c r="E15" s="20" t="e">
        <f>(VLOOKUP(表1_86121822242630[[#This Row],[目标区服]],$Q$26:$R$29,2,FALSE)-表1_86121822242630[[#This Row],[开服天数]])*配置!$B$1</f>
        <v>#N/A</v>
      </c>
      <c r="F15" s="20" t="e">
        <f>表1_86121822242630[[#This Row],[补偿Coin]]*(表1_86121822242630[[#This Row],[活跃高战玩家数]]+表1_86121822242630[[#This Row],[活跃中坚玩家数]])</f>
        <v>#N/A</v>
      </c>
      <c r="G15" s="20" t="e">
        <f>(VLOOKUP(表1_86121822242630[[#This Row],[目标区服]],$Q$26:$R$29,2,FALSE)-表1_86121822242630[[#This Row],[开服天数]])*配置!$B$2</f>
        <v>#N/A</v>
      </c>
      <c r="H15" s="19" t="s">
        <v>26</v>
      </c>
      <c r="I15" s="19">
        <f>IF(表1_86121822242630[[#This Row],[原国家]]="魏",0,IF(表1_86121822242630[[#This Row],[原国家]]="蜀",1,2))</f>
        <v>1</v>
      </c>
      <c r="J15" s="20"/>
      <c r="K15" s="20"/>
      <c r="L15" s="20"/>
      <c r="M15" s="20"/>
      <c r="N15" s="20"/>
      <c r="O15" s="20"/>
      <c r="P15" s="26"/>
      <c r="Q15" s="31" t="s">
        <v>26</v>
      </c>
      <c r="R15" s="19">
        <f>IF(表1_86121822242630[[#This Row],[目标国家]]="魏",0,IF(表1_86121822242630[[#This Row],[目标国家]]="蜀",1,2))</f>
        <v>1</v>
      </c>
      <c r="S15" s="20"/>
      <c r="T15" s="20"/>
      <c r="U15" s="20"/>
      <c r="V15" s="20"/>
      <c r="W15" s="33" t="e">
        <f>"{"&amp;"'coin':"&amp;表1_86121822242630[[#This Row],[补偿Coin]]&amp;",'"&amp;配置!$A$2&amp;"':"&amp;表1_86121822242630[[#This Row],[补偿辎重]]&amp;"},"</f>
        <v>#N/A</v>
      </c>
      <c r="X15" s="34" t="e">
        <f>"            'to_zone':'"&amp;表1_86121822242630[[#This Row],[目标区服]]&amp;"',
            'reward':"&amp;表1_86121822242630[[#This Row],[辅助导出]]&amp;"
            'country':["&amp;R14&amp;","&amp;R15&amp;","&amp;R16&amp;"],"</f>
        <v>#N/A</v>
      </c>
    </row>
    <row r="16" ht="14.25" customHeight="1" spans="1:24">
      <c r="A16" s="17"/>
      <c r="B16" s="17" t="e">
        <f>VLOOKUP(表1_86121822242630[[#This Row],[区服]],$O$26:$P$33,2,FALSE)</f>
        <v>#N/A</v>
      </c>
      <c r="C16" s="18"/>
      <c r="D16" s="19" t="str">
        <f>表1_86121822242630[[#This Row],[目标国家]]</f>
        <v>吴</v>
      </c>
      <c r="E16" s="20" t="e">
        <f>(VLOOKUP(表1_86121822242630[[#This Row],[目标区服]],$Q$26:$R$29,2,FALSE)-表1_86121822242630[[#This Row],[开服天数]])*配置!$B$1</f>
        <v>#N/A</v>
      </c>
      <c r="F16" s="20" t="e">
        <f>表1_86121822242630[[#This Row],[补偿Coin]]*(表1_86121822242630[[#This Row],[活跃高战玩家数]]+表1_86121822242630[[#This Row],[活跃中坚玩家数]])</f>
        <v>#N/A</v>
      </c>
      <c r="G16" s="20" t="e">
        <f>(VLOOKUP(表1_86121822242630[[#This Row],[目标区服]],$Q$26:$R$29,2,FALSE)-表1_86121822242630[[#This Row],[开服天数]])*配置!$B$2</f>
        <v>#N/A</v>
      </c>
      <c r="H16" s="19" t="s">
        <v>27</v>
      </c>
      <c r="I16" s="19">
        <f>IF(表1_86121822242630[[#This Row],[原国家]]="魏",0,IF(表1_86121822242630[[#This Row],[原国家]]="蜀",1,2))</f>
        <v>2</v>
      </c>
      <c r="J16" s="20"/>
      <c r="K16" s="20"/>
      <c r="L16" s="20"/>
      <c r="M16" s="20"/>
      <c r="N16" s="20"/>
      <c r="O16" s="20"/>
      <c r="P16" s="26"/>
      <c r="Q16" s="31" t="s">
        <v>27</v>
      </c>
      <c r="R16" s="19">
        <f>IF(表1_86121822242630[[#This Row],[目标国家]]="魏",0,IF(表1_86121822242630[[#This Row],[目标国家]]="蜀",1,2))</f>
        <v>2</v>
      </c>
      <c r="S16" s="20"/>
      <c r="T16" s="20"/>
      <c r="U16" s="20"/>
      <c r="V16" s="20"/>
      <c r="W16" s="33" t="e">
        <f>"{"&amp;"'coin':"&amp;表1_86121822242630[[#This Row],[补偿Coin]]&amp;",'"&amp;配置!$A$2&amp;"':"&amp;表1_86121822242630[[#This Row],[补偿辎重]]&amp;"},"</f>
        <v>#N/A</v>
      </c>
      <c r="X16" s="34" t="str">
        <f t="shared" ref="X16" si="3">"      },"</f>
        <v>      },</v>
      </c>
    </row>
    <row r="17" ht="14.25" customHeight="1" spans="1:24">
      <c r="A17" s="17"/>
      <c r="B17" s="17" t="e">
        <f>VLOOKUP(表1_86121822242630[[#This Row],[区服]],$O$26:$P$33,2,FALSE)</f>
        <v>#N/A</v>
      </c>
      <c r="C17" s="18"/>
      <c r="D17" s="19" t="str">
        <f>表1_86121822242630[[#This Row],[目标国家]]</f>
        <v>魏</v>
      </c>
      <c r="E17" s="20" t="e">
        <f>(VLOOKUP(表1_86121822242630[[#This Row],[目标区服]],$Q$26:$R$29,2,FALSE)-表1_86121822242630[[#This Row],[开服天数]])*配置!$B$1</f>
        <v>#N/A</v>
      </c>
      <c r="F17" s="20" t="e">
        <f>表1_86121822242630[[#This Row],[补偿Coin]]*(表1_86121822242630[[#This Row],[活跃高战玩家数]]+表1_86121822242630[[#This Row],[活跃中坚玩家数]])</f>
        <v>#N/A</v>
      </c>
      <c r="G17" s="20" t="e">
        <f>(VLOOKUP(表1_86121822242630[[#This Row],[目标区服]],$Q$26:$R$29,2,FALSE)-表1_86121822242630[[#This Row],[开服天数]])*配置!$B$2</f>
        <v>#N/A</v>
      </c>
      <c r="H17" s="19" t="s">
        <v>25</v>
      </c>
      <c r="I17" s="19">
        <f>IF(表1_86121822242630[[#This Row],[原国家]]="魏",0,IF(表1_86121822242630[[#This Row],[原国家]]="蜀",1,2))</f>
        <v>0</v>
      </c>
      <c r="J17" s="20"/>
      <c r="K17" s="20"/>
      <c r="L17" s="20"/>
      <c r="M17" s="20"/>
      <c r="N17" s="20"/>
      <c r="O17" s="20"/>
      <c r="P17" s="26"/>
      <c r="Q17" s="31" t="s">
        <v>25</v>
      </c>
      <c r="R17" s="19">
        <f>IF(表1_86121822242630[[#This Row],[目标国家]]="魏",0,IF(表1_86121822242630[[#This Row],[目标国家]]="蜀",1,2))</f>
        <v>0</v>
      </c>
      <c r="S17" s="20"/>
      <c r="T17" s="20"/>
      <c r="U17" s="20"/>
      <c r="V17" s="20"/>
      <c r="W17" s="33" t="e">
        <f>"{"&amp;"'coin':"&amp;表1_86121822242630[[#This Row],[补偿Coin]]&amp;",'"&amp;配置!$A$2&amp;"':"&amp;表1_86121822242630[[#This Row],[补偿辎重]]&amp;"},"</f>
        <v>#N/A</v>
      </c>
      <c r="X17" s="34" t="str">
        <f>"      '"&amp;表1_86121822242630[[#This Row],[区服]]&amp;"':{"</f>
        <v>      '':{</v>
      </c>
    </row>
    <row r="18" ht="14.25" customHeight="1" spans="1:24">
      <c r="A18" s="17"/>
      <c r="B18" s="17" t="e">
        <f>VLOOKUP(表1_86121822242630[[#This Row],[区服]],$O$26:$P$33,2,FALSE)</f>
        <v>#N/A</v>
      </c>
      <c r="C18" s="18"/>
      <c r="D18" s="19" t="str">
        <f>表1_86121822242630[[#This Row],[目标国家]]</f>
        <v>蜀</v>
      </c>
      <c r="E18" s="20" t="e">
        <f>(VLOOKUP(表1_86121822242630[[#This Row],[目标区服]],$Q$26:$R$29,2,FALSE)-表1_86121822242630[[#This Row],[开服天数]])*配置!$B$1</f>
        <v>#N/A</v>
      </c>
      <c r="F18" s="20" t="e">
        <f>表1_86121822242630[[#This Row],[补偿Coin]]*(表1_86121822242630[[#This Row],[活跃高战玩家数]]+表1_86121822242630[[#This Row],[活跃中坚玩家数]])</f>
        <v>#N/A</v>
      </c>
      <c r="G18" s="20" t="e">
        <f>(VLOOKUP(表1_86121822242630[[#This Row],[目标区服]],$Q$26:$R$29,2,FALSE)-表1_86121822242630[[#This Row],[开服天数]])*配置!$B$2</f>
        <v>#N/A</v>
      </c>
      <c r="H18" s="19" t="s">
        <v>26</v>
      </c>
      <c r="I18" s="19">
        <f>IF(表1_86121822242630[[#This Row],[原国家]]="魏",0,IF(表1_86121822242630[[#This Row],[原国家]]="蜀",1,2))</f>
        <v>1</v>
      </c>
      <c r="J18" s="20"/>
      <c r="K18" s="20"/>
      <c r="L18" s="20"/>
      <c r="M18" s="20"/>
      <c r="N18" s="20"/>
      <c r="O18" s="20"/>
      <c r="P18" s="26"/>
      <c r="Q18" s="31" t="s">
        <v>26</v>
      </c>
      <c r="R18" s="19">
        <f>IF(表1_86121822242630[[#This Row],[目标国家]]="魏",0,IF(表1_86121822242630[[#This Row],[目标国家]]="蜀",1,2))</f>
        <v>1</v>
      </c>
      <c r="S18" s="20"/>
      <c r="T18" s="20"/>
      <c r="U18" s="20"/>
      <c r="V18" s="20"/>
      <c r="W18" s="33" t="e">
        <f>"{"&amp;"'coin':"&amp;表1_86121822242630[[#This Row],[补偿Coin]]&amp;",'"&amp;配置!$A$2&amp;"':"&amp;表1_86121822242630[[#This Row],[补偿辎重]]&amp;"},"</f>
        <v>#N/A</v>
      </c>
      <c r="X18" s="34" t="e">
        <f>"            'to_zone':'"&amp;表1_86121822242630[[#This Row],[目标区服]]&amp;"',
            'reward':"&amp;表1_86121822242630[[#This Row],[辅助导出]]&amp;"
            'country':["&amp;R17&amp;","&amp;R18&amp;","&amp;R19&amp;"],"</f>
        <v>#N/A</v>
      </c>
    </row>
    <row r="19" ht="14.25" customHeight="1" spans="1:24">
      <c r="A19" s="17"/>
      <c r="B19" s="17" t="e">
        <f>VLOOKUP(表1_86121822242630[[#This Row],[区服]],$O$26:$P$33,2,FALSE)</f>
        <v>#N/A</v>
      </c>
      <c r="C19" s="18"/>
      <c r="D19" s="19" t="str">
        <f>表1_86121822242630[[#This Row],[目标国家]]</f>
        <v>吴</v>
      </c>
      <c r="E19" s="20" t="e">
        <f>(VLOOKUP(表1_86121822242630[[#This Row],[目标区服]],$Q$26:$R$29,2,FALSE)-表1_86121822242630[[#This Row],[开服天数]])*配置!$B$1</f>
        <v>#N/A</v>
      </c>
      <c r="F19" s="20" t="e">
        <f>表1_86121822242630[[#This Row],[补偿Coin]]*(表1_86121822242630[[#This Row],[活跃高战玩家数]]+表1_86121822242630[[#This Row],[活跃中坚玩家数]])</f>
        <v>#N/A</v>
      </c>
      <c r="G19" s="20" t="e">
        <f>(VLOOKUP(表1_86121822242630[[#This Row],[目标区服]],$Q$26:$R$29,2,FALSE)-表1_86121822242630[[#This Row],[开服天数]])*配置!$B$2</f>
        <v>#N/A</v>
      </c>
      <c r="H19" s="19" t="s">
        <v>27</v>
      </c>
      <c r="I19" s="19">
        <f>IF(表1_86121822242630[[#This Row],[原国家]]="魏",0,IF(表1_86121822242630[[#This Row],[原国家]]="蜀",1,2))</f>
        <v>2</v>
      </c>
      <c r="J19" s="20"/>
      <c r="K19" s="20"/>
      <c r="L19" s="20"/>
      <c r="M19" s="20"/>
      <c r="N19" s="20"/>
      <c r="O19" s="20"/>
      <c r="P19" s="26"/>
      <c r="Q19" s="31" t="s">
        <v>27</v>
      </c>
      <c r="R19" s="19">
        <f>IF(表1_86121822242630[[#This Row],[目标国家]]="魏",0,IF(表1_86121822242630[[#This Row],[目标国家]]="蜀",1,2))</f>
        <v>2</v>
      </c>
      <c r="S19" s="20"/>
      <c r="T19" s="20"/>
      <c r="U19" s="20"/>
      <c r="V19" s="20"/>
      <c r="W19" s="33" t="e">
        <f>"{"&amp;"'coin':"&amp;表1_86121822242630[[#This Row],[补偿Coin]]&amp;",'"&amp;配置!$A$2&amp;"':"&amp;表1_86121822242630[[#This Row],[补偿辎重]]&amp;"},"</f>
        <v>#N/A</v>
      </c>
      <c r="X19" s="34" t="str">
        <f t="shared" ref="X19" si="4">"      },"</f>
        <v>      },</v>
      </c>
    </row>
    <row r="20" ht="14.25" customHeight="1" spans="1:24">
      <c r="A20" s="17"/>
      <c r="B20" s="17" t="e">
        <f>VLOOKUP(表1_86121822242630[[#This Row],[区服]],$O$26:$P$33,2,FALSE)</f>
        <v>#N/A</v>
      </c>
      <c r="C20" s="18"/>
      <c r="D20" s="19" t="str">
        <f>表1_86121822242630[[#This Row],[目标国家]]</f>
        <v>魏</v>
      </c>
      <c r="E20" s="20" t="e">
        <f>(VLOOKUP(表1_86121822242630[[#This Row],[目标区服]],$Q$26:$R$29,2,FALSE)-表1_86121822242630[[#This Row],[开服天数]])*配置!$B$1</f>
        <v>#N/A</v>
      </c>
      <c r="F20" s="20" t="e">
        <f>表1_86121822242630[[#This Row],[补偿Coin]]*(表1_86121822242630[[#This Row],[活跃高战玩家数]]+表1_86121822242630[[#This Row],[活跃中坚玩家数]])</f>
        <v>#N/A</v>
      </c>
      <c r="G20" s="20" t="e">
        <f>(VLOOKUP(表1_86121822242630[[#This Row],[目标区服]],$Q$26:$R$29,2,FALSE)-表1_86121822242630[[#This Row],[开服天数]])*配置!$B$2</f>
        <v>#N/A</v>
      </c>
      <c r="H20" s="19" t="s">
        <v>25</v>
      </c>
      <c r="I20" s="19">
        <f>IF(表1_86121822242630[[#This Row],[原国家]]="魏",0,IF(表1_86121822242630[[#This Row],[原国家]]="蜀",1,2))</f>
        <v>0</v>
      </c>
      <c r="J20" s="20"/>
      <c r="K20" s="20"/>
      <c r="L20" s="20"/>
      <c r="M20" s="20"/>
      <c r="N20" s="20"/>
      <c r="O20" s="20"/>
      <c r="P20" s="26"/>
      <c r="Q20" s="31" t="s">
        <v>25</v>
      </c>
      <c r="R20" s="19">
        <f>IF(表1_86121822242630[[#This Row],[目标国家]]="魏",0,IF(表1_86121822242630[[#This Row],[目标国家]]="蜀",1,2))</f>
        <v>0</v>
      </c>
      <c r="S20" s="20"/>
      <c r="T20" s="20"/>
      <c r="U20" s="20"/>
      <c r="V20" s="20"/>
      <c r="W20" s="33" t="e">
        <f>"{"&amp;"'coin':"&amp;表1_86121822242630[[#This Row],[补偿Coin]]&amp;",'"&amp;配置!$A$2&amp;"':"&amp;表1_86121822242630[[#This Row],[补偿辎重]]&amp;"},"</f>
        <v>#N/A</v>
      </c>
      <c r="X20" s="34" t="str">
        <f>"      '"&amp;表1_86121822242630[[#This Row],[区服]]&amp;"':{"</f>
        <v>      '':{</v>
      </c>
    </row>
    <row r="21" ht="14.25" customHeight="1" spans="1:24">
      <c r="A21" s="17"/>
      <c r="B21" s="17" t="e">
        <f>VLOOKUP(表1_86121822242630[[#This Row],[区服]],$O$26:$P$33,2,FALSE)</f>
        <v>#N/A</v>
      </c>
      <c r="C21" s="18"/>
      <c r="D21" s="19" t="str">
        <f>表1_86121822242630[[#This Row],[目标国家]]</f>
        <v>蜀</v>
      </c>
      <c r="E21" s="20" t="e">
        <f>(VLOOKUP(表1_86121822242630[[#This Row],[目标区服]],$Q$26:$R$29,2,FALSE)-表1_86121822242630[[#This Row],[开服天数]])*配置!$B$1</f>
        <v>#N/A</v>
      </c>
      <c r="F21" s="20" t="e">
        <f>表1_86121822242630[[#This Row],[补偿Coin]]*(表1_86121822242630[[#This Row],[活跃高战玩家数]]+表1_86121822242630[[#This Row],[活跃中坚玩家数]])</f>
        <v>#N/A</v>
      </c>
      <c r="G21" s="20" t="e">
        <f>(VLOOKUP(表1_86121822242630[[#This Row],[目标区服]],$Q$26:$R$29,2,FALSE)-表1_86121822242630[[#This Row],[开服天数]])*配置!$B$2</f>
        <v>#N/A</v>
      </c>
      <c r="H21" s="19" t="s">
        <v>26</v>
      </c>
      <c r="I21" s="19">
        <f>IF(表1_86121822242630[[#This Row],[原国家]]="魏",0,IF(表1_86121822242630[[#This Row],[原国家]]="蜀",1,2))</f>
        <v>1</v>
      </c>
      <c r="J21" s="20"/>
      <c r="K21" s="20"/>
      <c r="L21" s="20"/>
      <c r="M21" s="20"/>
      <c r="N21" s="20"/>
      <c r="O21" s="20"/>
      <c r="P21" s="26"/>
      <c r="Q21" s="31" t="s">
        <v>26</v>
      </c>
      <c r="R21" s="19">
        <f>IF(表1_86121822242630[[#This Row],[目标国家]]="魏",0,IF(表1_86121822242630[[#This Row],[目标国家]]="蜀",1,2))</f>
        <v>1</v>
      </c>
      <c r="S21" s="20"/>
      <c r="T21" s="20"/>
      <c r="U21" s="20"/>
      <c r="V21" s="20"/>
      <c r="W21" s="33" t="e">
        <f>"{"&amp;"'coin':"&amp;表1_86121822242630[[#This Row],[补偿Coin]]&amp;",'"&amp;配置!$A$2&amp;"':"&amp;表1_86121822242630[[#This Row],[补偿辎重]]&amp;"},"</f>
        <v>#N/A</v>
      </c>
      <c r="X21" s="34" t="e">
        <f>"            'to_zone':'"&amp;表1_86121822242630[[#This Row],[目标区服]]&amp;"',
            'reward':"&amp;表1_86121822242630[[#This Row],[辅助导出]]&amp;"
            'country':["&amp;R20&amp;","&amp;R21&amp;","&amp;R22&amp;"],"</f>
        <v>#N/A</v>
      </c>
    </row>
    <row r="22" ht="14.25" customHeight="1" spans="1:24">
      <c r="A22" s="17"/>
      <c r="B22" s="17" t="e">
        <f>VLOOKUP(表1_86121822242630[[#This Row],[区服]],$O$26:$P$33,2,FALSE)</f>
        <v>#N/A</v>
      </c>
      <c r="C22" s="18"/>
      <c r="D22" s="19" t="str">
        <f>表1_86121822242630[[#This Row],[目标国家]]</f>
        <v>吴</v>
      </c>
      <c r="E22" s="20" t="e">
        <f>(VLOOKUP(表1_86121822242630[[#This Row],[目标区服]],$Q$26:$R$29,2,FALSE)-表1_86121822242630[[#This Row],[开服天数]])*配置!$B$1</f>
        <v>#N/A</v>
      </c>
      <c r="F22" s="20" t="e">
        <f>表1_86121822242630[[#This Row],[补偿Coin]]*(表1_86121822242630[[#This Row],[活跃高战玩家数]]+表1_86121822242630[[#This Row],[活跃中坚玩家数]])</f>
        <v>#N/A</v>
      </c>
      <c r="G22" s="20" t="e">
        <f>(VLOOKUP(表1_86121822242630[[#This Row],[目标区服]],$Q$26:$R$29,2,FALSE)-表1_86121822242630[[#This Row],[开服天数]])*配置!$B$2</f>
        <v>#N/A</v>
      </c>
      <c r="H22" s="19" t="s">
        <v>27</v>
      </c>
      <c r="I22" s="19">
        <f>IF(表1_86121822242630[[#This Row],[原国家]]="魏",0,IF(表1_86121822242630[[#This Row],[原国家]]="蜀",1,2))</f>
        <v>2</v>
      </c>
      <c r="J22" s="20"/>
      <c r="K22" s="20"/>
      <c r="L22" s="20"/>
      <c r="M22" s="20"/>
      <c r="N22" s="20"/>
      <c r="O22" s="20"/>
      <c r="P22" s="26"/>
      <c r="Q22" s="31" t="s">
        <v>27</v>
      </c>
      <c r="R22" s="19">
        <f>IF(表1_86121822242630[[#This Row],[目标国家]]="魏",0,IF(表1_86121822242630[[#This Row],[目标国家]]="蜀",1,2))</f>
        <v>2</v>
      </c>
      <c r="S22" s="20"/>
      <c r="T22" s="20"/>
      <c r="U22" s="20"/>
      <c r="V22" s="20"/>
      <c r="W22" s="33" t="e">
        <f>"{"&amp;"'coin':"&amp;表1_86121822242630[[#This Row],[补偿Coin]]&amp;",'"&amp;配置!$A$2&amp;"':"&amp;表1_86121822242630[[#This Row],[补偿辎重]]&amp;"},"</f>
        <v>#N/A</v>
      </c>
      <c r="X22" s="34" t="str">
        <f t="shared" ref="X22" si="5">"      },"</f>
        <v>      },</v>
      </c>
    </row>
    <row r="25" ht="37.5" customHeight="1" spans="1:18">
      <c r="A25" s="36" t="s">
        <v>28</v>
      </c>
      <c r="B25" s="37" t="s">
        <v>29</v>
      </c>
      <c r="C25" s="38" t="s">
        <v>30</v>
      </c>
      <c r="D25" s="38" t="s">
        <v>31</v>
      </c>
      <c r="E25" s="38" t="s">
        <v>32</v>
      </c>
      <c r="F25" s="38" t="s">
        <v>33</v>
      </c>
      <c r="G25" s="38" t="s">
        <v>15</v>
      </c>
      <c r="H25" s="37" t="s">
        <v>18</v>
      </c>
      <c r="I25" s="37" t="s">
        <v>19</v>
      </c>
      <c r="J25" s="37" t="s">
        <v>34</v>
      </c>
      <c r="K25" s="38" t="s">
        <v>35</v>
      </c>
      <c r="L25" s="38" t="s">
        <v>36</v>
      </c>
      <c r="M25" s="38" t="s">
        <v>37</v>
      </c>
      <c r="O25" s="51" t="s">
        <v>0</v>
      </c>
      <c r="P25" s="51" t="s">
        <v>1</v>
      </c>
      <c r="Q25" s="51"/>
      <c r="R25" s="51" t="s">
        <v>38</v>
      </c>
    </row>
    <row r="26" ht="15" spans="1:18">
      <c r="A26" s="39" t="s">
        <v>69</v>
      </c>
      <c r="B26" s="39" t="s">
        <v>25</v>
      </c>
      <c r="C26" s="39">
        <f>COUNTIFS(表1_86121822242630[目标区服],表2_97131923252731[[#This Row],[合区区服]],表1_86121822242630[目标国家（映射）],表2_97131923252731[[#This Row],[国家]])</f>
        <v>3</v>
      </c>
      <c r="D26" s="39">
        <f>SUMIFS(表1_86121822242630[活跃高战玩家数],表1_86121822242630[目标区服],表2_97131923252731[[#This Row],[合区区服]],表1_86121822242630[目标国家（映射）],表2_97131923252731[[#This Row],[国家]])</f>
        <v>12</v>
      </c>
      <c r="E26" s="39">
        <f>SUMIFS(表1_86121822242630[活跃中坚玩家数],表1_86121822242630[目标区服],表2_97131923252731[[#This Row],[合区区服]],表1_86121822242630[目标国家（映射）],表2_97131923252731[[#This Row],[国家]])</f>
        <v>39</v>
      </c>
      <c r="F26" s="39">
        <f t="array" ref="F26">MAX((表1_86121822242630[目标区服]=表2_97131923252731[[#This Row],[合区区服]])*(表1_86121822242630[目标国家（映射）]=表2_97131923252731[[#This Row],[国家]])*表1_86121822242630[活跃尖端战力])</f>
        <v>1401610</v>
      </c>
      <c r="G26" s="40">
        <f>SUMIFS(表1_86121822242630[活跃总战力],表1_86121822242630[目标区服],表2_97131923252731[[#This Row],[合区区服]],表1_86121822242630[目标国家（映射）],表2_97131923252731[[#This Row],[国家]])</f>
        <v>23974234</v>
      </c>
      <c r="H26" s="39">
        <f>SUMIFS(表1_86121822242630[活跃实际充值],表1_86121822242630[目标区服],表2_97131923252731[[#This Row],[合区区服]],表1_86121822242630[目标国家（映射）],表2_97131923252731[[#This Row],[国家]])</f>
        <v>53594</v>
      </c>
      <c r="I26" s="39">
        <f>SUMIFS(表1_86121822242630[活跃虚拟充值],表1_86121822242630[目标区服],表2_97131923252731[[#This Row],[合区区服]],表1_86121822242630[目标国家（映射）],表2_97131923252731[[#This Row],[国家]])</f>
        <v>25384</v>
      </c>
      <c r="J26" s="39">
        <f>SUMIFS(表1_86121822242630[活跃Coin],表1_86121822242630[目标区服],表2_97131923252731[[#This Row],[合区区服]],表1_86121822242630[目标国家（映射）],表2_97131923252731[[#This Row],[国家]])</f>
        <v>708646</v>
      </c>
      <c r="K26" s="39">
        <f>SUMIFS(表1_86121822242630[共计补偿Coin],表1_86121822242630[目标区服],表2_97131923252731[[#This Row],[合区区服]],表1_86121822242630[目标国家（映射）],表2_97131923252731[[#This Row],[国家]])</f>
        <v>68500</v>
      </c>
      <c r="L26" s="39">
        <f>表2_97131923252731[[#This Row],[活跃Coin]]+表2_97131923252731[[#This Row],[共计补偿Coin]]</f>
        <v>777146</v>
      </c>
      <c r="M26" s="39">
        <f>SUMIFS(表1_86121822242630[综合国力],表1_86121822242630[目标区服],表2_97131923252731[[#This Row],[合区区服]],表1_86121822242630[目标国家（映射）],表2_97131923252731[[#This Row],[国家]])</f>
        <v>14486</v>
      </c>
      <c r="O26" s="51">
        <v>5001</v>
      </c>
      <c r="P26" s="51">
        <v>40</v>
      </c>
      <c r="Q26" s="51" t="s">
        <v>69</v>
      </c>
      <c r="R26" s="51">
        <v>42</v>
      </c>
    </row>
    <row r="27" ht="15" spans="1:18">
      <c r="A27" s="39" t="s">
        <v>69</v>
      </c>
      <c r="B27" s="39" t="s">
        <v>26</v>
      </c>
      <c r="C27" s="39">
        <f>COUNTIFS(表1_86121822242630[目标区服],表2_97131923252731[[#This Row],[合区区服]],表1_86121822242630[目标国家（映射）],表2_97131923252731[[#This Row],[国家]])</f>
        <v>3</v>
      </c>
      <c r="D27" s="39">
        <f>SUMIFS(表1_86121822242630[活跃高战玩家数],表1_86121822242630[目标区服],表2_97131923252731[[#This Row],[合区区服]],表1_86121822242630[目标国家（映射）],表2_97131923252731[[#This Row],[国家]])</f>
        <v>7</v>
      </c>
      <c r="E27" s="39">
        <f>SUMIFS(表1_86121822242630[活跃中坚玩家数],表1_86121822242630[目标区服],表2_97131923252731[[#This Row],[合区区服]],表1_86121822242630[目标国家（映射）],表2_97131923252731[[#This Row],[国家]])</f>
        <v>32</v>
      </c>
      <c r="F27" s="39">
        <f t="array" ref="F27">MAX((表1_86121822242630[目标区服]=表2_97131923252731[[#This Row],[合区区服]])*(表1_86121822242630[目标国家（映射）]=表2_97131923252731[[#This Row],[国家]])*表1_86121822242630[活跃尖端战力])</f>
        <v>1937877</v>
      </c>
      <c r="G27" s="40">
        <f>SUMIFS(表1_86121822242630[活跃总战力],表1_86121822242630[目标区服],表2_97131923252731[[#This Row],[合区区服]],表1_86121822242630[目标国家（映射）],表2_97131923252731[[#This Row],[国家]])</f>
        <v>19962548</v>
      </c>
      <c r="H27" s="39">
        <f>SUMIFS(表1_86121822242630[活跃实际充值],表1_86121822242630[目标区服],表2_97131923252731[[#This Row],[合区区服]],表1_86121822242630[目标国家（映射）],表2_97131923252731[[#This Row],[国家]])</f>
        <v>60338</v>
      </c>
      <c r="I27" s="39">
        <f>SUMIFS(表1_86121822242630[活跃虚拟充值],表1_86121822242630[目标区服],表2_97131923252731[[#This Row],[合区区服]],表1_86121822242630[目标国家（映射）],表2_97131923252731[[#This Row],[国家]])</f>
        <v>17194</v>
      </c>
      <c r="J27" s="39">
        <f>SUMIFS(表1_86121822242630[活跃Coin],表1_86121822242630[目标区服],表2_97131923252731[[#This Row],[合区区服]],表1_86121822242630[目标国家（映射）],表2_97131923252731[[#This Row],[国家]])</f>
        <v>402828</v>
      </c>
      <c r="K27" s="39">
        <f>SUMIFS(表1_86121822242630[共计补偿Coin],表1_86121822242630[目标区服],表2_97131923252731[[#This Row],[合区区服]],表1_86121822242630[目标国家（映射）],表2_97131923252731[[#This Row],[国家]])</f>
        <v>51000</v>
      </c>
      <c r="L27" s="39">
        <f>表2_97131923252731[[#This Row],[活跃Coin]]+表2_97131923252731[[#This Row],[共计补偿Coin]]</f>
        <v>453828</v>
      </c>
      <c r="M27" s="39">
        <f>SUMIFS(表1_86121822242630[综合国力],表1_86121822242630[目标区服],表2_97131923252731[[#This Row],[合区区服]],表1_86121822242630[目标国家（映射）],表2_97131923252731[[#This Row],[国家]])</f>
        <v>12854</v>
      </c>
      <c r="O27" s="51">
        <v>5002</v>
      </c>
      <c r="P27" s="51">
        <v>39</v>
      </c>
      <c r="Q27" s="51"/>
      <c r="R27" s="51"/>
    </row>
    <row r="28" ht="15" spans="1:18">
      <c r="A28" s="39" t="s">
        <v>69</v>
      </c>
      <c r="B28" s="39" t="s">
        <v>27</v>
      </c>
      <c r="C28" s="39">
        <f>COUNTIFS(表1_86121822242630[目标区服],表2_97131923252731[[#This Row],[合区区服]],表1_86121822242630[目标国家（映射）],表2_97131923252731[[#This Row],[国家]])</f>
        <v>3</v>
      </c>
      <c r="D28" s="39">
        <f>SUMIFS(表1_86121822242630[活跃高战玩家数],表1_86121822242630[目标区服],表2_97131923252731[[#This Row],[合区区服]],表1_86121822242630[目标国家（映射）],表2_97131923252731[[#This Row],[国家]])</f>
        <v>8</v>
      </c>
      <c r="E28" s="39">
        <f>SUMIFS(表1_86121822242630[活跃中坚玩家数],表1_86121822242630[目标区服],表2_97131923252731[[#This Row],[合区区服]],表1_86121822242630[目标国家（映射）],表2_97131923252731[[#This Row],[国家]])</f>
        <v>37</v>
      </c>
      <c r="F28" s="39">
        <f t="array" ref="F28">MAX((表1_86121822242630[目标区服]=表2_97131923252731[[#This Row],[合区区服]])*(表1_86121822242630[目标国家（映射）]=表2_97131923252731[[#This Row],[国家]])*表1_86121822242630[活跃尖端战力])</f>
        <v>1630978</v>
      </c>
      <c r="G28" s="40">
        <f>SUMIFS(表1_86121822242630[活跃总战力],表1_86121822242630[目标区服],表2_97131923252731[[#This Row],[合区区服]],表1_86121822242630[目标国家（映射）],表2_97131923252731[[#This Row],[国家]])</f>
        <v>23362670</v>
      </c>
      <c r="H28" s="39">
        <f>SUMIFS(表1_86121822242630[活跃实际充值],表1_86121822242630[目标区服],表2_97131923252731[[#This Row],[合区区服]],表1_86121822242630[目标国家（映射）],表2_97131923252731[[#This Row],[国家]])</f>
        <v>43180</v>
      </c>
      <c r="I28" s="39">
        <f>SUMIFS(表1_86121822242630[活跃虚拟充值],表1_86121822242630[目标区服],表2_97131923252731[[#This Row],[合区区服]],表1_86121822242630[目标国家（映射）],表2_97131923252731[[#This Row],[国家]])</f>
        <v>23952</v>
      </c>
      <c r="J28" s="39">
        <f>SUMIFS(表1_86121822242630[活跃Coin],表1_86121822242630[目标区服],表2_97131923252731[[#This Row],[合区区服]],表1_86121822242630[目标国家（映射）],表2_97131923252731[[#This Row],[国家]])</f>
        <v>718590</v>
      </c>
      <c r="K28" s="39">
        <f>SUMIFS(表1_86121822242630[共计补偿Coin],表1_86121822242630[目标区服],表2_97131923252731[[#This Row],[合区区服]],表1_86121822242630[目标国家（映射）],表2_97131923252731[[#This Row],[国家]])</f>
        <v>56500</v>
      </c>
      <c r="L28" s="39">
        <f>表2_97131923252731[[#This Row],[活跃Coin]]+表2_97131923252731[[#This Row],[共计补偿Coin]]</f>
        <v>775090</v>
      </c>
      <c r="M28" s="39">
        <f>SUMIFS(表1_86121822242630[综合国力],表1_86121822242630[目标区服],表2_97131923252731[[#This Row],[合区区服]],表1_86121822242630[目标国家（映射）],表2_97131923252731[[#This Row],[国家]])</f>
        <v>14043</v>
      </c>
      <c r="O28" s="51">
        <v>5003</v>
      </c>
      <c r="P28" s="51">
        <v>38</v>
      </c>
      <c r="Q28" s="51"/>
      <c r="R28" s="51"/>
    </row>
    <row r="29" ht="15" spans="1:18">
      <c r="A29" s="41"/>
      <c r="B29" s="41" t="s">
        <v>25</v>
      </c>
      <c r="C29" s="41">
        <f>COUNTIFS(表1_86121822242630[目标区服],表2_97131923252731[[#This Row],[合区区服]],表1_86121822242630[目标国家（映射）],表2_97131923252731[[#This Row],[国家]])</f>
        <v>0</v>
      </c>
      <c r="D29" s="41">
        <f>SUMIFS(表1_86121822242630[活跃高战玩家数],表1_86121822242630[目标区服],表2_97131923252731[[#This Row],[合区区服]],表1_86121822242630[目标国家（映射）],表2_97131923252731[[#This Row],[国家]])</f>
        <v>0</v>
      </c>
      <c r="E29" s="41">
        <f>SUMIFS(表1_86121822242630[活跃中坚玩家数],表1_86121822242630[目标区服],表2_97131923252731[[#This Row],[合区区服]],表1_86121822242630[目标国家（映射）],表2_97131923252731[[#This Row],[国家]])</f>
        <v>0</v>
      </c>
      <c r="F29" s="41">
        <f t="array" ref="F29">MAX((表1_86121822242630[目标区服]=表2_97131923252731[[#This Row],[合区区服]])*(表1_86121822242630[目标国家（映射）]=表2_97131923252731[[#This Row],[国家]])*表1_86121822242630[活跃尖端战力])</f>
        <v>0</v>
      </c>
      <c r="G29" s="42">
        <f>SUMIFS(表1_86121822242630[活跃总战力],表1_86121822242630[目标区服],表2_97131923252731[[#This Row],[合区区服]],表1_86121822242630[目标国家（映射）],表2_97131923252731[[#This Row],[国家]])</f>
        <v>0</v>
      </c>
      <c r="H29" s="41">
        <f>SUMIFS(表1_86121822242630[活跃实际充值],表1_86121822242630[目标区服],表2_97131923252731[[#This Row],[合区区服]],表1_86121822242630[目标国家（映射）],表2_97131923252731[[#This Row],[国家]])</f>
        <v>0</v>
      </c>
      <c r="I29" s="41">
        <f>SUMIFS(表1_86121822242630[活跃虚拟充值],表1_86121822242630[目标区服],表2_97131923252731[[#This Row],[合区区服]],表1_86121822242630[目标国家（映射）],表2_97131923252731[[#This Row],[国家]])</f>
        <v>0</v>
      </c>
      <c r="J29" s="41">
        <f>SUMIFS(表1_86121822242630[活跃Coin],表1_86121822242630[目标区服],表2_97131923252731[[#This Row],[合区区服]],表1_86121822242630[目标国家（映射）],表2_97131923252731[[#This Row],[国家]])</f>
        <v>0</v>
      </c>
      <c r="K29" s="41">
        <f>SUMIFS(表1_86121822242630[共计补偿Coin],表1_86121822242630[目标区服],表2_97131923252731[[#This Row],[合区区服]],表1_86121822242630[目标国家（映射）],表2_97131923252731[[#This Row],[国家]])</f>
        <v>0</v>
      </c>
      <c r="L29" s="41">
        <f>表2_97131923252731[[#This Row],[活跃Coin]]+表2_97131923252731[[#This Row],[共计补偿Coin]]</f>
        <v>0</v>
      </c>
      <c r="M29" s="41">
        <f>SUMIFS(表1_86121822242630[综合国力],表1_86121822242630[目标区服],表2_97131923252731[[#This Row],[合区区服]],表1_86121822242630[目标国家（映射）],表2_97131923252731[[#This Row],[国家]])</f>
        <v>0</v>
      </c>
      <c r="O29" s="51"/>
      <c r="P29" s="51"/>
      <c r="Q29" s="51"/>
      <c r="R29" s="51"/>
    </row>
    <row r="30" ht="15" spans="1:16">
      <c r="A30" s="41"/>
      <c r="B30" s="41" t="s">
        <v>26</v>
      </c>
      <c r="C30" s="41">
        <f>COUNTIFS(表1_86121822242630[目标区服],表2_97131923252731[[#This Row],[合区区服]],表1_86121822242630[目标国家（映射）],表2_97131923252731[[#This Row],[国家]])</f>
        <v>0</v>
      </c>
      <c r="D30" s="41">
        <f>SUMIFS(表1_86121822242630[活跃高战玩家数],表1_86121822242630[目标区服],表2_97131923252731[[#This Row],[合区区服]],表1_86121822242630[目标国家（映射）],表2_97131923252731[[#This Row],[国家]])</f>
        <v>0</v>
      </c>
      <c r="E30" s="41">
        <f>SUMIFS(表1_86121822242630[活跃中坚玩家数],表1_86121822242630[目标区服],表2_97131923252731[[#This Row],[合区区服]],表1_86121822242630[目标国家（映射）],表2_97131923252731[[#This Row],[国家]])</f>
        <v>0</v>
      </c>
      <c r="F30" s="41">
        <f t="array" ref="F30">MAX((表1_86121822242630[目标区服]=表2_97131923252731[[#This Row],[合区区服]])*(表1_86121822242630[目标国家（映射）]=表2_97131923252731[[#This Row],[国家]])*表1_86121822242630[活跃尖端战力])</f>
        <v>0</v>
      </c>
      <c r="G30" s="42">
        <f>SUMIFS(表1_86121822242630[活跃总战力],表1_86121822242630[目标区服],表2_97131923252731[[#This Row],[合区区服]],表1_86121822242630[目标国家（映射）],表2_97131923252731[[#This Row],[国家]])</f>
        <v>0</v>
      </c>
      <c r="H30" s="41">
        <f>SUMIFS(表1_86121822242630[活跃实际充值],表1_86121822242630[目标区服],表2_97131923252731[[#This Row],[合区区服]],表1_86121822242630[目标国家（映射）],表2_97131923252731[[#This Row],[国家]])</f>
        <v>0</v>
      </c>
      <c r="I30" s="41">
        <f>SUMIFS(表1_86121822242630[活跃虚拟充值],表1_86121822242630[目标区服],表2_97131923252731[[#This Row],[合区区服]],表1_86121822242630[目标国家（映射）],表2_97131923252731[[#This Row],[国家]])</f>
        <v>0</v>
      </c>
      <c r="J30" s="41">
        <f>SUMIFS(表1_86121822242630[活跃Coin],表1_86121822242630[目标区服],表2_97131923252731[[#This Row],[合区区服]],表1_86121822242630[目标国家（映射）],表2_97131923252731[[#This Row],[国家]])</f>
        <v>0</v>
      </c>
      <c r="K30" s="41">
        <f>SUMIFS(表1_86121822242630[共计补偿Coin],表1_86121822242630[目标区服],表2_97131923252731[[#This Row],[合区区服]],表1_86121822242630[目标国家（映射）],表2_97131923252731[[#This Row],[国家]])</f>
        <v>0</v>
      </c>
      <c r="L30" s="41">
        <f>表2_97131923252731[[#This Row],[活跃Coin]]+表2_97131923252731[[#This Row],[共计补偿Coin]]</f>
        <v>0</v>
      </c>
      <c r="M30" s="41">
        <f>SUMIFS(表1_86121822242630[综合国力],表1_86121822242630[目标区服],表2_97131923252731[[#This Row],[合区区服]],表1_86121822242630[目标国家（映射）],表2_97131923252731[[#This Row],[国家]])</f>
        <v>0</v>
      </c>
      <c r="O30" s="51"/>
      <c r="P30" s="51"/>
    </row>
    <row r="31" ht="15" spans="1:16">
      <c r="A31" s="41"/>
      <c r="B31" s="43" t="s">
        <v>27</v>
      </c>
      <c r="C31" s="43">
        <f>COUNTIFS(表1_86121822242630[目标区服],表2_97131923252731[[#This Row],[合区区服]],表1_86121822242630[目标国家（映射）],表2_97131923252731[[#This Row],[国家]])</f>
        <v>0</v>
      </c>
      <c r="D31" s="43">
        <f>SUMIFS(表1_86121822242630[活跃高战玩家数],表1_86121822242630[目标区服],表2_97131923252731[[#This Row],[合区区服]],表1_86121822242630[目标国家（映射）],表2_97131923252731[[#This Row],[国家]])</f>
        <v>0</v>
      </c>
      <c r="E31" s="43">
        <f>SUMIFS(表1_86121822242630[活跃中坚玩家数],表1_86121822242630[目标区服],表2_97131923252731[[#This Row],[合区区服]],表1_86121822242630[目标国家（映射）],表2_97131923252731[[#This Row],[国家]])</f>
        <v>0</v>
      </c>
      <c r="F31" s="43">
        <f t="array" ref="F31">MAX((表1_86121822242630[目标区服]=表2_97131923252731[[#This Row],[合区区服]])*(表1_86121822242630[目标国家（映射）]=表2_97131923252731[[#This Row],[国家]])*表1_86121822242630[活跃尖端战力])</f>
        <v>0</v>
      </c>
      <c r="G31" s="44">
        <f>SUMIFS(表1_86121822242630[活跃总战力],表1_86121822242630[目标区服],表2_97131923252731[[#This Row],[合区区服]],表1_86121822242630[目标国家（映射）],表2_97131923252731[[#This Row],[国家]])</f>
        <v>0</v>
      </c>
      <c r="H31" s="43">
        <f>SUMIFS(表1_86121822242630[活跃实际充值],表1_86121822242630[目标区服],表2_97131923252731[[#This Row],[合区区服]],表1_86121822242630[目标国家（映射）],表2_97131923252731[[#This Row],[国家]])</f>
        <v>0</v>
      </c>
      <c r="I31" s="43">
        <f>SUMIFS(表1_86121822242630[活跃虚拟充值],表1_86121822242630[目标区服],表2_97131923252731[[#This Row],[合区区服]],表1_86121822242630[目标国家（映射）],表2_97131923252731[[#This Row],[国家]])</f>
        <v>0</v>
      </c>
      <c r="J31" s="43">
        <f>SUMIFS(表1_86121822242630[活跃Coin],表1_86121822242630[目标区服],表2_97131923252731[[#This Row],[合区区服]],表1_86121822242630[目标国家（映射）],表2_97131923252731[[#This Row],[国家]])</f>
        <v>0</v>
      </c>
      <c r="K31" s="43">
        <f>SUMIFS(表1_86121822242630[共计补偿Coin],表1_86121822242630[目标区服],表2_97131923252731[[#This Row],[合区区服]],表1_86121822242630[目标国家（映射）],表2_97131923252731[[#This Row],[国家]])</f>
        <v>0</v>
      </c>
      <c r="L31" s="43">
        <f>表2_97131923252731[[#This Row],[活跃Coin]]+表2_97131923252731[[#This Row],[共计补偿Coin]]</f>
        <v>0</v>
      </c>
      <c r="M31" s="43">
        <f>SUMIFS(表1_86121822242630[综合国力],表1_86121822242630[目标区服],表2_97131923252731[[#This Row],[合区区服]],表1_86121822242630[目标国家（映射）],表2_97131923252731[[#This Row],[国家]])</f>
        <v>0</v>
      </c>
      <c r="O31" s="51"/>
      <c r="P31" s="51"/>
    </row>
    <row r="32" ht="15" spans="1:16">
      <c r="A32" s="45"/>
      <c r="B32" s="46" t="s">
        <v>25</v>
      </c>
      <c r="C32" s="46">
        <f>COUNTIFS(表1_86121822242630[目标区服],表2_97131923252731[[#This Row],[合区区服]],表1_86121822242630[目标国家（映射）],表2_97131923252731[[#This Row],[国家]])</f>
        <v>0</v>
      </c>
      <c r="D32" s="46">
        <f>SUMIFS(表1_86121822242630[活跃高战玩家数],表1_86121822242630[目标区服],表2_97131923252731[[#This Row],[合区区服]],表1_86121822242630[目标国家（映射）],表2_97131923252731[[#This Row],[国家]])</f>
        <v>0</v>
      </c>
      <c r="E32" s="46">
        <f>SUMIFS(表1_86121822242630[活跃中坚玩家数],表1_86121822242630[目标区服],表2_97131923252731[[#This Row],[合区区服]],表1_86121822242630[目标国家（映射）],表2_97131923252731[[#This Row],[国家]])</f>
        <v>0</v>
      </c>
      <c r="F32" s="46">
        <f t="array" ref="F32">MAX((表1_86121822242630[目标区服]=表2_97131923252731[[#This Row],[合区区服]])*(表1_86121822242630[目标国家（映射）]=表2_97131923252731[[#This Row],[国家]])*表1_86121822242630[活跃尖端战力])</f>
        <v>0</v>
      </c>
      <c r="G32" s="47">
        <f>SUMIFS(表1_86121822242630[活跃总战力],表1_86121822242630[目标区服],表2_97131923252731[[#This Row],[合区区服]],表1_86121822242630[目标国家（映射）],表2_97131923252731[[#This Row],[国家]])</f>
        <v>0</v>
      </c>
      <c r="H32" s="46">
        <f>SUMIFS(表1_86121822242630[活跃实际充值],表1_86121822242630[目标区服],表2_97131923252731[[#This Row],[合区区服]],表1_86121822242630[目标国家（映射）],表2_97131923252731[[#This Row],[国家]])</f>
        <v>0</v>
      </c>
      <c r="I32" s="46">
        <f>SUMIFS(表1_86121822242630[活跃虚拟充值],表1_86121822242630[目标区服],表2_97131923252731[[#This Row],[合区区服]],表1_86121822242630[目标国家（映射）],表2_97131923252731[[#This Row],[国家]])</f>
        <v>0</v>
      </c>
      <c r="J32" s="46">
        <f>SUMIFS(表1_86121822242630[活跃Coin],表1_86121822242630[目标区服],表2_97131923252731[[#This Row],[合区区服]],表1_86121822242630[目标国家（映射）],表2_97131923252731[[#This Row],[国家]])</f>
        <v>0</v>
      </c>
      <c r="K32" s="46">
        <f>SUMIFS(表1_86121822242630[共计补偿Coin],表1_86121822242630[目标区服],表2_97131923252731[[#This Row],[合区区服]],表1_86121822242630[目标国家（映射）],表2_97131923252731[[#This Row],[国家]])</f>
        <v>0</v>
      </c>
      <c r="L32" s="46">
        <f>表2_97131923252731[[#This Row],[活跃Coin]]+表2_97131923252731[[#This Row],[共计补偿Coin]]</f>
        <v>0</v>
      </c>
      <c r="M32" s="46">
        <f>SUMIFS(表1_86121822242630[综合国力],表1_86121822242630[目标区服],表2_97131923252731[[#This Row],[合区区服]],表1_86121822242630[目标国家（映射）],表2_97131923252731[[#This Row],[国家]])</f>
        <v>0</v>
      </c>
      <c r="O32" s="51"/>
      <c r="P32" s="51"/>
    </row>
    <row r="33" ht="15" spans="1:16">
      <c r="A33" s="45"/>
      <c r="B33" s="46" t="s">
        <v>26</v>
      </c>
      <c r="C33" s="46">
        <f>COUNTIFS(表1_86121822242630[目标区服],表2_97131923252731[[#This Row],[合区区服]],表1_86121822242630[目标国家（映射）],表2_97131923252731[[#This Row],[国家]])</f>
        <v>0</v>
      </c>
      <c r="D33" s="46">
        <f>SUMIFS(表1_86121822242630[活跃高战玩家数],表1_86121822242630[目标区服],表2_97131923252731[[#This Row],[合区区服]],表1_86121822242630[目标国家（映射）],表2_97131923252731[[#This Row],[国家]])</f>
        <v>0</v>
      </c>
      <c r="E33" s="46">
        <f>SUMIFS(表1_86121822242630[活跃中坚玩家数],表1_86121822242630[目标区服],表2_97131923252731[[#This Row],[合区区服]],表1_86121822242630[目标国家（映射）],表2_97131923252731[[#This Row],[国家]])</f>
        <v>0</v>
      </c>
      <c r="F33" s="46">
        <f t="array" ref="F33">MAX((表1_86121822242630[目标区服]=表2_97131923252731[[#This Row],[合区区服]])*(表1_86121822242630[目标国家（映射）]=表2_97131923252731[[#This Row],[国家]])*表1_86121822242630[活跃尖端战力])</f>
        <v>0</v>
      </c>
      <c r="G33" s="47">
        <f>SUMIFS(表1_86121822242630[活跃总战力],表1_86121822242630[目标区服],表2_97131923252731[[#This Row],[合区区服]],表1_86121822242630[目标国家（映射）],表2_97131923252731[[#This Row],[国家]])</f>
        <v>0</v>
      </c>
      <c r="H33" s="46">
        <f>SUMIFS(表1_86121822242630[活跃实际充值],表1_86121822242630[目标区服],表2_97131923252731[[#This Row],[合区区服]],表1_86121822242630[目标国家（映射）],表2_97131923252731[[#This Row],[国家]])</f>
        <v>0</v>
      </c>
      <c r="I33" s="46">
        <f>SUMIFS(表1_86121822242630[活跃虚拟充值],表1_86121822242630[目标区服],表2_97131923252731[[#This Row],[合区区服]],表1_86121822242630[目标国家（映射）],表2_97131923252731[[#This Row],[国家]])</f>
        <v>0</v>
      </c>
      <c r="J33" s="46">
        <f>SUMIFS(表1_86121822242630[活跃Coin],表1_86121822242630[目标区服],表2_97131923252731[[#This Row],[合区区服]],表1_86121822242630[目标国家（映射）],表2_97131923252731[[#This Row],[国家]])</f>
        <v>0</v>
      </c>
      <c r="K33" s="46">
        <f>SUMIFS(表1_86121822242630[共计补偿Coin],表1_86121822242630[目标区服],表2_97131923252731[[#This Row],[合区区服]],表1_86121822242630[目标国家（映射）],表2_97131923252731[[#This Row],[国家]])</f>
        <v>0</v>
      </c>
      <c r="L33" s="46">
        <f>表2_97131923252731[[#This Row],[活跃Coin]]+表2_97131923252731[[#This Row],[共计补偿Coin]]</f>
        <v>0</v>
      </c>
      <c r="M33" s="46">
        <f>SUMIFS(表1_86121822242630[综合国力],表1_86121822242630[目标区服],表2_97131923252731[[#This Row],[合区区服]],表1_86121822242630[目标国家（映射）],表2_97131923252731[[#This Row],[国家]])</f>
        <v>0</v>
      </c>
      <c r="O33" s="51"/>
      <c r="P33" s="51"/>
    </row>
    <row r="34" ht="15" spans="1:13">
      <c r="A34" s="45"/>
      <c r="B34" s="48" t="s">
        <v>27</v>
      </c>
      <c r="C34" s="48">
        <f>COUNTIFS(表1_86121822242630[目标区服],表2_97131923252731[[#This Row],[合区区服]],表1_86121822242630[目标国家（映射）],表2_97131923252731[[#This Row],[国家]])</f>
        <v>0</v>
      </c>
      <c r="D34" s="48">
        <f>SUMIFS(表1_86121822242630[活跃高战玩家数],表1_86121822242630[目标区服],表2_97131923252731[[#This Row],[合区区服]],表1_86121822242630[目标国家（映射）],表2_97131923252731[[#This Row],[国家]])</f>
        <v>0</v>
      </c>
      <c r="E34" s="48">
        <f>SUMIFS(表1_86121822242630[活跃中坚玩家数],表1_86121822242630[目标区服],表2_97131923252731[[#This Row],[合区区服]],表1_86121822242630[目标国家（映射）],表2_97131923252731[[#This Row],[国家]])</f>
        <v>0</v>
      </c>
      <c r="F34" s="48">
        <f t="array" ref="F34">MAX((表1_86121822242630[目标区服]=表2_97131923252731[[#This Row],[合区区服]])*(表1_86121822242630[目标国家（映射）]=表2_97131923252731[[#This Row],[国家]])*表1_86121822242630[活跃尖端战力])</f>
        <v>0</v>
      </c>
      <c r="G34" s="458">
        <f>SUMIFS(表1_86121822242630[活跃总战力],表1_86121822242630[目标区服],表2_97131923252731[[#This Row],[合区区服]],表1_86121822242630[目标国家（映射）],表2_97131923252731[[#This Row],[国家]])</f>
        <v>0</v>
      </c>
      <c r="H34" s="48">
        <f>SUMIFS(表1_86121822242630[活跃实际充值],表1_86121822242630[目标区服],表2_97131923252731[[#This Row],[合区区服]],表1_86121822242630[目标国家（映射）],表2_97131923252731[[#This Row],[国家]])</f>
        <v>0</v>
      </c>
      <c r="I34" s="48">
        <f>SUMIFS(表1_86121822242630[活跃虚拟充值],表1_86121822242630[目标区服],表2_97131923252731[[#This Row],[合区区服]],表1_86121822242630[目标国家（映射）],表2_97131923252731[[#This Row],[国家]])</f>
        <v>0</v>
      </c>
      <c r="J34" s="48">
        <f>SUMIFS(表1_86121822242630[活跃Coin],表1_86121822242630[目标区服],表2_97131923252731[[#This Row],[合区区服]],表1_86121822242630[目标国家（映射）],表2_97131923252731[[#This Row],[国家]])</f>
        <v>0</v>
      </c>
      <c r="K34" s="48">
        <f>SUMIFS(表1_86121822242630[共计补偿Coin],表1_86121822242630[目标区服],表2_97131923252731[[#This Row],[合区区服]],表1_86121822242630[目标国家（映射）],表2_97131923252731[[#This Row],[国家]])</f>
        <v>0</v>
      </c>
      <c r="L34" s="48">
        <f>表2_97131923252731[[#This Row],[活跃Coin]]+表2_97131923252731[[#This Row],[共计补偿Coin]]</f>
        <v>0</v>
      </c>
      <c r="M34" s="48">
        <f>SUMIFS(表1_86121822242630[综合国力],表1_86121822242630[目标区服],表2_97131923252731[[#This Row],[合区区服]],表1_86121822242630[目标国家（映射）],表2_97131923252731[[#This Row],[国家]])</f>
        <v>0</v>
      </c>
    </row>
    <row r="40" ht="27" spans="1:12">
      <c r="A40" s="49"/>
      <c r="B40" s="50" t="s">
        <v>9</v>
      </c>
      <c r="C40" s="50" t="s">
        <v>10</v>
      </c>
      <c r="D40" s="50" t="s">
        <v>11</v>
      </c>
      <c r="E40" s="50" t="s">
        <v>12</v>
      </c>
      <c r="F40" s="50" t="s">
        <v>13</v>
      </c>
      <c r="G40" s="50" t="s">
        <v>14</v>
      </c>
      <c r="H40" s="50" t="s">
        <v>15</v>
      </c>
      <c r="I40" s="50" t="s">
        <v>18</v>
      </c>
      <c r="J40" s="50" t="s">
        <v>19</v>
      </c>
      <c r="K40" s="50" t="s">
        <v>20</v>
      </c>
      <c r="L40" s="50" t="s">
        <v>21</v>
      </c>
    </row>
    <row r="41" spans="1:12">
      <c r="A41" s="50" t="s">
        <v>25</v>
      </c>
      <c r="B41" s="50">
        <v>3</v>
      </c>
      <c r="C41" s="50">
        <v>125</v>
      </c>
      <c r="D41" s="50">
        <v>4</v>
      </c>
      <c r="E41" s="50">
        <v>19</v>
      </c>
      <c r="F41" s="50">
        <v>106196</v>
      </c>
      <c r="G41" s="50">
        <v>1401610</v>
      </c>
      <c r="H41" s="50">
        <v>12071916</v>
      </c>
      <c r="I41" s="50">
        <v>38438</v>
      </c>
      <c r="J41" s="50">
        <v>5710</v>
      </c>
      <c r="K41" s="50">
        <v>415301</v>
      </c>
      <c r="L41" s="50">
        <v>6107</v>
      </c>
    </row>
    <row r="42" spans="1:12">
      <c r="A42" s="50" t="s">
        <v>26</v>
      </c>
      <c r="B42" s="50">
        <v>2</v>
      </c>
      <c r="C42" s="50">
        <v>101</v>
      </c>
      <c r="D42" s="50">
        <v>2</v>
      </c>
      <c r="E42" s="50">
        <v>16</v>
      </c>
      <c r="F42" s="50">
        <v>68142</v>
      </c>
      <c r="G42" s="50">
        <v>1120097</v>
      </c>
      <c r="H42" s="50">
        <v>7630788</v>
      </c>
      <c r="I42" s="50">
        <v>1350</v>
      </c>
      <c r="J42" s="50">
        <v>12608</v>
      </c>
      <c r="K42" s="50">
        <v>193050</v>
      </c>
      <c r="L42" s="50">
        <v>3696</v>
      </c>
    </row>
    <row r="43" spans="1:12">
      <c r="A43" s="50" t="s">
        <v>27</v>
      </c>
      <c r="B43" s="50">
        <v>4</v>
      </c>
      <c r="C43" s="50">
        <v>169</v>
      </c>
      <c r="D43" s="50">
        <v>4</v>
      </c>
      <c r="E43" s="50">
        <v>20</v>
      </c>
      <c r="F43" s="50">
        <v>127106</v>
      </c>
      <c r="G43" s="50">
        <v>1630978</v>
      </c>
      <c r="H43" s="50">
        <v>14277412</v>
      </c>
      <c r="I43" s="50">
        <v>29088</v>
      </c>
      <c r="J43" s="50">
        <v>23756</v>
      </c>
      <c r="K43" s="50">
        <v>455663</v>
      </c>
      <c r="L43" s="50">
        <v>7122</v>
      </c>
    </row>
    <row r="44" spans="1:12">
      <c r="A44" s="50" t="s">
        <v>25</v>
      </c>
      <c r="B44" s="50">
        <v>1</v>
      </c>
      <c r="C44" s="50">
        <v>91</v>
      </c>
      <c r="D44" s="50">
        <v>3</v>
      </c>
      <c r="E44" s="50">
        <v>18</v>
      </c>
      <c r="F44" s="50">
        <v>78493</v>
      </c>
      <c r="G44" s="50">
        <v>1288714</v>
      </c>
      <c r="H44" s="50">
        <v>8288642</v>
      </c>
      <c r="I44" s="50">
        <v>8766</v>
      </c>
      <c r="J44" s="50">
        <v>19674</v>
      </c>
      <c r="K44" s="50">
        <v>172298</v>
      </c>
      <c r="L44" s="50">
        <v>4065</v>
      </c>
    </row>
    <row r="45" spans="1:12">
      <c r="A45" s="50" t="s">
        <v>26</v>
      </c>
      <c r="B45" s="50">
        <v>4</v>
      </c>
      <c r="C45" s="50">
        <v>154</v>
      </c>
      <c r="D45" s="50">
        <v>3</v>
      </c>
      <c r="E45" s="50">
        <v>16</v>
      </c>
      <c r="F45" s="50">
        <v>91593</v>
      </c>
      <c r="G45" s="50">
        <v>1159259</v>
      </c>
      <c r="H45" s="50">
        <v>8197052</v>
      </c>
      <c r="I45" s="50">
        <v>10148</v>
      </c>
      <c r="J45" s="50">
        <v>196</v>
      </c>
      <c r="K45" s="50">
        <v>245373</v>
      </c>
      <c r="L45" s="50">
        <v>4806</v>
      </c>
    </row>
    <row r="46" spans="1:12">
      <c r="A46" s="50" t="s">
        <v>27</v>
      </c>
      <c r="B46" s="50">
        <v>4</v>
      </c>
      <c r="C46" s="50">
        <v>150</v>
      </c>
      <c r="D46" s="50">
        <v>4</v>
      </c>
      <c r="E46" s="50">
        <v>14</v>
      </c>
      <c r="F46" s="50">
        <v>108767</v>
      </c>
      <c r="G46" s="50">
        <v>1937877</v>
      </c>
      <c r="H46" s="50">
        <v>11394823</v>
      </c>
      <c r="I46" s="50">
        <v>57230</v>
      </c>
      <c r="J46" s="50">
        <v>4586</v>
      </c>
      <c r="K46" s="50">
        <v>171025</v>
      </c>
      <c r="L46" s="50">
        <v>7369</v>
      </c>
    </row>
    <row r="47" spans="1:12">
      <c r="A47" s="50" t="s">
        <v>25</v>
      </c>
      <c r="B47" s="50">
        <v>3</v>
      </c>
      <c r="C47" s="50">
        <v>207</v>
      </c>
      <c r="D47" s="50">
        <v>5</v>
      </c>
      <c r="E47" s="50">
        <v>2</v>
      </c>
      <c r="F47" s="50">
        <v>59464</v>
      </c>
      <c r="G47" s="50">
        <v>1033290</v>
      </c>
      <c r="H47" s="50">
        <v>3613676</v>
      </c>
      <c r="I47" s="50">
        <v>6390</v>
      </c>
      <c r="J47" s="50">
        <v>0</v>
      </c>
      <c r="K47" s="50">
        <v>121047</v>
      </c>
      <c r="L47" s="50">
        <v>4314</v>
      </c>
    </row>
    <row r="48" spans="1:12">
      <c r="A48" s="50" t="s">
        <v>26</v>
      </c>
      <c r="B48" s="50">
        <v>3</v>
      </c>
      <c r="C48" s="50">
        <v>79</v>
      </c>
      <c r="D48" s="50">
        <v>1</v>
      </c>
      <c r="E48" s="50">
        <v>2</v>
      </c>
      <c r="F48" s="50">
        <v>24034</v>
      </c>
      <c r="G48" s="50">
        <v>413704</v>
      </c>
      <c r="H48" s="50">
        <v>936937</v>
      </c>
      <c r="I48" s="50">
        <v>1758</v>
      </c>
      <c r="J48" s="50">
        <v>0</v>
      </c>
      <c r="K48" s="50">
        <v>38753</v>
      </c>
      <c r="L48" s="50">
        <v>1789</v>
      </c>
    </row>
    <row r="49" spans="1:12">
      <c r="A49" s="50" t="s">
        <v>27</v>
      </c>
      <c r="B49" s="50">
        <v>3</v>
      </c>
      <c r="C49" s="50">
        <v>109</v>
      </c>
      <c r="D49" s="50">
        <v>1</v>
      </c>
      <c r="E49" s="50">
        <v>1</v>
      </c>
      <c r="F49" s="50">
        <v>16165</v>
      </c>
      <c r="G49" s="50">
        <v>428922</v>
      </c>
      <c r="H49" s="50">
        <v>888206</v>
      </c>
      <c r="I49" s="50">
        <v>3944</v>
      </c>
      <c r="J49" s="50">
        <v>0</v>
      </c>
      <c r="K49" s="50">
        <v>17554</v>
      </c>
      <c r="L49" s="50">
        <v>2115</v>
      </c>
    </row>
    <row r="50" spans="1:12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</row>
    <row r="51" spans="1:12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</row>
    <row r="52" spans="1:12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</row>
    <row r="53" spans="1:12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</row>
    <row r="54" spans="1:12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</row>
    <row r="55" spans="1:12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</row>
    <row r="56" spans="1:12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</row>
    <row r="57" spans="1:12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</row>
    <row r="58" spans="1:12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</row>
    <row r="59" spans="1:12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</row>
    <row r="60" spans="1:12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</row>
    <row r="61" spans="1:13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t="s">
        <v>66</v>
      </c>
    </row>
  </sheetData>
  <conditionalFormatting sqref="F26:F28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{3f82b055-2bd9-44dc-8d3b-803c0652a816}</x14:id>
        </ext>
      </extLst>
    </cfRule>
  </conditionalFormatting>
  <conditionalFormatting sqref="F29:F31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{3f49459e-829d-41d2-aa3a-5dfebc69d094}</x14:id>
        </ext>
      </extLst>
    </cfRule>
  </conditionalFormatting>
  <conditionalFormatting sqref="F32:F34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{1f4f461b-47b3-459a-94aa-603352dd3d52}</x14:id>
        </ext>
      </extLst>
    </cfRule>
  </conditionalFormatting>
  <conditionalFormatting sqref="G26:G28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{a66b0012-2ae5-4032-991c-a4fd7b6f0b0f}</x14:id>
        </ext>
      </extLst>
    </cfRule>
  </conditionalFormatting>
  <conditionalFormatting sqref="G29:G3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{c63f544c-274a-4c6f-ad92-b7620b8dc38b}</x14:id>
        </ext>
      </extLst>
    </cfRule>
  </conditionalFormatting>
  <conditionalFormatting sqref="G32:G34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{cd97d12e-a109-4bc6-9dcd-06430253959f}</x14:id>
        </ext>
      </extLst>
    </cfRule>
  </conditionalFormatting>
  <conditionalFormatting sqref="O8:O10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{ba937a8d-a820-42fe-a9be-e7ba738d6917}</x14:id>
        </ext>
      </extLst>
    </cfRule>
  </conditionalFormatting>
  <conditionalFormatting sqref="O20:O2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{479998ea-8184-4e19-92e7-05e0cf55f376}</x14:id>
        </ext>
      </extLst>
    </cfRule>
  </conditionalFormatting>
  <conditionalFormatting sqref="O26:O33">
    <cfRule type="cellIs" dxfId="37" priority="15" operator="equal">
      <formula>$S$26</formula>
    </cfRule>
  </conditionalFormatting>
  <conditionalFormatting sqref="P8:P10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{8c05f7da-3f91-4a92-8855-52e7d6eddf81}</x14:id>
        </ext>
      </extLst>
    </cfRule>
  </conditionalFormatting>
  <conditionalFormatting sqref="P20:P22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{c0c52fba-0a58-4007-90fb-6d01f47ca444}</x14:id>
        </ext>
      </extLst>
    </cfRule>
  </conditionalFormatting>
  <conditionalFormatting sqref="Q8:Q10">
    <cfRule type="cellIs" dxfId="38" priority="1" operator="equal">
      <formula>配置!$D$4</formula>
    </cfRule>
    <cfRule type="cellIs" dxfId="39" priority="2" operator="equal">
      <formula>配置!$D$3</formula>
    </cfRule>
    <cfRule type="cellIs" dxfId="37" priority="3" operator="equal">
      <formula>配置!$D$2</formula>
    </cfRule>
  </conditionalFormatting>
  <conditionalFormatting sqref="Q26:Q29">
    <cfRule type="cellIs" dxfId="37" priority="16" operator="equal">
      <formula>$S$26</formula>
    </cfRule>
  </conditionalFormatting>
  <conditionalFormatting sqref="O23:O24 Q1:R1 Q2 Q4:Q5 Q7 Q11 Q13:Q14 Q16:Q17 Q19:Q20 Q22">
    <cfRule type="cellIs" dxfId="37" priority="24" operator="equal">
      <formula>配置!$D$2</formula>
    </cfRule>
  </conditionalFormatting>
  <conditionalFormatting sqref="O2:O7 O11:O19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{3049ebbd-00ef-4f96-8b7e-ae9af8afb6b8}</x14:id>
        </ext>
      </extLst>
    </cfRule>
  </conditionalFormatting>
  <conditionalFormatting sqref="P2:P7 P11:P19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{197df285-8298-4b92-b439-692b7ee611f7}</x14:id>
        </ext>
      </extLst>
    </cfRule>
  </conditionalFormatting>
  <conditionalFormatting sqref="Q2 Q4:Q5 Q7 Q11 Q13:Q14 Q16:Q17 Q19:Q20 Q22">
    <cfRule type="cellIs" dxfId="38" priority="23" operator="equal">
      <formula>配置!$D$4</formula>
    </cfRule>
  </conditionalFormatting>
  <conditionalFormatting sqref="Q2:Q7 Q11:Q22">
    <cfRule type="cellIs" dxfId="38" priority="12" operator="equal">
      <formula>配置!$D$4</formula>
    </cfRule>
    <cfRule type="cellIs" dxfId="39" priority="13" operator="equal">
      <formula>配置!$D$3</formula>
    </cfRule>
    <cfRule type="cellIs" dxfId="37" priority="14" operator="equal">
      <formula>配置!$D$2</formula>
    </cfRule>
  </conditionalFormatting>
  <conditionalFormatting sqref="Q8 Q10">
    <cfRule type="cellIs" dxfId="38" priority="6" operator="equal">
      <formula>配置!$D$4</formula>
    </cfRule>
    <cfRule type="cellIs" dxfId="37" priority="7" operator="equal">
      <formula>配置!$D$2</formula>
    </cfRule>
  </conditionalFormatting>
  <dataValidations count="1">
    <dataValidation type="list" allowBlank="1" showInputMessage="1" showErrorMessage="1" sqref="Q2:Q22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f82b055-2bd9-44dc-8d3b-803c0652a8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3f49459e-829d-41d2-aa3a-5dfebc69d0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1f4f461b-47b3-459a-94aa-603352dd3d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a66b0012-2ae5-4032-991c-a4fd7b6f0b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c63f544c-274a-4c6f-ad92-b7620b8dc3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cd97d12e-a109-4bc6-9dcd-06430253959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ba937a8d-a820-42fe-a9be-e7ba738d69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O8:O10</xm:sqref>
        </x14:conditionalFormatting>
        <x14:conditionalFormatting xmlns:xm="http://schemas.microsoft.com/office/excel/2006/main">
          <x14:cfRule type="dataBar" id="{479998ea-8184-4e19-92e7-05e0cf55f3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8c05f7da-3f91-4a92-8855-52e7d6eddf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P8:P10</xm:sqref>
        </x14:conditionalFormatting>
        <x14:conditionalFormatting xmlns:xm="http://schemas.microsoft.com/office/excel/2006/main">
          <x14:cfRule type="dataBar" id="{c0c52fba-0a58-4007-90fb-6d01f47ca4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  <x14:conditionalFormatting xmlns:xm="http://schemas.microsoft.com/office/excel/2006/main">
          <x14:cfRule type="dataBar" id="{3049ebbd-00ef-4f96-8b7e-ae9af8afb6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O2:O7 O11:O19</xm:sqref>
        </x14:conditionalFormatting>
        <x14:conditionalFormatting xmlns:xm="http://schemas.microsoft.com/office/excel/2006/main">
          <x14:cfRule type="dataBar" id="{197df285-8298-4b92-b439-692b7ee611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P2:P7 P11:P19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1"/>
  <sheetViews>
    <sheetView workbookViewId="0">
      <selection activeCell="C2" sqref="C2"/>
    </sheetView>
  </sheetViews>
  <sheetFormatPr defaultColWidth="9" defaultRowHeight="13.5"/>
  <sheetData>
    <row r="1" s="1" customFormat="1" ht="27.75" spans="1:24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22</v>
      </c>
      <c r="X1" s="22" t="s">
        <v>23</v>
      </c>
    </row>
    <row r="2" s="354" customFormat="1" ht="14.25" customHeight="1" spans="1:24">
      <c r="A2" s="371">
        <v>75</v>
      </c>
      <c r="B2" s="371">
        <f>VLOOKUP(表1_86121822242632[[#This Row],[区服]],$O$26:$P$33,2,FALSE)</f>
        <v>53</v>
      </c>
      <c r="C2" s="372" t="s">
        <v>70</v>
      </c>
      <c r="D2" s="373" t="str">
        <f>表1_86121822242632[[#This Row],[目标国家]]</f>
        <v>魏</v>
      </c>
      <c r="E2" s="374">
        <f>(VLOOKUP(表1_86121822242632[[#This Row],[目标区服]],$Q$26:$R$29,2,FALSE)-表1_86121822242632[[#This Row],[开服天数]])*配置!$B$1</f>
        <v>1000</v>
      </c>
      <c r="F2" s="374">
        <f>表1_86121822242632[[#This Row],[补偿Coin]]*(表1_86121822242632[[#This Row],[活跃高战玩家数]]+表1_86121822242632[[#This Row],[活跃中坚玩家数]])</f>
        <v>20000</v>
      </c>
      <c r="G2" s="374">
        <f>(VLOOKUP(表1_86121822242632[[#This Row],[目标区服]],$Q$26:$R$29,2,FALSE)-表1_86121822242632[[#This Row],[开服天数]])*配置!$B$2</f>
        <v>10</v>
      </c>
      <c r="H2" s="376" t="s">
        <v>25</v>
      </c>
      <c r="I2" s="376">
        <f>IF(表1_86121822242632[[#This Row],[原国家]]="魏",0,IF(表1_86121822242632[[#This Row],[原国家]]="蜀",1,2))</f>
        <v>0</v>
      </c>
      <c r="J2" s="380">
        <v>5</v>
      </c>
      <c r="K2" s="380">
        <v>202</v>
      </c>
      <c r="L2" s="380">
        <v>2</v>
      </c>
      <c r="M2" s="380">
        <v>18</v>
      </c>
      <c r="N2" s="380">
        <v>96359</v>
      </c>
      <c r="O2" s="380">
        <v>3838703</v>
      </c>
      <c r="P2" s="381">
        <v>25781531</v>
      </c>
      <c r="Q2" s="31" t="s">
        <v>25</v>
      </c>
      <c r="R2" s="376">
        <f>IF(表1_86121822242632[[#This Row],[目标国家]]="魏",0,IF(表1_86121822242632[[#This Row],[目标国家]]="蜀",1,2))</f>
        <v>0</v>
      </c>
      <c r="S2" s="380">
        <v>181828</v>
      </c>
      <c r="T2" s="380">
        <v>0</v>
      </c>
      <c r="U2" s="380">
        <v>1048201</v>
      </c>
      <c r="V2" s="380">
        <v>15397</v>
      </c>
      <c r="W2" s="387" t="str">
        <f>"{"&amp;"'coin':"&amp;表1_86121822242632[[#This Row],[补偿Coin]]&amp;",'"&amp;配置!$A$2&amp;"':"&amp;表1_86121822242632[[#This Row],[补偿辎重]]&amp;"},"</f>
        <v>{'coin':1000,'item036':10},</v>
      </c>
      <c r="X2" s="388" t="str">
        <f>"      '"&amp;表1_86121822242632[[#This Row],[区服]]&amp;"':{"</f>
        <v>      '75':{</v>
      </c>
    </row>
    <row r="3" s="354" customFormat="1" ht="14.25" customHeight="1" spans="1:24">
      <c r="A3" s="371">
        <v>75</v>
      </c>
      <c r="B3" s="371">
        <f>VLOOKUP(表1_86121822242632[[#This Row],[区服]],$O$26:$P$33,2,FALSE)</f>
        <v>53</v>
      </c>
      <c r="C3" s="372" t="s">
        <v>70</v>
      </c>
      <c r="D3" s="376" t="str">
        <f>表1_86121822242632[[#This Row],[目标国家]]</f>
        <v>蜀</v>
      </c>
      <c r="E3" s="380">
        <f>(VLOOKUP(表1_86121822242632[[#This Row],[目标区服]],$Q$26:$R$29,2,FALSE)-表1_86121822242632[[#This Row],[开服天数]])*配置!$B$1</f>
        <v>1000</v>
      </c>
      <c r="F3" s="380">
        <f>表1_86121822242632[[#This Row],[补偿Coin]]*(表1_86121822242632[[#This Row],[活跃高战玩家数]]+表1_86121822242632[[#This Row],[活跃中坚玩家数]])</f>
        <v>25000</v>
      </c>
      <c r="G3" s="380">
        <f>(VLOOKUP(表1_86121822242632[[#This Row],[目标区服]],$Q$26:$R$29,2,FALSE)-表1_86121822242632[[#This Row],[开服天数]])*配置!$B$2</f>
        <v>10</v>
      </c>
      <c r="H3" s="376" t="s">
        <v>26</v>
      </c>
      <c r="I3" s="376">
        <f>IF(表1_86121822242632[[#This Row],[原国家]]="魏",0,IF(表1_86121822242632[[#This Row],[原国家]]="蜀",1,2))</f>
        <v>1</v>
      </c>
      <c r="J3" s="380">
        <v>2</v>
      </c>
      <c r="K3" s="380">
        <v>89</v>
      </c>
      <c r="L3" s="380">
        <v>5</v>
      </c>
      <c r="M3" s="380">
        <v>20</v>
      </c>
      <c r="N3" s="380">
        <v>109654</v>
      </c>
      <c r="O3" s="380">
        <v>3098206</v>
      </c>
      <c r="P3" s="381">
        <v>28796063</v>
      </c>
      <c r="Q3" s="31" t="s">
        <v>26</v>
      </c>
      <c r="R3" s="376">
        <f>IF(表1_86121822242632[[#This Row],[目标国家]]="魏",0,IF(表1_86121822242632[[#This Row],[目标国家]]="蜀",1,2))</f>
        <v>1</v>
      </c>
      <c r="S3" s="380">
        <v>172890</v>
      </c>
      <c r="T3" s="380">
        <v>128</v>
      </c>
      <c r="U3" s="380">
        <v>688705</v>
      </c>
      <c r="V3" s="380">
        <v>13148</v>
      </c>
      <c r="W3" s="387" t="str">
        <f>"{"&amp;"'coin':"&amp;表1_86121822242632[[#This Row],[补偿Coin]]&amp;",'"&amp;配置!$A$2&amp;"':"&amp;表1_86121822242632[[#This Row],[补偿辎重]]&amp;"},"</f>
        <v>{'coin':1000,'item036':10},</v>
      </c>
      <c r="X3" s="388" t="str">
        <f>"            'to_zone':'"&amp;表1_86121822242632[[#This Row],[目标区服]]&amp;"',
            'reward':"&amp;表1_86121822242632[[#This Row],[辅助导出]]&amp;"
            'country':["&amp;R2&amp;","&amp;R3&amp;","&amp;R4&amp;"],"</f>
        <v>            'to_zone':'h1_31',
            'reward':{'coin':1000,'item036':10},
            'country':[0,1,2],</v>
      </c>
    </row>
    <row r="4" s="354" customFormat="1" ht="14.25" customHeight="1" spans="1:24">
      <c r="A4" s="371">
        <v>75</v>
      </c>
      <c r="B4" s="371">
        <f>VLOOKUP(表1_86121822242632[[#This Row],[区服]],$O$26:$P$33,2,FALSE)</f>
        <v>53</v>
      </c>
      <c r="C4" s="372" t="s">
        <v>70</v>
      </c>
      <c r="D4" s="376" t="str">
        <f>表1_86121822242632[[#This Row],[目标国家]]</f>
        <v>吴</v>
      </c>
      <c r="E4" s="380">
        <f>(VLOOKUP(表1_86121822242632[[#This Row],[目标区服]],$Q$26:$R$29,2,FALSE)-表1_86121822242632[[#This Row],[开服天数]])*配置!$B$1</f>
        <v>1000</v>
      </c>
      <c r="F4" s="380">
        <f>表1_86121822242632[[#This Row],[补偿Coin]]*(表1_86121822242632[[#This Row],[活跃高战玩家数]]+表1_86121822242632[[#This Row],[活跃中坚玩家数]])</f>
        <v>31000</v>
      </c>
      <c r="G4" s="380">
        <f>(VLOOKUP(表1_86121822242632[[#This Row],[目标区服]],$Q$26:$R$29,2,FALSE)-表1_86121822242632[[#This Row],[开服天数]])*配置!$B$2</f>
        <v>10</v>
      </c>
      <c r="H4" s="376" t="s">
        <v>27</v>
      </c>
      <c r="I4" s="376">
        <f>IF(表1_86121822242632[[#This Row],[原国家]]="魏",0,IF(表1_86121822242632[[#This Row],[原国家]]="蜀",1,2))</f>
        <v>2</v>
      </c>
      <c r="J4" s="380">
        <v>2</v>
      </c>
      <c r="K4" s="380">
        <v>104</v>
      </c>
      <c r="L4" s="380">
        <v>3</v>
      </c>
      <c r="M4" s="380">
        <v>28</v>
      </c>
      <c r="N4" s="380">
        <v>111958</v>
      </c>
      <c r="O4" s="380">
        <v>3077327</v>
      </c>
      <c r="P4" s="381">
        <v>31316730</v>
      </c>
      <c r="Q4" s="31" t="s">
        <v>27</v>
      </c>
      <c r="R4" s="376">
        <f>IF(表1_86121822242632[[#This Row],[目标国家]]="魏",0,IF(表1_86121822242632[[#This Row],[目标国家]]="蜀",1,2))</f>
        <v>2</v>
      </c>
      <c r="S4" s="380">
        <v>133988</v>
      </c>
      <c r="T4" s="380">
        <v>30</v>
      </c>
      <c r="U4" s="380">
        <v>704827</v>
      </c>
      <c r="V4" s="380">
        <v>12381</v>
      </c>
      <c r="W4" s="387" t="str">
        <f>"{"&amp;"'coin':"&amp;表1_86121822242632[[#This Row],[补偿Coin]]&amp;",'"&amp;配置!$A$2&amp;"':"&amp;表1_86121822242632[[#This Row],[补偿辎重]]&amp;"},"</f>
        <v>{'coin':1000,'item036':10},</v>
      </c>
      <c r="X4" s="388" t="str">
        <f>"      },"</f>
        <v>      },</v>
      </c>
    </row>
    <row r="5" s="354" customFormat="1" ht="14.25" customHeight="1" spans="1:24">
      <c r="A5" s="375">
        <v>76</v>
      </c>
      <c r="B5" s="371">
        <f>VLOOKUP(表1_86121822242632[[#This Row],[区服]],$O$26:$P$33,2,FALSE)</f>
        <v>52</v>
      </c>
      <c r="C5" s="372" t="s">
        <v>70</v>
      </c>
      <c r="D5" s="376" t="str">
        <f>表1_86121822242632[[#This Row],[目标国家]]</f>
        <v>魏</v>
      </c>
      <c r="E5" s="380">
        <f>(VLOOKUP(表1_86121822242632[[#This Row],[目标区服]],$Q$26:$R$29,2,FALSE)-表1_86121822242632[[#This Row],[开服天数]])*配置!$B$1</f>
        <v>1500</v>
      </c>
      <c r="F5" s="380">
        <f>表1_86121822242632[[#This Row],[补偿Coin]]*(表1_86121822242632[[#This Row],[活跃高战玩家数]]+表1_86121822242632[[#This Row],[活跃中坚玩家数]])</f>
        <v>30000</v>
      </c>
      <c r="G5" s="380">
        <f>(VLOOKUP(表1_86121822242632[[#This Row],[目标区服]],$Q$26:$R$29,2,FALSE)-表1_86121822242632[[#This Row],[开服天数]])*配置!$B$2</f>
        <v>15</v>
      </c>
      <c r="H5" s="376" t="s">
        <v>25</v>
      </c>
      <c r="I5" s="376">
        <f>IF(表1_86121822242632[[#This Row],[原国家]]="魏",0,IF(表1_86121822242632[[#This Row],[原国家]]="蜀",1,2))</f>
        <v>0</v>
      </c>
      <c r="J5" s="380">
        <v>8</v>
      </c>
      <c r="K5" s="380">
        <v>268</v>
      </c>
      <c r="L5" s="380">
        <v>5</v>
      </c>
      <c r="M5" s="380">
        <v>15</v>
      </c>
      <c r="N5" s="380">
        <v>101101</v>
      </c>
      <c r="O5" s="380">
        <v>3621986</v>
      </c>
      <c r="P5" s="381">
        <v>24148472</v>
      </c>
      <c r="Q5" s="31" t="s">
        <v>25</v>
      </c>
      <c r="R5" s="376">
        <f>IF(表1_86121822242632[[#This Row],[目标国家]]="魏",0,IF(表1_86121822242632[[#This Row],[目标国家]]="蜀",1,2))</f>
        <v>0</v>
      </c>
      <c r="S5" s="380">
        <v>102466</v>
      </c>
      <c r="T5" s="380">
        <v>656</v>
      </c>
      <c r="U5" s="380">
        <v>405296</v>
      </c>
      <c r="V5" s="380">
        <v>13305</v>
      </c>
      <c r="W5" s="387" t="str">
        <f>"{"&amp;"'coin':"&amp;表1_86121822242632[[#This Row],[补偿Coin]]&amp;",'"&amp;配置!$A$2&amp;"':"&amp;表1_86121822242632[[#This Row],[补偿辎重]]&amp;"},"</f>
        <v>{'coin':1500,'item036':15},</v>
      </c>
      <c r="X5" s="388" t="str">
        <f>"      '"&amp;表1_86121822242632[[#This Row],[区服]]&amp;"':{"</f>
        <v>      '76':{</v>
      </c>
    </row>
    <row r="6" s="354" customFormat="1" ht="14.25" customHeight="1" spans="1:24">
      <c r="A6" s="375">
        <v>76</v>
      </c>
      <c r="B6" s="371">
        <f>VLOOKUP(表1_86121822242632[[#This Row],[区服]],$O$26:$P$33,2,FALSE)</f>
        <v>52</v>
      </c>
      <c r="C6" s="372" t="s">
        <v>70</v>
      </c>
      <c r="D6" s="376" t="str">
        <f>表1_86121822242632[[#This Row],[目标国家]]</f>
        <v>蜀</v>
      </c>
      <c r="E6" s="380">
        <f>(VLOOKUP(表1_86121822242632[[#This Row],[目标区服]],$Q$26:$R$29,2,FALSE)-表1_86121822242632[[#This Row],[开服天数]])*配置!$B$1</f>
        <v>1500</v>
      </c>
      <c r="F6" s="380">
        <f>表1_86121822242632[[#This Row],[补偿Coin]]*(表1_86121822242632[[#This Row],[活跃高战玩家数]]+表1_86121822242632[[#This Row],[活跃中坚玩家数]])</f>
        <v>40500</v>
      </c>
      <c r="G6" s="380">
        <f>(VLOOKUP(表1_86121822242632[[#This Row],[目标区服]],$Q$26:$R$29,2,FALSE)-表1_86121822242632[[#This Row],[开服天数]])*配置!$B$2</f>
        <v>15</v>
      </c>
      <c r="H6" s="376" t="s">
        <v>26</v>
      </c>
      <c r="I6" s="376">
        <f>IF(表1_86121822242632[[#This Row],[原国家]]="魏",0,IF(表1_86121822242632[[#This Row],[原国家]]="蜀",1,2))</f>
        <v>1</v>
      </c>
      <c r="J6" s="380">
        <v>1</v>
      </c>
      <c r="K6" s="380">
        <v>59</v>
      </c>
      <c r="L6" s="380">
        <v>1</v>
      </c>
      <c r="M6" s="380">
        <v>26</v>
      </c>
      <c r="N6" s="380">
        <v>73434</v>
      </c>
      <c r="O6" s="380">
        <v>2280311</v>
      </c>
      <c r="P6" s="381">
        <v>18822642</v>
      </c>
      <c r="Q6" s="31" t="s">
        <v>26</v>
      </c>
      <c r="R6" s="376">
        <f>IF(表1_86121822242632[[#This Row],[目标国家]]="魏",0,IF(表1_86121822242632[[#This Row],[目标国家]]="蜀",1,2))</f>
        <v>1</v>
      </c>
      <c r="S6" s="380">
        <v>70728</v>
      </c>
      <c r="T6" s="380">
        <v>0</v>
      </c>
      <c r="U6" s="380">
        <v>320935</v>
      </c>
      <c r="V6" s="380">
        <v>7502</v>
      </c>
      <c r="W6" s="387" t="str">
        <f>"{"&amp;"'coin':"&amp;表1_86121822242632[[#This Row],[补偿Coin]]&amp;",'"&amp;配置!$A$2&amp;"':"&amp;表1_86121822242632[[#This Row],[补偿辎重]]&amp;"},"</f>
        <v>{'coin':1500,'item036':15},</v>
      </c>
      <c r="X6" s="388" t="str">
        <f>"            'to_zone':'"&amp;表1_86121822242632[[#This Row],[目标区服]]&amp;"',
            'reward':"&amp;表1_86121822242632[[#This Row],[辅助导出]]&amp;"
            'country':["&amp;R5&amp;","&amp;R6&amp;","&amp;R7&amp;"],"</f>
        <v>            'to_zone':'h1_31',
            'reward':{'coin':1500,'item036':15},
            'country':[0,1,2],</v>
      </c>
    </row>
    <row r="7" s="354" customFormat="1" ht="14.25" customHeight="1" spans="1:24">
      <c r="A7" s="375">
        <v>76</v>
      </c>
      <c r="B7" s="371">
        <f>VLOOKUP(表1_86121822242632[[#This Row],[区服]],$O$26:$P$33,2,FALSE)</f>
        <v>52</v>
      </c>
      <c r="C7" s="372" t="s">
        <v>70</v>
      </c>
      <c r="D7" s="376" t="str">
        <f>表1_86121822242632[[#This Row],[目标国家]]</f>
        <v>吴</v>
      </c>
      <c r="E7" s="380">
        <f>(VLOOKUP(表1_86121822242632[[#This Row],[目标区服]],$Q$26:$R$29,2,FALSE)-表1_86121822242632[[#This Row],[开服天数]])*配置!$B$1</f>
        <v>1500</v>
      </c>
      <c r="F7" s="380">
        <f>表1_86121822242632[[#This Row],[补偿Coin]]*(表1_86121822242632[[#This Row],[活跃高战玩家数]]+表1_86121822242632[[#This Row],[活跃中坚玩家数]])</f>
        <v>24000</v>
      </c>
      <c r="G7" s="380">
        <f>(VLOOKUP(表1_86121822242632[[#This Row],[目标区服]],$Q$26:$R$29,2,FALSE)-表1_86121822242632[[#This Row],[开服天数]])*配置!$B$2</f>
        <v>15</v>
      </c>
      <c r="H7" s="376" t="s">
        <v>27</v>
      </c>
      <c r="I7" s="376">
        <f>IF(表1_86121822242632[[#This Row],[原国家]]="魏",0,IF(表1_86121822242632[[#This Row],[原国家]]="蜀",1,2))</f>
        <v>2</v>
      </c>
      <c r="J7" s="380">
        <v>0</v>
      </c>
      <c r="K7" s="380">
        <v>68</v>
      </c>
      <c r="L7" s="380">
        <v>2</v>
      </c>
      <c r="M7" s="380">
        <v>14</v>
      </c>
      <c r="N7" s="380">
        <v>76696</v>
      </c>
      <c r="O7" s="380">
        <v>3096742</v>
      </c>
      <c r="P7" s="381">
        <v>17144808</v>
      </c>
      <c r="Q7" s="31" t="s">
        <v>27</v>
      </c>
      <c r="R7" s="376">
        <f>IF(表1_86121822242632[[#This Row],[目标国家]]="魏",0,IF(表1_86121822242632[[#This Row],[目标国家]]="蜀",1,2))</f>
        <v>2</v>
      </c>
      <c r="S7" s="380">
        <v>147400</v>
      </c>
      <c r="T7" s="380">
        <v>0</v>
      </c>
      <c r="U7" s="380">
        <v>415630</v>
      </c>
      <c r="V7" s="380">
        <v>10504</v>
      </c>
      <c r="W7" s="387" t="str">
        <f>"{"&amp;"'coin':"&amp;表1_86121822242632[[#This Row],[补偿Coin]]&amp;",'"&amp;配置!$A$2&amp;"':"&amp;表1_86121822242632[[#This Row],[补偿辎重]]&amp;"},"</f>
        <v>{'coin':1500,'item036':15},</v>
      </c>
      <c r="X7" s="388" t="str">
        <f t="shared" ref="X7" si="0">"      },"</f>
        <v>      },</v>
      </c>
    </row>
    <row r="8" s="354" customFormat="1" ht="14.25" customHeight="1" spans="1:24">
      <c r="A8" s="666">
        <v>77</v>
      </c>
      <c r="B8" s="667">
        <f>VLOOKUP(表1_86121822242632[[#This Row],[区服]],$O$26:$P$33,2,FALSE)</f>
        <v>51</v>
      </c>
      <c r="C8" s="668" t="s">
        <v>71</v>
      </c>
      <c r="D8" s="669" t="str">
        <f>表1_86121822242632[[#This Row],[目标国家]]</f>
        <v>吴</v>
      </c>
      <c r="E8" s="670">
        <f>(VLOOKUP(表1_86121822242632[[#This Row],[目标区服]],$Q$26:$R$29,2,FALSE)-表1_86121822242632[[#This Row],[开服天数]])*配置!$B$1</f>
        <v>1000</v>
      </c>
      <c r="F8" s="670">
        <f>表1_86121822242632[[#This Row],[补偿Coin]]*(表1_86121822242632[[#This Row],[活跃高战玩家数]]+表1_86121822242632[[#This Row],[活跃中坚玩家数]])</f>
        <v>36000</v>
      </c>
      <c r="G8" s="671">
        <f>(VLOOKUP(表1_86121822242632[[#This Row],[目标区服]],$Q$26:$R$29,2,FALSE)-表1_86121822242632[[#This Row],[开服天数]])*配置!$B$2</f>
        <v>10</v>
      </c>
      <c r="H8" s="669" t="s">
        <v>25</v>
      </c>
      <c r="I8" s="676">
        <f>IF(表1_86121822242632[[#This Row],[原国家]]="魏",0,IF(表1_86121822242632[[#This Row],[原国家]]="蜀",1,2))</f>
        <v>0</v>
      </c>
      <c r="J8" s="670">
        <v>8</v>
      </c>
      <c r="K8" s="670">
        <v>297</v>
      </c>
      <c r="L8" s="670">
        <v>8</v>
      </c>
      <c r="M8" s="670">
        <v>28</v>
      </c>
      <c r="N8" s="670">
        <v>201824</v>
      </c>
      <c r="O8" s="677">
        <v>3407356</v>
      </c>
      <c r="P8" s="678">
        <v>40682528</v>
      </c>
      <c r="Q8" s="679" t="s">
        <v>27</v>
      </c>
      <c r="R8" s="669">
        <f>IF(表1_86121822242632[[#This Row],[目标国家]]="魏",0,IF(表1_86121822242632[[#This Row],[目标国家]]="蜀",1,2))</f>
        <v>2</v>
      </c>
      <c r="S8" s="670">
        <v>74560</v>
      </c>
      <c r="T8" s="670">
        <v>12</v>
      </c>
      <c r="U8" s="670">
        <v>923345</v>
      </c>
      <c r="V8" s="670">
        <v>14953</v>
      </c>
      <c r="W8" s="680" t="str">
        <f>"{"&amp;"'coin':"&amp;表1_86121822242632[[#This Row],[补偿Coin]]&amp;",'"&amp;配置!$A$2&amp;"':"&amp;表1_86121822242632[[#This Row],[补偿辎重]]&amp;"},"</f>
        <v>{'coin':1000,'item036':10},</v>
      </c>
      <c r="X8" s="680" t="str">
        <f>"      '"&amp;表1_86121822242632[[#This Row],[区服]]&amp;"':{"</f>
        <v>      '77':{</v>
      </c>
    </row>
    <row r="9" s="354" customFormat="1" ht="14.25" customHeight="1" spans="1:24">
      <c r="A9" s="666">
        <v>77</v>
      </c>
      <c r="B9" s="667">
        <f>VLOOKUP(表1_86121822242632[[#This Row],[区服]],$O$26:$P$33,2,FALSE)</f>
        <v>51</v>
      </c>
      <c r="C9" s="668" t="s">
        <v>71</v>
      </c>
      <c r="D9" s="669" t="str">
        <f>表1_86121822242632[[#This Row],[目标国家]]</f>
        <v>蜀</v>
      </c>
      <c r="E9" s="670">
        <f>(VLOOKUP(表1_86121822242632[[#This Row],[目标区服]],$Q$26:$R$29,2,FALSE)-表1_86121822242632[[#This Row],[开服天数]])*配置!$B$1</f>
        <v>1000</v>
      </c>
      <c r="F9" s="670">
        <f>表1_86121822242632[[#This Row],[补偿Coin]]*(表1_86121822242632[[#This Row],[活跃高战玩家数]]+表1_86121822242632[[#This Row],[活跃中坚玩家数]])</f>
        <v>25000</v>
      </c>
      <c r="G9" s="671">
        <f>(VLOOKUP(表1_86121822242632[[#This Row],[目标区服]],$Q$26:$R$29,2,FALSE)-表1_86121822242632[[#This Row],[开服天数]])*配置!$B$2</f>
        <v>10</v>
      </c>
      <c r="H9" s="669" t="s">
        <v>26</v>
      </c>
      <c r="I9" s="676">
        <f>IF(表1_86121822242632[[#This Row],[原国家]]="魏",0,IF(表1_86121822242632[[#This Row],[原国家]]="蜀",1,2))</f>
        <v>1</v>
      </c>
      <c r="J9" s="670">
        <v>1</v>
      </c>
      <c r="K9" s="670">
        <v>83</v>
      </c>
      <c r="L9" s="670">
        <v>2</v>
      </c>
      <c r="M9" s="670">
        <v>23</v>
      </c>
      <c r="N9" s="670">
        <v>70819</v>
      </c>
      <c r="O9" s="677">
        <v>2898595</v>
      </c>
      <c r="P9" s="678">
        <v>19819069</v>
      </c>
      <c r="Q9" s="679" t="s">
        <v>26</v>
      </c>
      <c r="R9" s="669">
        <f>IF(表1_86121822242632[[#This Row],[目标国家]]="魏",0,IF(表1_86121822242632[[#This Row],[目标国家]]="蜀",1,2))</f>
        <v>1</v>
      </c>
      <c r="S9" s="670">
        <v>73906</v>
      </c>
      <c r="T9" s="670">
        <v>30</v>
      </c>
      <c r="U9" s="670">
        <v>200092</v>
      </c>
      <c r="V9" s="670">
        <v>8482</v>
      </c>
      <c r="W9" s="680" t="str">
        <f>"{"&amp;"'coin':"&amp;表1_86121822242632[[#This Row],[补偿Coin]]&amp;",'"&amp;配置!$A$2&amp;"':"&amp;表1_86121822242632[[#This Row],[补偿辎重]]&amp;"},"</f>
        <v>{'coin':1000,'item036':10},</v>
      </c>
      <c r="X9" s="680" t="str">
        <f>"            'to_zone':'"&amp;表1_86121822242632[[#This Row],[目标区服]]&amp;"',
            'reward':"&amp;表1_86121822242632[[#This Row],[辅助导出]]&amp;"
            'country':["&amp;R8&amp;","&amp;R9&amp;","&amp;R10&amp;"],"</f>
        <v>            'to_zone':'h1_32',
            'reward':{'coin':1000,'item036':10},
            'country':[2,1,2],</v>
      </c>
    </row>
    <row r="10" s="354" customFormat="1" ht="14.25" customHeight="1" spans="1:24">
      <c r="A10" s="666">
        <v>77</v>
      </c>
      <c r="B10" s="667">
        <f>VLOOKUP(表1_86121822242632[[#This Row],[区服]],$O$26:$P$33,2,FALSE)</f>
        <v>51</v>
      </c>
      <c r="C10" s="668" t="s">
        <v>71</v>
      </c>
      <c r="D10" s="669" t="str">
        <f>表1_86121822242632[[#This Row],[目标国家]]</f>
        <v>吴</v>
      </c>
      <c r="E10" s="670">
        <f>(VLOOKUP(表1_86121822242632[[#This Row],[目标区服]],$Q$26:$R$29,2,FALSE)-表1_86121822242632[[#This Row],[开服天数]])*配置!$B$1</f>
        <v>1000</v>
      </c>
      <c r="F10" s="670">
        <f>表1_86121822242632[[#This Row],[补偿Coin]]*(表1_86121822242632[[#This Row],[活跃高战玩家数]]+表1_86121822242632[[#This Row],[活跃中坚玩家数]])</f>
        <v>8000</v>
      </c>
      <c r="G10" s="671">
        <f>(VLOOKUP(表1_86121822242632[[#This Row],[目标区服]],$Q$26:$R$29,2,FALSE)-表1_86121822242632[[#This Row],[开服天数]])*配置!$B$2</f>
        <v>10</v>
      </c>
      <c r="H10" s="669" t="s">
        <v>27</v>
      </c>
      <c r="I10" s="676">
        <f>IF(表1_86121822242632[[#This Row],[原国家]]="魏",0,IF(表1_86121822242632[[#This Row],[原国家]]="蜀",1,2))</f>
        <v>2</v>
      </c>
      <c r="J10" s="670">
        <v>0</v>
      </c>
      <c r="K10" s="670">
        <v>15</v>
      </c>
      <c r="L10" s="670">
        <v>0</v>
      </c>
      <c r="M10" s="670">
        <v>8</v>
      </c>
      <c r="N10" s="670">
        <v>10844</v>
      </c>
      <c r="O10" s="677">
        <v>1026550</v>
      </c>
      <c r="P10" s="678">
        <v>4235894</v>
      </c>
      <c r="Q10" s="679" t="s">
        <v>27</v>
      </c>
      <c r="R10" s="669">
        <f>IF(表1_86121822242632[[#This Row],[目标国家]]="魏",0,IF(表1_86121822242632[[#This Row],[目标国家]]="蜀",1,2))</f>
        <v>2</v>
      </c>
      <c r="S10" s="670">
        <v>1370</v>
      </c>
      <c r="T10" s="670">
        <v>0</v>
      </c>
      <c r="U10" s="670">
        <v>58373</v>
      </c>
      <c r="V10" s="670">
        <v>1724</v>
      </c>
      <c r="W10" s="680" t="str">
        <f>"{"&amp;"'coin':"&amp;表1_86121822242632[[#This Row],[补偿Coin]]&amp;",'"&amp;配置!$A$2&amp;"':"&amp;表1_86121822242632[[#This Row],[补偿辎重]]&amp;"},"</f>
        <v>{'coin':1000,'item036':10},</v>
      </c>
      <c r="X10" s="680" t="str">
        <f>"      },"</f>
        <v>      },</v>
      </c>
    </row>
    <row r="11" s="354" customFormat="1" ht="14.25" customHeight="1" spans="1:24">
      <c r="A11" s="666">
        <v>78</v>
      </c>
      <c r="B11" s="667">
        <f>VLOOKUP(表1_86121822242632[[#This Row],[区服]],$O$26:$P$33,2,FALSE)</f>
        <v>50</v>
      </c>
      <c r="C11" s="668" t="s">
        <v>71</v>
      </c>
      <c r="D11" s="669" t="str">
        <f>表1_86121822242632[[#This Row],[目标国家]]</f>
        <v>魏</v>
      </c>
      <c r="E11" s="670">
        <f>(VLOOKUP(表1_86121822242632[[#This Row],[目标区服]],$Q$26:$R$29,2,FALSE)-表1_86121822242632[[#This Row],[开服天数]])*配置!$B$1</f>
        <v>1500</v>
      </c>
      <c r="F11" s="670">
        <f>表1_86121822242632[[#This Row],[补偿Coin]]*(表1_86121822242632[[#This Row],[活跃高战玩家数]]+表1_86121822242632[[#This Row],[活跃中坚玩家数]])</f>
        <v>37500</v>
      </c>
      <c r="G11" s="671">
        <f>(VLOOKUP(表1_86121822242632[[#This Row],[目标区服]],$Q$26:$R$29,2,FALSE)-表1_86121822242632[[#This Row],[开服天数]])*配置!$B$2</f>
        <v>15</v>
      </c>
      <c r="H11" s="669" t="s">
        <v>25</v>
      </c>
      <c r="I11" s="676">
        <f>IF(表1_86121822242632[[#This Row],[原国家]]="魏",0,IF(表1_86121822242632[[#This Row],[原国家]]="蜀",1,2))</f>
        <v>0</v>
      </c>
      <c r="J11" s="670">
        <v>9</v>
      </c>
      <c r="K11" s="670">
        <v>300</v>
      </c>
      <c r="L11" s="670">
        <v>6</v>
      </c>
      <c r="M11" s="670">
        <v>19</v>
      </c>
      <c r="N11" s="670">
        <v>138191</v>
      </c>
      <c r="O11" s="677">
        <v>3884933</v>
      </c>
      <c r="P11" s="678">
        <v>25450242</v>
      </c>
      <c r="Q11" s="679" t="s">
        <v>25</v>
      </c>
      <c r="R11" s="669">
        <f>IF(表1_86121822242632[[#This Row],[目标国家]]="魏",0,IF(表1_86121822242632[[#This Row],[目标国家]]="蜀",1,2))</f>
        <v>0</v>
      </c>
      <c r="S11" s="670">
        <v>140606</v>
      </c>
      <c r="T11" s="670">
        <v>0</v>
      </c>
      <c r="U11" s="670">
        <v>1111721</v>
      </c>
      <c r="V11" s="670">
        <v>15794</v>
      </c>
      <c r="W11" s="680" t="str">
        <f>"{"&amp;"'coin':"&amp;表1_86121822242632[[#This Row],[补偿Coin]]&amp;",'"&amp;配置!$A$2&amp;"':"&amp;表1_86121822242632[[#This Row],[补偿辎重]]&amp;"},"</f>
        <v>{'coin':1500,'item036':15},</v>
      </c>
      <c r="X11" s="680" t="str">
        <f>"      '"&amp;表1_86121822242632[[#This Row],[区服]]&amp;"':{"</f>
        <v>      '78':{</v>
      </c>
    </row>
    <row r="12" s="354" customFormat="1" ht="14.25" customHeight="1" spans="1:24">
      <c r="A12" s="666">
        <v>78</v>
      </c>
      <c r="B12" s="667">
        <f>VLOOKUP(表1_86121822242632[[#This Row],[区服]],$O$26:$P$33,2,FALSE)</f>
        <v>50</v>
      </c>
      <c r="C12" s="668" t="s">
        <v>71</v>
      </c>
      <c r="D12" s="669" t="str">
        <f>表1_86121822242632[[#This Row],[目标国家]]</f>
        <v>蜀</v>
      </c>
      <c r="E12" s="670">
        <f>(VLOOKUP(表1_86121822242632[[#This Row],[目标区服]],$Q$26:$R$29,2,FALSE)-表1_86121822242632[[#This Row],[开服天数]])*配置!$B$1</f>
        <v>1500</v>
      </c>
      <c r="F12" s="670">
        <f>表1_86121822242632[[#This Row],[补偿Coin]]*(表1_86121822242632[[#This Row],[活跃高战玩家数]]+表1_86121822242632[[#This Row],[活跃中坚玩家数]])</f>
        <v>15000</v>
      </c>
      <c r="G12" s="671">
        <f>(VLOOKUP(表1_86121822242632[[#This Row],[目标区服]],$Q$26:$R$29,2,FALSE)-表1_86121822242632[[#This Row],[开服天数]])*配置!$B$2</f>
        <v>15</v>
      </c>
      <c r="H12" s="669" t="s">
        <v>26</v>
      </c>
      <c r="I12" s="676">
        <f>IF(表1_86121822242632[[#This Row],[原国家]]="魏",0,IF(表1_86121822242632[[#This Row],[原国家]]="蜀",1,2))</f>
        <v>1</v>
      </c>
      <c r="J12" s="670">
        <v>0</v>
      </c>
      <c r="K12" s="670">
        <v>52</v>
      </c>
      <c r="L12" s="670">
        <v>0</v>
      </c>
      <c r="M12" s="670">
        <v>10</v>
      </c>
      <c r="N12" s="670">
        <v>36853</v>
      </c>
      <c r="O12" s="677">
        <v>1083851</v>
      </c>
      <c r="P12" s="678">
        <v>5773653</v>
      </c>
      <c r="Q12" s="679" t="s">
        <v>26</v>
      </c>
      <c r="R12" s="669">
        <f>IF(表1_86121822242632[[#This Row],[目标国家]]="魏",0,IF(表1_86121822242632[[#This Row],[目标国家]]="蜀",1,2))</f>
        <v>1</v>
      </c>
      <c r="S12" s="670">
        <v>4410</v>
      </c>
      <c r="T12" s="670">
        <v>8854</v>
      </c>
      <c r="U12" s="670">
        <v>75111</v>
      </c>
      <c r="V12" s="670">
        <v>2623</v>
      </c>
      <c r="W12" s="680" t="str">
        <f>"{"&amp;"'coin':"&amp;表1_86121822242632[[#This Row],[补偿Coin]]&amp;",'"&amp;配置!$A$2&amp;"':"&amp;表1_86121822242632[[#This Row],[补偿辎重]]&amp;"},"</f>
        <v>{'coin':1500,'item036':15},</v>
      </c>
      <c r="X12" s="680" t="str">
        <f>"            'to_zone':'"&amp;表1_86121822242632[[#This Row],[目标区服]]&amp;"',
            'reward':"&amp;表1_86121822242632[[#This Row],[辅助导出]]&amp;"
            'country':["&amp;R11&amp;","&amp;R12&amp;","&amp;R13&amp;"],"</f>
        <v>            'to_zone':'h1_32',
            'reward':{'coin':1500,'item036':15},
            'country':[0,1,2],</v>
      </c>
    </row>
    <row r="13" s="354" customFormat="1" ht="14.25" customHeight="1" spans="1:24">
      <c r="A13" s="666">
        <v>78</v>
      </c>
      <c r="B13" s="667">
        <f>VLOOKUP(表1_86121822242632[[#This Row],[区服]],$O$26:$P$33,2,FALSE)</f>
        <v>50</v>
      </c>
      <c r="C13" s="668" t="s">
        <v>71</v>
      </c>
      <c r="D13" s="669" t="str">
        <f>表1_86121822242632[[#This Row],[目标国家]]</f>
        <v>吴</v>
      </c>
      <c r="E13" s="670">
        <f>(VLOOKUP(表1_86121822242632[[#This Row],[目标区服]],$Q$26:$R$29,2,FALSE)-表1_86121822242632[[#This Row],[开服天数]])*配置!$B$1</f>
        <v>1500</v>
      </c>
      <c r="F13" s="670">
        <f>表1_86121822242632[[#This Row],[补偿Coin]]*(表1_86121822242632[[#This Row],[活跃高战玩家数]]+表1_86121822242632[[#This Row],[活跃中坚玩家数]])</f>
        <v>21000</v>
      </c>
      <c r="G13" s="671">
        <f>(VLOOKUP(表1_86121822242632[[#This Row],[目标区服]],$Q$26:$R$29,2,FALSE)-表1_86121822242632[[#This Row],[开服天数]])*配置!$B$2</f>
        <v>15</v>
      </c>
      <c r="H13" s="669" t="s">
        <v>27</v>
      </c>
      <c r="I13" s="676">
        <f>IF(表1_86121822242632[[#This Row],[原国家]]="魏",0,IF(表1_86121822242632[[#This Row],[原国家]]="蜀",1,2))</f>
        <v>2</v>
      </c>
      <c r="J13" s="670">
        <v>0</v>
      </c>
      <c r="K13" s="670">
        <v>43</v>
      </c>
      <c r="L13" s="670">
        <v>2</v>
      </c>
      <c r="M13" s="670">
        <v>12</v>
      </c>
      <c r="N13" s="670">
        <v>72059</v>
      </c>
      <c r="O13" s="677">
        <v>2624366</v>
      </c>
      <c r="P13" s="678">
        <v>11926045</v>
      </c>
      <c r="Q13" s="679" t="s">
        <v>27</v>
      </c>
      <c r="R13" s="669">
        <f>IF(表1_86121822242632[[#This Row],[目标国家]]="魏",0,IF(表1_86121822242632[[#This Row],[目标国家]]="蜀",1,2))</f>
        <v>2</v>
      </c>
      <c r="S13" s="670">
        <v>8392</v>
      </c>
      <c r="T13" s="670">
        <v>0</v>
      </c>
      <c r="U13" s="670">
        <v>132938</v>
      </c>
      <c r="V13" s="670">
        <v>4925</v>
      </c>
      <c r="W13" s="680" t="str">
        <f>"{"&amp;"'coin':"&amp;表1_86121822242632[[#This Row],[补偿Coin]]&amp;",'"&amp;配置!$A$2&amp;"':"&amp;表1_86121822242632[[#This Row],[补偿辎重]]&amp;"},"</f>
        <v>{'coin':1500,'item036':15},</v>
      </c>
      <c r="X13" s="680" t="str">
        <f t="shared" ref="X13" si="1">"      },"</f>
        <v>      },</v>
      </c>
    </row>
    <row r="14" ht="14.25" customHeight="1" spans="1:24">
      <c r="A14" s="667">
        <v>79</v>
      </c>
      <c r="B14" s="667">
        <f>VLOOKUP(表1_86121822242632[[#This Row],[区服]],$O$26:$P$33,2,FALSE)</f>
        <v>49</v>
      </c>
      <c r="C14" s="668" t="s">
        <v>71</v>
      </c>
      <c r="D14" s="669" t="str">
        <f>表1_86121822242632[[#This Row],[目标国家]]</f>
        <v>蜀</v>
      </c>
      <c r="E14" s="670">
        <f>(VLOOKUP(表1_86121822242632[[#This Row],[目标区服]],$Q$26:$R$29,2,FALSE)-表1_86121822242632[[#This Row],[开服天数]])*配置!$B$1</f>
        <v>2000</v>
      </c>
      <c r="F14" s="670">
        <f>表1_86121822242632[[#This Row],[补偿Coin]]*(表1_86121822242632[[#This Row],[活跃高战玩家数]]+表1_86121822242632[[#This Row],[活跃中坚玩家数]])</f>
        <v>48000</v>
      </c>
      <c r="G14" s="670">
        <f>(VLOOKUP(表1_86121822242632[[#This Row],[目标区服]],$Q$26:$R$29,2,FALSE)-表1_86121822242632[[#This Row],[开服天数]])*配置!$B$2</f>
        <v>20</v>
      </c>
      <c r="H14" s="669" t="s">
        <v>25</v>
      </c>
      <c r="I14" s="669">
        <f>IF(表1_86121822242632[[#This Row],[原国家]]="魏",0,IF(表1_86121822242632[[#This Row],[原国家]]="蜀",1,2))</f>
        <v>0</v>
      </c>
      <c r="J14" s="670">
        <v>6</v>
      </c>
      <c r="K14" s="670">
        <v>268</v>
      </c>
      <c r="L14" s="670">
        <v>5</v>
      </c>
      <c r="M14" s="670">
        <v>19</v>
      </c>
      <c r="N14" s="670">
        <v>129498</v>
      </c>
      <c r="O14" s="670">
        <v>2888630</v>
      </c>
      <c r="P14" s="678">
        <v>23552213</v>
      </c>
      <c r="Q14" s="679" t="s">
        <v>26</v>
      </c>
      <c r="R14" s="669">
        <f>IF(表1_86121822242632[[#This Row],[目标国家]]="魏",0,IF(表1_86121822242632[[#This Row],[目标国家]]="蜀",1,2))</f>
        <v>1</v>
      </c>
      <c r="S14" s="670">
        <v>73810</v>
      </c>
      <c r="T14" s="670">
        <v>0</v>
      </c>
      <c r="U14" s="670">
        <v>797671</v>
      </c>
      <c r="V14" s="670">
        <v>11784</v>
      </c>
      <c r="W14" s="681" t="str">
        <f>"{"&amp;"'coin':"&amp;表1_86121822242632[[#This Row],[补偿Coin]]&amp;",'"&amp;配置!$A$2&amp;"':"&amp;表1_86121822242632[[#This Row],[补偿辎重]]&amp;"},"</f>
        <v>{'coin':2000,'item036':20},</v>
      </c>
      <c r="X14" s="682" t="str">
        <f>"      '"&amp;表1_86121822242632[[#This Row],[区服]]&amp;"':{"</f>
        <v>      '79':{</v>
      </c>
    </row>
    <row r="15" ht="14.25" customHeight="1" spans="1:24">
      <c r="A15" s="667">
        <v>79</v>
      </c>
      <c r="B15" s="667">
        <f>VLOOKUP(表1_86121822242632[[#This Row],[区服]],$O$26:$P$33,2,FALSE)</f>
        <v>49</v>
      </c>
      <c r="C15" s="668" t="s">
        <v>71</v>
      </c>
      <c r="D15" s="669" t="str">
        <f>表1_86121822242632[[#This Row],[目标国家]]</f>
        <v>魏</v>
      </c>
      <c r="E15" s="670">
        <f>(VLOOKUP(表1_86121822242632[[#This Row],[目标区服]],$Q$26:$R$29,2,FALSE)-表1_86121822242632[[#This Row],[开服天数]])*配置!$B$1</f>
        <v>2000</v>
      </c>
      <c r="F15" s="670">
        <f>表1_86121822242632[[#This Row],[补偿Coin]]*(表1_86121822242632[[#This Row],[活跃高战玩家数]]+表1_86121822242632[[#This Row],[活跃中坚玩家数]])</f>
        <v>16000</v>
      </c>
      <c r="G15" s="670">
        <f>(VLOOKUP(表1_86121822242632[[#This Row],[目标区服]],$Q$26:$R$29,2,FALSE)-表1_86121822242632[[#This Row],[开服天数]])*配置!$B$2</f>
        <v>20</v>
      </c>
      <c r="H15" s="669" t="s">
        <v>26</v>
      </c>
      <c r="I15" s="669">
        <f>IF(表1_86121822242632[[#This Row],[原国家]]="魏",0,IF(表1_86121822242632[[#This Row],[原国家]]="蜀",1,2))</f>
        <v>1</v>
      </c>
      <c r="J15" s="670">
        <v>0</v>
      </c>
      <c r="K15" s="670">
        <v>33</v>
      </c>
      <c r="L15" s="670">
        <v>1</v>
      </c>
      <c r="M15" s="670">
        <v>7</v>
      </c>
      <c r="N15" s="670">
        <v>24499</v>
      </c>
      <c r="O15" s="670">
        <v>1202092</v>
      </c>
      <c r="P15" s="678">
        <v>4745045</v>
      </c>
      <c r="Q15" s="679" t="s">
        <v>25</v>
      </c>
      <c r="R15" s="669">
        <f>IF(表1_86121822242632[[#This Row],[目标国家]]="魏",0,IF(表1_86121822242632[[#This Row],[目标国家]]="蜀",1,2))</f>
        <v>0</v>
      </c>
      <c r="S15" s="670">
        <v>4092</v>
      </c>
      <c r="T15" s="670">
        <v>0</v>
      </c>
      <c r="U15" s="670">
        <v>110835</v>
      </c>
      <c r="V15" s="670">
        <v>2307</v>
      </c>
      <c r="W15" s="681" t="str">
        <f>"{"&amp;"'coin':"&amp;表1_86121822242632[[#This Row],[补偿Coin]]&amp;",'"&amp;配置!$A$2&amp;"':"&amp;表1_86121822242632[[#This Row],[补偿辎重]]&amp;"},"</f>
        <v>{'coin':2000,'item036':20},</v>
      </c>
      <c r="X15" s="682" t="str">
        <f>"            'to_zone':'"&amp;表1_86121822242632[[#This Row],[目标区服]]&amp;"',
            'reward':"&amp;表1_86121822242632[[#This Row],[辅助导出]]&amp;"
            'country':["&amp;R14&amp;","&amp;R15&amp;","&amp;R16&amp;"],"</f>
        <v>            'to_zone':'h1_32',
            'reward':{'coin':2000,'item036':20},
            'country':[1,0,0],</v>
      </c>
    </row>
    <row r="16" ht="14.25" customHeight="1" spans="1:24">
      <c r="A16" s="667">
        <v>79</v>
      </c>
      <c r="B16" s="667">
        <f>VLOOKUP(表1_86121822242632[[#This Row],[区服]],$O$26:$P$33,2,FALSE)</f>
        <v>49</v>
      </c>
      <c r="C16" s="668" t="s">
        <v>71</v>
      </c>
      <c r="D16" s="669" t="str">
        <f>表1_86121822242632[[#This Row],[目标国家]]</f>
        <v>魏</v>
      </c>
      <c r="E16" s="670">
        <f>(VLOOKUP(表1_86121822242632[[#This Row],[目标区服]],$Q$26:$R$29,2,FALSE)-表1_86121822242632[[#This Row],[开服天数]])*配置!$B$1</f>
        <v>2000</v>
      </c>
      <c r="F16" s="670">
        <f>表1_86121822242632[[#This Row],[补偿Coin]]*(表1_86121822242632[[#This Row],[活跃高战玩家数]]+表1_86121822242632[[#This Row],[活跃中坚玩家数]])</f>
        <v>32000</v>
      </c>
      <c r="G16" s="670">
        <f>(VLOOKUP(表1_86121822242632[[#This Row],[目标区服]],$Q$26:$R$29,2,FALSE)-表1_86121822242632[[#This Row],[开服天数]])*配置!$B$2</f>
        <v>20</v>
      </c>
      <c r="H16" s="669" t="s">
        <v>27</v>
      </c>
      <c r="I16" s="669">
        <f>IF(表1_86121822242632[[#This Row],[原国家]]="魏",0,IF(表1_86121822242632[[#This Row],[原国家]]="蜀",1,2))</f>
        <v>2</v>
      </c>
      <c r="J16" s="670">
        <v>3</v>
      </c>
      <c r="K16" s="670">
        <v>94</v>
      </c>
      <c r="L16" s="670">
        <v>3</v>
      </c>
      <c r="M16" s="670">
        <v>13</v>
      </c>
      <c r="N16" s="670">
        <v>92524</v>
      </c>
      <c r="O16" s="670">
        <v>2023068</v>
      </c>
      <c r="P16" s="678">
        <v>13938673</v>
      </c>
      <c r="Q16" s="679" t="s">
        <v>25</v>
      </c>
      <c r="R16" s="669">
        <f>IF(表1_86121822242632[[#This Row],[目标国家]]="魏",0,IF(表1_86121822242632[[#This Row],[目标国家]]="蜀",1,2))</f>
        <v>0</v>
      </c>
      <c r="S16" s="670">
        <v>20128</v>
      </c>
      <c r="T16" s="670">
        <v>0</v>
      </c>
      <c r="U16" s="670">
        <v>286326</v>
      </c>
      <c r="V16" s="670">
        <v>5866</v>
      </c>
      <c r="W16" s="681" t="str">
        <f>"{"&amp;"'coin':"&amp;表1_86121822242632[[#This Row],[补偿Coin]]&amp;",'"&amp;配置!$A$2&amp;"':"&amp;表1_86121822242632[[#This Row],[补偿辎重]]&amp;"},"</f>
        <v>{'coin':2000,'item036':20},</v>
      </c>
      <c r="X16" s="682" t="str">
        <f t="shared" ref="X16" si="2">"      },"</f>
        <v>      },</v>
      </c>
    </row>
    <row r="17" ht="14.25" customHeight="1" spans="1:24">
      <c r="A17" s="17"/>
      <c r="B17" s="17" t="e">
        <f>VLOOKUP(表1_86121822242632[[#This Row],[区服]],$O$26:$P$33,2,FALSE)</f>
        <v>#N/A</v>
      </c>
      <c r="C17" s="18"/>
      <c r="D17" s="19" t="str">
        <f>表1_86121822242632[[#This Row],[目标国家]]</f>
        <v>魏</v>
      </c>
      <c r="E17" s="20" t="e">
        <f>(VLOOKUP(表1_86121822242632[[#This Row],[目标区服]],$Q$26:$R$29,2,FALSE)-表1_86121822242632[[#This Row],[开服天数]])*配置!$B$1</f>
        <v>#N/A</v>
      </c>
      <c r="F17" s="20" t="e">
        <f>表1_86121822242632[[#This Row],[补偿Coin]]*(表1_86121822242632[[#This Row],[活跃高战玩家数]]+表1_86121822242632[[#This Row],[活跃中坚玩家数]])</f>
        <v>#N/A</v>
      </c>
      <c r="G17" s="20" t="e">
        <f>(VLOOKUP(表1_86121822242632[[#This Row],[目标区服]],$Q$26:$R$29,2,FALSE)-表1_86121822242632[[#This Row],[开服天数]])*配置!$B$2</f>
        <v>#N/A</v>
      </c>
      <c r="H17" s="19" t="s">
        <v>25</v>
      </c>
      <c r="I17" s="19">
        <f>IF(表1_86121822242632[[#This Row],[原国家]]="魏",0,IF(表1_86121822242632[[#This Row],[原国家]]="蜀",1,2))</f>
        <v>0</v>
      </c>
      <c r="J17" s="20"/>
      <c r="K17" s="20"/>
      <c r="L17" s="20"/>
      <c r="M17" s="20"/>
      <c r="N17" s="20"/>
      <c r="O17" s="20"/>
      <c r="P17" s="26"/>
      <c r="Q17" s="31" t="s">
        <v>25</v>
      </c>
      <c r="R17" s="19">
        <f>IF(表1_86121822242632[[#This Row],[目标国家]]="魏",0,IF(表1_86121822242632[[#This Row],[目标国家]]="蜀",1,2))</f>
        <v>0</v>
      </c>
      <c r="S17" s="20"/>
      <c r="T17" s="20"/>
      <c r="U17" s="20"/>
      <c r="V17" s="20"/>
      <c r="W17" s="33" t="e">
        <f>"{"&amp;"'coin':"&amp;表1_86121822242632[[#This Row],[补偿Coin]]&amp;",'"&amp;配置!$A$2&amp;"':"&amp;表1_86121822242632[[#This Row],[补偿辎重]]&amp;"},"</f>
        <v>#N/A</v>
      </c>
      <c r="X17" s="34" t="str">
        <f>"      '"&amp;表1_86121822242632[[#This Row],[区服]]&amp;"':{"</f>
        <v>      '':{</v>
      </c>
    </row>
    <row r="18" ht="14.25" customHeight="1" spans="1:24">
      <c r="A18" s="17"/>
      <c r="B18" s="17" t="e">
        <f>VLOOKUP(表1_86121822242632[[#This Row],[区服]],$O$26:$P$33,2,FALSE)</f>
        <v>#N/A</v>
      </c>
      <c r="C18" s="18"/>
      <c r="D18" s="19" t="str">
        <f>表1_86121822242632[[#This Row],[目标国家]]</f>
        <v>蜀</v>
      </c>
      <c r="E18" s="20" t="e">
        <f>(VLOOKUP(表1_86121822242632[[#This Row],[目标区服]],$Q$26:$R$29,2,FALSE)-表1_86121822242632[[#This Row],[开服天数]])*配置!$B$1</f>
        <v>#N/A</v>
      </c>
      <c r="F18" s="20" t="e">
        <f>表1_86121822242632[[#This Row],[补偿Coin]]*(表1_86121822242632[[#This Row],[活跃高战玩家数]]+表1_86121822242632[[#This Row],[活跃中坚玩家数]])</f>
        <v>#N/A</v>
      </c>
      <c r="G18" s="20" t="e">
        <f>(VLOOKUP(表1_86121822242632[[#This Row],[目标区服]],$Q$26:$R$29,2,FALSE)-表1_86121822242632[[#This Row],[开服天数]])*配置!$B$2</f>
        <v>#N/A</v>
      </c>
      <c r="H18" s="19" t="s">
        <v>26</v>
      </c>
      <c r="I18" s="19">
        <f>IF(表1_86121822242632[[#This Row],[原国家]]="魏",0,IF(表1_86121822242632[[#This Row],[原国家]]="蜀",1,2))</f>
        <v>1</v>
      </c>
      <c r="J18" s="20"/>
      <c r="K18" s="20"/>
      <c r="L18" s="20"/>
      <c r="M18" s="20"/>
      <c r="N18" s="20"/>
      <c r="O18" s="20"/>
      <c r="P18" s="26"/>
      <c r="Q18" s="31" t="s">
        <v>26</v>
      </c>
      <c r="R18" s="19">
        <f>IF(表1_86121822242632[[#This Row],[目标国家]]="魏",0,IF(表1_86121822242632[[#This Row],[目标国家]]="蜀",1,2))</f>
        <v>1</v>
      </c>
      <c r="S18" s="20"/>
      <c r="T18" s="20"/>
      <c r="U18" s="20"/>
      <c r="V18" s="20"/>
      <c r="W18" s="33" t="e">
        <f>"{"&amp;"'coin':"&amp;表1_86121822242632[[#This Row],[补偿Coin]]&amp;",'"&amp;配置!$A$2&amp;"':"&amp;表1_86121822242632[[#This Row],[补偿辎重]]&amp;"},"</f>
        <v>#N/A</v>
      </c>
      <c r="X18" s="34" t="e">
        <f>"            'to_zone':'"&amp;表1_86121822242632[[#This Row],[目标区服]]&amp;"',
            'reward':"&amp;表1_86121822242632[[#This Row],[辅助导出]]&amp;"
            'country':["&amp;R17&amp;","&amp;R18&amp;","&amp;R19&amp;"],"</f>
        <v>#N/A</v>
      </c>
    </row>
    <row r="19" ht="14.25" customHeight="1" spans="1:24">
      <c r="A19" s="17"/>
      <c r="B19" s="17" t="e">
        <f>VLOOKUP(表1_86121822242632[[#This Row],[区服]],$O$26:$P$33,2,FALSE)</f>
        <v>#N/A</v>
      </c>
      <c r="C19" s="18"/>
      <c r="D19" s="19" t="str">
        <f>表1_86121822242632[[#This Row],[目标国家]]</f>
        <v>吴</v>
      </c>
      <c r="E19" s="20" t="e">
        <f>(VLOOKUP(表1_86121822242632[[#This Row],[目标区服]],$Q$26:$R$29,2,FALSE)-表1_86121822242632[[#This Row],[开服天数]])*配置!$B$1</f>
        <v>#N/A</v>
      </c>
      <c r="F19" s="20" t="e">
        <f>表1_86121822242632[[#This Row],[补偿Coin]]*(表1_86121822242632[[#This Row],[活跃高战玩家数]]+表1_86121822242632[[#This Row],[活跃中坚玩家数]])</f>
        <v>#N/A</v>
      </c>
      <c r="G19" s="20" t="e">
        <f>(VLOOKUP(表1_86121822242632[[#This Row],[目标区服]],$Q$26:$R$29,2,FALSE)-表1_86121822242632[[#This Row],[开服天数]])*配置!$B$2</f>
        <v>#N/A</v>
      </c>
      <c r="H19" s="19" t="s">
        <v>27</v>
      </c>
      <c r="I19" s="19">
        <f>IF(表1_86121822242632[[#This Row],[原国家]]="魏",0,IF(表1_86121822242632[[#This Row],[原国家]]="蜀",1,2))</f>
        <v>2</v>
      </c>
      <c r="J19" s="20"/>
      <c r="K19" s="20"/>
      <c r="L19" s="20"/>
      <c r="M19" s="20"/>
      <c r="N19" s="20"/>
      <c r="O19" s="20"/>
      <c r="P19" s="26"/>
      <c r="Q19" s="31" t="s">
        <v>27</v>
      </c>
      <c r="R19" s="19">
        <f>IF(表1_86121822242632[[#This Row],[目标国家]]="魏",0,IF(表1_86121822242632[[#This Row],[目标国家]]="蜀",1,2))</f>
        <v>2</v>
      </c>
      <c r="S19" s="20"/>
      <c r="T19" s="20"/>
      <c r="U19" s="20"/>
      <c r="V19" s="20"/>
      <c r="W19" s="33" t="e">
        <f>"{"&amp;"'coin':"&amp;表1_86121822242632[[#This Row],[补偿Coin]]&amp;",'"&amp;配置!$A$2&amp;"':"&amp;表1_86121822242632[[#This Row],[补偿辎重]]&amp;"},"</f>
        <v>#N/A</v>
      </c>
      <c r="X19" s="34" t="str">
        <f t="shared" ref="X19" si="3">"      },"</f>
        <v>      },</v>
      </c>
    </row>
    <row r="20" ht="14.25" customHeight="1" spans="1:24">
      <c r="A20" s="17"/>
      <c r="B20" s="17" t="e">
        <f>VLOOKUP(表1_86121822242632[[#This Row],[区服]],$O$26:$P$33,2,FALSE)</f>
        <v>#N/A</v>
      </c>
      <c r="C20" s="18"/>
      <c r="D20" s="19" t="str">
        <f>表1_86121822242632[[#This Row],[目标国家]]</f>
        <v>魏</v>
      </c>
      <c r="E20" s="20" t="e">
        <f>(VLOOKUP(表1_86121822242632[[#This Row],[目标区服]],$Q$26:$R$29,2,FALSE)-表1_86121822242632[[#This Row],[开服天数]])*配置!$B$1</f>
        <v>#N/A</v>
      </c>
      <c r="F20" s="20" t="e">
        <f>表1_86121822242632[[#This Row],[补偿Coin]]*(表1_86121822242632[[#This Row],[活跃高战玩家数]]+表1_86121822242632[[#This Row],[活跃中坚玩家数]])</f>
        <v>#N/A</v>
      </c>
      <c r="G20" s="20" t="e">
        <f>(VLOOKUP(表1_86121822242632[[#This Row],[目标区服]],$Q$26:$R$29,2,FALSE)-表1_86121822242632[[#This Row],[开服天数]])*配置!$B$2</f>
        <v>#N/A</v>
      </c>
      <c r="H20" s="19" t="s">
        <v>25</v>
      </c>
      <c r="I20" s="19">
        <f>IF(表1_86121822242632[[#This Row],[原国家]]="魏",0,IF(表1_86121822242632[[#This Row],[原国家]]="蜀",1,2))</f>
        <v>0</v>
      </c>
      <c r="J20" s="20"/>
      <c r="K20" s="20"/>
      <c r="L20" s="20"/>
      <c r="M20" s="20"/>
      <c r="N20" s="20"/>
      <c r="O20" s="20"/>
      <c r="P20" s="26"/>
      <c r="Q20" s="31" t="s">
        <v>25</v>
      </c>
      <c r="R20" s="19">
        <f>IF(表1_86121822242632[[#This Row],[目标国家]]="魏",0,IF(表1_86121822242632[[#This Row],[目标国家]]="蜀",1,2))</f>
        <v>0</v>
      </c>
      <c r="S20" s="20"/>
      <c r="T20" s="20"/>
      <c r="U20" s="20"/>
      <c r="V20" s="20"/>
      <c r="W20" s="33" t="e">
        <f>"{"&amp;"'coin':"&amp;表1_86121822242632[[#This Row],[补偿Coin]]&amp;",'"&amp;配置!$A$2&amp;"':"&amp;表1_86121822242632[[#This Row],[补偿辎重]]&amp;"},"</f>
        <v>#N/A</v>
      </c>
      <c r="X20" s="34" t="str">
        <f>"      '"&amp;表1_86121822242632[[#This Row],[区服]]&amp;"':{"</f>
        <v>      '':{</v>
      </c>
    </row>
    <row r="21" ht="14.25" customHeight="1" spans="1:24">
      <c r="A21" s="17"/>
      <c r="B21" s="17" t="e">
        <f>VLOOKUP(表1_86121822242632[[#This Row],[区服]],$O$26:$P$33,2,FALSE)</f>
        <v>#N/A</v>
      </c>
      <c r="C21" s="18"/>
      <c r="D21" s="19" t="str">
        <f>表1_86121822242632[[#This Row],[目标国家]]</f>
        <v>蜀</v>
      </c>
      <c r="E21" s="20" t="e">
        <f>(VLOOKUP(表1_86121822242632[[#This Row],[目标区服]],$Q$26:$R$29,2,FALSE)-表1_86121822242632[[#This Row],[开服天数]])*配置!$B$1</f>
        <v>#N/A</v>
      </c>
      <c r="F21" s="20" t="e">
        <f>表1_86121822242632[[#This Row],[补偿Coin]]*(表1_86121822242632[[#This Row],[活跃高战玩家数]]+表1_86121822242632[[#This Row],[活跃中坚玩家数]])</f>
        <v>#N/A</v>
      </c>
      <c r="G21" s="20" t="e">
        <f>(VLOOKUP(表1_86121822242632[[#This Row],[目标区服]],$Q$26:$R$29,2,FALSE)-表1_86121822242632[[#This Row],[开服天数]])*配置!$B$2</f>
        <v>#N/A</v>
      </c>
      <c r="H21" s="19" t="s">
        <v>26</v>
      </c>
      <c r="I21" s="19">
        <f>IF(表1_86121822242632[[#This Row],[原国家]]="魏",0,IF(表1_86121822242632[[#This Row],[原国家]]="蜀",1,2))</f>
        <v>1</v>
      </c>
      <c r="J21" s="20"/>
      <c r="K21" s="20"/>
      <c r="L21" s="20"/>
      <c r="M21" s="20"/>
      <c r="N21" s="20"/>
      <c r="O21" s="20"/>
      <c r="P21" s="26"/>
      <c r="Q21" s="31" t="s">
        <v>26</v>
      </c>
      <c r="R21" s="19">
        <f>IF(表1_86121822242632[[#This Row],[目标国家]]="魏",0,IF(表1_86121822242632[[#This Row],[目标国家]]="蜀",1,2))</f>
        <v>1</v>
      </c>
      <c r="S21" s="20"/>
      <c r="T21" s="20"/>
      <c r="U21" s="20"/>
      <c r="V21" s="20"/>
      <c r="W21" s="33" t="e">
        <f>"{"&amp;"'coin':"&amp;表1_86121822242632[[#This Row],[补偿Coin]]&amp;",'"&amp;配置!$A$2&amp;"':"&amp;表1_86121822242632[[#This Row],[补偿辎重]]&amp;"},"</f>
        <v>#N/A</v>
      </c>
      <c r="X21" s="34" t="e">
        <f>"            'to_zone':'"&amp;表1_86121822242632[[#This Row],[目标区服]]&amp;"',
            'reward':"&amp;表1_86121822242632[[#This Row],[辅助导出]]&amp;"
            'country':["&amp;R20&amp;","&amp;R21&amp;","&amp;R22&amp;"],"</f>
        <v>#N/A</v>
      </c>
    </row>
    <row r="22" ht="14.25" customHeight="1" spans="1:24">
      <c r="A22" s="17"/>
      <c r="B22" s="17" t="e">
        <f>VLOOKUP(表1_86121822242632[[#This Row],[区服]],$O$26:$P$33,2,FALSE)</f>
        <v>#N/A</v>
      </c>
      <c r="C22" s="18"/>
      <c r="D22" s="19" t="str">
        <f>表1_86121822242632[[#This Row],[目标国家]]</f>
        <v>吴</v>
      </c>
      <c r="E22" s="20" t="e">
        <f>(VLOOKUP(表1_86121822242632[[#This Row],[目标区服]],$Q$26:$R$29,2,FALSE)-表1_86121822242632[[#This Row],[开服天数]])*配置!$B$1</f>
        <v>#N/A</v>
      </c>
      <c r="F22" s="20" t="e">
        <f>表1_86121822242632[[#This Row],[补偿Coin]]*(表1_86121822242632[[#This Row],[活跃高战玩家数]]+表1_86121822242632[[#This Row],[活跃中坚玩家数]])</f>
        <v>#N/A</v>
      </c>
      <c r="G22" s="20" t="e">
        <f>(VLOOKUP(表1_86121822242632[[#This Row],[目标区服]],$Q$26:$R$29,2,FALSE)-表1_86121822242632[[#This Row],[开服天数]])*配置!$B$2</f>
        <v>#N/A</v>
      </c>
      <c r="H22" s="19" t="s">
        <v>27</v>
      </c>
      <c r="I22" s="19">
        <f>IF(表1_86121822242632[[#This Row],[原国家]]="魏",0,IF(表1_86121822242632[[#This Row],[原国家]]="蜀",1,2))</f>
        <v>2</v>
      </c>
      <c r="J22" s="20"/>
      <c r="K22" s="20"/>
      <c r="L22" s="20"/>
      <c r="M22" s="20"/>
      <c r="N22" s="20"/>
      <c r="O22" s="20"/>
      <c r="P22" s="26"/>
      <c r="Q22" s="31" t="s">
        <v>27</v>
      </c>
      <c r="R22" s="19">
        <f>IF(表1_86121822242632[[#This Row],[目标国家]]="魏",0,IF(表1_86121822242632[[#This Row],[目标国家]]="蜀",1,2))</f>
        <v>2</v>
      </c>
      <c r="S22" s="20"/>
      <c r="T22" s="20"/>
      <c r="U22" s="20"/>
      <c r="V22" s="20"/>
      <c r="W22" s="33" t="e">
        <f>"{"&amp;"'coin':"&amp;表1_86121822242632[[#This Row],[补偿Coin]]&amp;",'"&amp;配置!$A$2&amp;"':"&amp;表1_86121822242632[[#This Row],[补偿辎重]]&amp;"},"</f>
        <v>#N/A</v>
      </c>
      <c r="X22" s="34" t="str">
        <f t="shared" ref="X22" si="4">"      },"</f>
        <v>      },</v>
      </c>
    </row>
    <row r="25" ht="37.5" customHeight="1" spans="1:18">
      <c r="A25" s="36" t="s">
        <v>28</v>
      </c>
      <c r="B25" s="37" t="s">
        <v>29</v>
      </c>
      <c r="C25" s="38" t="s">
        <v>30</v>
      </c>
      <c r="D25" s="38" t="s">
        <v>31</v>
      </c>
      <c r="E25" s="38" t="s">
        <v>32</v>
      </c>
      <c r="F25" s="38" t="s">
        <v>33</v>
      </c>
      <c r="G25" s="38" t="s">
        <v>15</v>
      </c>
      <c r="H25" s="37" t="s">
        <v>18</v>
      </c>
      <c r="I25" s="37" t="s">
        <v>19</v>
      </c>
      <c r="J25" s="37" t="s">
        <v>34</v>
      </c>
      <c r="K25" s="38" t="s">
        <v>35</v>
      </c>
      <c r="L25" s="38" t="s">
        <v>36</v>
      </c>
      <c r="M25" s="38" t="s">
        <v>37</v>
      </c>
      <c r="O25" s="51" t="s">
        <v>0</v>
      </c>
      <c r="P25" s="51" t="s">
        <v>1</v>
      </c>
      <c r="Q25" s="51"/>
      <c r="R25" s="51" t="s">
        <v>38</v>
      </c>
    </row>
    <row r="26" ht="15" spans="1:18">
      <c r="A26" s="372" t="s">
        <v>70</v>
      </c>
      <c r="B26" s="39" t="s">
        <v>25</v>
      </c>
      <c r="C26" s="39">
        <f>COUNTIFS(表1_86121822242632[目标区服],表2_97131923252733[[#This Row],[合区区服]],表1_86121822242632[目标国家（映射）],表2_97131923252733[[#This Row],[国家]])</f>
        <v>2</v>
      </c>
      <c r="D26" s="39">
        <f>SUMIFS(表1_86121822242632[活跃高战玩家数],表1_86121822242632[目标区服],表2_97131923252733[[#This Row],[合区区服]],表1_86121822242632[目标国家（映射）],表2_97131923252733[[#This Row],[国家]])</f>
        <v>7</v>
      </c>
      <c r="E26" s="39">
        <f>SUMIFS(表1_86121822242632[活跃中坚玩家数],表1_86121822242632[目标区服],表2_97131923252733[[#This Row],[合区区服]],表1_86121822242632[目标国家（映射）],表2_97131923252733[[#This Row],[国家]])</f>
        <v>33</v>
      </c>
      <c r="F26" s="39">
        <f t="array" ref="F26">MAX((表1_86121822242632[目标区服]=表2_97131923252733[[#This Row],[合区区服]])*(表1_86121822242632[目标国家（映射）]=表2_97131923252733[[#This Row],[国家]])*表1_86121822242632[活跃尖端战力])</f>
        <v>3838703</v>
      </c>
      <c r="G26" s="40">
        <f>SUMIFS(表1_86121822242632[活跃总战力],表1_86121822242632[目标区服],表2_97131923252733[[#This Row],[合区区服]],表1_86121822242632[目标国家（映射）],表2_97131923252733[[#This Row],[国家]])</f>
        <v>49930003</v>
      </c>
      <c r="H26" s="39">
        <f>SUMIFS(表1_86121822242632[活跃实际充值],表1_86121822242632[目标区服],表2_97131923252733[[#This Row],[合区区服]],表1_86121822242632[目标国家（映射）],表2_97131923252733[[#This Row],[国家]])</f>
        <v>284294</v>
      </c>
      <c r="I26" s="39">
        <f>SUMIFS(表1_86121822242632[活跃虚拟充值],表1_86121822242632[目标区服],表2_97131923252733[[#This Row],[合区区服]],表1_86121822242632[目标国家（映射）],表2_97131923252733[[#This Row],[国家]])</f>
        <v>656</v>
      </c>
      <c r="J26" s="39">
        <f>SUMIFS(表1_86121822242632[活跃Coin],表1_86121822242632[目标区服],表2_97131923252733[[#This Row],[合区区服]],表1_86121822242632[目标国家（映射）],表2_97131923252733[[#This Row],[国家]])</f>
        <v>1453497</v>
      </c>
      <c r="K26" s="39">
        <f>SUMIFS(表1_86121822242632[共计补偿Coin],表1_86121822242632[目标区服],表2_97131923252733[[#This Row],[合区区服]],表1_86121822242632[目标国家（映射）],表2_97131923252733[[#This Row],[国家]])</f>
        <v>50000</v>
      </c>
      <c r="L26" s="39">
        <f>表2_97131923252733[[#This Row],[活跃Coin]]+表2_97131923252733[[#This Row],[共计补偿Coin]]</f>
        <v>1503497</v>
      </c>
      <c r="M26" s="39">
        <f>SUMIFS(表1_86121822242632[综合国力],表1_86121822242632[目标区服],表2_97131923252733[[#This Row],[合区区服]],表1_86121822242632[目标国家（映射）],表2_97131923252733[[#This Row],[国家]])</f>
        <v>28702</v>
      </c>
      <c r="O26" s="51">
        <v>75</v>
      </c>
      <c r="P26" s="51">
        <v>53</v>
      </c>
      <c r="Q26" s="51" t="s">
        <v>70</v>
      </c>
      <c r="R26" s="51">
        <v>55</v>
      </c>
    </row>
    <row r="27" ht="15" spans="1:18">
      <c r="A27" s="372" t="s">
        <v>70</v>
      </c>
      <c r="B27" s="39" t="s">
        <v>26</v>
      </c>
      <c r="C27" s="39">
        <f>COUNTIFS(表1_86121822242632[目标区服],表2_97131923252733[[#This Row],[合区区服]],表1_86121822242632[目标国家（映射）],表2_97131923252733[[#This Row],[国家]])</f>
        <v>2</v>
      </c>
      <c r="D27" s="39">
        <f>SUMIFS(表1_86121822242632[活跃高战玩家数],表1_86121822242632[目标区服],表2_97131923252733[[#This Row],[合区区服]],表1_86121822242632[目标国家（映射）],表2_97131923252733[[#This Row],[国家]])</f>
        <v>6</v>
      </c>
      <c r="E27" s="39">
        <f>SUMIFS(表1_86121822242632[活跃中坚玩家数],表1_86121822242632[目标区服],表2_97131923252733[[#This Row],[合区区服]],表1_86121822242632[目标国家（映射）],表2_97131923252733[[#This Row],[国家]])</f>
        <v>46</v>
      </c>
      <c r="F27" s="39">
        <f t="array" ref="F27">MAX((表1_86121822242632[目标区服]=表2_97131923252733[[#This Row],[合区区服]])*(表1_86121822242632[目标国家（映射）]=表2_97131923252733[[#This Row],[国家]])*表1_86121822242632[活跃尖端战力])</f>
        <v>3098206</v>
      </c>
      <c r="G27" s="40">
        <f>SUMIFS(表1_86121822242632[活跃总战力],表1_86121822242632[目标区服],表2_97131923252733[[#This Row],[合区区服]],表1_86121822242632[目标国家（映射）],表2_97131923252733[[#This Row],[国家]])</f>
        <v>47618705</v>
      </c>
      <c r="H27" s="39">
        <f>SUMIFS(表1_86121822242632[活跃实际充值],表1_86121822242632[目标区服],表2_97131923252733[[#This Row],[合区区服]],表1_86121822242632[目标国家（映射）],表2_97131923252733[[#This Row],[国家]])</f>
        <v>243618</v>
      </c>
      <c r="I27" s="39">
        <f>SUMIFS(表1_86121822242632[活跃虚拟充值],表1_86121822242632[目标区服],表2_97131923252733[[#This Row],[合区区服]],表1_86121822242632[目标国家（映射）],表2_97131923252733[[#This Row],[国家]])</f>
        <v>128</v>
      </c>
      <c r="J27" s="39">
        <f>SUMIFS(表1_86121822242632[活跃Coin],表1_86121822242632[目标区服],表2_97131923252733[[#This Row],[合区区服]],表1_86121822242632[目标国家（映射）],表2_97131923252733[[#This Row],[国家]])</f>
        <v>1009640</v>
      </c>
      <c r="K27" s="39">
        <f>SUMIFS(表1_86121822242632[共计补偿Coin],表1_86121822242632[目标区服],表2_97131923252733[[#This Row],[合区区服]],表1_86121822242632[目标国家（映射）],表2_97131923252733[[#This Row],[国家]])</f>
        <v>65500</v>
      </c>
      <c r="L27" s="39">
        <f>表2_97131923252733[[#This Row],[活跃Coin]]+表2_97131923252733[[#This Row],[共计补偿Coin]]</f>
        <v>1075140</v>
      </c>
      <c r="M27" s="39">
        <f>SUMIFS(表1_86121822242632[综合国力],表1_86121822242632[目标区服],表2_97131923252733[[#This Row],[合区区服]],表1_86121822242632[目标国家（映射）],表2_97131923252733[[#This Row],[国家]])</f>
        <v>20650</v>
      </c>
      <c r="O27" s="51">
        <v>76</v>
      </c>
      <c r="P27" s="51">
        <v>52</v>
      </c>
      <c r="Q27" s="51" t="s">
        <v>71</v>
      </c>
      <c r="R27" s="51">
        <v>53</v>
      </c>
    </row>
    <row r="28" ht="15" spans="1:18">
      <c r="A28" s="372" t="s">
        <v>70</v>
      </c>
      <c r="B28" s="39" t="s">
        <v>27</v>
      </c>
      <c r="C28" s="39">
        <f>COUNTIFS(表1_86121822242632[目标区服],表2_97131923252733[[#This Row],[合区区服]],表1_86121822242632[目标国家（映射）],表2_97131923252733[[#This Row],[国家]])</f>
        <v>2</v>
      </c>
      <c r="D28" s="39">
        <f>SUMIFS(表1_86121822242632[活跃高战玩家数],表1_86121822242632[目标区服],表2_97131923252733[[#This Row],[合区区服]],表1_86121822242632[目标国家（映射）],表2_97131923252733[[#This Row],[国家]])</f>
        <v>5</v>
      </c>
      <c r="E28" s="39">
        <f>SUMIFS(表1_86121822242632[活跃中坚玩家数],表1_86121822242632[目标区服],表2_97131923252733[[#This Row],[合区区服]],表1_86121822242632[目标国家（映射）],表2_97131923252733[[#This Row],[国家]])</f>
        <v>42</v>
      </c>
      <c r="F28" s="39">
        <f t="array" ref="F28">MAX((表1_86121822242632[目标区服]=表2_97131923252733[[#This Row],[合区区服]])*(表1_86121822242632[目标国家（映射）]=表2_97131923252733[[#This Row],[国家]])*表1_86121822242632[活跃尖端战力])</f>
        <v>3096742</v>
      </c>
      <c r="G28" s="40">
        <f>SUMIFS(表1_86121822242632[活跃总战力],表1_86121822242632[目标区服],表2_97131923252733[[#This Row],[合区区服]],表1_86121822242632[目标国家（映射）],表2_97131923252733[[#This Row],[国家]])</f>
        <v>48461538</v>
      </c>
      <c r="H28" s="39">
        <f>SUMIFS(表1_86121822242632[活跃实际充值],表1_86121822242632[目标区服],表2_97131923252733[[#This Row],[合区区服]],表1_86121822242632[目标国家（映射）],表2_97131923252733[[#This Row],[国家]])</f>
        <v>281388</v>
      </c>
      <c r="I28" s="39">
        <f>SUMIFS(表1_86121822242632[活跃虚拟充值],表1_86121822242632[目标区服],表2_97131923252733[[#This Row],[合区区服]],表1_86121822242632[目标国家（映射）],表2_97131923252733[[#This Row],[国家]])</f>
        <v>30</v>
      </c>
      <c r="J28" s="39">
        <f>SUMIFS(表1_86121822242632[活跃Coin],表1_86121822242632[目标区服],表2_97131923252733[[#This Row],[合区区服]],表1_86121822242632[目标国家（映射）],表2_97131923252733[[#This Row],[国家]])</f>
        <v>1120457</v>
      </c>
      <c r="K28" s="39">
        <f>SUMIFS(表1_86121822242632[共计补偿Coin],表1_86121822242632[目标区服],表2_97131923252733[[#This Row],[合区区服]],表1_86121822242632[目标国家（映射）],表2_97131923252733[[#This Row],[国家]])</f>
        <v>55000</v>
      </c>
      <c r="L28" s="39">
        <f>表2_97131923252733[[#This Row],[活跃Coin]]+表2_97131923252733[[#This Row],[共计补偿Coin]]</f>
        <v>1175457</v>
      </c>
      <c r="M28" s="39">
        <f>SUMIFS(表1_86121822242632[综合国力],表1_86121822242632[目标区服],表2_97131923252733[[#This Row],[合区区服]],表1_86121822242632[目标国家（映射）],表2_97131923252733[[#This Row],[国家]])</f>
        <v>22885</v>
      </c>
      <c r="O28" s="51">
        <v>77</v>
      </c>
      <c r="P28" s="51">
        <v>51</v>
      </c>
      <c r="Q28" s="51"/>
      <c r="R28" s="51"/>
    </row>
    <row r="29" ht="15" spans="1:18">
      <c r="A29" s="668" t="s">
        <v>71</v>
      </c>
      <c r="B29" s="672" t="s">
        <v>25</v>
      </c>
      <c r="C29" s="672">
        <f>COUNTIFS(表1_86121822242632[目标区服],表2_97131923252733[[#This Row],[合区区服]],表1_86121822242632[目标国家（映射）],表2_97131923252733[[#This Row],[国家]])</f>
        <v>3</v>
      </c>
      <c r="D29" s="672">
        <f>SUMIFS(表1_86121822242632[活跃高战玩家数],表1_86121822242632[目标区服],表2_97131923252733[[#This Row],[合区区服]],表1_86121822242632[目标国家（映射）],表2_97131923252733[[#This Row],[国家]])</f>
        <v>10</v>
      </c>
      <c r="E29" s="672">
        <f>SUMIFS(表1_86121822242632[活跃中坚玩家数],表1_86121822242632[目标区服],表2_97131923252733[[#This Row],[合区区服]],表1_86121822242632[目标国家（映射）],表2_97131923252733[[#This Row],[国家]])</f>
        <v>39</v>
      </c>
      <c r="F29" s="672">
        <f t="array" ref="F29">MAX((表1_86121822242632[目标区服]=表2_97131923252733[[#This Row],[合区区服]])*(表1_86121822242632[目标国家（映射）]=表2_97131923252733[[#This Row],[国家]])*表1_86121822242632[活跃尖端战力])</f>
        <v>3884933</v>
      </c>
      <c r="G29" s="673">
        <f>SUMIFS(表1_86121822242632[活跃总战力],表1_86121822242632[目标区服],表2_97131923252733[[#This Row],[合区区服]],表1_86121822242632[目标国家（映射）],表2_97131923252733[[#This Row],[国家]])</f>
        <v>44133960</v>
      </c>
      <c r="H29" s="672">
        <f>SUMIFS(表1_86121822242632[活跃实际充值],表1_86121822242632[目标区服],表2_97131923252733[[#This Row],[合区区服]],表1_86121822242632[目标国家（映射）],表2_97131923252733[[#This Row],[国家]])</f>
        <v>164826</v>
      </c>
      <c r="I29" s="672">
        <f>SUMIFS(表1_86121822242632[活跃虚拟充值],表1_86121822242632[目标区服],表2_97131923252733[[#This Row],[合区区服]],表1_86121822242632[目标国家（映射）],表2_97131923252733[[#This Row],[国家]])</f>
        <v>0</v>
      </c>
      <c r="J29" s="672">
        <f>SUMIFS(表1_86121822242632[活跃Coin],表1_86121822242632[目标区服],表2_97131923252733[[#This Row],[合区区服]],表1_86121822242632[目标国家（映射）],表2_97131923252733[[#This Row],[国家]])</f>
        <v>1508882</v>
      </c>
      <c r="K29" s="672">
        <f>SUMIFS(表1_86121822242632[共计补偿Coin],表1_86121822242632[目标区服],表2_97131923252733[[#This Row],[合区区服]],表1_86121822242632[目标国家（映射）],表2_97131923252733[[#This Row],[国家]])</f>
        <v>85500</v>
      </c>
      <c r="L29" s="672">
        <f>表2_97131923252733[[#This Row],[活跃Coin]]+表2_97131923252733[[#This Row],[共计补偿Coin]]</f>
        <v>1594382</v>
      </c>
      <c r="M29" s="672">
        <f>SUMIFS(表1_86121822242632[综合国力],表1_86121822242632[目标区服],表2_97131923252733[[#This Row],[合区区服]],表1_86121822242632[目标国家（映射）],表2_97131923252733[[#This Row],[国家]])</f>
        <v>23967</v>
      </c>
      <c r="O29" s="51">
        <v>78</v>
      </c>
      <c r="P29" s="51">
        <v>50</v>
      </c>
      <c r="Q29" s="51"/>
      <c r="R29" s="51"/>
    </row>
    <row r="30" ht="15" spans="1:16">
      <c r="A30" s="668" t="s">
        <v>71</v>
      </c>
      <c r="B30" s="672" t="s">
        <v>26</v>
      </c>
      <c r="C30" s="672">
        <f>COUNTIFS(表1_86121822242632[目标区服],表2_97131923252733[[#This Row],[合区区服]],表1_86121822242632[目标国家（映射）],表2_97131923252733[[#This Row],[国家]])</f>
        <v>3</v>
      </c>
      <c r="D30" s="672">
        <f>SUMIFS(表1_86121822242632[活跃高战玩家数],表1_86121822242632[目标区服],表2_97131923252733[[#This Row],[合区区服]],表1_86121822242632[目标国家（映射）],表2_97131923252733[[#This Row],[国家]])</f>
        <v>7</v>
      </c>
      <c r="E30" s="672">
        <f>SUMIFS(表1_86121822242632[活跃中坚玩家数],表1_86121822242632[目标区服],表2_97131923252733[[#This Row],[合区区服]],表1_86121822242632[目标国家（映射）],表2_97131923252733[[#This Row],[国家]])</f>
        <v>52</v>
      </c>
      <c r="F30" s="672">
        <f t="array" ref="F30">MAX((表1_86121822242632[目标区服]=表2_97131923252733[[#This Row],[合区区服]])*(表1_86121822242632[目标国家（映射）]=表2_97131923252733[[#This Row],[国家]])*表1_86121822242632[活跃尖端战力])</f>
        <v>2898595</v>
      </c>
      <c r="G30" s="673">
        <f>SUMIFS(表1_86121822242632[活跃总战力],表1_86121822242632[目标区服],表2_97131923252733[[#This Row],[合区区服]],表1_86121822242632[目标国家（映射）],表2_97131923252733[[#This Row],[国家]])</f>
        <v>49144935</v>
      </c>
      <c r="H30" s="672">
        <f>SUMIFS(表1_86121822242632[活跃实际充值],表1_86121822242632[目标区服],表2_97131923252733[[#This Row],[合区区服]],表1_86121822242632[目标国家（映射）],表2_97131923252733[[#This Row],[国家]])</f>
        <v>152126</v>
      </c>
      <c r="I30" s="672">
        <f>SUMIFS(表1_86121822242632[活跃虚拟充值],表1_86121822242632[目标区服],表2_97131923252733[[#This Row],[合区区服]],表1_86121822242632[目标国家（映射）],表2_97131923252733[[#This Row],[国家]])</f>
        <v>8884</v>
      </c>
      <c r="J30" s="672">
        <f>SUMIFS(表1_86121822242632[活跃Coin],表1_86121822242632[目标区服],表2_97131923252733[[#This Row],[合区区服]],表1_86121822242632[目标国家（映射）],表2_97131923252733[[#This Row],[国家]])</f>
        <v>1072874</v>
      </c>
      <c r="K30" s="672">
        <f>SUMIFS(表1_86121822242632[共计补偿Coin],表1_86121822242632[目标区服],表2_97131923252733[[#This Row],[合区区服]],表1_86121822242632[目标国家（映射）],表2_97131923252733[[#This Row],[国家]])</f>
        <v>88000</v>
      </c>
      <c r="L30" s="672">
        <f>表2_97131923252733[[#This Row],[活跃Coin]]+表2_97131923252733[[#This Row],[共计补偿Coin]]</f>
        <v>1160874</v>
      </c>
      <c r="M30" s="672">
        <f>SUMIFS(表1_86121822242632[综合国力],表1_86121822242632[目标区服],表2_97131923252733[[#This Row],[合区区服]],表1_86121822242632[目标国家（映射）],表2_97131923252733[[#This Row],[国家]])</f>
        <v>22889</v>
      </c>
      <c r="O30" s="51">
        <v>79</v>
      </c>
      <c r="P30" s="51">
        <v>49</v>
      </c>
    </row>
    <row r="31" ht="15" spans="1:16">
      <c r="A31" s="668" t="s">
        <v>71</v>
      </c>
      <c r="B31" s="674" t="s">
        <v>27</v>
      </c>
      <c r="C31" s="674">
        <f>COUNTIFS(表1_86121822242632[目标区服],表2_97131923252733[[#This Row],[合区区服]],表1_86121822242632[目标国家（映射）],表2_97131923252733[[#This Row],[国家]])</f>
        <v>3</v>
      </c>
      <c r="D31" s="674">
        <f>SUMIFS(表1_86121822242632[活跃高战玩家数],表1_86121822242632[目标区服],表2_97131923252733[[#This Row],[合区区服]],表1_86121822242632[目标国家（映射）],表2_97131923252733[[#This Row],[国家]])</f>
        <v>10</v>
      </c>
      <c r="E31" s="674">
        <f>SUMIFS(表1_86121822242632[活跃中坚玩家数],表1_86121822242632[目标区服],表2_97131923252733[[#This Row],[合区区服]],表1_86121822242632[目标国家（映射）],表2_97131923252733[[#This Row],[国家]])</f>
        <v>48</v>
      </c>
      <c r="F31" s="674">
        <f t="array" ref="F31">MAX((表1_86121822242632[目标区服]=表2_97131923252733[[#This Row],[合区区服]])*(表1_86121822242632[目标国家（映射）]=表2_97131923252733[[#This Row],[国家]])*表1_86121822242632[活跃尖端战力])</f>
        <v>3407356</v>
      </c>
      <c r="G31" s="675">
        <f>SUMIFS(表1_86121822242632[活跃总战力],表1_86121822242632[目标区服],表2_97131923252733[[#This Row],[合区区服]],表1_86121822242632[目标国家（映射）],表2_97131923252733[[#This Row],[国家]])</f>
        <v>56844467</v>
      </c>
      <c r="H31" s="674">
        <f>SUMIFS(表1_86121822242632[活跃实际充值],表1_86121822242632[目标区服],表2_97131923252733[[#This Row],[合区区服]],表1_86121822242632[目标国家（映射）],表2_97131923252733[[#This Row],[国家]])</f>
        <v>84322</v>
      </c>
      <c r="I31" s="674">
        <f>SUMIFS(表1_86121822242632[活跃虚拟充值],表1_86121822242632[目标区服],表2_97131923252733[[#This Row],[合区区服]],表1_86121822242632[目标国家（映射）],表2_97131923252733[[#This Row],[国家]])</f>
        <v>12</v>
      </c>
      <c r="J31" s="674">
        <f>SUMIFS(表1_86121822242632[活跃Coin],表1_86121822242632[目标区服],表2_97131923252733[[#This Row],[合区区服]],表1_86121822242632[目标国家（映射）],表2_97131923252733[[#This Row],[国家]])</f>
        <v>1114656</v>
      </c>
      <c r="K31" s="674">
        <f>SUMIFS(表1_86121822242632[共计补偿Coin],表1_86121822242632[目标区服],表2_97131923252733[[#This Row],[合区区服]],表1_86121822242632[目标国家（映射）],表2_97131923252733[[#This Row],[国家]])</f>
        <v>65000</v>
      </c>
      <c r="L31" s="674">
        <f>表2_97131923252733[[#This Row],[活跃Coin]]+表2_97131923252733[[#This Row],[共计补偿Coin]]</f>
        <v>1179656</v>
      </c>
      <c r="M31" s="674">
        <f>SUMIFS(表1_86121822242632[综合国力],表1_86121822242632[目标区服],表2_97131923252733[[#This Row],[合区区服]],表1_86121822242632[目标国家（映射）],表2_97131923252733[[#This Row],[国家]])</f>
        <v>21602</v>
      </c>
      <c r="O31" s="51"/>
      <c r="P31" s="51"/>
    </row>
    <row r="32" ht="15" spans="1:16">
      <c r="A32" s="45"/>
      <c r="B32" s="46" t="s">
        <v>25</v>
      </c>
      <c r="C32" s="46">
        <f>COUNTIFS(表1_86121822242632[目标区服],表2_97131923252733[[#This Row],[合区区服]],表1_86121822242632[目标国家（映射）],表2_97131923252733[[#This Row],[国家]])</f>
        <v>0</v>
      </c>
      <c r="D32" s="46">
        <f>SUMIFS(表1_86121822242632[活跃高战玩家数],表1_86121822242632[目标区服],表2_97131923252733[[#This Row],[合区区服]],表1_86121822242632[目标国家（映射）],表2_97131923252733[[#This Row],[国家]])</f>
        <v>0</v>
      </c>
      <c r="E32" s="46">
        <f>SUMIFS(表1_86121822242632[活跃中坚玩家数],表1_86121822242632[目标区服],表2_97131923252733[[#This Row],[合区区服]],表1_86121822242632[目标国家（映射）],表2_97131923252733[[#This Row],[国家]])</f>
        <v>0</v>
      </c>
      <c r="F32" s="46">
        <f t="array" ref="F32">MAX((表1_86121822242632[目标区服]=表2_97131923252733[[#This Row],[合区区服]])*(表1_86121822242632[目标国家（映射）]=表2_97131923252733[[#This Row],[国家]])*表1_86121822242632[活跃尖端战力])</f>
        <v>0</v>
      </c>
      <c r="G32" s="47">
        <f>SUMIFS(表1_86121822242632[活跃总战力],表1_86121822242632[目标区服],表2_97131923252733[[#This Row],[合区区服]],表1_86121822242632[目标国家（映射）],表2_97131923252733[[#This Row],[国家]])</f>
        <v>0</v>
      </c>
      <c r="H32" s="46">
        <f>SUMIFS(表1_86121822242632[活跃实际充值],表1_86121822242632[目标区服],表2_97131923252733[[#This Row],[合区区服]],表1_86121822242632[目标国家（映射）],表2_97131923252733[[#This Row],[国家]])</f>
        <v>0</v>
      </c>
      <c r="I32" s="46">
        <f>SUMIFS(表1_86121822242632[活跃虚拟充值],表1_86121822242632[目标区服],表2_97131923252733[[#This Row],[合区区服]],表1_86121822242632[目标国家（映射）],表2_97131923252733[[#This Row],[国家]])</f>
        <v>0</v>
      </c>
      <c r="J32" s="46">
        <f>SUMIFS(表1_86121822242632[活跃Coin],表1_86121822242632[目标区服],表2_97131923252733[[#This Row],[合区区服]],表1_86121822242632[目标国家（映射）],表2_97131923252733[[#This Row],[国家]])</f>
        <v>0</v>
      </c>
      <c r="K32" s="46">
        <f>SUMIFS(表1_86121822242632[共计补偿Coin],表1_86121822242632[目标区服],表2_97131923252733[[#This Row],[合区区服]],表1_86121822242632[目标国家（映射）],表2_97131923252733[[#This Row],[国家]])</f>
        <v>0</v>
      </c>
      <c r="L32" s="46">
        <f>表2_97131923252733[[#This Row],[活跃Coin]]+表2_97131923252733[[#This Row],[共计补偿Coin]]</f>
        <v>0</v>
      </c>
      <c r="M32" s="46">
        <f>SUMIFS(表1_86121822242632[综合国力],表1_86121822242632[目标区服],表2_97131923252733[[#This Row],[合区区服]],表1_86121822242632[目标国家（映射）],表2_97131923252733[[#This Row],[国家]])</f>
        <v>0</v>
      </c>
      <c r="O32" s="51"/>
      <c r="P32" s="51"/>
    </row>
    <row r="33" ht="15" spans="1:16">
      <c r="A33" s="45"/>
      <c r="B33" s="46" t="s">
        <v>26</v>
      </c>
      <c r="C33" s="46">
        <f>COUNTIFS(表1_86121822242632[目标区服],表2_97131923252733[[#This Row],[合区区服]],表1_86121822242632[目标国家（映射）],表2_97131923252733[[#This Row],[国家]])</f>
        <v>0</v>
      </c>
      <c r="D33" s="46">
        <f>SUMIFS(表1_86121822242632[活跃高战玩家数],表1_86121822242632[目标区服],表2_97131923252733[[#This Row],[合区区服]],表1_86121822242632[目标国家（映射）],表2_97131923252733[[#This Row],[国家]])</f>
        <v>0</v>
      </c>
      <c r="E33" s="46">
        <f>SUMIFS(表1_86121822242632[活跃中坚玩家数],表1_86121822242632[目标区服],表2_97131923252733[[#This Row],[合区区服]],表1_86121822242632[目标国家（映射）],表2_97131923252733[[#This Row],[国家]])</f>
        <v>0</v>
      </c>
      <c r="F33" s="46">
        <f t="array" ref="F33">MAX((表1_86121822242632[目标区服]=表2_97131923252733[[#This Row],[合区区服]])*(表1_86121822242632[目标国家（映射）]=表2_97131923252733[[#This Row],[国家]])*表1_86121822242632[活跃尖端战力])</f>
        <v>0</v>
      </c>
      <c r="G33" s="47">
        <f>SUMIFS(表1_86121822242632[活跃总战力],表1_86121822242632[目标区服],表2_97131923252733[[#This Row],[合区区服]],表1_86121822242632[目标国家（映射）],表2_97131923252733[[#This Row],[国家]])</f>
        <v>0</v>
      </c>
      <c r="H33" s="46">
        <f>SUMIFS(表1_86121822242632[活跃实际充值],表1_86121822242632[目标区服],表2_97131923252733[[#This Row],[合区区服]],表1_86121822242632[目标国家（映射）],表2_97131923252733[[#This Row],[国家]])</f>
        <v>0</v>
      </c>
      <c r="I33" s="46">
        <f>SUMIFS(表1_86121822242632[活跃虚拟充值],表1_86121822242632[目标区服],表2_97131923252733[[#This Row],[合区区服]],表1_86121822242632[目标国家（映射）],表2_97131923252733[[#This Row],[国家]])</f>
        <v>0</v>
      </c>
      <c r="J33" s="46">
        <f>SUMIFS(表1_86121822242632[活跃Coin],表1_86121822242632[目标区服],表2_97131923252733[[#This Row],[合区区服]],表1_86121822242632[目标国家（映射）],表2_97131923252733[[#This Row],[国家]])</f>
        <v>0</v>
      </c>
      <c r="K33" s="46">
        <f>SUMIFS(表1_86121822242632[共计补偿Coin],表1_86121822242632[目标区服],表2_97131923252733[[#This Row],[合区区服]],表1_86121822242632[目标国家（映射）],表2_97131923252733[[#This Row],[国家]])</f>
        <v>0</v>
      </c>
      <c r="L33" s="46">
        <f>表2_97131923252733[[#This Row],[活跃Coin]]+表2_97131923252733[[#This Row],[共计补偿Coin]]</f>
        <v>0</v>
      </c>
      <c r="M33" s="46">
        <f>SUMIFS(表1_86121822242632[综合国力],表1_86121822242632[目标区服],表2_97131923252733[[#This Row],[合区区服]],表1_86121822242632[目标国家（映射）],表2_97131923252733[[#This Row],[国家]])</f>
        <v>0</v>
      </c>
      <c r="O33" s="51"/>
      <c r="P33" s="51"/>
    </row>
    <row r="34" ht="15" spans="1:13">
      <c r="A34" s="45"/>
      <c r="B34" s="48" t="s">
        <v>27</v>
      </c>
      <c r="C34" s="48">
        <f>COUNTIFS(表1_86121822242632[目标区服],表2_97131923252733[[#This Row],[合区区服]],表1_86121822242632[目标国家（映射）],表2_97131923252733[[#This Row],[国家]])</f>
        <v>0</v>
      </c>
      <c r="D34" s="48">
        <f>SUMIFS(表1_86121822242632[活跃高战玩家数],表1_86121822242632[目标区服],表2_97131923252733[[#This Row],[合区区服]],表1_86121822242632[目标国家（映射）],表2_97131923252733[[#This Row],[国家]])</f>
        <v>0</v>
      </c>
      <c r="E34" s="48">
        <f>SUMIFS(表1_86121822242632[活跃中坚玩家数],表1_86121822242632[目标区服],表2_97131923252733[[#This Row],[合区区服]],表1_86121822242632[目标国家（映射）],表2_97131923252733[[#This Row],[国家]])</f>
        <v>0</v>
      </c>
      <c r="F34" s="48">
        <f t="array" ref="F34">MAX((表1_86121822242632[目标区服]=表2_97131923252733[[#This Row],[合区区服]])*(表1_86121822242632[目标国家（映射）]=表2_97131923252733[[#This Row],[国家]])*表1_86121822242632[活跃尖端战力])</f>
        <v>0</v>
      </c>
      <c r="G34" s="458">
        <f>SUMIFS(表1_86121822242632[活跃总战力],表1_86121822242632[目标区服],表2_97131923252733[[#This Row],[合区区服]],表1_86121822242632[目标国家（映射）],表2_97131923252733[[#This Row],[国家]])</f>
        <v>0</v>
      </c>
      <c r="H34" s="48">
        <f>SUMIFS(表1_86121822242632[活跃实际充值],表1_86121822242632[目标区服],表2_97131923252733[[#This Row],[合区区服]],表1_86121822242632[目标国家（映射）],表2_97131923252733[[#This Row],[国家]])</f>
        <v>0</v>
      </c>
      <c r="I34" s="48">
        <f>SUMIFS(表1_86121822242632[活跃虚拟充值],表1_86121822242632[目标区服],表2_97131923252733[[#This Row],[合区区服]],表1_86121822242632[目标国家（映射）],表2_97131923252733[[#This Row],[国家]])</f>
        <v>0</v>
      </c>
      <c r="J34" s="48">
        <f>SUMIFS(表1_86121822242632[活跃Coin],表1_86121822242632[目标区服],表2_97131923252733[[#This Row],[合区区服]],表1_86121822242632[目标国家（映射）],表2_97131923252733[[#This Row],[国家]])</f>
        <v>0</v>
      </c>
      <c r="K34" s="48">
        <f>SUMIFS(表1_86121822242632[共计补偿Coin],表1_86121822242632[目标区服],表2_97131923252733[[#This Row],[合区区服]],表1_86121822242632[目标国家（映射）],表2_97131923252733[[#This Row],[国家]])</f>
        <v>0</v>
      </c>
      <c r="L34" s="48">
        <f>表2_97131923252733[[#This Row],[活跃Coin]]+表2_97131923252733[[#This Row],[共计补偿Coin]]</f>
        <v>0</v>
      </c>
      <c r="M34" s="48">
        <f>SUMIFS(表1_86121822242632[综合国力],表1_86121822242632[目标区服],表2_97131923252733[[#This Row],[合区区服]],表1_86121822242632[目标国家（映射）],表2_97131923252733[[#This Row],[国家]])</f>
        <v>0</v>
      </c>
    </row>
    <row r="40" ht="27" spans="1:12">
      <c r="A40" s="49"/>
      <c r="B40" s="50" t="s">
        <v>9</v>
      </c>
      <c r="C40" s="50" t="s">
        <v>10</v>
      </c>
      <c r="D40" s="50" t="s">
        <v>11</v>
      </c>
      <c r="E40" s="50" t="s">
        <v>12</v>
      </c>
      <c r="F40" s="50" t="s">
        <v>13</v>
      </c>
      <c r="G40" s="50" t="s">
        <v>14</v>
      </c>
      <c r="H40" s="50" t="s">
        <v>15</v>
      </c>
      <c r="I40" s="50" t="s">
        <v>18</v>
      </c>
      <c r="J40" s="50" t="s">
        <v>19</v>
      </c>
      <c r="K40" s="50" t="s">
        <v>20</v>
      </c>
      <c r="L40" s="50" t="s">
        <v>21</v>
      </c>
    </row>
    <row r="41" spans="1:12">
      <c r="A41" s="50" t="s">
        <v>25</v>
      </c>
      <c r="B41" s="50">
        <v>5</v>
      </c>
      <c r="C41" s="50">
        <v>202</v>
      </c>
      <c r="D41" s="50">
        <v>2</v>
      </c>
      <c r="E41" s="50">
        <v>18</v>
      </c>
      <c r="F41" s="50">
        <v>96359</v>
      </c>
      <c r="G41" s="50">
        <v>3838703</v>
      </c>
      <c r="H41" s="50">
        <v>25781531</v>
      </c>
      <c r="I41" s="50">
        <v>181828</v>
      </c>
      <c r="J41" s="50">
        <v>0</v>
      </c>
      <c r="K41" s="50">
        <v>1048201</v>
      </c>
      <c r="L41" s="50">
        <v>15397</v>
      </c>
    </row>
    <row r="42" spans="1:12">
      <c r="A42" s="50" t="s">
        <v>26</v>
      </c>
      <c r="B42" s="50">
        <v>2</v>
      </c>
      <c r="C42" s="50">
        <v>89</v>
      </c>
      <c r="D42" s="50">
        <v>5</v>
      </c>
      <c r="E42" s="50">
        <v>20</v>
      </c>
      <c r="F42" s="50">
        <v>109654</v>
      </c>
      <c r="G42" s="50">
        <v>3098206</v>
      </c>
      <c r="H42" s="50">
        <v>28796063</v>
      </c>
      <c r="I42" s="50">
        <v>172890</v>
      </c>
      <c r="J42" s="50">
        <v>128</v>
      </c>
      <c r="K42" s="50">
        <v>688705</v>
      </c>
      <c r="L42" s="50">
        <v>13148</v>
      </c>
    </row>
    <row r="43" spans="1:12">
      <c r="A43" s="50" t="s">
        <v>27</v>
      </c>
      <c r="B43" s="50">
        <v>2</v>
      </c>
      <c r="C43" s="50">
        <v>104</v>
      </c>
      <c r="D43" s="50">
        <v>3</v>
      </c>
      <c r="E43" s="50">
        <v>28</v>
      </c>
      <c r="F43" s="50">
        <v>111958</v>
      </c>
      <c r="G43" s="50">
        <v>3077327</v>
      </c>
      <c r="H43" s="50">
        <v>31316730</v>
      </c>
      <c r="I43" s="50">
        <v>133988</v>
      </c>
      <c r="J43" s="50">
        <v>30</v>
      </c>
      <c r="K43" s="50">
        <v>704827</v>
      </c>
      <c r="L43" s="50">
        <v>12381</v>
      </c>
    </row>
    <row r="44" spans="1:12">
      <c r="A44" s="50" t="s">
        <v>25</v>
      </c>
      <c r="B44" s="50">
        <v>8</v>
      </c>
      <c r="C44" s="50">
        <v>268</v>
      </c>
      <c r="D44" s="50">
        <v>5</v>
      </c>
      <c r="E44" s="50">
        <v>15</v>
      </c>
      <c r="F44" s="50">
        <v>101101</v>
      </c>
      <c r="G44" s="50">
        <v>3621986</v>
      </c>
      <c r="H44" s="50">
        <v>24148472</v>
      </c>
      <c r="I44" s="50">
        <v>102466</v>
      </c>
      <c r="J44" s="50">
        <v>656</v>
      </c>
      <c r="K44" s="50">
        <v>405296</v>
      </c>
      <c r="L44" s="50">
        <v>13305</v>
      </c>
    </row>
    <row r="45" spans="1:12">
      <c r="A45" s="50" t="s">
        <v>26</v>
      </c>
      <c r="B45" s="50">
        <v>1</v>
      </c>
      <c r="C45" s="50">
        <v>59</v>
      </c>
      <c r="D45" s="50">
        <v>1</v>
      </c>
      <c r="E45" s="50">
        <v>26</v>
      </c>
      <c r="F45" s="50">
        <v>73434</v>
      </c>
      <c r="G45" s="50">
        <v>2280311</v>
      </c>
      <c r="H45" s="50">
        <v>18822642</v>
      </c>
      <c r="I45" s="50">
        <v>70728</v>
      </c>
      <c r="J45" s="50">
        <v>0</v>
      </c>
      <c r="K45" s="50">
        <v>320935</v>
      </c>
      <c r="L45" s="50">
        <v>7502</v>
      </c>
    </row>
    <row r="46" spans="1:12">
      <c r="A46" s="50" t="s">
        <v>27</v>
      </c>
      <c r="B46" s="50">
        <v>0</v>
      </c>
      <c r="C46" s="50">
        <v>68</v>
      </c>
      <c r="D46" s="50">
        <v>2</v>
      </c>
      <c r="E46" s="50">
        <v>14</v>
      </c>
      <c r="F46" s="50">
        <v>76696</v>
      </c>
      <c r="G46" s="50">
        <v>3096742</v>
      </c>
      <c r="H46" s="50">
        <v>17144808</v>
      </c>
      <c r="I46" s="50">
        <v>147400</v>
      </c>
      <c r="J46" s="50">
        <v>0</v>
      </c>
      <c r="K46" s="50">
        <v>415630</v>
      </c>
      <c r="L46" s="50">
        <v>10504</v>
      </c>
    </row>
    <row r="47" spans="1:12">
      <c r="A47" s="50" t="s">
        <v>25</v>
      </c>
      <c r="B47" s="50">
        <v>8</v>
      </c>
      <c r="C47" s="50">
        <v>297</v>
      </c>
      <c r="D47" s="50">
        <v>8</v>
      </c>
      <c r="E47" s="50">
        <v>28</v>
      </c>
      <c r="F47" s="50">
        <v>201824</v>
      </c>
      <c r="G47" s="50">
        <v>3407356</v>
      </c>
      <c r="H47" s="50">
        <v>40682528</v>
      </c>
      <c r="I47" s="50">
        <v>74560</v>
      </c>
      <c r="J47" s="50">
        <v>12</v>
      </c>
      <c r="K47" s="50">
        <v>923345</v>
      </c>
      <c r="L47" s="50">
        <v>14953</v>
      </c>
    </row>
    <row r="48" spans="1:12">
      <c r="A48" s="50" t="s">
        <v>26</v>
      </c>
      <c r="B48" s="50">
        <v>1</v>
      </c>
      <c r="C48" s="50">
        <v>83</v>
      </c>
      <c r="D48" s="50">
        <v>2</v>
      </c>
      <c r="E48" s="50">
        <v>23</v>
      </c>
      <c r="F48" s="50">
        <v>70819</v>
      </c>
      <c r="G48" s="50">
        <v>2898595</v>
      </c>
      <c r="H48" s="50">
        <v>19819069</v>
      </c>
      <c r="I48" s="50">
        <v>73906</v>
      </c>
      <c r="J48" s="50">
        <v>30</v>
      </c>
      <c r="K48" s="50">
        <v>200092</v>
      </c>
      <c r="L48" s="50">
        <v>8482</v>
      </c>
    </row>
    <row r="49" spans="1:12">
      <c r="A49" s="50" t="s">
        <v>27</v>
      </c>
      <c r="B49" s="50">
        <v>0</v>
      </c>
      <c r="C49" s="50">
        <v>15</v>
      </c>
      <c r="D49" s="50">
        <v>0</v>
      </c>
      <c r="E49" s="50">
        <v>8</v>
      </c>
      <c r="F49" s="50">
        <v>10844</v>
      </c>
      <c r="G49" s="50">
        <v>1026550</v>
      </c>
      <c r="H49" s="50">
        <v>4235894</v>
      </c>
      <c r="I49" s="50">
        <v>1370</v>
      </c>
      <c r="J49" s="50">
        <v>0</v>
      </c>
      <c r="K49" s="50">
        <v>58373</v>
      </c>
      <c r="L49" s="50">
        <v>1724</v>
      </c>
    </row>
    <row r="50" spans="1:12">
      <c r="A50" s="50" t="s">
        <v>25</v>
      </c>
      <c r="B50" s="50">
        <v>9</v>
      </c>
      <c r="C50" s="50">
        <v>300</v>
      </c>
      <c r="D50" s="50">
        <v>6</v>
      </c>
      <c r="E50" s="50">
        <v>19</v>
      </c>
      <c r="F50" s="50">
        <v>138191</v>
      </c>
      <c r="G50" s="50">
        <v>3884933</v>
      </c>
      <c r="H50" s="50">
        <v>25450242</v>
      </c>
      <c r="I50" s="50">
        <v>140606</v>
      </c>
      <c r="J50" s="50">
        <v>0</v>
      </c>
      <c r="K50" s="50">
        <v>1111721</v>
      </c>
      <c r="L50" s="50">
        <v>15794</v>
      </c>
    </row>
    <row r="51" spans="1:12">
      <c r="A51" s="50" t="s">
        <v>26</v>
      </c>
      <c r="B51" s="50">
        <v>0</v>
      </c>
      <c r="C51" s="50">
        <v>52</v>
      </c>
      <c r="D51" s="50">
        <v>0</v>
      </c>
      <c r="E51" s="50">
        <v>10</v>
      </c>
      <c r="F51" s="50">
        <v>36853</v>
      </c>
      <c r="G51" s="50">
        <v>1083851</v>
      </c>
      <c r="H51" s="50">
        <v>5773653</v>
      </c>
      <c r="I51" s="50">
        <v>4410</v>
      </c>
      <c r="J51" s="50">
        <v>8854</v>
      </c>
      <c r="K51" s="50">
        <v>75111</v>
      </c>
      <c r="L51" s="50">
        <v>2623</v>
      </c>
    </row>
    <row r="52" spans="1:12">
      <c r="A52" s="50" t="s">
        <v>27</v>
      </c>
      <c r="B52" s="50">
        <v>0</v>
      </c>
      <c r="C52" s="50">
        <v>43</v>
      </c>
      <c r="D52" s="50">
        <v>2</v>
      </c>
      <c r="E52" s="50">
        <v>12</v>
      </c>
      <c r="F52" s="50">
        <v>72059</v>
      </c>
      <c r="G52" s="50">
        <v>2624366</v>
      </c>
      <c r="H52" s="50">
        <v>11926045</v>
      </c>
      <c r="I52" s="50">
        <v>8392</v>
      </c>
      <c r="J52" s="50">
        <v>0</v>
      </c>
      <c r="K52" s="50">
        <v>132938</v>
      </c>
      <c r="L52" s="50">
        <v>4925</v>
      </c>
    </row>
    <row r="53" spans="1:12">
      <c r="A53" s="50" t="s">
        <v>25</v>
      </c>
      <c r="B53" s="50">
        <v>6</v>
      </c>
      <c r="C53" s="50">
        <v>268</v>
      </c>
      <c r="D53" s="50">
        <v>5</v>
      </c>
      <c r="E53" s="50">
        <v>19</v>
      </c>
      <c r="F53" s="50">
        <v>129498</v>
      </c>
      <c r="G53" s="50">
        <v>2888630</v>
      </c>
      <c r="H53" s="50">
        <v>23552213</v>
      </c>
      <c r="I53" s="50">
        <v>73810</v>
      </c>
      <c r="J53" s="50">
        <v>0</v>
      </c>
      <c r="K53" s="50">
        <v>797671</v>
      </c>
      <c r="L53" s="50">
        <v>11784</v>
      </c>
    </row>
    <row r="54" spans="1:12">
      <c r="A54" s="50" t="s">
        <v>26</v>
      </c>
      <c r="B54" s="50">
        <v>0</v>
      </c>
      <c r="C54" s="50">
        <v>33</v>
      </c>
      <c r="D54" s="50">
        <v>1</v>
      </c>
      <c r="E54" s="50">
        <v>7</v>
      </c>
      <c r="F54" s="50">
        <v>24499</v>
      </c>
      <c r="G54" s="50">
        <v>1202092</v>
      </c>
      <c r="H54" s="50">
        <v>4745045</v>
      </c>
      <c r="I54" s="50">
        <v>4092</v>
      </c>
      <c r="J54" s="50">
        <v>0</v>
      </c>
      <c r="K54" s="50">
        <v>110835</v>
      </c>
      <c r="L54" s="50">
        <v>2307</v>
      </c>
    </row>
    <row r="55" spans="1:12">
      <c r="A55" s="50" t="s">
        <v>27</v>
      </c>
      <c r="B55" s="50">
        <v>3</v>
      </c>
      <c r="C55" s="50">
        <v>94</v>
      </c>
      <c r="D55" s="50">
        <v>3</v>
      </c>
      <c r="E55" s="50">
        <v>13</v>
      </c>
      <c r="F55" s="50">
        <v>92524</v>
      </c>
      <c r="G55" s="50">
        <v>2023068</v>
      </c>
      <c r="H55" s="50">
        <v>13938673</v>
      </c>
      <c r="I55" s="50">
        <v>20128</v>
      </c>
      <c r="J55" s="50">
        <v>0</v>
      </c>
      <c r="K55" s="50">
        <v>286326</v>
      </c>
      <c r="L55" s="50">
        <v>5866</v>
      </c>
    </row>
    <row r="56" spans="1:12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</row>
    <row r="57" spans="1:12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</row>
    <row r="58" spans="1:12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</row>
    <row r="59" spans="1:12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</row>
    <row r="60" spans="1:12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</row>
    <row r="61" spans="1:13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t="s">
        <v>66</v>
      </c>
    </row>
  </sheetData>
  <conditionalFormatting sqref="F26:F28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{771f8aef-5d4b-444d-a4cb-85dfd9848efc}</x14:id>
        </ext>
      </extLst>
    </cfRule>
  </conditionalFormatting>
  <conditionalFormatting sqref="F29:F3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{22bc5a08-5aba-49ac-9a2b-78bde0ee8662}</x14:id>
        </ext>
      </extLst>
    </cfRule>
  </conditionalFormatting>
  <conditionalFormatting sqref="F32:F34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{b23ae7f0-6e8f-46b0-9d39-1a4ffb4a089c}</x14:id>
        </ext>
      </extLst>
    </cfRule>
  </conditionalFormatting>
  <conditionalFormatting sqref="G26:G28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{a6737a7d-18b0-4fd8-ad81-8539d927b70e}</x14:id>
        </ext>
      </extLst>
    </cfRule>
  </conditionalFormatting>
  <conditionalFormatting sqref="G29:G31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{b060bd14-1291-4023-856e-86d7dacd4bc5}</x14:id>
        </ext>
      </extLst>
    </cfRule>
  </conditionalFormatting>
  <conditionalFormatting sqref="G32:G34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{f4ee7293-61f0-4902-be37-a0e5c3d369f5}</x14:id>
        </ext>
      </extLst>
    </cfRule>
  </conditionalFormatting>
  <conditionalFormatting sqref="O2:O19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{601182cf-9fce-436d-9965-14937de2aa79}</x14:id>
        </ext>
      </extLst>
    </cfRule>
  </conditionalFormatting>
  <conditionalFormatting sqref="O20:O2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{71920229-8477-4e7f-bf91-62880cd64563}</x14:id>
        </ext>
      </extLst>
    </cfRule>
  </conditionalFormatting>
  <conditionalFormatting sqref="O26:O33">
    <cfRule type="cellIs" dxfId="37" priority="8" operator="equal">
      <formula>$S$26</formula>
    </cfRule>
  </conditionalFormatting>
  <conditionalFormatting sqref="P2:P19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{5bbfb793-ece7-44b9-82bb-60ffc3d0b139}</x14:id>
        </ext>
      </extLst>
    </cfRule>
  </conditionalFormatting>
  <conditionalFormatting sqref="P20:P2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{842b04e0-74f8-4842-b95a-c3da926cc6ae}</x14:id>
        </ext>
      </extLst>
    </cfRule>
  </conditionalFormatting>
  <conditionalFormatting sqref="Q2:Q22">
    <cfRule type="cellIs" dxfId="38" priority="5" operator="equal">
      <formula>配置!$D$4</formula>
    </cfRule>
    <cfRule type="cellIs" dxfId="39" priority="6" operator="equal">
      <formula>配置!$D$3</formula>
    </cfRule>
    <cfRule type="cellIs" dxfId="37" priority="7" operator="equal">
      <formula>配置!$D$2</formula>
    </cfRule>
  </conditionalFormatting>
  <conditionalFormatting sqref="Q26:Q29">
    <cfRule type="cellIs" dxfId="37" priority="9" operator="equal">
      <formula>$S$26</formula>
    </cfRule>
  </conditionalFormatting>
  <conditionalFormatting sqref="O23:O24 Q1:R1 Q19:Q20 Q22 Q2 Q4:Q5 Q7:Q8 Q10:Q11 Q13:Q14 Q16:Q17">
    <cfRule type="cellIs" dxfId="37" priority="17" operator="equal">
      <formula>配置!$D$2</formula>
    </cfRule>
  </conditionalFormatting>
  <conditionalFormatting sqref="Q19:Q20 Q22 Q2 Q4:Q5 Q7:Q8 Q10:Q11 Q13:Q14 Q16:Q17">
    <cfRule type="cellIs" dxfId="38" priority="16" operator="equal">
      <formula>配置!$D$4</formula>
    </cfRule>
  </conditionalFormatting>
  <dataValidations count="1">
    <dataValidation type="list" allowBlank="1" showInputMessage="1" showErrorMessage="1" sqref="Q2:Q22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71f8aef-5d4b-444d-a4cb-85dfd9848e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22bc5a08-5aba-49ac-9a2b-78bde0ee86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b23ae7f0-6e8f-46b0-9d39-1a4ffb4a08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a6737a7d-18b0-4fd8-ad81-8539d927b7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b060bd14-1291-4023-856e-86d7dacd4b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f4ee7293-61f0-4902-be37-a0e5c3d369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601182cf-9fce-436d-9965-14937de2aa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71920229-8477-4e7f-bf91-62880cd645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5bbfb793-ece7-44b9-82bb-60ffc3d0b1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842b04e0-74f8-4842-b95a-c3da926cc6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85"/>
  <sheetViews>
    <sheetView topLeftCell="A22" workbookViewId="0">
      <selection activeCell="K8" sqref="K8"/>
    </sheetView>
  </sheetViews>
  <sheetFormatPr defaultColWidth="9" defaultRowHeight="13.5"/>
  <sheetData>
    <row r="1" s="1" customFormat="1" ht="27.75" spans="1:24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22</v>
      </c>
      <c r="X1" s="22" t="s">
        <v>23</v>
      </c>
    </row>
    <row r="2" s="354" customFormat="1" ht="14.25" customHeight="1" spans="1:24">
      <c r="A2" s="371">
        <v>80</v>
      </c>
      <c r="B2" s="371">
        <f>VLOOKUP(表1_86121822242634[[#This Row],[区服]],$O$38:$P$48,2,FALSE)</f>
        <v>55</v>
      </c>
      <c r="C2" s="372" t="s">
        <v>72</v>
      </c>
      <c r="D2" s="373" t="str">
        <f>表1_86121822242634[[#This Row],[目标国家]]</f>
        <v>魏</v>
      </c>
      <c r="E2" s="374">
        <f>(VLOOKUP(表1_86121822242634[[#This Row],[目标区服]],$Q$38:$R$41,2,FALSE)-表1_86121822242634[[#This Row],[开服天数]])*配置!$B$1</f>
        <v>1000</v>
      </c>
      <c r="F2" s="374">
        <f>表1_86121822242634[[#This Row],[补偿Coin]]*(表1_86121822242634[[#This Row],[活跃高战玩家数]]+表1_86121822242634[[#This Row],[活跃中坚玩家数]])</f>
        <v>19000</v>
      </c>
      <c r="G2" s="374">
        <f>(VLOOKUP(表1_86121822242634[[#This Row],[目标区服]],$Q$38:$R$41,2,FALSE)-表1_86121822242634[[#This Row],[开服天数]])*配置!$B$2</f>
        <v>10</v>
      </c>
      <c r="H2" s="376" t="s">
        <v>25</v>
      </c>
      <c r="I2" s="376">
        <f>IF(表1_86121822242634[[#This Row],[原国家]]="魏",0,IF(表1_86121822242634[[#This Row],[原国家]]="蜀",1,2))</f>
        <v>0</v>
      </c>
      <c r="J2" s="380">
        <v>7</v>
      </c>
      <c r="K2" s="380">
        <v>253</v>
      </c>
      <c r="L2" s="380">
        <v>6</v>
      </c>
      <c r="M2" s="380">
        <v>13</v>
      </c>
      <c r="N2" s="380">
        <v>118248</v>
      </c>
      <c r="O2" s="380">
        <v>3564028</v>
      </c>
      <c r="P2" s="381">
        <v>24885896</v>
      </c>
      <c r="Q2" s="493" t="s">
        <v>25</v>
      </c>
      <c r="R2" s="376">
        <f>IF(表1_86121822242634[[#This Row],[目标国家]]="魏",0,IF(表1_86121822242634[[#This Row],[目标国家]]="蜀",1,2))</f>
        <v>0</v>
      </c>
      <c r="S2" s="380">
        <v>185890</v>
      </c>
      <c r="T2" s="380">
        <v>0</v>
      </c>
      <c r="U2" s="380">
        <v>770291</v>
      </c>
      <c r="V2" s="380">
        <v>15835</v>
      </c>
      <c r="W2" s="387" t="str">
        <f>"{"&amp;"'coin':"&amp;表1_86121822242634[[#This Row],[补偿Coin]]&amp;",'"&amp;配置!$A$2&amp;"':"&amp;表1_86121822242634[[#This Row],[补偿辎重]]&amp;"},"</f>
        <v>{'coin':1000,'item036':10},</v>
      </c>
      <c r="X2" s="388" t="str">
        <f>"      '"&amp;表1_86121822242634[[#This Row],[区服]]&amp;"':{"</f>
        <v>      '80':{</v>
      </c>
    </row>
    <row r="3" s="354" customFormat="1" ht="14.25" customHeight="1" spans="1:24">
      <c r="A3" s="375">
        <v>80</v>
      </c>
      <c r="B3" s="371">
        <f>VLOOKUP(表1_86121822242634[[#This Row],[区服]],$O$38:$P$48,2,FALSE)</f>
        <v>55</v>
      </c>
      <c r="C3" s="372" t="s">
        <v>72</v>
      </c>
      <c r="D3" s="376" t="str">
        <f>表1_86121822242634[[#This Row],[目标国家]]</f>
        <v>吴</v>
      </c>
      <c r="E3" s="380">
        <f>(VLOOKUP(表1_86121822242634[[#This Row],[目标区服]],$Q$38:$R$41,2,FALSE)-表1_86121822242634[[#This Row],[开服天数]])*配置!$B$1</f>
        <v>1000</v>
      </c>
      <c r="F3" s="380">
        <f>表1_86121822242634[[#This Row],[补偿Coin]]*(表1_86121822242634[[#This Row],[活跃高战玩家数]]+表1_86121822242634[[#This Row],[活跃中坚玩家数]])</f>
        <v>12000</v>
      </c>
      <c r="G3" s="380">
        <f>(VLOOKUP(表1_86121822242634[[#This Row],[目标区服]],$Q$38:$R$41,2,FALSE)-表1_86121822242634[[#This Row],[开服天数]])*配置!$B$2</f>
        <v>10</v>
      </c>
      <c r="H3" s="376" t="s">
        <v>26</v>
      </c>
      <c r="I3" s="376">
        <f>IF(表1_86121822242634[[#This Row],[原国家]]="魏",0,IF(表1_86121822242634[[#This Row],[原国家]]="蜀",1,2))</f>
        <v>1</v>
      </c>
      <c r="J3" s="380">
        <v>1</v>
      </c>
      <c r="K3" s="380">
        <v>66</v>
      </c>
      <c r="L3" s="380">
        <v>1</v>
      </c>
      <c r="M3" s="380">
        <v>11</v>
      </c>
      <c r="N3" s="380">
        <v>54251</v>
      </c>
      <c r="O3" s="380">
        <v>2018489</v>
      </c>
      <c r="P3" s="381">
        <v>9716946</v>
      </c>
      <c r="Q3" s="493" t="s">
        <v>27</v>
      </c>
      <c r="R3" s="376">
        <f>IF(表1_86121822242634[[#This Row],[目标国家]]="魏",0,IF(表1_86121822242634[[#This Row],[目标国家]]="蜀",1,2))</f>
        <v>2</v>
      </c>
      <c r="S3" s="380">
        <v>27748</v>
      </c>
      <c r="T3" s="380">
        <v>648</v>
      </c>
      <c r="U3" s="380">
        <v>191549</v>
      </c>
      <c r="V3" s="380">
        <v>4956</v>
      </c>
      <c r="W3" s="387" t="str">
        <f>"{"&amp;"'coin':"&amp;表1_86121822242634[[#This Row],[补偿Coin]]&amp;",'"&amp;配置!$A$2&amp;"':"&amp;表1_86121822242634[[#This Row],[补偿辎重]]&amp;"},"</f>
        <v>{'coin':1000,'item036':10},</v>
      </c>
      <c r="X3" s="388" t="str">
        <f>"            'to_zone':'"&amp;表1_86121822242634[[#This Row],[目标区服]]&amp;"',
            'reward':"&amp;表1_86121822242634[[#This Row],[辅助导出]]&amp;"
            'country':["&amp;R2&amp;","&amp;R3&amp;","&amp;R4&amp;"],"</f>
        <v>            'to_zone':'h1_33',
            'reward':{'coin':1000,'item036':10},
            'country':[0,2,1],</v>
      </c>
    </row>
    <row r="4" s="354" customFormat="1" ht="14.25" customHeight="1" spans="1:24">
      <c r="A4" s="375">
        <v>80</v>
      </c>
      <c r="B4" s="371">
        <f>VLOOKUP(表1_86121822242634[[#This Row],[区服]],$O$38:$P$48,2,FALSE)</f>
        <v>55</v>
      </c>
      <c r="C4" s="372" t="s">
        <v>72</v>
      </c>
      <c r="D4" s="376" t="str">
        <f>表1_86121822242634[[#This Row],[目标国家]]</f>
        <v>蜀</v>
      </c>
      <c r="E4" s="380">
        <f>(VLOOKUP(表1_86121822242634[[#This Row],[目标区服]],$Q$38:$R$41,2,FALSE)-表1_86121822242634[[#This Row],[开服天数]])*配置!$B$1</f>
        <v>1000</v>
      </c>
      <c r="F4" s="380">
        <f>表1_86121822242634[[#This Row],[补偿Coin]]*(表1_86121822242634[[#This Row],[活跃高战玩家数]]+表1_86121822242634[[#This Row],[活跃中坚玩家数]])</f>
        <v>17000</v>
      </c>
      <c r="G4" s="380">
        <f>(VLOOKUP(表1_86121822242634[[#This Row],[目标区服]],$Q$38:$R$41,2,FALSE)-表1_86121822242634[[#This Row],[开服天数]])*配置!$B$2</f>
        <v>10</v>
      </c>
      <c r="H4" s="376" t="s">
        <v>27</v>
      </c>
      <c r="I4" s="376">
        <f>IF(表1_86121822242634[[#This Row],[原国家]]="魏",0,IF(表1_86121822242634[[#This Row],[原国家]]="蜀",1,2))</f>
        <v>2</v>
      </c>
      <c r="J4" s="380">
        <v>1</v>
      </c>
      <c r="K4" s="380">
        <v>76</v>
      </c>
      <c r="L4" s="380">
        <v>3</v>
      </c>
      <c r="M4" s="380">
        <v>14</v>
      </c>
      <c r="N4" s="380">
        <v>83915</v>
      </c>
      <c r="O4" s="380">
        <v>2623670</v>
      </c>
      <c r="P4" s="381">
        <v>15195240</v>
      </c>
      <c r="Q4" s="493" t="s">
        <v>26</v>
      </c>
      <c r="R4" s="376">
        <f>IF(表1_86121822242634[[#This Row],[目标国家]]="魏",0,IF(表1_86121822242634[[#This Row],[目标国家]]="蜀",1,2))</f>
        <v>1</v>
      </c>
      <c r="S4" s="380">
        <v>74088</v>
      </c>
      <c r="T4" s="380">
        <v>0</v>
      </c>
      <c r="U4" s="380">
        <v>252692</v>
      </c>
      <c r="V4" s="380">
        <v>7771</v>
      </c>
      <c r="W4" s="387" t="str">
        <f>"{"&amp;"'coin':"&amp;表1_86121822242634[[#This Row],[补偿Coin]]&amp;",'"&amp;配置!$A$2&amp;"':"&amp;表1_86121822242634[[#This Row],[补偿辎重]]&amp;"},"</f>
        <v>{'coin':1000,'item036':10},</v>
      </c>
      <c r="X4" s="388" t="str">
        <f>"      },"</f>
        <v>      },</v>
      </c>
    </row>
    <row r="5" s="354" customFormat="1" ht="14.25" customHeight="1" spans="1:24">
      <c r="A5" s="375">
        <v>81</v>
      </c>
      <c r="B5" s="371">
        <f>VLOOKUP(表1_86121822242634[[#This Row],[区服]],$O$38:$P$48,2,FALSE)</f>
        <v>54</v>
      </c>
      <c r="C5" s="372" t="s">
        <v>72</v>
      </c>
      <c r="D5" s="373" t="str">
        <f>表1_86121822242634[[#This Row],[目标国家]]</f>
        <v>蜀</v>
      </c>
      <c r="E5" s="380">
        <f>(VLOOKUP(表1_86121822242634[[#This Row],[目标区服]],$Q$38:$R$41,2,FALSE)-表1_86121822242634[[#This Row],[开服天数]])*配置!$B$1</f>
        <v>1500</v>
      </c>
      <c r="F5" s="380">
        <f>表1_86121822242634[[#This Row],[补偿Coin]]*(表1_86121822242634[[#This Row],[活跃高战玩家数]]+表1_86121822242634[[#This Row],[活跃中坚玩家数]])</f>
        <v>36000</v>
      </c>
      <c r="G5" s="380">
        <f>(VLOOKUP(表1_86121822242634[[#This Row],[目标区服]],$Q$38:$R$41,2,FALSE)-表1_86121822242634[[#This Row],[开服天数]])*配置!$B$2</f>
        <v>15</v>
      </c>
      <c r="H5" s="376" t="s">
        <v>25</v>
      </c>
      <c r="I5" s="376">
        <f>IF(表1_86121822242634[[#This Row],[原国家]]="魏",0,IF(表1_86121822242634[[#This Row],[原国家]]="蜀",1,2))</f>
        <v>0</v>
      </c>
      <c r="J5" s="380">
        <v>1</v>
      </c>
      <c r="K5" s="380">
        <v>123</v>
      </c>
      <c r="L5" s="380">
        <v>2</v>
      </c>
      <c r="M5" s="380">
        <v>22</v>
      </c>
      <c r="N5" s="380">
        <v>91650</v>
      </c>
      <c r="O5" s="380">
        <v>1641148</v>
      </c>
      <c r="P5" s="381">
        <v>16366308</v>
      </c>
      <c r="Q5" s="493" t="s">
        <v>26</v>
      </c>
      <c r="R5" s="376">
        <f>IF(表1_86121822242634[[#This Row],[目标国家]]="魏",0,IF(表1_86121822242634[[#This Row],[目标国家]]="蜀",1,2))</f>
        <v>1</v>
      </c>
      <c r="S5" s="380">
        <v>18148</v>
      </c>
      <c r="T5" s="380">
        <v>0</v>
      </c>
      <c r="U5" s="380">
        <v>228091</v>
      </c>
      <c r="V5" s="380">
        <v>5724</v>
      </c>
      <c r="W5" s="387" t="str">
        <f>"{"&amp;"'coin':"&amp;表1_86121822242634[[#This Row],[补偿Coin]]&amp;",'"&amp;配置!$A$2&amp;"':"&amp;表1_86121822242634[[#This Row],[补偿辎重]]&amp;"},"</f>
        <v>{'coin':1500,'item036':15},</v>
      </c>
      <c r="X5" s="388" t="str">
        <f>"      '"&amp;表1_86121822242634[[#This Row],[区服]]&amp;"':{"</f>
        <v>      '81':{</v>
      </c>
    </row>
    <row r="6" s="354" customFormat="1" ht="14.25" customHeight="1" spans="1:24">
      <c r="A6" s="371">
        <v>81</v>
      </c>
      <c r="B6" s="371">
        <f>VLOOKUP(表1_86121822242634[[#This Row],[区服]],$O$38:$P$48,2,FALSE)</f>
        <v>54</v>
      </c>
      <c r="C6" s="372" t="s">
        <v>72</v>
      </c>
      <c r="D6" s="376" t="str">
        <f>表1_86121822242634[[#This Row],[目标国家]]</f>
        <v>魏</v>
      </c>
      <c r="E6" s="380">
        <f>(VLOOKUP(表1_86121822242634[[#This Row],[目标区服]],$Q$38:$R$41,2,FALSE)-表1_86121822242634[[#This Row],[开服天数]])*配置!$B$1</f>
        <v>1500</v>
      </c>
      <c r="F6" s="380">
        <f>表1_86121822242634[[#This Row],[补偿Coin]]*(表1_86121822242634[[#This Row],[活跃高战玩家数]]+表1_86121822242634[[#This Row],[活跃中坚玩家数]])</f>
        <v>24000</v>
      </c>
      <c r="G6" s="380">
        <f>(VLOOKUP(表1_86121822242634[[#This Row],[目标区服]],$Q$38:$R$41,2,FALSE)-表1_86121822242634[[#This Row],[开服天数]])*配置!$B$2</f>
        <v>15</v>
      </c>
      <c r="H6" s="376" t="s">
        <v>26</v>
      </c>
      <c r="I6" s="376">
        <f>IF(表1_86121822242634[[#This Row],[原国家]]="魏",0,IF(表1_86121822242634[[#This Row],[原国家]]="蜀",1,2))</f>
        <v>1</v>
      </c>
      <c r="J6" s="380">
        <v>1</v>
      </c>
      <c r="K6" s="380">
        <v>56</v>
      </c>
      <c r="L6" s="380">
        <v>0</v>
      </c>
      <c r="M6" s="380">
        <v>16</v>
      </c>
      <c r="N6" s="380">
        <v>42019</v>
      </c>
      <c r="O6" s="380">
        <v>1236757</v>
      </c>
      <c r="P6" s="381">
        <v>8338603</v>
      </c>
      <c r="Q6" s="493" t="s">
        <v>25</v>
      </c>
      <c r="R6" s="376">
        <f>IF(表1_86121822242634[[#This Row],[目标国家]]="魏",0,IF(表1_86121822242634[[#This Row],[目标国家]]="蜀",1,2))</f>
        <v>0</v>
      </c>
      <c r="S6" s="380">
        <v>1534</v>
      </c>
      <c r="T6" s="380">
        <v>0</v>
      </c>
      <c r="U6" s="380">
        <v>123136</v>
      </c>
      <c r="V6" s="380">
        <v>3048</v>
      </c>
      <c r="W6" s="387" t="str">
        <f>"{"&amp;"'coin':"&amp;表1_86121822242634[[#This Row],[补偿Coin]]&amp;",'"&amp;配置!$A$2&amp;"':"&amp;表1_86121822242634[[#This Row],[补偿辎重]]&amp;"},"</f>
        <v>{'coin':1500,'item036':15},</v>
      </c>
      <c r="X6" s="388" t="str">
        <f>"            'to_zone':'"&amp;表1_86121822242634[[#This Row],[目标区服]]&amp;"',
            'reward':"&amp;表1_86121822242634[[#This Row],[辅助导出]]&amp;"
            'country':["&amp;R5&amp;","&amp;R6&amp;","&amp;R7&amp;"],"</f>
        <v>            'to_zone':'h1_33',
            'reward':{'coin':1500,'item036':15},
            'country':[1,0,2],</v>
      </c>
    </row>
    <row r="7" s="354" customFormat="1" ht="14.25" customHeight="1" spans="1:24">
      <c r="A7" s="371">
        <v>81</v>
      </c>
      <c r="B7" s="371">
        <f>VLOOKUP(表1_86121822242634[[#This Row],[区服]],$O$38:$P$48,2,FALSE)</f>
        <v>54</v>
      </c>
      <c r="C7" s="372" t="s">
        <v>72</v>
      </c>
      <c r="D7" s="376" t="str">
        <f>表1_86121822242634[[#This Row],[目标国家]]</f>
        <v>吴</v>
      </c>
      <c r="E7" s="380">
        <f>(VLOOKUP(表1_86121822242634[[#This Row],[目标区服]],$Q$38:$R$41,2,FALSE)-表1_86121822242634[[#This Row],[开服天数]])*配置!$B$1</f>
        <v>1500</v>
      </c>
      <c r="F7" s="380">
        <f>表1_86121822242634[[#This Row],[补偿Coin]]*(表1_86121822242634[[#This Row],[活跃高战玩家数]]+表1_86121822242634[[#This Row],[活跃中坚玩家数]])</f>
        <v>43500</v>
      </c>
      <c r="G7" s="380">
        <f>(VLOOKUP(表1_86121822242634[[#This Row],[目标区服]],$Q$38:$R$41,2,FALSE)-表1_86121822242634[[#This Row],[开服天数]])*配置!$B$2</f>
        <v>15</v>
      </c>
      <c r="H7" s="376" t="s">
        <v>27</v>
      </c>
      <c r="I7" s="376">
        <f>IF(表1_86121822242634[[#This Row],[原国家]]="魏",0,IF(表1_86121822242634[[#This Row],[原国家]]="蜀",1,2))</f>
        <v>2</v>
      </c>
      <c r="J7" s="380">
        <v>7</v>
      </c>
      <c r="K7" s="380">
        <v>216</v>
      </c>
      <c r="L7" s="380">
        <v>8</v>
      </c>
      <c r="M7" s="380">
        <v>21</v>
      </c>
      <c r="N7" s="380">
        <v>161665</v>
      </c>
      <c r="O7" s="380">
        <v>2274255</v>
      </c>
      <c r="P7" s="381">
        <v>26294662</v>
      </c>
      <c r="Q7" s="493" t="s">
        <v>27</v>
      </c>
      <c r="R7" s="376">
        <f>IF(表1_86121822242634[[#This Row],[目标国家]]="魏",0,IF(表1_86121822242634[[#This Row],[目标国家]]="蜀",1,2))</f>
        <v>2</v>
      </c>
      <c r="S7" s="380">
        <v>38660</v>
      </c>
      <c r="T7" s="380">
        <v>0</v>
      </c>
      <c r="U7" s="380">
        <v>528934</v>
      </c>
      <c r="V7" s="380">
        <v>9996</v>
      </c>
      <c r="W7" s="387" t="str">
        <f>"{"&amp;"'coin':"&amp;表1_86121822242634[[#This Row],[补偿Coin]]&amp;",'"&amp;配置!$A$2&amp;"':"&amp;表1_86121822242634[[#This Row],[补偿辎重]]&amp;"},"</f>
        <v>{'coin':1500,'item036':15},</v>
      </c>
      <c r="X7" s="388" t="str">
        <f t="shared" ref="X7" si="0">"      },"</f>
        <v>      },</v>
      </c>
    </row>
    <row r="8" s="354" customFormat="1" ht="14.25" customHeight="1" spans="1:24">
      <c r="A8" s="314">
        <v>82</v>
      </c>
      <c r="B8" s="91">
        <f>VLOOKUP(表1_86121822242634[[#This Row],[区服]],$O$38:$P$48,2,FALSE)</f>
        <v>53</v>
      </c>
      <c r="C8" s="92" t="s">
        <v>73</v>
      </c>
      <c r="D8" s="313" t="str">
        <f>表1_86121822242634[[#This Row],[目标国家]]</f>
        <v>蜀</v>
      </c>
      <c r="E8" s="417">
        <f>(VLOOKUP(表1_86121822242634[[#This Row],[目标区服]],$Q$38:$R$41,2,FALSE)-表1_86121822242634[[#This Row],[开服天数]])*配置!$B$1</f>
        <v>1000</v>
      </c>
      <c r="F8" s="95">
        <f>表1_86121822242634[[#This Row],[补偿Coin]]*(表1_86121822242634[[#This Row],[活跃高战玩家数]]+表1_86121822242634[[#This Row],[活跃中坚玩家数]])</f>
        <v>13000</v>
      </c>
      <c r="G8" s="418">
        <f>(VLOOKUP(表1_86121822242634[[#This Row],[目标区服]],$Q$38:$R$41,2,FALSE)-表1_86121822242634[[#This Row],[开服天数]])*配置!$B$2</f>
        <v>10</v>
      </c>
      <c r="H8" s="93" t="s">
        <v>25</v>
      </c>
      <c r="I8" s="423">
        <f>IF(表1_86121822242634[[#This Row],[原国家]]="魏",0,IF(表1_86121822242634[[#This Row],[原国家]]="蜀",1,2))</f>
        <v>0</v>
      </c>
      <c r="J8" s="95">
        <v>0</v>
      </c>
      <c r="K8" s="95">
        <v>27</v>
      </c>
      <c r="L8" s="95">
        <v>1</v>
      </c>
      <c r="M8" s="95">
        <v>12</v>
      </c>
      <c r="N8" s="95">
        <v>68133</v>
      </c>
      <c r="O8" s="424">
        <v>1926942</v>
      </c>
      <c r="P8" s="326">
        <v>9960930</v>
      </c>
      <c r="Q8" s="137" t="s">
        <v>26</v>
      </c>
      <c r="R8" s="93">
        <f>IF(表1_86121822242634[[#This Row],[目标国家]]="魏",0,IF(表1_86121822242634[[#This Row],[目标国家]]="蜀",1,2))</f>
        <v>1</v>
      </c>
      <c r="S8" s="95">
        <v>21846</v>
      </c>
      <c r="T8" s="95">
        <v>0</v>
      </c>
      <c r="U8" s="95">
        <v>105321</v>
      </c>
      <c r="V8" s="95">
        <v>4241</v>
      </c>
      <c r="W8" s="433" t="str">
        <f>"{"&amp;"'coin':"&amp;表1_86121822242634[[#This Row],[补偿Coin]]&amp;",'"&amp;配置!$A$2&amp;"':"&amp;表1_86121822242634[[#This Row],[补偿辎重]]&amp;"},"</f>
        <v>{'coin':1000,'item036':10},</v>
      </c>
      <c r="X8" s="138" t="str">
        <f>"      '"&amp;表1_86121822242634[[#This Row],[区服]]&amp;"':{"</f>
        <v>      '82':{</v>
      </c>
    </row>
    <row r="9" s="354" customFormat="1" ht="14.25" customHeight="1" spans="1:24">
      <c r="A9" s="314">
        <v>82</v>
      </c>
      <c r="B9" s="91">
        <f>VLOOKUP(表1_86121822242634[[#This Row],[区服]],$O$38:$P$48,2,FALSE)</f>
        <v>53</v>
      </c>
      <c r="C9" s="92" t="s">
        <v>73</v>
      </c>
      <c r="D9" s="93" t="str">
        <f>表1_86121822242634[[#This Row],[目标国家]]</f>
        <v>魏</v>
      </c>
      <c r="E9" s="417">
        <f>(VLOOKUP(表1_86121822242634[[#This Row],[目标区服]],$Q$38:$R$41,2,FALSE)-表1_86121822242634[[#This Row],[开服天数]])*配置!$B$1</f>
        <v>1000</v>
      </c>
      <c r="F9" s="95">
        <f>表1_86121822242634[[#This Row],[补偿Coin]]*(表1_86121822242634[[#This Row],[活跃高战玩家数]]+表1_86121822242634[[#This Row],[活跃中坚玩家数]])</f>
        <v>10000</v>
      </c>
      <c r="G9" s="418">
        <f>(VLOOKUP(表1_86121822242634[[#This Row],[目标区服]],$Q$38:$R$41,2,FALSE)-表1_86121822242634[[#This Row],[开服天数]])*配置!$B$2</f>
        <v>10</v>
      </c>
      <c r="H9" s="93" t="s">
        <v>26</v>
      </c>
      <c r="I9" s="423">
        <f>IF(表1_86121822242634[[#This Row],[原国家]]="魏",0,IF(表1_86121822242634[[#This Row],[原国家]]="蜀",1,2))</f>
        <v>1</v>
      </c>
      <c r="J9" s="95">
        <v>1</v>
      </c>
      <c r="K9" s="95">
        <v>52</v>
      </c>
      <c r="L9" s="95">
        <v>0</v>
      </c>
      <c r="M9" s="95">
        <v>10</v>
      </c>
      <c r="N9" s="95">
        <v>41636</v>
      </c>
      <c r="O9" s="424">
        <v>933179</v>
      </c>
      <c r="P9" s="326">
        <v>5904526</v>
      </c>
      <c r="Q9" s="137" t="s">
        <v>25</v>
      </c>
      <c r="R9" s="93">
        <f>IF(表1_86121822242634[[#This Row],[目标国家]]="魏",0,IF(表1_86121822242634[[#This Row],[目标国家]]="蜀",1,2))</f>
        <v>0</v>
      </c>
      <c r="S9" s="95">
        <v>6956</v>
      </c>
      <c r="T9" s="95">
        <v>0</v>
      </c>
      <c r="U9" s="95">
        <v>40694</v>
      </c>
      <c r="V9" s="95">
        <v>2580</v>
      </c>
      <c r="W9" s="433" t="str">
        <f>"{"&amp;"'coin':"&amp;表1_86121822242634[[#This Row],[补偿Coin]]&amp;",'"&amp;配置!$A$2&amp;"':"&amp;表1_86121822242634[[#This Row],[补偿辎重]]&amp;"},"</f>
        <v>{'coin':1000,'item036':10},</v>
      </c>
      <c r="X9" s="138" t="str">
        <f>"            'to_zone':'"&amp;表1_86121822242634[[#This Row],[目标区服]]&amp;"',
            'reward':"&amp;表1_86121822242634[[#This Row],[辅助导出]]&amp;"
            'country':["&amp;R8&amp;","&amp;R9&amp;","&amp;R10&amp;"],"</f>
        <v>            'to_zone':'h1_34',
            'reward':{'coin':1000,'item036':10},
            'country':[1,0,2],</v>
      </c>
    </row>
    <row r="10" s="354" customFormat="1" ht="14.25" customHeight="1" spans="1:24">
      <c r="A10" s="314">
        <v>82</v>
      </c>
      <c r="B10" s="91">
        <f>VLOOKUP(表1_86121822242634[[#This Row],[区服]],$O$38:$P$48,2,FALSE)</f>
        <v>53</v>
      </c>
      <c r="C10" s="92" t="s">
        <v>73</v>
      </c>
      <c r="D10" s="93" t="str">
        <f>表1_86121822242634[[#This Row],[目标国家]]</f>
        <v>吴</v>
      </c>
      <c r="E10" s="417">
        <f>(VLOOKUP(表1_86121822242634[[#This Row],[目标区服]],$Q$38:$R$41,2,FALSE)-表1_86121822242634[[#This Row],[开服天数]])*配置!$B$1</f>
        <v>1000</v>
      </c>
      <c r="F10" s="95">
        <f>表1_86121822242634[[#This Row],[补偿Coin]]*(表1_86121822242634[[#This Row],[活跃高战玩家数]]+表1_86121822242634[[#This Row],[活跃中坚玩家数]])</f>
        <v>26000</v>
      </c>
      <c r="G10" s="418">
        <f>(VLOOKUP(表1_86121822242634[[#This Row],[目标区服]],$Q$38:$R$41,2,FALSE)-表1_86121822242634[[#This Row],[开服天数]])*配置!$B$2</f>
        <v>10</v>
      </c>
      <c r="H10" s="93" t="s">
        <v>27</v>
      </c>
      <c r="I10" s="423">
        <f>IF(表1_86121822242634[[#This Row],[原国家]]="魏",0,IF(表1_86121822242634[[#This Row],[原国家]]="蜀",1,2))</f>
        <v>2</v>
      </c>
      <c r="J10" s="95">
        <v>8</v>
      </c>
      <c r="K10" s="95">
        <v>316</v>
      </c>
      <c r="L10" s="95">
        <v>9</v>
      </c>
      <c r="M10" s="95">
        <v>17</v>
      </c>
      <c r="N10" s="95">
        <v>165346</v>
      </c>
      <c r="O10" s="424">
        <v>3282424</v>
      </c>
      <c r="P10" s="326">
        <v>27751526</v>
      </c>
      <c r="Q10" s="137" t="s">
        <v>27</v>
      </c>
      <c r="R10" s="93">
        <f>IF(表1_86121822242634[[#This Row],[目标国家]]="魏",0,IF(表1_86121822242634[[#This Row],[目标国家]]="蜀",1,2))</f>
        <v>2</v>
      </c>
      <c r="S10" s="95">
        <v>94338</v>
      </c>
      <c r="T10" s="95">
        <v>0</v>
      </c>
      <c r="U10" s="95">
        <v>1007993</v>
      </c>
      <c r="V10" s="95">
        <v>14178</v>
      </c>
      <c r="W10" s="433" t="str">
        <f>"{"&amp;"'coin':"&amp;表1_86121822242634[[#This Row],[补偿Coin]]&amp;",'"&amp;配置!$A$2&amp;"':"&amp;表1_86121822242634[[#This Row],[补偿辎重]]&amp;"},"</f>
        <v>{'coin':1000,'item036':10},</v>
      </c>
      <c r="X10" s="138" t="str">
        <f>"      },"</f>
        <v>      },</v>
      </c>
    </row>
    <row r="11" s="354" customFormat="1" ht="14.25" customHeight="1" spans="1:24">
      <c r="A11" s="314">
        <v>83</v>
      </c>
      <c r="B11" s="91">
        <f>VLOOKUP(表1_86121822242634[[#This Row],[区服]],$O$38:$P$48,2,FALSE)</f>
        <v>52</v>
      </c>
      <c r="C11" s="92" t="s">
        <v>73</v>
      </c>
      <c r="D11" s="313" t="str">
        <f>表1_86121822242634[[#This Row],[目标国家]]</f>
        <v>魏</v>
      </c>
      <c r="E11" s="417">
        <f>(VLOOKUP(表1_86121822242634[[#This Row],[目标区服]],$Q$38:$R$41,2,FALSE)-表1_86121822242634[[#This Row],[开服天数]])*配置!$B$1</f>
        <v>1500</v>
      </c>
      <c r="F11" s="95">
        <f>表1_86121822242634[[#This Row],[补偿Coin]]*(表1_86121822242634[[#This Row],[活跃高战玩家数]]+表1_86121822242634[[#This Row],[活跃中坚玩家数]])</f>
        <v>51000</v>
      </c>
      <c r="G11" s="418">
        <f>(VLOOKUP(表1_86121822242634[[#This Row],[目标区服]],$Q$38:$R$41,2,FALSE)-表1_86121822242634[[#This Row],[开服天数]])*配置!$B$2</f>
        <v>15</v>
      </c>
      <c r="H11" s="93" t="s">
        <v>25</v>
      </c>
      <c r="I11" s="423">
        <f>IF(表1_86121822242634[[#This Row],[原国家]]="魏",0,IF(表1_86121822242634[[#This Row],[原国家]]="蜀",1,2))</f>
        <v>0</v>
      </c>
      <c r="J11" s="95">
        <v>4</v>
      </c>
      <c r="K11" s="95">
        <v>135</v>
      </c>
      <c r="L11" s="95">
        <v>6</v>
      </c>
      <c r="M11" s="95">
        <v>28</v>
      </c>
      <c r="N11" s="95">
        <v>183771</v>
      </c>
      <c r="O11" s="424">
        <v>2743063</v>
      </c>
      <c r="P11" s="326">
        <v>32684870</v>
      </c>
      <c r="Q11" s="137" t="s">
        <v>25</v>
      </c>
      <c r="R11" s="93">
        <f>IF(表1_86121822242634[[#This Row],[目标国家]]="魏",0,IF(表1_86121822242634[[#This Row],[目标国家]]="蜀",1,2))</f>
        <v>0</v>
      </c>
      <c r="S11" s="95">
        <v>109354</v>
      </c>
      <c r="T11" s="95">
        <v>0</v>
      </c>
      <c r="U11" s="95">
        <v>1473962</v>
      </c>
      <c r="V11" s="95">
        <v>12698</v>
      </c>
      <c r="W11" s="433" t="str">
        <f>"{"&amp;"'coin':"&amp;表1_86121822242634[[#This Row],[补偿Coin]]&amp;",'"&amp;配置!$A$2&amp;"':"&amp;表1_86121822242634[[#This Row],[补偿辎重]]&amp;"},"</f>
        <v>{'coin':1500,'item036':15},</v>
      </c>
      <c r="X11" s="138" t="str">
        <f>"      '"&amp;表1_86121822242634[[#This Row],[区服]]&amp;"':{"</f>
        <v>      '83':{</v>
      </c>
    </row>
    <row r="12" s="354" customFormat="1" ht="14.25" customHeight="1" spans="1:24">
      <c r="A12" s="314">
        <v>83</v>
      </c>
      <c r="B12" s="91">
        <f>VLOOKUP(表1_86121822242634[[#This Row],[区服]],$O$38:$P$48,2,FALSE)</f>
        <v>52</v>
      </c>
      <c r="C12" s="92" t="s">
        <v>73</v>
      </c>
      <c r="D12" s="93" t="str">
        <f>表1_86121822242634[[#This Row],[目标国家]]</f>
        <v>吴</v>
      </c>
      <c r="E12" s="417">
        <f>(VLOOKUP(表1_86121822242634[[#This Row],[目标区服]],$Q$38:$R$41,2,FALSE)-表1_86121822242634[[#This Row],[开服天数]])*配置!$B$1</f>
        <v>1500</v>
      </c>
      <c r="F12" s="95">
        <f>表1_86121822242634[[#This Row],[补偿Coin]]*(表1_86121822242634[[#This Row],[活跃高战玩家数]]+表1_86121822242634[[#This Row],[活跃中坚玩家数]])</f>
        <v>22500</v>
      </c>
      <c r="G12" s="418">
        <f>(VLOOKUP(表1_86121822242634[[#This Row],[目标区服]],$Q$38:$R$41,2,FALSE)-表1_86121822242634[[#This Row],[开服天数]])*配置!$B$2</f>
        <v>15</v>
      </c>
      <c r="H12" s="93" t="s">
        <v>26</v>
      </c>
      <c r="I12" s="423">
        <f>IF(表1_86121822242634[[#This Row],[原国家]]="魏",0,IF(表1_86121822242634[[#This Row],[原国家]]="蜀",1,2))</f>
        <v>1</v>
      </c>
      <c r="J12" s="95">
        <v>4</v>
      </c>
      <c r="K12" s="95">
        <v>194</v>
      </c>
      <c r="L12" s="95">
        <v>3</v>
      </c>
      <c r="M12" s="95">
        <v>12</v>
      </c>
      <c r="N12" s="95">
        <v>70003</v>
      </c>
      <c r="O12" s="424">
        <v>2423250</v>
      </c>
      <c r="P12" s="326">
        <v>13487392</v>
      </c>
      <c r="Q12" s="137" t="s">
        <v>27</v>
      </c>
      <c r="R12" s="93">
        <f>IF(表1_86121822242634[[#This Row],[目标国家]]="魏",0,IF(表1_86121822242634[[#This Row],[目标国家]]="蜀",1,2))</f>
        <v>2</v>
      </c>
      <c r="S12" s="95">
        <v>62364</v>
      </c>
      <c r="T12" s="95">
        <v>30</v>
      </c>
      <c r="U12" s="95">
        <v>247434</v>
      </c>
      <c r="V12" s="95">
        <v>8456</v>
      </c>
      <c r="W12" s="433" t="str">
        <f>"{"&amp;"'coin':"&amp;表1_86121822242634[[#This Row],[补偿Coin]]&amp;",'"&amp;配置!$A$2&amp;"':"&amp;表1_86121822242634[[#This Row],[补偿辎重]]&amp;"},"</f>
        <v>{'coin':1500,'item036':15},</v>
      </c>
      <c r="X12" s="138" t="str">
        <f>"            'to_zone':'"&amp;表1_86121822242634[[#This Row],[目标区服]]&amp;"',
            'reward':"&amp;表1_86121822242634[[#This Row],[辅助导出]]&amp;"
            'country':["&amp;R11&amp;","&amp;R12&amp;","&amp;R13&amp;"],"</f>
        <v>            'to_zone':'h1_34',
            'reward':{'coin':1500,'item036':15},
            'country':[0,2,1],</v>
      </c>
    </row>
    <row r="13" s="354" customFormat="1" ht="14.25" customHeight="1" spans="1:24">
      <c r="A13" s="314">
        <v>83</v>
      </c>
      <c r="B13" s="91">
        <f>VLOOKUP(表1_86121822242634[[#This Row],[区服]],$O$38:$P$48,2,FALSE)</f>
        <v>52</v>
      </c>
      <c r="C13" s="92" t="s">
        <v>73</v>
      </c>
      <c r="D13" s="93" t="str">
        <f>表1_86121822242634[[#This Row],[目标国家]]</f>
        <v>蜀</v>
      </c>
      <c r="E13" s="417">
        <f>(VLOOKUP(表1_86121822242634[[#This Row],[目标区服]],$Q$38:$R$41,2,FALSE)-表1_86121822242634[[#This Row],[开服天数]])*配置!$B$1</f>
        <v>1500</v>
      </c>
      <c r="F13" s="95">
        <f>表1_86121822242634[[#This Row],[补偿Coin]]*(表1_86121822242634[[#This Row],[活跃高战玩家数]]+表1_86121822242634[[#This Row],[活跃中坚玩家数]])</f>
        <v>19500</v>
      </c>
      <c r="G13" s="418">
        <f>(VLOOKUP(表1_86121822242634[[#This Row],[目标区服]],$Q$38:$R$41,2,FALSE)-表1_86121822242634[[#This Row],[开服天数]])*配置!$B$2</f>
        <v>15</v>
      </c>
      <c r="H13" s="93" t="s">
        <v>27</v>
      </c>
      <c r="I13" s="423">
        <f>IF(表1_86121822242634[[#This Row],[原国家]]="魏",0,IF(表1_86121822242634[[#This Row],[原国家]]="蜀",1,2))</f>
        <v>2</v>
      </c>
      <c r="J13" s="95">
        <v>1</v>
      </c>
      <c r="K13" s="95">
        <v>66</v>
      </c>
      <c r="L13" s="95">
        <v>0</v>
      </c>
      <c r="M13" s="95">
        <v>13</v>
      </c>
      <c r="N13" s="95">
        <v>41696</v>
      </c>
      <c r="O13" s="424">
        <v>1164517</v>
      </c>
      <c r="P13" s="326">
        <v>7964441</v>
      </c>
      <c r="Q13" s="137" t="s">
        <v>26</v>
      </c>
      <c r="R13" s="93">
        <f>IF(表1_86121822242634[[#This Row],[目标国家]]="魏",0,IF(表1_86121822242634[[#This Row],[目标国家]]="蜀",1,2))</f>
        <v>1</v>
      </c>
      <c r="S13" s="95">
        <v>8300</v>
      </c>
      <c r="T13" s="95">
        <v>0</v>
      </c>
      <c r="U13" s="95">
        <v>29454</v>
      </c>
      <c r="V13" s="95">
        <v>3193</v>
      </c>
      <c r="W13" s="433" t="str">
        <f>"{"&amp;"'coin':"&amp;表1_86121822242634[[#This Row],[补偿Coin]]&amp;",'"&amp;配置!$A$2&amp;"':"&amp;表1_86121822242634[[#This Row],[补偿辎重]]&amp;"},"</f>
        <v>{'coin':1500,'item036':15},</v>
      </c>
      <c r="X13" s="138" t="str">
        <f t="shared" ref="X13" si="1">"      },"</f>
        <v>      },</v>
      </c>
    </row>
    <row r="14" s="354" customFormat="1" ht="14.25" customHeight="1" spans="1:24">
      <c r="A14" s="314">
        <v>84</v>
      </c>
      <c r="B14" s="91">
        <f>VLOOKUP(表1_86121822242634[[#This Row],[区服]],$O$38:$P$48,2,FALSE)</f>
        <v>51</v>
      </c>
      <c r="C14" s="92" t="s">
        <v>73</v>
      </c>
      <c r="D14" s="313" t="str">
        <f>表1_86121822242634[[#This Row],[目标国家]]</f>
        <v>蜀</v>
      </c>
      <c r="E14" s="417">
        <f>(VLOOKUP(表1_86121822242634[[#This Row],[目标区服]],$Q$38:$R$41,2,FALSE)-表1_86121822242634[[#This Row],[开服天数]])*配置!$B$1</f>
        <v>2000</v>
      </c>
      <c r="F14" s="95">
        <f>表1_86121822242634[[#This Row],[补偿Coin]]*(表1_86121822242634[[#This Row],[活跃高战玩家数]]+表1_86121822242634[[#This Row],[活跃中坚玩家数]])</f>
        <v>54000</v>
      </c>
      <c r="G14" s="418">
        <f>(VLOOKUP(表1_86121822242634[[#This Row],[目标区服]],$Q$38:$R$41,2,FALSE)-表1_86121822242634[[#This Row],[开服天数]])*配置!$B$2</f>
        <v>20</v>
      </c>
      <c r="H14" s="93" t="s">
        <v>25</v>
      </c>
      <c r="I14" s="423">
        <f>IF(表1_86121822242634[[#This Row],[原国家]]="魏",0,IF(表1_86121822242634[[#This Row],[原国家]]="蜀",1,2))</f>
        <v>0</v>
      </c>
      <c r="J14" s="95">
        <v>9</v>
      </c>
      <c r="K14" s="95">
        <v>327</v>
      </c>
      <c r="L14" s="95">
        <v>9</v>
      </c>
      <c r="M14" s="95">
        <v>18</v>
      </c>
      <c r="N14" s="95">
        <v>177254</v>
      </c>
      <c r="O14" s="424">
        <v>2599089</v>
      </c>
      <c r="P14" s="326">
        <v>23903986</v>
      </c>
      <c r="Q14" s="137" t="s">
        <v>26</v>
      </c>
      <c r="R14" s="93">
        <f>IF(表1_86121822242634[[#This Row],[目标国家]]="魏",0,IF(表1_86121822242634[[#This Row],[目标国家]]="蜀",1,2))</f>
        <v>1</v>
      </c>
      <c r="S14" s="95">
        <v>53784</v>
      </c>
      <c r="T14" s="95">
        <v>0</v>
      </c>
      <c r="U14" s="95">
        <v>828269</v>
      </c>
      <c r="V14" s="95">
        <v>12073</v>
      </c>
      <c r="W14" s="433" t="str">
        <f>"{"&amp;"'coin':"&amp;表1_86121822242634[[#This Row],[补偿Coin]]&amp;",'"&amp;配置!$A$2&amp;"':"&amp;表1_86121822242634[[#This Row],[补偿辎重]]&amp;"},"</f>
        <v>{'coin':2000,'item036':20},</v>
      </c>
      <c r="X14" s="138" t="str">
        <f>"      '"&amp;表1_86121822242634[[#This Row],[区服]]&amp;"':{"</f>
        <v>      '84':{</v>
      </c>
    </row>
    <row r="15" s="354" customFormat="1" ht="14.25" customHeight="1" spans="1:24">
      <c r="A15" s="314">
        <v>84</v>
      </c>
      <c r="B15" s="91">
        <f>VLOOKUP(表1_86121822242634[[#This Row],[区服]],$O$38:$P$48,2,FALSE)</f>
        <v>51</v>
      </c>
      <c r="C15" s="92" t="s">
        <v>73</v>
      </c>
      <c r="D15" s="93" t="str">
        <f>表1_86121822242634[[#This Row],[目标国家]]</f>
        <v>魏</v>
      </c>
      <c r="E15" s="417">
        <f>(VLOOKUP(表1_86121822242634[[#This Row],[目标区服]],$Q$38:$R$41,2,FALSE)-表1_86121822242634[[#This Row],[开服天数]])*配置!$B$1</f>
        <v>2000</v>
      </c>
      <c r="F15" s="95">
        <f>表1_86121822242634[[#This Row],[补偿Coin]]*(表1_86121822242634[[#This Row],[活跃高战玩家数]]+表1_86121822242634[[#This Row],[活跃中坚玩家数]])</f>
        <v>14000</v>
      </c>
      <c r="G15" s="418">
        <f>(VLOOKUP(表1_86121822242634[[#This Row],[目标区服]],$Q$38:$R$41,2,FALSE)-表1_86121822242634[[#This Row],[开服天数]])*配置!$B$2</f>
        <v>20</v>
      </c>
      <c r="H15" s="93" t="s">
        <v>26</v>
      </c>
      <c r="I15" s="423">
        <f>IF(表1_86121822242634[[#This Row],[原国家]]="魏",0,IF(表1_86121822242634[[#This Row],[原国家]]="蜀",1,2))</f>
        <v>1</v>
      </c>
      <c r="J15" s="95">
        <v>0</v>
      </c>
      <c r="K15" s="95">
        <v>45</v>
      </c>
      <c r="L15" s="95">
        <v>1</v>
      </c>
      <c r="M15" s="95">
        <v>6</v>
      </c>
      <c r="N15" s="95">
        <v>36077</v>
      </c>
      <c r="O15" s="424">
        <v>1282189</v>
      </c>
      <c r="P15" s="326">
        <v>4164368</v>
      </c>
      <c r="Q15" s="137" t="s">
        <v>25</v>
      </c>
      <c r="R15" s="93">
        <f>IF(表1_86121822242634[[#This Row],[目标国家]]="魏",0,IF(表1_86121822242634[[#This Row],[目标国家]]="蜀",1,2))</f>
        <v>0</v>
      </c>
      <c r="S15" s="95">
        <v>5636</v>
      </c>
      <c r="T15" s="95">
        <v>128</v>
      </c>
      <c r="U15" s="95">
        <v>70938</v>
      </c>
      <c r="V15" s="95">
        <v>2534</v>
      </c>
      <c r="W15" s="433" t="str">
        <f>"{"&amp;"'coin':"&amp;表1_86121822242634[[#This Row],[补偿Coin]]&amp;",'"&amp;配置!$A$2&amp;"':"&amp;表1_86121822242634[[#This Row],[补偿辎重]]&amp;"},"</f>
        <v>{'coin':2000,'item036':20},</v>
      </c>
      <c r="X15" s="138" t="str">
        <f>"            'to_zone':'"&amp;表1_86121822242634[[#This Row],[目标区服]]&amp;"',
            'reward':"&amp;表1_86121822242634[[#This Row],[辅助导出]]&amp;"
            'country':["&amp;R14&amp;","&amp;R15&amp;","&amp;R16&amp;"],"</f>
        <v>            'to_zone':'h1_34',
            'reward':{'coin':2000,'item036':20},
            'country':[1,0,2],</v>
      </c>
    </row>
    <row r="16" s="354" customFormat="1" ht="14.25" customHeight="1" spans="1:24">
      <c r="A16" s="314">
        <v>84</v>
      </c>
      <c r="B16" s="91">
        <f>VLOOKUP(表1_86121822242634[[#This Row],[区服]],$O$38:$P$48,2,FALSE)</f>
        <v>51</v>
      </c>
      <c r="C16" s="92" t="s">
        <v>73</v>
      </c>
      <c r="D16" s="93" t="str">
        <f>表1_86121822242634[[#This Row],[目标国家]]</f>
        <v>吴</v>
      </c>
      <c r="E16" s="417">
        <f>(VLOOKUP(表1_86121822242634[[#This Row],[目标区服]],$Q$38:$R$41,2,FALSE)-表1_86121822242634[[#This Row],[开服天数]])*配置!$B$1</f>
        <v>2000</v>
      </c>
      <c r="F16" s="95">
        <f>表1_86121822242634[[#This Row],[补偿Coin]]*(表1_86121822242634[[#This Row],[活跃高战玩家数]]+表1_86121822242634[[#This Row],[活跃中坚玩家数]])</f>
        <v>14000</v>
      </c>
      <c r="G16" s="418">
        <f>(VLOOKUP(表1_86121822242634[[#This Row],[目标区服]],$Q$38:$R$41,2,FALSE)-表1_86121822242634[[#This Row],[开服天数]])*配置!$B$2</f>
        <v>20</v>
      </c>
      <c r="H16" s="93" t="s">
        <v>27</v>
      </c>
      <c r="I16" s="423">
        <f>IF(表1_86121822242634[[#This Row],[原国家]]="魏",0,IF(表1_86121822242634[[#This Row],[原国家]]="蜀",1,2))</f>
        <v>2</v>
      </c>
      <c r="J16" s="95">
        <v>0</v>
      </c>
      <c r="K16" s="95">
        <v>23</v>
      </c>
      <c r="L16" s="95">
        <v>0</v>
      </c>
      <c r="M16" s="95">
        <v>7</v>
      </c>
      <c r="N16" s="95">
        <v>38223</v>
      </c>
      <c r="O16" s="424">
        <v>992334</v>
      </c>
      <c r="P16" s="326">
        <v>4118315</v>
      </c>
      <c r="Q16" s="137" t="s">
        <v>27</v>
      </c>
      <c r="R16" s="93">
        <f>IF(表1_86121822242634[[#This Row],[目标国家]]="魏",0,IF(表1_86121822242634[[#This Row],[目标国家]]="蜀",1,2))</f>
        <v>2</v>
      </c>
      <c r="S16" s="95">
        <v>848</v>
      </c>
      <c r="T16" s="95">
        <v>0</v>
      </c>
      <c r="U16" s="95">
        <v>84393</v>
      </c>
      <c r="V16" s="95">
        <v>1892</v>
      </c>
      <c r="W16" s="433" t="str">
        <f>"{"&amp;"'coin':"&amp;表1_86121822242634[[#This Row],[补偿Coin]]&amp;",'"&amp;配置!$A$2&amp;"':"&amp;表1_86121822242634[[#This Row],[补偿辎重]]&amp;"},"</f>
        <v>{'coin':2000,'item036':20},</v>
      </c>
      <c r="X16" s="138" t="str">
        <f t="shared" ref="X16" si="2">"      },"</f>
        <v>      },</v>
      </c>
    </row>
    <row r="17" s="354" customFormat="1" ht="14.25" customHeight="1" spans="1:24">
      <c r="A17" s="629">
        <v>85</v>
      </c>
      <c r="B17" s="625">
        <f>VLOOKUP(表1_86121822242634[[#This Row],[区服]],$O$38:$P$48,2,FALSE)</f>
        <v>50</v>
      </c>
      <c r="C17" s="626" t="s">
        <v>74</v>
      </c>
      <c r="D17" s="627" t="str">
        <f>表1_86121822242634[[#This Row],[目标国家]]</f>
        <v>魏</v>
      </c>
      <c r="E17" s="628">
        <f>(VLOOKUP(表1_86121822242634[[#This Row],[目标区服]],$Q$38:$R$41,2,FALSE)-表1_86121822242634[[#This Row],[开服天数]])*配置!$B$1</f>
        <v>1000</v>
      </c>
      <c r="F17" s="628">
        <f>表1_86121822242634[[#This Row],[补偿Coin]]*(表1_86121822242634[[#This Row],[活跃高战玩家数]]+表1_86121822242634[[#This Row],[活跃中坚玩家数]])</f>
        <v>15000</v>
      </c>
      <c r="G17" s="631">
        <f>(VLOOKUP(表1_86121822242634[[#This Row],[目标区服]],$Q$38:$R$41,2,FALSE)-表1_86121822242634[[#This Row],[开服天数]])*配置!$B$2</f>
        <v>10</v>
      </c>
      <c r="H17" s="627" t="s">
        <v>25</v>
      </c>
      <c r="I17" s="642">
        <f>IF(表1_86121822242634[[#This Row],[原国家]]="魏",0,IF(表1_86121822242634[[#This Row],[原国家]]="蜀",1,2))</f>
        <v>0</v>
      </c>
      <c r="J17" s="628">
        <v>3</v>
      </c>
      <c r="K17" s="628">
        <v>82</v>
      </c>
      <c r="L17" s="628">
        <v>2</v>
      </c>
      <c r="M17" s="628">
        <v>13</v>
      </c>
      <c r="N17" s="628">
        <v>71928</v>
      </c>
      <c r="O17" s="643">
        <v>1568960</v>
      </c>
      <c r="P17" s="641">
        <v>10632511</v>
      </c>
      <c r="Q17" s="649" t="s">
        <v>25</v>
      </c>
      <c r="R17" s="627">
        <f>IF(表1_86121822242634[[#This Row],[目标国家]]="魏",0,IF(表1_86121822242634[[#This Row],[目标国家]]="蜀",1,2))</f>
        <v>0</v>
      </c>
      <c r="S17" s="628">
        <v>17086</v>
      </c>
      <c r="T17" s="628">
        <v>328</v>
      </c>
      <c r="U17" s="628">
        <v>198684</v>
      </c>
      <c r="V17" s="628">
        <v>4727</v>
      </c>
      <c r="W17" s="652" t="str">
        <f>"{"&amp;"'coin':"&amp;表1_86121822242634[[#This Row],[补偿Coin]]&amp;",'"&amp;配置!$A$2&amp;"':"&amp;表1_86121822242634[[#This Row],[补偿辎重]]&amp;"},"</f>
        <v>{'coin':1000,'item036':10},</v>
      </c>
      <c r="X17" s="652" t="str">
        <f>"      '"&amp;表1_86121822242634[[#This Row],[区服]]&amp;"':{"</f>
        <v>      '85':{</v>
      </c>
    </row>
    <row r="18" s="354" customFormat="1" ht="14.25" customHeight="1" spans="1:24">
      <c r="A18" s="629">
        <v>85</v>
      </c>
      <c r="B18" s="625">
        <f>VLOOKUP(表1_86121822242634[[#This Row],[区服]],$O$38:$P$48,2,FALSE)</f>
        <v>50</v>
      </c>
      <c r="C18" s="626" t="s">
        <v>74</v>
      </c>
      <c r="D18" s="627" t="str">
        <f>表1_86121822242634[[#This Row],[目标国家]]</f>
        <v>蜀</v>
      </c>
      <c r="E18" s="628">
        <f>(VLOOKUP(表1_86121822242634[[#This Row],[目标区服]],$Q$38:$R$41,2,FALSE)-表1_86121822242634[[#This Row],[开服天数]])*配置!$B$1</f>
        <v>1000</v>
      </c>
      <c r="F18" s="628">
        <f>表1_86121822242634[[#This Row],[补偿Coin]]*(表1_86121822242634[[#This Row],[活跃高战玩家数]]+表1_86121822242634[[#This Row],[活跃中坚玩家数]])</f>
        <v>20000</v>
      </c>
      <c r="G18" s="631">
        <f>(VLOOKUP(表1_86121822242634[[#This Row],[目标区服]],$Q$38:$R$41,2,FALSE)-表1_86121822242634[[#This Row],[开服天数]])*配置!$B$2</f>
        <v>10</v>
      </c>
      <c r="H18" s="627" t="s">
        <v>26</v>
      </c>
      <c r="I18" s="642">
        <f>IF(表1_86121822242634[[#This Row],[原国家]]="魏",0,IF(表1_86121822242634[[#This Row],[原国家]]="蜀",1,2))</f>
        <v>1</v>
      </c>
      <c r="J18" s="628">
        <v>2</v>
      </c>
      <c r="K18" s="628">
        <v>106</v>
      </c>
      <c r="L18" s="628">
        <v>3</v>
      </c>
      <c r="M18" s="628">
        <v>17</v>
      </c>
      <c r="N18" s="628">
        <v>93322</v>
      </c>
      <c r="O18" s="643">
        <v>2117910</v>
      </c>
      <c r="P18" s="641">
        <v>14683105</v>
      </c>
      <c r="Q18" s="649" t="s">
        <v>26</v>
      </c>
      <c r="R18" s="627">
        <f>IF(表1_86121822242634[[#This Row],[目标国家]]="魏",0,IF(表1_86121822242634[[#This Row],[目标国家]]="蜀",1,2))</f>
        <v>1</v>
      </c>
      <c r="S18" s="628">
        <v>35132</v>
      </c>
      <c r="T18" s="628">
        <v>0</v>
      </c>
      <c r="U18" s="628">
        <v>174202</v>
      </c>
      <c r="V18" s="628">
        <v>6453</v>
      </c>
      <c r="W18" s="652" t="str">
        <f>"{"&amp;"'coin':"&amp;表1_86121822242634[[#This Row],[补偿Coin]]&amp;",'"&amp;配置!$A$2&amp;"':"&amp;表1_86121822242634[[#This Row],[补偿辎重]]&amp;"},"</f>
        <v>{'coin':1000,'item036':10},</v>
      </c>
      <c r="X18" s="652" t="str">
        <f>"            'to_zone':'"&amp;表1_86121822242634[[#This Row],[目标区服]]&amp;"',
            'reward':"&amp;表1_86121822242634[[#This Row],[辅助导出]]&amp;"
            'country':["&amp;R17&amp;","&amp;R18&amp;","&amp;R19&amp;"],"</f>
        <v>            'to_zone':'h1_35',
            'reward':{'coin':1000,'item036':10},
            'country':[0,1,2],</v>
      </c>
    </row>
    <row r="19" s="354" customFormat="1" ht="14.25" customHeight="1" spans="1:24">
      <c r="A19" s="629">
        <v>85</v>
      </c>
      <c r="B19" s="625">
        <f>VLOOKUP(表1_86121822242634[[#This Row],[区服]],$O$38:$P$48,2,FALSE)</f>
        <v>50</v>
      </c>
      <c r="C19" s="626" t="s">
        <v>74</v>
      </c>
      <c r="D19" s="627" t="str">
        <f>表1_86121822242634[[#This Row],[目标国家]]</f>
        <v>吴</v>
      </c>
      <c r="E19" s="628">
        <f>(VLOOKUP(表1_86121822242634[[#This Row],[目标区服]],$Q$38:$R$41,2,FALSE)-表1_86121822242634[[#This Row],[开服天数]])*配置!$B$1</f>
        <v>1000</v>
      </c>
      <c r="F19" s="628">
        <f>表1_86121822242634[[#This Row],[补偿Coin]]*(表1_86121822242634[[#This Row],[活跃高战玩家数]]+表1_86121822242634[[#This Row],[活跃中坚玩家数]])</f>
        <v>22000</v>
      </c>
      <c r="G19" s="631">
        <f>(VLOOKUP(表1_86121822242634[[#This Row],[目标区服]],$Q$38:$R$41,2,FALSE)-表1_86121822242634[[#This Row],[开服天数]])*配置!$B$2</f>
        <v>10</v>
      </c>
      <c r="H19" s="627" t="s">
        <v>27</v>
      </c>
      <c r="I19" s="642">
        <f>IF(表1_86121822242634[[#This Row],[原国家]]="魏",0,IF(表1_86121822242634[[#This Row],[原国家]]="蜀",1,2))</f>
        <v>2</v>
      </c>
      <c r="J19" s="628">
        <v>4</v>
      </c>
      <c r="K19" s="628">
        <v>207</v>
      </c>
      <c r="L19" s="628">
        <v>5</v>
      </c>
      <c r="M19" s="628">
        <v>17</v>
      </c>
      <c r="N19" s="628">
        <v>135277</v>
      </c>
      <c r="O19" s="643">
        <v>3385928</v>
      </c>
      <c r="P19" s="641">
        <v>22333009</v>
      </c>
      <c r="Q19" s="649" t="s">
        <v>27</v>
      </c>
      <c r="R19" s="627">
        <f>IF(表1_86121822242634[[#This Row],[目标国家]]="魏",0,IF(表1_86121822242634[[#This Row],[目标国家]]="蜀",1,2))</f>
        <v>2</v>
      </c>
      <c r="S19" s="628">
        <v>100962</v>
      </c>
      <c r="T19" s="628">
        <v>30</v>
      </c>
      <c r="U19" s="628">
        <v>822170</v>
      </c>
      <c r="V19" s="628">
        <v>12205</v>
      </c>
      <c r="W19" s="652" t="str">
        <f>"{"&amp;"'coin':"&amp;表1_86121822242634[[#This Row],[补偿Coin]]&amp;",'"&amp;配置!$A$2&amp;"':"&amp;表1_86121822242634[[#This Row],[补偿辎重]]&amp;"},"</f>
        <v>{'coin':1000,'item036':10},</v>
      </c>
      <c r="X19" s="652" t="str">
        <f>"      },"</f>
        <v>      },</v>
      </c>
    </row>
    <row r="20" s="354" customFormat="1" ht="14.25" customHeight="1" spans="1:24">
      <c r="A20" s="629">
        <v>86</v>
      </c>
      <c r="B20" s="625">
        <f>VLOOKUP(表1_86121822242634[[#This Row],[区服]],$O$38:$P$48,2,FALSE)</f>
        <v>49</v>
      </c>
      <c r="C20" s="626" t="s">
        <v>74</v>
      </c>
      <c r="D20" s="627" t="str">
        <f>表1_86121822242634[[#This Row],[目标国家]]</f>
        <v>魏</v>
      </c>
      <c r="E20" s="628">
        <f>(VLOOKUP(表1_86121822242634[[#This Row],[目标区服]],$Q$38:$R$41,2,FALSE)-表1_86121822242634[[#This Row],[开服天数]])*配置!$B$1</f>
        <v>1500</v>
      </c>
      <c r="F20" s="628">
        <f>表1_86121822242634[[#This Row],[补偿Coin]]*(表1_86121822242634[[#This Row],[活跃高战玩家数]]+表1_86121822242634[[#This Row],[活跃中坚玩家数]])</f>
        <v>28500</v>
      </c>
      <c r="G20" s="631">
        <f>(VLOOKUP(表1_86121822242634[[#This Row],[目标区服]],$Q$38:$R$41,2,FALSE)-表1_86121822242634[[#This Row],[开服天数]])*配置!$B$2</f>
        <v>15</v>
      </c>
      <c r="H20" s="627" t="s">
        <v>25</v>
      </c>
      <c r="I20" s="642">
        <f>IF(表1_86121822242634[[#This Row],[原国家]]="魏",0,IF(表1_86121822242634[[#This Row],[原国家]]="蜀",1,2))</f>
        <v>0</v>
      </c>
      <c r="J20" s="628">
        <v>3</v>
      </c>
      <c r="K20" s="628">
        <v>104</v>
      </c>
      <c r="L20" s="628">
        <v>5</v>
      </c>
      <c r="M20" s="628">
        <v>14</v>
      </c>
      <c r="N20" s="628">
        <v>101646</v>
      </c>
      <c r="O20" s="643">
        <v>1779915</v>
      </c>
      <c r="P20" s="641">
        <v>15590332</v>
      </c>
      <c r="Q20" s="649" t="s">
        <v>25</v>
      </c>
      <c r="R20" s="627">
        <f>IF(表1_86121822242634[[#This Row],[目标国家]]="魏",0,IF(表1_86121822242634[[#This Row],[目标国家]]="蜀",1,2))</f>
        <v>0</v>
      </c>
      <c r="S20" s="628">
        <v>9760</v>
      </c>
      <c r="T20" s="628">
        <v>0</v>
      </c>
      <c r="U20" s="628">
        <v>269889</v>
      </c>
      <c r="V20" s="628">
        <v>5614</v>
      </c>
      <c r="W20" s="652" t="str">
        <f>"{"&amp;"'coin':"&amp;表1_86121822242634[[#This Row],[补偿Coin]]&amp;",'"&amp;配置!$A$2&amp;"':"&amp;表1_86121822242634[[#This Row],[补偿辎重]]&amp;"},"</f>
        <v>{'coin':1500,'item036':15},</v>
      </c>
      <c r="X20" s="652" t="str">
        <f>"      '"&amp;表1_86121822242634[[#This Row],[区服]]&amp;"':{"</f>
        <v>      '86':{</v>
      </c>
    </row>
    <row r="21" s="354" customFormat="1" ht="14.25" customHeight="1" spans="1:24">
      <c r="A21" s="629">
        <v>86</v>
      </c>
      <c r="B21" s="625">
        <f>VLOOKUP(表1_86121822242634[[#This Row],[区服]],$O$38:$P$48,2,FALSE)</f>
        <v>49</v>
      </c>
      <c r="C21" s="626" t="s">
        <v>74</v>
      </c>
      <c r="D21" s="627" t="str">
        <f>表1_86121822242634[[#This Row],[目标国家]]</f>
        <v>蜀</v>
      </c>
      <c r="E21" s="628">
        <f>(VLOOKUP(表1_86121822242634[[#This Row],[目标区服]],$Q$38:$R$41,2,FALSE)-表1_86121822242634[[#This Row],[开服天数]])*配置!$B$1</f>
        <v>1500</v>
      </c>
      <c r="F21" s="628">
        <f>表1_86121822242634[[#This Row],[补偿Coin]]*(表1_86121822242634[[#This Row],[活跃高战玩家数]]+表1_86121822242634[[#This Row],[活跃中坚玩家数]])</f>
        <v>24000</v>
      </c>
      <c r="G21" s="631">
        <f>(VLOOKUP(表1_86121822242634[[#This Row],[目标区服]],$Q$38:$R$41,2,FALSE)-表1_86121822242634[[#This Row],[开服天数]])*配置!$B$2</f>
        <v>15</v>
      </c>
      <c r="H21" s="627" t="s">
        <v>26</v>
      </c>
      <c r="I21" s="642">
        <f>IF(表1_86121822242634[[#This Row],[原国家]]="魏",0,IF(表1_86121822242634[[#This Row],[原国家]]="蜀",1,2))</f>
        <v>1</v>
      </c>
      <c r="J21" s="628">
        <v>4</v>
      </c>
      <c r="K21" s="628">
        <v>195</v>
      </c>
      <c r="L21" s="628">
        <v>3</v>
      </c>
      <c r="M21" s="628">
        <v>13</v>
      </c>
      <c r="N21" s="628">
        <v>79145</v>
      </c>
      <c r="O21" s="643">
        <v>2690382</v>
      </c>
      <c r="P21" s="641">
        <v>14823745</v>
      </c>
      <c r="Q21" s="649" t="s">
        <v>26</v>
      </c>
      <c r="R21" s="627">
        <f>IF(表1_86121822242634[[#This Row],[目标国家]]="魏",0,IF(表1_86121822242634[[#This Row],[目标国家]]="蜀",1,2))</f>
        <v>1</v>
      </c>
      <c r="S21" s="628">
        <v>56220</v>
      </c>
      <c r="T21" s="628">
        <v>26988</v>
      </c>
      <c r="U21" s="628">
        <v>178931</v>
      </c>
      <c r="V21" s="628">
        <v>8964</v>
      </c>
      <c r="W21" s="652" t="str">
        <f>"{"&amp;"'coin':"&amp;表1_86121822242634[[#This Row],[补偿Coin]]&amp;",'"&amp;配置!$A$2&amp;"':"&amp;表1_86121822242634[[#This Row],[补偿辎重]]&amp;"},"</f>
        <v>{'coin':1500,'item036':15},</v>
      </c>
      <c r="X21" s="652" t="str">
        <f>"            'to_zone':'"&amp;表1_86121822242634[[#This Row],[目标区服]]&amp;"',
            'reward':"&amp;表1_86121822242634[[#This Row],[辅助导出]]&amp;"
            'country':["&amp;R20&amp;","&amp;R21&amp;","&amp;R22&amp;"],"</f>
        <v>            'to_zone':'h1_35',
            'reward':{'coin':1500,'item036':15},
            'country':[0,1,2],</v>
      </c>
    </row>
    <row r="22" s="354" customFormat="1" ht="14.25" customHeight="1" spans="1:24">
      <c r="A22" s="629">
        <v>86</v>
      </c>
      <c r="B22" s="625">
        <f>VLOOKUP(表1_86121822242634[[#This Row],[区服]],$O$38:$P$48,2,FALSE)</f>
        <v>49</v>
      </c>
      <c r="C22" s="626" t="s">
        <v>74</v>
      </c>
      <c r="D22" s="627" t="str">
        <f>表1_86121822242634[[#This Row],[目标国家]]</f>
        <v>吴</v>
      </c>
      <c r="E22" s="628">
        <f>(VLOOKUP(表1_86121822242634[[#This Row],[目标区服]],$Q$38:$R$41,2,FALSE)-表1_86121822242634[[#This Row],[开服天数]])*配置!$B$1</f>
        <v>1500</v>
      </c>
      <c r="F22" s="628">
        <f>表1_86121822242634[[#This Row],[补偿Coin]]*(表1_86121822242634[[#This Row],[活跃高战玩家数]]+表1_86121822242634[[#This Row],[活跃中坚玩家数]])</f>
        <v>16500</v>
      </c>
      <c r="G22" s="631">
        <f>(VLOOKUP(表1_86121822242634[[#This Row],[目标区服]],$Q$38:$R$41,2,FALSE)-表1_86121822242634[[#This Row],[开服天数]])*配置!$B$2</f>
        <v>15</v>
      </c>
      <c r="H22" s="627" t="s">
        <v>27</v>
      </c>
      <c r="I22" s="642">
        <f>IF(表1_86121822242634[[#This Row],[原国家]]="魏",0,IF(表1_86121822242634[[#This Row],[原国家]]="蜀",1,2))</f>
        <v>2</v>
      </c>
      <c r="J22" s="628">
        <v>2</v>
      </c>
      <c r="K22" s="628">
        <v>96</v>
      </c>
      <c r="L22" s="628">
        <v>2</v>
      </c>
      <c r="M22" s="628">
        <v>9</v>
      </c>
      <c r="N22" s="628">
        <v>65894</v>
      </c>
      <c r="O22" s="643">
        <v>2229630</v>
      </c>
      <c r="P22" s="641">
        <v>11029122</v>
      </c>
      <c r="Q22" s="649" t="s">
        <v>27</v>
      </c>
      <c r="R22" s="627">
        <f>IF(表1_86121822242634[[#This Row],[目标国家]]="魏",0,IF(表1_86121822242634[[#This Row],[目标国家]]="蜀",1,2))</f>
        <v>2</v>
      </c>
      <c r="S22" s="628">
        <v>32712</v>
      </c>
      <c r="T22" s="628">
        <v>30</v>
      </c>
      <c r="U22" s="628">
        <v>195142</v>
      </c>
      <c r="V22" s="628">
        <v>5901</v>
      </c>
      <c r="W22" s="652" t="str">
        <f>"{"&amp;"'coin':"&amp;表1_86121822242634[[#This Row],[补偿Coin]]&amp;",'"&amp;配置!$A$2&amp;"':"&amp;表1_86121822242634[[#This Row],[补偿辎重]]&amp;"},"</f>
        <v>{'coin':1500,'item036':15},</v>
      </c>
      <c r="X22" s="652" t="str">
        <f t="shared" ref="X22" si="3">"      },"</f>
        <v>      },</v>
      </c>
    </row>
    <row r="23" ht="14.25" customHeight="1" spans="1:24">
      <c r="A23" s="629">
        <v>87</v>
      </c>
      <c r="B23" s="625">
        <f>VLOOKUP(表1_86121822242634[[#This Row],[区服]],$O$38:$P$48,2,FALSE)</f>
        <v>48</v>
      </c>
      <c r="C23" s="626" t="s">
        <v>74</v>
      </c>
      <c r="D23" s="627" t="str">
        <f>表1_86121822242634[[#This Row],[目标国家]]</f>
        <v>吴</v>
      </c>
      <c r="E23" s="628">
        <f>(VLOOKUP(表1_86121822242634[[#This Row],[目标区服]],$Q$38:$R$41,2,FALSE)-表1_86121822242634[[#This Row],[开服天数]])*配置!$B$1</f>
        <v>2000</v>
      </c>
      <c r="F23" s="628">
        <f>表1_86121822242634[[#This Row],[补偿Coin]]*(表1_86121822242634[[#This Row],[活跃高战玩家数]]+表1_86121822242634[[#This Row],[活跃中坚玩家数]])</f>
        <v>24000</v>
      </c>
      <c r="G23" s="631">
        <f>(VLOOKUP(表1_86121822242634[[#This Row],[目标区服]],$Q$38:$R$41,2,FALSE)-表1_86121822242634[[#This Row],[开服天数]])*配置!$B$2</f>
        <v>20</v>
      </c>
      <c r="H23" s="627" t="s">
        <v>25</v>
      </c>
      <c r="I23" s="642">
        <f>IF(表1_86121822242634[[#This Row],[原国家]]="魏",0,IF(表1_86121822242634[[#This Row],[原国家]]="蜀",1,2))</f>
        <v>0</v>
      </c>
      <c r="J23" s="628">
        <v>0</v>
      </c>
      <c r="K23" s="628">
        <v>41</v>
      </c>
      <c r="L23" s="628">
        <v>1</v>
      </c>
      <c r="M23" s="628">
        <v>11</v>
      </c>
      <c r="N23" s="628">
        <v>54040</v>
      </c>
      <c r="O23" s="643">
        <v>1829535</v>
      </c>
      <c r="P23" s="641">
        <v>7785180</v>
      </c>
      <c r="Q23" s="649" t="s">
        <v>27</v>
      </c>
      <c r="R23" s="627">
        <f>IF(表1_86121822242634[[#This Row],[目标国家]]="魏",0,IF(表1_86121822242634[[#This Row],[目标国家]]="蜀",1,2))</f>
        <v>2</v>
      </c>
      <c r="S23" s="628">
        <v>14042</v>
      </c>
      <c r="T23" s="628">
        <v>0</v>
      </c>
      <c r="U23" s="628">
        <v>102758</v>
      </c>
      <c r="V23" s="628">
        <v>3760</v>
      </c>
      <c r="W23" s="652" t="str">
        <f>"{"&amp;"'coin':"&amp;表1_86121822242634[[#This Row],[补偿Coin]]&amp;",'"&amp;配置!$A$2&amp;"':"&amp;表1_86121822242634[[#This Row],[补偿辎重]]&amp;"},"</f>
        <v>{'coin':2000,'item036':20},</v>
      </c>
      <c r="X23" s="652" t="str">
        <f>"      '"&amp;表1_86121822242634[[#This Row],[区服]]&amp;"':{"</f>
        <v>      '87':{</v>
      </c>
    </row>
    <row r="24" ht="14.25" customHeight="1" spans="1:24">
      <c r="A24" s="629">
        <v>87</v>
      </c>
      <c r="B24" s="625">
        <f>VLOOKUP(表1_86121822242634[[#This Row],[区服]],$O$38:$P$48,2,FALSE)</f>
        <v>48</v>
      </c>
      <c r="C24" s="626" t="s">
        <v>74</v>
      </c>
      <c r="D24" s="627" t="str">
        <f>表1_86121822242634[[#This Row],[目标国家]]</f>
        <v>蜀</v>
      </c>
      <c r="E24" s="628">
        <f>(VLOOKUP(表1_86121822242634[[#This Row],[目标区服]],$Q$38:$R$41,2,FALSE)-表1_86121822242634[[#This Row],[开服天数]])*配置!$B$1</f>
        <v>2000</v>
      </c>
      <c r="F24" s="628">
        <f>表1_86121822242634[[#This Row],[补偿Coin]]*(表1_86121822242634[[#This Row],[活跃高战玩家数]]+表1_86121822242634[[#This Row],[活跃中坚玩家数]])</f>
        <v>12000</v>
      </c>
      <c r="G24" s="631">
        <f>(VLOOKUP(表1_86121822242634[[#This Row],[目标区服]],$Q$38:$R$41,2,FALSE)-表1_86121822242634[[#This Row],[开服天数]])*配置!$B$2</f>
        <v>20</v>
      </c>
      <c r="H24" s="627" t="s">
        <v>26</v>
      </c>
      <c r="I24" s="642">
        <f>IF(表1_86121822242634[[#This Row],[原国家]]="魏",0,IF(表1_86121822242634[[#This Row],[原国家]]="蜀",1,2))</f>
        <v>1</v>
      </c>
      <c r="J24" s="628">
        <v>0</v>
      </c>
      <c r="K24" s="628">
        <v>35</v>
      </c>
      <c r="L24" s="628">
        <v>1</v>
      </c>
      <c r="M24" s="628">
        <v>5</v>
      </c>
      <c r="N24" s="628">
        <v>41262</v>
      </c>
      <c r="O24" s="643">
        <v>1835049</v>
      </c>
      <c r="P24" s="641">
        <v>5640676</v>
      </c>
      <c r="Q24" s="649" t="s">
        <v>26</v>
      </c>
      <c r="R24" s="627">
        <f>IF(表1_86121822242634[[#This Row],[目标国家]]="魏",0,IF(表1_86121822242634[[#This Row],[目标国家]]="蜀",1,2))</f>
        <v>1</v>
      </c>
      <c r="S24" s="628">
        <v>33256</v>
      </c>
      <c r="T24" s="628">
        <v>0</v>
      </c>
      <c r="U24" s="628">
        <v>120248</v>
      </c>
      <c r="V24" s="628">
        <v>4013</v>
      </c>
      <c r="W24" s="652" t="str">
        <f>"{"&amp;"'coin':"&amp;表1_86121822242634[[#This Row],[补偿Coin]]&amp;",'"&amp;配置!$A$2&amp;"':"&amp;表1_86121822242634[[#This Row],[补偿辎重]]&amp;"},"</f>
        <v>{'coin':2000,'item036':20},</v>
      </c>
      <c r="X24" s="652" t="str">
        <f>"            'to_zone':'"&amp;表1_86121822242634[[#This Row],[目标区服]]&amp;"',
            'reward':"&amp;表1_86121822242634[[#This Row],[辅助导出]]&amp;"
            'country':["&amp;R23&amp;","&amp;R24&amp;","&amp;R25&amp;"],"</f>
        <v>            'to_zone':'h1_35',
            'reward':{'coin':2000,'item036':20},
            'country':[2,1,0],</v>
      </c>
    </row>
    <row r="25" ht="14.25" customHeight="1" spans="1:24">
      <c r="A25" s="629">
        <v>87</v>
      </c>
      <c r="B25" s="625">
        <f>VLOOKUP(表1_86121822242634[[#This Row],[区服]],$O$38:$P$48,2,FALSE)</f>
        <v>48</v>
      </c>
      <c r="C25" s="626" t="s">
        <v>74</v>
      </c>
      <c r="D25" s="627" t="str">
        <f>表1_86121822242634[[#This Row],[目标国家]]</f>
        <v>魏</v>
      </c>
      <c r="E25" s="628">
        <f>(VLOOKUP(表1_86121822242634[[#This Row],[目标区服]],$Q$38:$R$41,2,FALSE)-表1_86121822242634[[#This Row],[开服天数]])*配置!$B$1</f>
        <v>2000</v>
      </c>
      <c r="F25" s="628">
        <f>表1_86121822242634[[#This Row],[补偿Coin]]*(表1_86121822242634[[#This Row],[活跃高战玩家数]]+表1_86121822242634[[#This Row],[活跃中坚玩家数]])</f>
        <v>44000</v>
      </c>
      <c r="G25" s="631">
        <f>(VLOOKUP(表1_86121822242634[[#This Row],[目标区服]],$Q$38:$R$41,2,FALSE)-表1_86121822242634[[#This Row],[开服天数]])*配置!$B$2</f>
        <v>20</v>
      </c>
      <c r="H25" s="627" t="s">
        <v>27</v>
      </c>
      <c r="I25" s="642">
        <f>IF(表1_86121822242634[[#This Row],[原国家]]="魏",0,IF(表1_86121822242634[[#This Row],[原国家]]="蜀",1,2))</f>
        <v>2</v>
      </c>
      <c r="J25" s="628">
        <v>9</v>
      </c>
      <c r="K25" s="628">
        <v>319</v>
      </c>
      <c r="L25" s="628">
        <v>8</v>
      </c>
      <c r="M25" s="628">
        <v>14</v>
      </c>
      <c r="N25" s="628">
        <v>129611</v>
      </c>
      <c r="O25" s="643">
        <v>2980875</v>
      </c>
      <c r="P25" s="641">
        <v>20430162</v>
      </c>
      <c r="Q25" s="649" t="s">
        <v>25</v>
      </c>
      <c r="R25" s="627">
        <f>IF(表1_86121822242634[[#This Row],[目标国家]]="魏",0,IF(表1_86121822242634[[#This Row],[目标国家]]="蜀",1,2))</f>
        <v>0</v>
      </c>
      <c r="S25" s="628">
        <v>48602</v>
      </c>
      <c r="T25" s="628">
        <v>0</v>
      </c>
      <c r="U25" s="628">
        <v>793072</v>
      </c>
      <c r="V25" s="628">
        <v>11616</v>
      </c>
      <c r="W25" s="652" t="str">
        <f>"{"&amp;"'coin':"&amp;表1_86121822242634[[#This Row],[补偿Coin]]&amp;",'"&amp;配置!$A$2&amp;"':"&amp;表1_86121822242634[[#This Row],[补偿辎重]]&amp;"},"</f>
        <v>{'coin':2000,'item036':20},</v>
      </c>
      <c r="X25" s="652" t="str">
        <f t="shared" ref="X25" si="4">"      },"</f>
        <v>      },</v>
      </c>
    </row>
    <row r="26" ht="14.25" customHeight="1" spans="1:24">
      <c r="A26" s="17">
        <v>88</v>
      </c>
      <c r="B26" s="17">
        <f>VLOOKUP(表1_86121822242634[[#This Row],[区服]],$O$38:$P$48,2,FALSE)</f>
        <v>47</v>
      </c>
      <c r="C26" s="18" t="s">
        <v>75</v>
      </c>
      <c r="D26" s="19" t="str">
        <f>表1_86121822242634[[#This Row],[目标国家]]</f>
        <v>魏</v>
      </c>
      <c r="E26" s="20">
        <f>(VLOOKUP(表1_86121822242634[[#This Row],[目标区服]],$Q$38:$R$41,2,FALSE)-表1_86121822242634[[#This Row],[开服天数]])*配置!$B$1</f>
        <v>1000</v>
      </c>
      <c r="F26" s="20">
        <f>表1_86121822242634[[#This Row],[补偿Coin]]*(表1_86121822242634[[#This Row],[活跃高战玩家数]]+表1_86121822242634[[#This Row],[活跃中坚玩家数]])</f>
        <v>16000</v>
      </c>
      <c r="G26" s="20">
        <f>(VLOOKUP(表1_86121822242634[[#This Row],[目标区服]],$Q$38:$R$41,2,FALSE)-表1_86121822242634[[#This Row],[开服天数]])*配置!$B$2</f>
        <v>10</v>
      </c>
      <c r="H26" s="19" t="s">
        <v>25</v>
      </c>
      <c r="I26" s="19">
        <f>IF(表1_86121822242634[[#This Row],[原国家]]="魏",0,IF(表1_86121822242634[[#This Row],[原国家]]="蜀",1,2))</f>
        <v>0</v>
      </c>
      <c r="J26" s="20">
        <v>0</v>
      </c>
      <c r="K26" s="20">
        <v>43</v>
      </c>
      <c r="L26" s="20">
        <v>0</v>
      </c>
      <c r="M26" s="20">
        <v>16</v>
      </c>
      <c r="N26" s="20">
        <v>55499</v>
      </c>
      <c r="O26" s="20">
        <v>1590839</v>
      </c>
      <c r="P26" s="26">
        <v>9678417</v>
      </c>
      <c r="Q26" s="496" t="s">
        <v>25</v>
      </c>
      <c r="R26" s="19">
        <f>IF(表1_86121822242634[[#This Row],[目标国家]]="魏",0,IF(表1_86121822242634[[#This Row],[目标国家]]="蜀",1,2))</f>
        <v>0</v>
      </c>
      <c r="S26" s="20">
        <v>18588</v>
      </c>
      <c r="T26" s="20">
        <v>0</v>
      </c>
      <c r="U26" s="20">
        <v>122919</v>
      </c>
      <c r="V26" s="20">
        <v>3885</v>
      </c>
      <c r="W26" s="33" t="str">
        <f>"{"&amp;"'coin':"&amp;表1_86121822242634[[#This Row],[补偿Coin]]&amp;",'"&amp;配置!$A$2&amp;"':"&amp;表1_86121822242634[[#This Row],[补偿辎重]]&amp;"},"</f>
        <v>{'coin':1000,'item036':10},</v>
      </c>
      <c r="X26" s="34" t="str">
        <f>"      '"&amp;表1_86121822242634[[#This Row],[区服]]&amp;"':{"</f>
        <v>      '88':{</v>
      </c>
    </row>
    <row r="27" ht="14.25" customHeight="1" spans="1:24">
      <c r="A27" s="17">
        <v>88</v>
      </c>
      <c r="B27" s="17">
        <f>VLOOKUP(表1_86121822242634[[#This Row],[区服]],$O$38:$P$48,2,FALSE)</f>
        <v>47</v>
      </c>
      <c r="C27" s="18" t="s">
        <v>75</v>
      </c>
      <c r="D27" s="19" t="str">
        <f>表1_86121822242634[[#This Row],[目标国家]]</f>
        <v>蜀</v>
      </c>
      <c r="E27" s="20">
        <f>(VLOOKUP(表1_86121822242634[[#This Row],[目标区服]],$Q$38:$R$41,2,FALSE)-表1_86121822242634[[#This Row],[开服天数]])*配置!$B$1</f>
        <v>1000</v>
      </c>
      <c r="F27" s="20">
        <f>表1_86121822242634[[#This Row],[补偿Coin]]*(表1_86121822242634[[#This Row],[活跃高战玩家数]]+表1_86121822242634[[#This Row],[活跃中坚玩家数]])</f>
        <v>28000</v>
      </c>
      <c r="G27" s="20">
        <f>(VLOOKUP(表1_86121822242634[[#This Row],[目标区服]],$Q$38:$R$41,2,FALSE)-表1_86121822242634[[#This Row],[开服天数]])*配置!$B$2</f>
        <v>10</v>
      </c>
      <c r="H27" s="19" t="s">
        <v>26</v>
      </c>
      <c r="I27" s="19">
        <f>IF(表1_86121822242634[[#This Row],[原国家]]="魏",0,IF(表1_86121822242634[[#This Row],[原国家]]="蜀",1,2))</f>
        <v>1</v>
      </c>
      <c r="J27" s="20">
        <v>7</v>
      </c>
      <c r="K27" s="20">
        <v>285</v>
      </c>
      <c r="L27" s="20">
        <v>6</v>
      </c>
      <c r="M27" s="20">
        <v>22</v>
      </c>
      <c r="N27" s="20">
        <v>152997</v>
      </c>
      <c r="O27" s="20">
        <v>2899974</v>
      </c>
      <c r="P27" s="26">
        <v>28700810</v>
      </c>
      <c r="Q27" s="496" t="s">
        <v>26</v>
      </c>
      <c r="R27" s="19">
        <f>IF(表1_86121822242634[[#This Row],[目标国家]]="魏",0,IF(表1_86121822242634[[#This Row],[目标国家]]="蜀",1,2))</f>
        <v>1</v>
      </c>
      <c r="S27" s="20">
        <v>130368</v>
      </c>
      <c r="T27" s="20">
        <v>0</v>
      </c>
      <c r="U27" s="20">
        <v>408519</v>
      </c>
      <c r="V27" s="20">
        <v>14200</v>
      </c>
      <c r="W27" s="33" t="str">
        <f>"{"&amp;"'coin':"&amp;表1_86121822242634[[#This Row],[补偿Coin]]&amp;",'"&amp;配置!$A$2&amp;"':"&amp;表1_86121822242634[[#This Row],[补偿辎重]]&amp;"},"</f>
        <v>{'coin':1000,'item036':10},</v>
      </c>
      <c r="X27" s="34" t="str">
        <f>"            'to_zone':'"&amp;表1_86121822242634[[#This Row],[目标区服]]&amp;"',
            'reward':"&amp;表1_86121822242634[[#This Row],[辅助导出]]&amp;"
            'country':["&amp;R26&amp;","&amp;R27&amp;","&amp;R28&amp;"],"</f>
        <v>            'to_zone':'h1_36',
            'reward':{'coin':1000,'item036':10},
            'country':[0,1,2],</v>
      </c>
    </row>
    <row r="28" ht="14.25" customHeight="1" spans="1:24">
      <c r="A28" s="17">
        <v>88</v>
      </c>
      <c r="B28" s="17">
        <f>VLOOKUP(表1_86121822242634[[#This Row],[区服]],$O$38:$P$48,2,FALSE)</f>
        <v>47</v>
      </c>
      <c r="C28" s="18" t="s">
        <v>75</v>
      </c>
      <c r="D28" s="19" t="str">
        <f>表1_86121822242634[[#This Row],[目标国家]]</f>
        <v>吴</v>
      </c>
      <c r="E28" s="20">
        <f>(VLOOKUP(表1_86121822242634[[#This Row],[目标区服]],$Q$38:$R$41,2,FALSE)-表1_86121822242634[[#This Row],[开服天数]])*配置!$B$1</f>
        <v>1000</v>
      </c>
      <c r="F28" s="20">
        <f>表1_86121822242634[[#This Row],[补偿Coin]]*(表1_86121822242634[[#This Row],[活跃高战玩家数]]+表1_86121822242634[[#This Row],[活跃中坚玩家数]])</f>
        <v>15000</v>
      </c>
      <c r="G28" s="20">
        <f>(VLOOKUP(表1_86121822242634[[#This Row],[目标区服]],$Q$38:$R$41,2,FALSE)-表1_86121822242634[[#This Row],[开服天数]])*配置!$B$2</f>
        <v>10</v>
      </c>
      <c r="H28" s="19" t="s">
        <v>27</v>
      </c>
      <c r="I28" s="19">
        <f>IF(表1_86121822242634[[#This Row],[原国家]]="魏",0,IF(表1_86121822242634[[#This Row],[原国家]]="蜀",1,2))</f>
        <v>2</v>
      </c>
      <c r="J28" s="20">
        <v>2</v>
      </c>
      <c r="K28" s="20">
        <v>67</v>
      </c>
      <c r="L28" s="20">
        <v>4</v>
      </c>
      <c r="M28" s="20">
        <v>11</v>
      </c>
      <c r="N28" s="20">
        <v>79157</v>
      </c>
      <c r="O28" s="20">
        <v>2919937</v>
      </c>
      <c r="P28" s="26">
        <v>15421896</v>
      </c>
      <c r="Q28" s="496" t="s">
        <v>27</v>
      </c>
      <c r="R28" s="19">
        <f>IF(表1_86121822242634[[#This Row],[目标国家]]="魏",0,IF(表1_86121822242634[[#This Row],[目标国家]]="蜀",1,2))</f>
        <v>2</v>
      </c>
      <c r="S28" s="20">
        <v>82114</v>
      </c>
      <c r="T28" s="20">
        <v>0</v>
      </c>
      <c r="U28" s="20">
        <v>239024</v>
      </c>
      <c r="V28" s="20">
        <v>8310</v>
      </c>
      <c r="W28" s="33" t="str">
        <f>"{"&amp;"'coin':"&amp;表1_86121822242634[[#This Row],[补偿Coin]]&amp;",'"&amp;配置!$A$2&amp;"':"&amp;表1_86121822242634[[#This Row],[补偿辎重]]&amp;"},"</f>
        <v>{'coin':1000,'item036':10},</v>
      </c>
      <c r="X28" s="34" t="str">
        <f t="shared" ref="X28" si="5">"      },"</f>
        <v>      },</v>
      </c>
    </row>
    <row r="29" ht="14.25" customHeight="1" spans="1:24">
      <c r="A29" s="17">
        <v>89</v>
      </c>
      <c r="B29" s="17">
        <f>VLOOKUP(表1_86121822242634[[#This Row],[区服]],$O$38:$P$48,2,FALSE)</f>
        <v>46</v>
      </c>
      <c r="C29" s="18" t="s">
        <v>75</v>
      </c>
      <c r="D29" s="19" t="str">
        <f>表1_86121822242634[[#This Row],[目标国家]]</f>
        <v>魏</v>
      </c>
      <c r="E29" s="20">
        <f>(VLOOKUP(表1_86121822242634[[#This Row],[目标区服]],$Q$38:$R$41,2,FALSE)-表1_86121822242634[[#This Row],[开服天数]])*配置!$B$1</f>
        <v>1500</v>
      </c>
      <c r="F29" s="20">
        <f>表1_86121822242634[[#This Row],[补偿Coin]]*(表1_86121822242634[[#This Row],[活跃高战玩家数]]+表1_86121822242634[[#This Row],[活跃中坚玩家数]])</f>
        <v>21000</v>
      </c>
      <c r="G29" s="20">
        <f>(VLOOKUP(表1_86121822242634[[#This Row],[目标区服]],$Q$38:$R$41,2,FALSE)-表1_86121822242634[[#This Row],[开服天数]])*配置!$B$2</f>
        <v>15</v>
      </c>
      <c r="H29" s="19" t="s">
        <v>25</v>
      </c>
      <c r="I29" s="19">
        <f>IF(表1_86121822242634[[#This Row],[原国家]]="魏",0,IF(表1_86121822242634[[#This Row],[原国家]]="蜀",1,2))</f>
        <v>0</v>
      </c>
      <c r="J29" s="20">
        <v>3</v>
      </c>
      <c r="K29" s="20">
        <v>126</v>
      </c>
      <c r="L29" s="20">
        <v>3</v>
      </c>
      <c r="M29" s="20">
        <v>11</v>
      </c>
      <c r="N29" s="20">
        <v>73800</v>
      </c>
      <c r="O29" s="20">
        <v>2344364</v>
      </c>
      <c r="P29" s="26">
        <v>10435596</v>
      </c>
      <c r="Q29" s="496" t="s">
        <v>25</v>
      </c>
      <c r="R29" s="19">
        <f>IF(表1_86121822242634[[#This Row],[目标国家]]="魏",0,IF(表1_86121822242634[[#This Row],[目标国家]]="蜀",1,2))</f>
        <v>0</v>
      </c>
      <c r="S29" s="20">
        <v>25102</v>
      </c>
      <c r="T29" s="20">
        <v>0</v>
      </c>
      <c r="U29" s="20">
        <v>336168</v>
      </c>
      <c r="V29" s="20">
        <v>6238</v>
      </c>
      <c r="W29" s="33" t="str">
        <f>"{"&amp;"'coin':"&amp;表1_86121822242634[[#This Row],[补偿Coin]]&amp;",'"&amp;配置!$A$2&amp;"':"&amp;表1_86121822242634[[#This Row],[补偿辎重]]&amp;"},"</f>
        <v>{'coin':1500,'item036':15},</v>
      </c>
      <c r="X29" s="34" t="str">
        <f>"      '"&amp;表1_86121822242634[[#This Row],[区服]]&amp;"':{"</f>
        <v>      '89':{</v>
      </c>
    </row>
    <row r="30" ht="14.25" customHeight="1" spans="1:24">
      <c r="A30" s="17">
        <v>89</v>
      </c>
      <c r="B30" s="17">
        <f>VLOOKUP(表1_86121822242634[[#This Row],[区服]],$O$38:$P$48,2,FALSE)</f>
        <v>46</v>
      </c>
      <c r="C30" s="18" t="s">
        <v>75</v>
      </c>
      <c r="D30" s="19" t="str">
        <f>表1_86121822242634[[#This Row],[目标国家]]</f>
        <v>蜀</v>
      </c>
      <c r="E30" s="20">
        <f>(VLOOKUP(表1_86121822242634[[#This Row],[目标区服]],$Q$38:$R$41,2,FALSE)-表1_86121822242634[[#This Row],[开服天数]])*配置!$B$1</f>
        <v>1500</v>
      </c>
      <c r="F30" s="20">
        <f>表1_86121822242634[[#This Row],[补偿Coin]]*(表1_86121822242634[[#This Row],[活跃高战玩家数]]+表1_86121822242634[[#This Row],[活跃中坚玩家数]])</f>
        <v>10500</v>
      </c>
      <c r="G30" s="20">
        <f>(VLOOKUP(表1_86121822242634[[#This Row],[目标区服]],$Q$38:$R$41,2,FALSE)-表1_86121822242634[[#This Row],[开服天数]])*配置!$B$2</f>
        <v>15</v>
      </c>
      <c r="H30" s="19" t="s">
        <v>26</v>
      </c>
      <c r="I30" s="19">
        <f>IF(表1_86121822242634[[#This Row],[原国家]]="魏",0,IF(表1_86121822242634[[#This Row],[原国家]]="蜀",1,2))</f>
        <v>1</v>
      </c>
      <c r="J30" s="20">
        <v>1</v>
      </c>
      <c r="K30" s="20">
        <v>55</v>
      </c>
      <c r="L30" s="20">
        <v>0</v>
      </c>
      <c r="M30" s="20">
        <v>7</v>
      </c>
      <c r="N30" s="20">
        <v>33098</v>
      </c>
      <c r="O30" s="20">
        <v>1143625</v>
      </c>
      <c r="P30" s="26">
        <v>3906352</v>
      </c>
      <c r="Q30" s="496" t="s">
        <v>26</v>
      </c>
      <c r="R30" s="19">
        <f>IF(表1_86121822242634[[#This Row],[目标国家]]="魏",0,IF(表1_86121822242634[[#This Row],[目标国家]]="蜀",1,2))</f>
        <v>1</v>
      </c>
      <c r="S30" s="20">
        <v>1684</v>
      </c>
      <c r="T30" s="20">
        <v>0</v>
      </c>
      <c r="U30" s="20">
        <v>127085</v>
      </c>
      <c r="V30" s="20">
        <v>2463</v>
      </c>
      <c r="W30" s="33" t="str">
        <f>"{"&amp;"'coin':"&amp;表1_86121822242634[[#This Row],[补偿Coin]]&amp;",'"&amp;配置!$A$2&amp;"':"&amp;表1_86121822242634[[#This Row],[补偿辎重]]&amp;"},"</f>
        <v>{'coin':1500,'item036':15},</v>
      </c>
      <c r="X30" s="34" t="str">
        <f>"            'to_zone':'"&amp;表1_86121822242634[[#This Row],[目标区服]]&amp;"',
            'reward':"&amp;表1_86121822242634[[#This Row],[辅助导出]]&amp;"
            'country':["&amp;R29&amp;","&amp;R30&amp;","&amp;R31&amp;"],"</f>
        <v>            'to_zone':'h1_36',
            'reward':{'coin':1500,'item036':15},
            'country':[0,1,2],</v>
      </c>
    </row>
    <row r="31" ht="14.25" customHeight="1" spans="1:24">
      <c r="A31" s="17">
        <v>89</v>
      </c>
      <c r="B31" s="17">
        <f>VLOOKUP(表1_86121822242634[[#This Row],[区服]],$O$38:$P$48,2,FALSE)</f>
        <v>46</v>
      </c>
      <c r="C31" s="18" t="s">
        <v>75</v>
      </c>
      <c r="D31" s="19" t="str">
        <f>表1_86121822242634[[#This Row],[目标国家]]</f>
        <v>吴</v>
      </c>
      <c r="E31" s="20">
        <f>(VLOOKUP(表1_86121822242634[[#This Row],[目标区服]],$Q$38:$R$41,2,FALSE)-表1_86121822242634[[#This Row],[开服天数]])*配置!$B$1</f>
        <v>1500</v>
      </c>
      <c r="F31" s="20">
        <f>表1_86121822242634[[#This Row],[补偿Coin]]*(表1_86121822242634[[#This Row],[活跃高战玩家数]]+表1_86121822242634[[#This Row],[活跃中坚玩家数]])</f>
        <v>31500</v>
      </c>
      <c r="G31" s="20">
        <f>(VLOOKUP(表1_86121822242634[[#This Row],[目标区服]],$Q$38:$R$41,2,FALSE)-表1_86121822242634[[#This Row],[开服天数]])*配置!$B$2</f>
        <v>15</v>
      </c>
      <c r="H31" s="19" t="s">
        <v>27</v>
      </c>
      <c r="I31" s="19">
        <f>IF(表1_86121822242634[[#This Row],[原国家]]="魏",0,IF(表1_86121822242634[[#This Row],[原国家]]="蜀",1,2))</f>
        <v>2</v>
      </c>
      <c r="J31" s="20">
        <v>5</v>
      </c>
      <c r="K31" s="20">
        <v>214</v>
      </c>
      <c r="L31" s="20">
        <v>7</v>
      </c>
      <c r="M31" s="20">
        <v>14</v>
      </c>
      <c r="N31" s="20">
        <v>141083</v>
      </c>
      <c r="O31" s="20">
        <v>2504534</v>
      </c>
      <c r="P31" s="26">
        <v>18881647</v>
      </c>
      <c r="Q31" s="496" t="s">
        <v>27</v>
      </c>
      <c r="R31" s="19">
        <f>IF(表1_86121822242634[[#This Row],[目标国家]]="魏",0,IF(表1_86121822242634[[#This Row],[目标国家]]="蜀",1,2))</f>
        <v>2</v>
      </c>
      <c r="S31" s="20">
        <v>20734</v>
      </c>
      <c r="T31" s="20">
        <v>0</v>
      </c>
      <c r="U31" s="20">
        <v>462023</v>
      </c>
      <c r="V31" s="20">
        <v>8591</v>
      </c>
      <c r="W31" s="33" t="str">
        <f>"{"&amp;"'coin':"&amp;表1_86121822242634[[#This Row],[补偿Coin]]&amp;",'"&amp;配置!$A$2&amp;"':"&amp;表1_86121822242634[[#This Row],[补偿辎重]]&amp;"},"</f>
        <v>{'coin':1500,'item036':15},</v>
      </c>
      <c r="X31" s="34" t="str">
        <f t="shared" ref="X31" si="6">"      },"</f>
        <v>      },</v>
      </c>
    </row>
    <row r="32" ht="14.25" customHeight="1" spans="1:24">
      <c r="A32" s="17">
        <v>90</v>
      </c>
      <c r="B32" s="17">
        <f>VLOOKUP(表1_86121822242634[[#This Row],[区服]],$O$38:$P$48,2,FALSE)</f>
        <v>45</v>
      </c>
      <c r="C32" s="18" t="s">
        <v>75</v>
      </c>
      <c r="D32" s="19" t="str">
        <f>表1_86121822242634[[#This Row],[目标国家]]</f>
        <v>蜀</v>
      </c>
      <c r="E32" s="20">
        <f>(VLOOKUP(表1_86121822242634[[#This Row],[目标区服]],$Q$38:$R$41,2,FALSE)-表1_86121822242634[[#This Row],[开服天数]])*配置!$B$1</f>
        <v>2000</v>
      </c>
      <c r="F32" s="20">
        <f>表1_86121822242634[[#This Row],[补偿Coin]]*(表1_86121822242634[[#This Row],[活跃高战玩家数]]+表1_86121822242634[[#This Row],[活跃中坚玩家数]])</f>
        <v>26000</v>
      </c>
      <c r="G32" s="20">
        <f>(VLOOKUP(表1_86121822242634[[#This Row],[目标区服]],$Q$38:$R$41,2,FALSE)-表1_86121822242634[[#This Row],[开服天数]])*配置!$B$2</f>
        <v>20</v>
      </c>
      <c r="H32" s="19" t="s">
        <v>25</v>
      </c>
      <c r="I32" s="19">
        <f>IF(表1_86121822242634[[#This Row],[原国家]]="魏",0,IF(表1_86121822242634[[#This Row],[原国家]]="蜀",1,2))</f>
        <v>0</v>
      </c>
      <c r="J32" s="20">
        <v>0</v>
      </c>
      <c r="K32" s="20">
        <v>52</v>
      </c>
      <c r="L32" s="20">
        <v>1</v>
      </c>
      <c r="M32" s="20">
        <v>12</v>
      </c>
      <c r="N32" s="20">
        <v>48915</v>
      </c>
      <c r="O32" s="20">
        <v>1750810</v>
      </c>
      <c r="P32" s="26">
        <v>7945902</v>
      </c>
      <c r="Q32" s="496" t="s">
        <v>26</v>
      </c>
      <c r="R32" s="19">
        <f>IF(表1_86121822242634[[#This Row],[目标国家]]="魏",0,IF(表1_86121822242634[[#This Row],[目标国家]]="蜀",1,2))</f>
        <v>1</v>
      </c>
      <c r="S32" s="20">
        <v>6012</v>
      </c>
      <c r="T32" s="20">
        <v>0</v>
      </c>
      <c r="U32" s="20">
        <v>127100</v>
      </c>
      <c r="V32" s="20">
        <v>3553</v>
      </c>
      <c r="W32" s="33" t="str">
        <f>"{"&amp;"'coin':"&amp;表1_86121822242634[[#This Row],[补偿Coin]]&amp;",'"&amp;配置!$A$2&amp;"':"&amp;表1_86121822242634[[#This Row],[补偿辎重]]&amp;"},"</f>
        <v>{'coin':2000,'item036':20},</v>
      </c>
      <c r="X32" s="34" t="str">
        <f>"      '"&amp;表1_86121822242634[[#This Row],[区服]]&amp;"':{"</f>
        <v>      '90':{</v>
      </c>
    </row>
    <row r="33" ht="14.25" customHeight="1" spans="1:24">
      <c r="A33" s="17">
        <v>90</v>
      </c>
      <c r="B33" s="17">
        <f>VLOOKUP(表1_86121822242634[[#This Row],[区服]],$O$38:$P$48,2,FALSE)</f>
        <v>45</v>
      </c>
      <c r="C33" s="18" t="s">
        <v>75</v>
      </c>
      <c r="D33" s="19" t="str">
        <f>表1_86121822242634[[#This Row],[目标国家]]</f>
        <v>魏</v>
      </c>
      <c r="E33" s="20">
        <f>(VLOOKUP(表1_86121822242634[[#This Row],[目标区服]],$Q$38:$R$41,2,FALSE)-表1_86121822242634[[#This Row],[开服天数]])*配置!$B$1</f>
        <v>2000</v>
      </c>
      <c r="F33" s="20">
        <f>表1_86121822242634[[#This Row],[补偿Coin]]*(表1_86121822242634[[#This Row],[活跃高战玩家数]]+表1_86121822242634[[#This Row],[活跃中坚玩家数]])</f>
        <v>48000</v>
      </c>
      <c r="G33" s="20">
        <f>(VLOOKUP(表1_86121822242634[[#This Row],[目标区服]],$Q$38:$R$41,2,FALSE)-表1_86121822242634[[#This Row],[开服天数]])*配置!$B$2</f>
        <v>20</v>
      </c>
      <c r="H33" s="19" t="s">
        <v>26</v>
      </c>
      <c r="I33" s="19">
        <f>IF(表1_86121822242634[[#This Row],[原国家]]="魏",0,IF(表1_86121822242634[[#This Row],[原国家]]="蜀",1,2))</f>
        <v>1</v>
      </c>
      <c r="J33" s="20">
        <v>8</v>
      </c>
      <c r="K33" s="20">
        <v>271</v>
      </c>
      <c r="L33" s="20">
        <v>7</v>
      </c>
      <c r="M33" s="20">
        <v>17</v>
      </c>
      <c r="N33" s="20">
        <v>158110</v>
      </c>
      <c r="O33" s="20">
        <v>2509029</v>
      </c>
      <c r="P33" s="26">
        <v>25802966</v>
      </c>
      <c r="Q33" s="496" t="s">
        <v>25</v>
      </c>
      <c r="R33" s="19">
        <f>IF(表1_86121822242634[[#This Row],[目标国家]]="魏",0,IF(表1_86121822242634[[#This Row],[目标国家]]="蜀",1,2))</f>
        <v>0</v>
      </c>
      <c r="S33" s="20">
        <v>63780</v>
      </c>
      <c r="T33" s="20">
        <v>0</v>
      </c>
      <c r="U33" s="20">
        <v>670548</v>
      </c>
      <c r="V33" s="20">
        <v>11638</v>
      </c>
      <c r="W33" s="33" t="str">
        <f>"{"&amp;"'coin':"&amp;表1_86121822242634[[#This Row],[补偿Coin]]&amp;",'"&amp;配置!$A$2&amp;"':"&amp;表1_86121822242634[[#This Row],[补偿辎重]]&amp;"},"</f>
        <v>{'coin':2000,'item036':20},</v>
      </c>
      <c r="X33" s="34" t="str">
        <f>"            'to_zone':'"&amp;表1_86121822242634[[#This Row],[目标区服]]&amp;"',
            'reward':"&amp;表1_86121822242634[[#This Row],[辅助导出]]&amp;"
            'country':["&amp;R32&amp;","&amp;R33&amp;","&amp;R34&amp;"],"</f>
        <v>            'to_zone':'h1_36',
            'reward':{'coin':2000,'item036':20},
            'country':[1,0,2],</v>
      </c>
    </row>
    <row r="34" ht="14.25" customHeight="1" spans="1:24">
      <c r="A34" s="17">
        <v>90</v>
      </c>
      <c r="B34" s="17">
        <f>VLOOKUP(表1_86121822242634[[#This Row],[区服]],$O$38:$P$48,2,FALSE)</f>
        <v>45</v>
      </c>
      <c r="C34" s="18" t="s">
        <v>75</v>
      </c>
      <c r="D34" s="19" t="str">
        <f>表1_86121822242634[[#This Row],[目标国家]]</f>
        <v>吴</v>
      </c>
      <c r="E34" s="20">
        <f>(VLOOKUP(表1_86121822242634[[#This Row],[目标区服]],$Q$38:$R$41,2,FALSE)-表1_86121822242634[[#This Row],[开服天数]])*配置!$B$1</f>
        <v>2000</v>
      </c>
      <c r="F34" s="20">
        <f>表1_86121822242634[[#This Row],[补偿Coin]]*(表1_86121822242634[[#This Row],[活跃高战玩家数]]+表1_86121822242634[[#This Row],[活跃中坚玩家数]])</f>
        <v>42000</v>
      </c>
      <c r="G34" s="20">
        <f>(VLOOKUP(表1_86121822242634[[#This Row],[目标区服]],$Q$38:$R$41,2,FALSE)-表1_86121822242634[[#This Row],[开服天数]])*配置!$B$2</f>
        <v>20</v>
      </c>
      <c r="H34" s="19" t="s">
        <v>27</v>
      </c>
      <c r="I34" s="19">
        <f>IF(表1_86121822242634[[#This Row],[原国家]]="魏",0,IF(表1_86121822242634[[#This Row],[原国家]]="蜀",1,2))</f>
        <v>2</v>
      </c>
      <c r="J34" s="20">
        <v>1</v>
      </c>
      <c r="K34" s="20">
        <v>72</v>
      </c>
      <c r="L34" s="20">
        <v>1</v>
      </c>
      <c r="M34" s="20">
        <v>20</v>
      </c>
      <c r="N34" s="20">
        <v>70801</v>
      </c>
      <c r="O34" s="20">
        <v>1757814</v>
      </c>
      <c r="P34" s="26">
        <v>11820234</v>
      </c>
      <c r="Q34" s="496" t="s">
        <v>27</v>
      </c>
      <c r="R34" s="19">
        <f>IF(表1_86121822242634[[#This Row],[目标国家]]="魏",0,IF(表1_86121822242634[[#This Row],[目标国家]]="蜀",1,2))</f>
        <v>2</v>
      </c>
      <c r="S34" s="20">
        <v>10082</v>
      </c>
      <c r="T34" s="20">
        <v>0</v>
      </c>
      <c r="U34" s="20">
        <v>84081</v>
      </c>
      <c r="V34" s="20">
        <v>4458</v>
      </c>
      <c r="W34" s="33" t="str">
        <f>"{"&amp;"'coin':"&amp;表1_86121822242634[[#This Row],[补偿Coin]]&amp;",'"&amp;配置!$A$2&amp;"':"&amp;表1_86121822242634[[#This Row],[补偿辎重]]&amp;"},"</f>
        <v>{'coin':2000,'item036':20},</v>
      </c>
      <c r="X34" s="34" t="str">
        <f t="shared" ref="X34" si="7">"      },"</f>
        <v>      },</v>
      </c>
    </row>
    <row r="37" ht="37.5" customHeight="1" spans="1:18">
      <c r="A37" s="36" t="s">
        <v>28</v>
      </c>
      <c r="B37" s="37" t="s">
        <v>29</v>
      </c>
      <c r="C37" s="38" t="s">
        <v>30</v>
      </c>
      <c r="D37" s="38" t="s">
        <v>31</v>
      </c>
      <c r="E37" s="38" t="s">
        <v>32</v>
      </c>
      <c r="F37" s="38" t="s">
        <v>33</v>
      </c>
      <c r="G37" s="38" t="s">
        <v>15</v>
      </c>
      <c r="H37" s="37" t="s">
        <v>18</v>
      </c>
      <c r="I37" s="37" t="s">
        <v>19</v>
      </c>
      <c r="J37" s="37" t="s">
        <v>34</v>
      </c>
      <c r="K37" s="38" t="s">
        <v>35</v>
      </c>
      <c r="L37" s="38" t="s">
        <v>36</v>
      </c>
      <c r="M37" s="38" t="s">
        <v>37</v>
      </c>
      <c r="O37" s="51" t="s">
        <v>0</v>
      </c>
      <c r="P37" s="51" t="s">
        <v>1</v>
      </c>
      <c r="Q37" s="51"/>
      <c r="R37" s="51" t="s">
        <v>38</v>
      </c>
    </row>
    <row r="38" ht="15" spans="1:18">
      <c r="A38" s="372" t="s">
        <v>72</v>
      </c>
      <c r="B38" s="39" t="s">
        <v>25</v>
      </c>
      <c r="C38" s="39">
        <f>COUNTIFS(表1_86121822242634[目标区服],表2_97131923252735[[#This Row],[合区区服]],表1_86121822242634[目标国家（映射）],表2_97131923252735[[#This Row],[国家]])</f>
        <v>2</v>
      </c>
      <c r="D38" s="39">
        <f>SUMIFS(表1_86121822242634[活跃高战玩家数],表1_86121822242634[目标区服],表2_97131923252735[[#This Row],[合区区服]],表1_86121822242634[目标国家（映射）],表2_97131923252735[[#This Row],[国家]])</f>
        <v>6</v>
      </c>
      <c r="E38" s="39">
        <f>SUMIFS(表1_86121822242634[活跃中坚玩家数],表1_86121822242634[目标区服],表2_97131923252735[[#This Row],[合区区服]],表1_86121822242634[目标国家（映射）],表2_97131923252735[[#This Row],[国家]])</f>
        <v>29</v>
      </c>
      <c r="F38" s="39">
        <f t="array" ref="F38">MAX((表1_86121822242634[目标区服]=表2_97131923252735[[#This Row],[合区区服]])*(表1_86121822242634[目标国家（映射）]=表2_97131923252735[[#This Row],[国家]])*表1_86121822242634[活跃尖端战力])</f>
        <v>3564028</v>
      </c>
      <c r="G38" s="40">
        <f>SUMIFS(表1_86121822242634[活跃总战力],表1_86121822242634[目标区服],表2_97131923252735[[#This Row],[合区区服]],表1_86121822242634[目标国家（映射）],表2_97131923252735[[#This Row],[国家]])</f>
        <v>33224499</v>
      </c>
      <c r="H38" s="39">
        <f>SUMIFS(表1_86121822242634[活跃实际充值],表1_86121822242634[目标区服],表2_97131923252735[[#This Row],[合区区服]],表1_86121822242634[目标国家（映射）],表2_97131923252735[[#This Row],[国家]])</f>
        <v>187424</v>
      </c>
      <c r="I38" s="39">
        <f>SUMIFS(表1_86121822242634[活跃虚拟充值],表1_86121822242634[目标区服],表2_97131923252735[[#This Row],[合区区服]],表1_86121822242634[目标国家（映射）],表2_97131923252735[[#This Row],[国家]])</f>
        <v>0</v>
      </c>
      <c r="J38" s="39">
        <f>SUMIFS(表1_86121822242634[活跃Coin],表1_86121822242634[目标区服],表2_97131923252735[[#This Row],[合区区服]],表1_86121822242634[目标国家（映射）],表2_97131923252735[[#This Row],[国家]])</f>
        <v>893427</v>
      </c>
      <c r="K38" s="39">
        <f>SUMIFS(表1_86121822242634[共计补偿Coin],表1_86121822242634[目标区服],表2_97131923252735[[#This Row],[合区区服]],表1_86121822242634[目标国家（映射）],表2_97131923252735[[#This Row],[国家]])</f>
        <v>43000</v>
      </c>
      <c r="L38" s="39">
        <f>表2_97131923252735[[#This Row],[活跃Coin]]+表2_97131923252735[[#This Row],[共计补偿Coin]]</f>
        <v>936427</v>
      </c>
      <c r="M38" s="39">
        <f>SUMIFS(表1_86121822242634[综合国力],表1_86121822242634[目标区服],表2_97131923252735[[#This Row],[合区区服]],表1_86121822242634[目标国家（映射）],表2_97131923252735[[#This Row],[国家]])</f>
        <v>18883</v>
      </c>
      <c r="O38" s="51">
        <v>80</v>
      </c>
      <c r="P38" s="51">
        <v>55</v>
      </c>
      <c r="Q38" s="51" t="s">
        <v>72</v>
      </c>
      <c r="R38" s="51">
        <v>57</v>
      </c>
    </row>
    <row r="39" ht="15" spans="1:18">
      <c r="A39" s="372" t="s">
        <v>72</v>
      </c>
      <c r="B39" s="39" t="s">
        <v>26</v>
      </c>
      <c r="C39" s="39">
        <f>COUNTIFS(表1_86121822242634[目标区服],表2_97131923252735[[#This Row],[合区区服]],表1_86121822242634[目标国家（映射）],表2_97131923252735[[#This Row],[国家]])</f>
        <v>2</v>
      </c>
      <c r="D39" s="39">
        <f>SUMIFS(表1_86121822242634[活跃高战玩家数],表1_86121822242634[目标区服],表2_97131923252735[[#This Row],[合区区服]],表1_86121822242634[目标国家（映射）],表2_97131923252735[[#This Row],[国家]])</f>
        <v>5</v>
      </c>
      <c r="E39" s="39">
        <f>SUMIFS(表1_86121822242634[活跃中坚玩家数],表1_86121822242634[目标区服],表2_97131923252735[[#This Row],[合区区服]],表1_86121822242634[目标国家（映射）],表2_97131923252735[[#This Row],[国家]])</f>
        <v>36</v>
      </c>
      <c r="F39" s="39">
        <f t="array" ref="F39">MAX((表1_86121822242634[目标区服]=表2_97131923252735[[#This Row],[合区区服]])*(表1_86121822242634[目标国家（映射）]=表2_97131923252735[[#This Row],[国家]])*表1_86121822242634[活跃尖端战力])</f>
        <v>2623670</v>
      </c>
      <c r="G39" s="40">
        <f>SUMIFS(表1_86121822242634[活跃总战力],表1_86121822242634[目标区服],表2_97131923252735[[#This Row],[合区区服]],表1_86121822242634[目标国家（映射）],表2_97131923252735[[#This Row],[国家]])</f>
        <v>31561548</v>
      </c>
      <c r="H39" s="39">
        <f>SUMIFS(表1_86121822242634[活跃实际充值],表1_86121822242634[目标区服],表2_97131923252735[[#This Row],[合区区服]],表1_86121822242634[目标国家（映射）],表2_97131923252735[[#This Row],[国家]])</f>
        <v>92236</v>
      </c>
      <c r="I39" s="39">
        <f>SUMIFS(表1_86121822242634[活跃虚拟充值],表1_86121822242634[目标区服],表2_97131923252735[[#This Row],[合区区服]],表1_86121822242634[目标国家（映射）],表2_97131923252735[[#This Row],[国家]])</f>
        <v>0</v>
      </c>
      <c r="J39" s="39">
        <f>SUMIFS(表1_86121822242634[活跃Coin],表1_86121822242634[目标区服],表2_97131923252735[[#This Row],[合区区服]],表1_86121822242634[目标国家（映射）],表2_97131923252735[[#This Row],[国家]])</f>
        <v>480783</v>
      </c>
      <c r="K39" s="39">
        <f>SUMIFS(表1_86121822242634[共计补偿Coin],表1_86121822242634[目标区服],表2_97131923252735[[#This Row],[合区区服]],表1_86121822242634[目标国家（映射）],表2_97131923252735[[#This Row],[国家]])</f>
        <v>53000</v>
      </c>
      <c r="L39" s="39">
        <f>表2_97131923252735[[#This Row],[活跃Coin]]+表2_97131923252735[[#This Row],[共计补偿Coin]]</f>
        <v>533783</v>
      </c>
      <c r="M39" s="39">
        <f>SUMIFS(表1_86121822242634[综合国力],表1_86121822242634[目标区服],表2_97131923252735[[#This Row],[合区区服]],表1_86121822242634[目标国家（映射）],表2_97131923252735[[#This Row],[国家]])</f>
        <v>13495</v>
      </c>
      <c r="O39" s="51">
        <v>81</v>
      </c>
      <c r="P39" s="51">
        <v>54</v>
      </c>
      <c r="Q39" s="51" t="s">
        <v>73</v>
      </c>
      <c r="R39" s="51">
        <v>55</v>
      </c>
    </row>
    <row r="40" ht="15" spans="1:18">
      <c r="A40" s="372" t="s">
        <v>72</v>
      </c>
      <c r="B40" s="39" t="s">
        <v>27</v>
      </c>
      <c r="C40" s="39">
        <f>COUNTIFS(表1_86121822242634[目标区服],表2_97131923252735[[#This Row],[合区区服]],表1_86121822242634[目标国家（映射）],表2_97131923252735[[#This Row],[国家]])</f>
        <v>2</v>
      </c>
      <c r="D40" s="39">
        <f>SUMIFS(表1_86121822242634[活跃高战玩家数],表1_86121822242634[目标区服],表2_97131923252735[[#This Row],[合区区服]],表1_86121822242634[目标国家（映射）],表2_97131923252735[[#This Row],[国家]])</f>
        <v>9</v>
      </c>
      <c r="E40" s="39">
        <f>SUMIFS(表1_86121822242634[活跃中坚玩家数],表1_86121822242634[目标区服],表2_97131923252735[[#This Row],[合区区服]],表1_86121822242634[目标国家（映射）],表2_97131923252735[[#This Row],[国家]])</f>
        <v>32</v>
      </c>
      <c r="F40" s="39">
        <f t="array" ref="F40">MAX((表1_86121822242634[目标区服]=表2_97131923252735[[#This Row],[合区区服]])*(表1_86121822242634[目标国家（映射）]=表2_97131923252735[[#This Row],[国家]])*表1_86121822242634[活跃尖端战力])</f>
        <v>2274255</v>
      </c>
      <c r="G40" s="40">
        <f>SUMIFS(表1_86121822242634[活跃总战力],表1_86121822242634[目标区服],表2_97131923252735[[#This Row],[合区区服]],表1_86121822242634[目标国家（映射）],表2_97131923252735[[#This Row],[国家]])</f>
        <v>36011608</v>
      </c>
      <c r="H40" s="39">
        <f>SUMIFS(表1_86121822242634[活跃实际充值],表1_86121822242634[目标区服],表2_97131923252735[[#This Row],[合区区服]],表1_86121822242634[目标国家（映射）],表2_97131923252735[[#This Row],[国家]])</f>
        <v>66408</v>
      </c>
      <c r="I40" s="39">
        <f>SUMIFS(表1_86121822242634[活跃虚拟充值],表1_86121822242634[目标区服],表2_97131923252735[[#This Row],[合区区服]],表1_86121822242634[目标国家（映射）],表2_97131923252735[[#This Row],[国家]])</f>
        <v>648</v>
      </c>
      <c r="J40" s="39">
        <f>SUMIFS(表1_86121822242634[活跃Coin],表1_86121822242634[目标区服],表2_97131923252735[[#This Row],[合区区服]],表1_86121822242634[目标国家（映射）],表2_97131923252735[[#This Row],[国家]])</f>
        <v>720483</v>
      </c>
      <c r="K40" s="39">
        <f>SUMIFS(表1_86121822242634[共计补偿Coin],表1_86121822242634[目标区服],表2_97131923252735[[#This Row],[合区区服]],表1_86121822242634[目标国家（映射）],表2_97131923252735[[#This Row],[国家]])</f>
        <v>55500</v>
      </c>
      <c r="L40" s="39">
        <f>表2_97131923252735[[#This Row],[活跃Coin]]+表2_97131923252735[[#This Row],[共计补偿Coin]]</f>
        <v>775983</v>
      </c>
      <c r="M40" s="39">
        <f>SUMIFS(表1_86121822242634[综合国力],表1_86121822242634[目标区服],表2_97131923252735[[#This Row],[合区区服]],表1_86121822242634[目标国家（映射）],表2_97131923252735[[#This Row],[国家]])</f>
        <v>14952</v>
      </c>
      <c r="O40" s="51">
        <v>82</v>
      </c>
      <c r="P40" s="51">
        <v>53</v>
      </c>
      <c r="Q40" s="51" t="s">
        <v>74</v>
      </c>
      <c r="R40" s="51">
        <v>52</v>
      </c>
    </row>
    <row r="41" ht="15" spans="1:18">
      <c r="A41" s="178" t="s">
        <v>73</v>
      </c>
      <c r="B41" s="178" t="s">
        <v>25</v>
      </c>
      <c r="C41" s="178">
        <f>COUNTIFS(表1_86121822242634[目标区服],表2_97131923252735[[#This Row],[合区区服]],表1_86121822242634[目标国家（映射）],表2_97131923252735[[#This Row],[国家]])</f>
        <v>3</v>
      </c>
      <c r="D41" s="178">
        <f>SUMIFS(表1_86121822242634[活跃高战玩家数],表1_86121822242634[目标区服],表2_97131923252735[[#This Row],[合区区服]],表1_86121822242634[目标国家（映射）],表2_97131923252735[[#This Row],[国家]])</f>
        <v>7</v>
      </c>
      <c r="E41" s="178">
        <f>SUMIFS(表1_86121822242634[活跃中坚玩家数],表1_86121822242634[目标区服],表2_97131923252735[[#This Row],[合区区服]],表1_86121822242634[目标国家（映射）],表2_97131923252735[[#This Row],[国家]])</f>
        <v>44</v>
      </c>
      <c r="F41" s="178">
        <f t="array" ref="F41">MAX((表1_86121822242634[目标区服]=表2_97131923252735[[#This Row],[合区区服]])*(表1_86121822242634[目标国家（映射）]=表2_97131923252735[[#This Row],[国家]])*表1_86121822242634[活跃尖端战力])</f>
        <v>2743063</v>
      </c>
      <c r="G41" s="179">
        <f>SUMIFS(表1_86121822242634[活跃总战力],表1_86121822242634[目标区服],表2_97131923252735[[#This Row],[合区区服]],表1_86121822242634[目标国家（映射）],表2_97131923252735[[#This Row],[国家]])</f>
        <v>42753764</v>
      </c>
      <c r="H41" s="178">
        <f>SUMIFS(表1_86121822242634[活跃实际充值],表1_86121822242634[目标区服],表2_97131923252735[[#This Row],[合区区服]],表1_86121822242634[目标国家（映射）],表2_97131923252735[[#This Row],[国家]])</f>
        <v>121946</v>
      </c>
      <c r="I41" s="178">
        <f>SUMIFS(表1_86121822242634[活跃虚拟充值],表1_86121822242634[目标区服],表2_97131923252735[[#This Row],[合区区服]],表1_86121822242634[目标国家（映射）],表2_97131923252735[[#This Row],[国家]])</f>
        <v>128</v>
      </c>
      <c r="J41" s="178">
        <f>SUMIFS(表1_86121822242634[活跃Coin],表1_86121822242634[目标区服],表2_97131923252735[[#This Row],[合区区服]],表1_86121822242634[目标国家（映射）],表2_97131923252735[[#This Row],[国家]])</f>
        <v>1585594</v>
      </c>
      <c r="K41" s="178">
        <f>SUMIFS(表1_86121822242634[共计补偿Coin],表1_86121822242634[目标区服],表2_97131923252735[[#This Row],[合区区服]],表1_86121822242634[目标国家（映射）],表2_97131923252735[[#This Row],[国家]])</f>
        <v>75000</v>
      </c>
      <c r="L41" s="178">
        <f>表2_97131923252735[[#This Row],[活跃Coin]]+表2_97131923252735[[#This Row],[共计补偿Coin]]</f>
        <v>1660594</v>
      </c>
      <c r="M41" s="178">
        <f>SUMIFS(表1_86121822242634[综合国力],表1_86121822242634[目标区服],表2_97131923252735[[#This Row],[合区区服]],表1_86121822242634[目标国家（映射）],表2_97131923252735[[#This Row],[国家]])</f>
        <v>17812</v>
      </c>
      <c r="O41" s="51">
        <v>83</v>
      </c>
      <c r="P41" s="51">
        <v>52</v>
      </c>
      <c r="Q41" s="51" t="s">
        <v>75</v>
      </c>
      <c r="R41" s="51">
        <v>49</v>
      </c>
    </row>
    <row r="42" ht="15" spans="1:16">
      <c r="A42" s="178" t="s">
        <v>73</v>
      </c>
      <c r="B42" s="178" t="s">
        <v>26</v>
      </c>
      <c r="C42" s="178">
        <f>COUNTIFS(表1_86121822242634[目标区服],表2_97131923252735[[#This Row],[合区区服]],表1_86121822242634[目标国家（映射）],表2_97131923252735[[#This Row],[国家]])</f>
        <v>3</v>
      </c>
      <c r="D42" s="178">
        <f>SUMIFS(表1_86121822242634[活跃高战玩家数],表1_86121822242634[目标区服],表2_97131923252735[[#This Row],[合区区服]],表1_86121822242634[目标国家（映射）],表2_97131923252735[[#This Row],[国家]])</f>
        <v>10</v>
      </c>
      <c r="E42" s="178">
        <f>SUMIFS(表1_86121822242634[活跃中坚玩家数],表1_86121822242634[目标区服],表2_97131923252735[[#This Row],[合区区服]],表1_86121822242634[目标国家（映射）],表2_97131923252735[[#This Row],[国家]])</f>
        <v>43</v>
      </c>
      <c r="F42" s="178">
        <f t="array" ref="F42">MAX((表1_86121822242634[目标区服]=表2_97131923252735[[#This Row],[合区区服]])*(表1_86121822242634[目标国家（映射）]=表2_97131923252735[[#This Row],[国家]])*表1_86121822242634[活跃尖端战力])</f>
        <v>2599089</v>
      </c>
      <c r="G42" s="179">
        <f>SUMIFS(表1_86121822242634[活跃总战力],表1_86121822242634[目标区服],表2_97131923252735[[#This Row],[合区区服]],表1_86121822242634[目标国家（映射）],表2_97131923252735[[#This Row],[国家]])</f>
        <v>41829357</v>
      </c>
      <c r="H42" s="178">
        <f>SUMIFS(表1_86121822242634[活跃实际充值],表1_86121822242634[目标区服],表2_97131923252735[[#This Row],[合区区服]],表1_86121822242634[目标国家（映射）],表2_97131923252735[[#This Row],[国家]])</f>
        <v>83930</v>
      </c>
      <c r="I42" s="178">
        <f>SUMIFS(表1_86121822242634[活跃虚拟充值],表1_86121822242634[目标区服],表2_97131923252735[[#This Row],[合区区服]],表1_86121822242634[目标国家（映射）],表2_97131923252735[[#This Row],[国家]])</f>
        <v>0</v>
      </c>
      <c r="J42" s="178">
        <f>SUMIFS(表1_86121822242634[活跃Coin],表1_86121822242634[目标区服],表2_97131923252735[[#This Row],[合区区服]],表1_86121822242634[目标国家（映射）],表2_97131923252735[[#This Row],[国家]])</f>
        <v>963044</v>
      </c>
      <c r="K42" s="178">
        <f>SUMIFS(表1_86121822242634[共计补偿Coin],表1_86121822242634[目标区服],表2_97131923252735[[#This Row],[合区区服]],表1_86121822242634[目标国家（映射）],表2_97131923252735[[#This Row],[国家]])</f>
        <v>86500</v>
      </c>
      <c r="L42" s="178">
        <f>表2_97131923252735[[#This Row],[活跃Coin]]+表2_97131923252735[[#This Row],[共计补偿Coin]]</f>
        <v>1049544</v>
      </c>
      <c r="M42" s="178">
        <f>SUMIFS(表1_86121822242634[综合国力],表1_86121822242634[目标区服],表2_97131923252735[[#This Row],[合区区服]],表1_86121822242634[目标国家（映射）],表2_97131923252735[[#This Row],[国家]])</f>
        <v>19507</v>
      </c>
      <c r="O42" s="51">
        <v>84</v>
      </c>
      <c r="P42" s="51">
        <v>51</v>
      </c>
    </row>
    <row r="43" ht="15" spans="1:16">
      <c r="A43" s="178" t="s">
        <v>73</v>
      </c>
      <c r="B43" s="180" t="s">
        <v>27</v>
      </c>
      <c r="C43" s="180">
        <f>COUNTIFS(表1_86121822242634[目标区服],表2_97131923252735[[#This Row],[合区区服]],表1_86121822242634[目标国家（映射）],表2_97131923252735[[#This Row],[国家]])</f>
        <v>3</v>
      </c>
      <c r="D43" s="180">
        <f>SUMIFS(表1_86121822242634[活跃高战玩家数],表1_86121822242634[目标区服],表2_97131923252735[[#This Row],[合区区服]],表1_86121822242634[目标国家（映射）],表2_97131923252735[[#This Row],[国家]])</f>
        <v>12</v>
      </c>
      <c r="E43" s="180">
        <f>SUMIFS(表1_86121822242634[活跃中坚玩家数],表1_86121822242634[目标区服],表2_97131923252735[[#This Row],[合区区服]],表1_86121822242634[目标国家（映射）],表2_97131923252735[[#This Row],[国家]])</f>
        <v>36</v>
      </c>
      <c r="F43" s="180">
        <f t="array" ref="F43">MAX((表1_86121822242634[目标区服]=表2_97131923252735[[#This Row],[合区区服]])*(表1_86121822242634[目标国家（映射）]=表2_97131923252735[[#This Row],[国家]])*表1_86121822242634[活跃尖端战力])</f>
        <v>3282424</v>
      </c>
      <c r="G43" s="262">
        <f>SUMIFS(表1_86121822242634[活跃总战力],表1_86121822242634[目标区服],表2_97131923252735[[#This Row],[合区区服]],表1_86121822242634[目标国家（映射）],表2_97131923252735[[#This Row],[国家]])</f>
        <v>45357233</v>
      </c>
      <c r="H43" s="180">
        <f>SUMIFS(表1_86121822242634[活跃实际充值],表1_86121822242634[目标区服],表2_97131923252735[[#This Row],[合区区服]],表1_86121822242634[目标国家（映射）],表2_97131923252735[[#This Row],[国家]])</f>
        <v>157550</v>
      </c>
      <c r="I43" s="180">
        <f>SUMIFS(表1_86121822242634[活跃虚拟充值],表1_86121822242634[目标区服],表2_97131923252735[[#This Row],[合区区服]],表1_86121822242634[目标国家（映射）],表2_97131923252735[[#This Row],[国家]])</f>
        <v>30</v>
      </c>
      <c r="J43" s="180">
        <f>SUMIFS(表1_86121822242634[活跃Coin],表1_86121822242634[目标区服],表2_97131923252735[[#This Row],[合区区服]],表1_86121822242634[目标国家（映射）],表2_97131923252735[[#This Row],[国家]])</f>
        <v>1339820</v>
      </c>
      <c r="K43" s="180">
        <f>SUMIFS(表1_86121822242634[共计补偿Coin],表1_86121822242634[目标区服],表2_97131923252735[[#This Row],[合区区服]],表1_86121822242634[目标国家（映射）],表2_97131923252735[[#This Row],[国家]])</f>
        <v>62500</v>
      </c>
      <c r="L43" s="180">
        <f>表2_97131923252735[[#This Row],[活跃Coin]]+表2_97131923252735[[#This Row],[共计补偿Coin]]</f>
        <v>1402320</v>
      </c>
      <c r="M43" s="180">
        <f>SUMIFS(表1_86121822242634[综合国力],表1_86121822242634[目标区服],表2_97131923252735[[#This Row],[合区区服]],表1_86121822242634[目标国家（映射）],表2_97131923252735[[#This Row],[国家]])</f>
        <v>24526</v>
      </c>
      <c r="O43" s="51">
        <v>85</v>
      </c>
      <c r="P43" s="51">
        <v>50</v>
      </c>
    </row>
    <row r="44" ht="15" spans="1:16">
      <c r="A44" s="664" t="s">
        <v>74</v>
      </c>
      <c r="B44" s="637" t="s">
        <v>25</v>
      </c>
      <c r="C44" s="637">
        <f>COUNTIFS(表1_86121822242634[目标区服],表2_97131923252735[[#This Row],[合区区服]],表1_86121822242634[目标国家（映射）],表2_97131923252735[[#This Row],[国家]])</f>
        <v>3</v>
      </c>
      <c r="D44" s="637">
        <f>SUMIFS(表1_86121822242634[活跃高战玩家数],表1_86121822242634[目标区服],表2_97131923252735[[#This Row],[合区区服]],表1_86121822242634[目标国家（映射）],表2_97131923252735[[#This Row],[国家]])</f>
        <v>15</v>
      </c>
      <c r="E44" s="637">
        <f>SUMIFS(表1_86121822242634[活跃中坚玩家数],表1_86121822242634[目标区服],表2_97131923252735[[#This Row],[合区区服]],表1_86121822242634[目标国家（映射）],表2_97131923252735[[#This Row],[国家]])</f>
        <v>41</v>
      </c>
      <c r="F44" s="637">
        <f t="array" ref="F44">MAX((表1_86121822242634[目标区服]=表2_97131923252735[[#This Row],[合区区服]])*(表1_86121822242634[目标国家（映射）]=表2_97131923252735[[#This Row],[国家]])*表1_86121822242634[活跃尖端战力])</f>
        <v>2980875</v>
      </c>
      <c r="G44" s="638">
        <f>SUMIFS(表1_86121822242634[活跃总战力],表1_86121822242634[目标区服],表2_97131923252735[[#This Row],[合区区服]],表1_86121822242634[目标国家（映射）],表2_97131923252735[[#This Row],[国家]])</f>
        <v>46653005</v>
      </c>
      <c r="H44" s="637">
        <f>SUMIFS(表1_86121822242634[活跃实际充值],表1_86121822242634[目标区服],表2_97131923252735[[#This Row],[合区区服]],表1_86121822242634[目标国家（映射）],表2_97131923252735[[#This Row],[国家]])</f>
        <v>75448</v>
      </c>
      <c r="I44" s="637">
        <f>SUMIFS(表1_86121822242634[活跃虚拟充值],表1_86121822242634[目标区服],表2_97131923252735[[#This Row],[合区区服]],表1_86121822242634[目标国家（映射）],表2_97131923252735[[#This Row],[国家]])</f>
        <v>328</v>
      </c>
      <c r="J44" s="637">
        <f>SUMIFS(表1_86121822242634[活跃Coin],表1_86121822242634[目标区服],表2_97131923252735[[#This Row],[合区区服]],表1_86121822242634[目标国家（映射）],表2_97131923252735[[#This Row],[国家]])</f>
        <v>1261645</v>
      </c>
      <c r="K44" s="637">
        <f>SUMIFS(表1_86121822242634[共计补偿Coin],表1_86121822242634[目标区服],表2_97131923252735[[#This Row],[合区区服]],表1_86121822242634[目标国家（映射）],表2_97131923252735[[#This Row],[国家]])</f>
        <v>87500</v>
      </c>
      <c r="L44" s="637">
        <f>表2_97131923252735[[#This Row],[活跃Coin]]+表2_97131923252735[[#This Row],[共计补偿Coin]]</f>
        <v>1349145</v>
      </c>
      <c r="M44" s="637">
        <f>SUMIFS(表1_86121822242634[综合国力],表1_86121822242634[目标区服],表2_97131923252735[[#This Row],[合区区服]],表1_86121822242634[目标国家（映射）],表2_97131923252735[[#This Row],[国家]])</f>
        <v>21957</v>
      </c>
      <c r="O44" s="51">
        <v>86</v>
      </c>
      <c r="P44" s="51">
        <v>49</v>
      </c>
    </row>
    <row r="45" ht="15" spans="1:16">
      <c r="A45" s="664" t="s">
        <v>74</v>
      </c>
      <c r="B45" s="637" t="s">
        <v>26</v>
      </c>
      <c r="C45" s="637">
        <f>COUNTIFS(表1_86121822242634[目标区服],表2_97131923252735[[#This Row],[合区区服]],表1_86121822242634[目标国家（映射）],表2_97131923252735[[#This Row],[国家]])</f>
        <v>3</v>
      </c>
      <c r="D45" s="637">
        <f>SUMIFS(表1_86121822242634[活跃高战玩家数],表1_86121822242634[目标区服],表2_97131923252735[[#This Row],[合区区服]],表1_86121822242634[目标国家（映射）],表2_97131923252735[[#This Row],[国家]])</f>
        <v>7</v>
      </c>
      <c r="E45" s="637">
        <f>SUMIFS(表1_86121822242634[活跃中坚玩家数],表1_86121822242634[目标区服],表2_97131923252735[[#This Row],[合区区服]],表1_86121822242634[目标国家（映射）],表2_97131923252735[[#This Row],[国家]])</f>
        <v>35</v>
      </c>
      <c r="F45" s="637">
        <f t="array" ref="F45">MAX((表1_86121822242634[目标区服]=表2_97131923252735[[#This Row],[合区区服]])*(表1_86121822242634[目标国家（映射）]=表2_97131923252735[[#This Row],[国家]])*表1_86121822242634[活跃尖端战力])</f>
        <v>2690382</v>
      </c>
      <c r="G45" s="638">
        <f>SUMIFS(表1_86121822242634[活跃总战力],表1_86121822242634[目标区服],表2_97131923252735[[#This Row],[合区区服]],表1_86121822242634[目标国家（映射）],表2_97131923252735[[#This Row],[国家]])</f>
        <v>35147526</v>
      </c>
      <c r="H45" s="637">
        <f>SUMIFS(表1_86121822242634[活跃实际充值],表1_86121822242634[目标区服],表2_97131923252735[[#This Row],[合区区服]],表1_86121822242634[目标国家（映射）],表2_97131923252735[[#This Row],[国家]])</f>
        <v>124608</v>
      </c>
      <c r="I45" s="637">
        <f>SUMIFS(表1_86121822242634[活跃虚拟充值],表1_86121822242634[目标区服],表2_97131923252735[[#This Row],[合区区服]],表1_86121822242634[目标国家（映射）],表2_97131923252735[[#This Row],[国家]])</f>
        <v>26988</v>
      </c>
      <c r="J45" s="637">
        <f>SUMIFS(表1_86121822242634[活跃Coin],表1_86121822242634[目标区服],表2_97131923252735[[#This Row],[合区区服]],表1_86121822242634[目标国家（映射）],表2_97131923252735[[#This Row],[国家]])</f>
        <v>473381</v>
      </c>
      <c r="K45" s="637">
        <f>SUMIFS(表1_86121822242634[共计补偿Coin],表1_86121822242634[目标区服],表2_97131923252735[[#This Row],[合区区服]],表1_86121822242634[目标国家（映射）],表2_97131923252735[[#This Row],[国家]])</f>
        <v>56000</v>
      </c>
      <c r="L45" s="637">
        <f>表2_97131923252735[[#This Row],[活跃Coin]]+表2_97131923252735[[#This Row],[共计补偿Coin]]</f>
        <v>529381</v>
      </c>
      <c r="M45" s="637">
        <f>SUMIFS(表1_86121822242634[综合国力],表1_86121822242634[目标区服],表2_97131923252735[[#This Row],[合区区服]],表1_86121822242634[目标国家（映射）],表2_97131923252735[[#This Row],[国家]])</f>
        <v>19430</v>
      </c>
      <c r="O45" s="51">
        <v>87</v>
      </c>
      <c r="P45" s="51">
        <v>48</v>
      </c>
    </row>
    <row r="46" ht="15" spans="1:16">
      <c r="A46" s="664" t="s">
        <v>74</v>
      </c>
      <c r="B46" s="639" t="s">
        <v>27</v>
      </c>
      <c r="C46" s="639">
        <f>COUNTIFS(表1_86121822242634[目标区服],表2_97131923252735[[#This Row],[合区区服]],表1_86121822242634[目标国家（映射）],表2_97131923252735[[#This Row],[国家]])</f>
        <v>3</v>
      </c>
      <c r="D46" s="639">
        <f>SUMIFS(表1_86121822242634[活跃高战玩家数],表1_86121822242634[目标区服],表2_97131923252735[[#This Row],[合区区服]],表1_86121822242634[目标国家（映射）],表2_97131923252735[[#This Row],[国家]])</f>
        <v>8</v>
      </c>
      <c r="E46" s="639">
        <f>SUMIFS(表1_86121822242634[活跃中坚玩家数],表1_86121822242634[目标区服],表2_97131923252735[[#This Row],[合区区服]],表1_86121822242634[目标国家（映射）],表2_97131923252735[[#This Row],[国家]])</f>
        <v>37</v>
      </c>
      <c r="F46" s="639">
        <f t="array" ref="F46">MAX((表1_86121822242634[目标区服]=表2_97131923252735[[#This Row],[合区区服]])*(表1_86121822242634[目标国家（映射）]=表2_97131923252735[[#This Row],[国家]])*表1_86121822242634[活跃尖端战力])</f>
        <v>3385928</v>
      </c>
      <c r="G46" s="640">
        <f>SUMIFS(表1_86121822242634[活跃总战力],表1_86121822242634[目标区服],表2_97131923252735[[#This Row],[合区区服]],表1_86121822242634[目标国家（映射）],表2_97131923252735[[#This Row],[国家]])</f>
        <v>41147311</v>
      </c>
      <c r="H46" s="639">
        <f>SUMIFS(表1_86121822242634[活跃实际充值],表1_86121822242634[目标区服],表2_97131923252735[[#This Row],[合区区服]],表1_86121822242634[目标国家（映射）],表2_97131923252735[[#This Row],[国家]])</f>
        <v>147716</v>
      </c>
      <c r="I46" s="639">
        <f>SUMIFS(表1_86121822242634[活跃虚拟充值],表1_86121822242634[目标区服],表2_97131923252735[[#This Row],[合区区服]],表1_86121822242634[目标国家（映射）],表2_97131923252735[[#This Row],[国家]])</f>
        <v>60</v>
      </c>
      <c r="J46" s="639">
        <f>SUMIFS(表1_86121822242634[活跃Coin],表1_86121822242634[目标区服],表2_97131923252735[[#This Row],[合区区服]],表1_86121822242634[目标国家（映射）],表2_97131923252735[[#This Row],[国家]])</f>
        <v>1120070</v>
      </c>
      <c r="K46" s="639">
        <f>SUMIFS(表1_86121822242634[共计补偿Coin],表1_86121822242634[目标区服],表2_97131923252735[[#This Row],[合区区服]],表1_86121822242634[目标国家（映射）],表2_97131923252735[[#This Row],[国家]])</f>
        <v>62500</v>
      </c>
      <c r="L46" s="639">
        <f>表2_97131923252735[[#This Row],[活跃Coin]]+表2_97131923252735[[#This Row],[共计补偿Coin]]</f>
        <v>1182570</v>
      </c>
      <c r="M46" s="639">
        <f>SUMIFS(表1_86121822242634[综合国力],表1_86121822242634[目标区服],表2_97131923252735[[#This Row],[合区区服]],表1_86121822242634[目标国家（映射）],表2_97131923252735[[#This Row],[国家]])</f>
        <v>21866</v>
      </c>
      <c r="O46" s="51">
        <v>88</v>
      </c>
      <c r="P46" s="51">
        <v>47</v>
      </c>
    </row>
    <row r="47" ht="15" spans="1:16">
      <c r="A47" s="45" t="s">
        <v>75</v>
      </c>
      <c r="B47" s="46" t="s">
        <v>25</v>
      </c>
      <c r="C47" s="46">
        <f>COUNTIFS(表1_86121822242634[目标区服],表2_97131923252735[[#This Row],[合区区服]],表1_86121822242634[目标国家（映射）],表2_97131923252735[[#This Row],[国家]])</f>
        <v>3</v>
      </c>
      <c r="D47" s="46">
        <f>SUMIFS(表1_86121822242634[活跃高战玩家数],表1_86121822242634[目标区服],表2_97131923252735[[#This Row],[合区区服]],表1_86121822242634[目标国家（映射）],表2_97131923252735[[#This Row],[国家]])</f>
        <v>10</v>
      </c>
      <c r="E47" s="46">
        <f>SUMIFS(表1_86121822242634[活跃中坚玩家数],表1_86121822242634[目标区服],表2_97131923252735[[#This Row],[合区区服]],表1_86121822242634[目标国家（映射）],表2_97131923252735[[#This Row],[国家]])</f>
        <v>44</v>
      </c>
      <c r="F47" s="46">
        <f t="array" ref="F47">MAX((表1_86121822242634[目标区服]=表2_97131923252735[[#This Row],[合区区服]])*(表1_86121822242634[目标国家（映射）]=表2_97131923252735[[#This Row],[国家]])*表1_86121822242634[活跃尖端战力])</f>
        <v>2509029</v>
      </c>
      <c r="G47" s="47">
        <f>SUMIFS(表1_86121822242634[活跃总战力],表1_86121822242634[目标区服],表2_97131923252735[[#This Row],[合区区服]],表1_86121822242634[目标国家（映射）],表2_97131923252735[[#This Row],[国家]])</f>
        <v>45916979</v>
      </c>
      <c r="H47" s="46">
        <f>SUMIFS(表1_86121822242634[活跃实际充值],表1_86121822242634[目标区服],表2_97131923252735[[#This Row],[合区区服]],表1_86121822242634[目标国家（映射）],表2_97131923252735[[#This Row],[国家]])</f>
        <v>107470</v>
      </c>
      <c r="I47" s="46">
        <f>SUMIFS(表1_86121822242634[活跃虚拟充值],表1_86121822242634[目标区服],表2_97131923252735[[#This Row],[合区区服]],表1_86121822242634[目标国家（映射）],表2_97131923252735[[#This Row],[国家]])</f>
        <v>0</v>
      </c>
      <c r="J47" s="46">
        <f>SUMIFS(表1_86121822242634[活跃Coin],表1_86121822242634[目标区服],表2_97131923252735[[#This Row],[合区区服]],表1_86121822242634[目标国家（映射）],表2_97131923252735[[#This Row],[国家]])</f>
        <v>1129635</v>
      </c>
      <c r="K47" s="46">
        <f>SUMIFS(表1_86121822242634[共计补偿Coin],表1_86121822242634[目标区服],表2_97131923252735[[#This Row],[合区区服]],表1_86121822242634[目标国家（映射）],表2_97131923252735[[#This Row],[国家]])</f>
        <v>85000</v>
      </c>
      <c r="L47" s="46">
        <f>表2_97131923252735[[#This Row],[活跃Coin]]+表2_97131923252735[[#This Row],[共计补偿Coin]]</f>
        <v>1214635</v>
      </c>
      <c r="M47" s="46">
        <f>SUMIFS(表1_86121822242634[综合国力],表1_86121822242634[目标区服],表2_97131923252735[[#This Row],[合区区服]],表1_86121822242634[目标国家（映射）],表2_97131923252735[[#This Row],[国家]])</f>
        <v>21761</v>
      </c>
      <c r="O47" s="51">
        <v>89</v>
      </c>
      <c r="P47" s="51">
        <v>46</v>
      </c>
    </row>
    <row r="48" ht="15" spans="1:16">
      <c r="A48" s="45" t="s">
        <v>75</v>
      </c>
      <c r="B48" s="46" t="s">
        <v>26</v>
      </c>
      <c r="C48" s="46">
        <f>COUNTIFS(表1_86121822242634[目标区服],表2_97131923252735[[#This Row],[合区区服]],表1_86121822242634[目标国家（映射）],表2_97131923252735[[#This Row],[国家]])</f>
        <v>3</v>
      </c>
      <c r="D48" s="46">
        <f>SUMIFS(表1_86121822242634[活跃高战玩家数],表1_86121822242634[目标区服],表2_97131923252735[[#This Row],[合区区服]],表1_86121822242634[目标国家（映射）],表2_97131923252735[[#This Row],[国家]])</f>
        <v>7</v>
      </c>
      <c r="E48" s="46">
        <f>SUMIFS(表1_86121822242634[活跃中坚玩家数],表1_86121822242634[目标区服],表2_97131923252735[[#This Row],[合区区服]],表1_86121822242634[目标国家（映射）],表2_97131923252735[[#This Row],[国家]])</f>
        <v>41</v>
      </c>
      <c r="F48" s="46">
        <f t="array" ref="F48">MAX((表1_86121822242634[目标区服]=表2_97131923252735[[#This Row],[合区区服]])*(表1_86121822242634[目标国家（映射）]=表2_97131923252735[[#This Row],[国家]])*表1_86121822242634[活跃尖端战力])</f>
        <v>2899974</v>
      </c>
      <c r="G48" s="47">
        <f>SUMIFS(表1_86121822242634[活跃总战力],表1_86121822242634[目标区服],表2_97131923252735[[#This Row],[合区区服]],表1_86121822242634[目标国家（映射）],表2_97131923252735[[#This Row],[国家]])</f>
        <v>40553064</v>
      </c>
      <c r="H48" s="46">
        <f>SUMIFS(表1_86121822242634[活跃实际充值],表1_86121822242634[目标区服],表2_97131923252735[[#This Row],[合区区服]],表1_86121822242634[目标国家（映射）],表2_97131923252735[[#This Row],[国家]])</f>
        <v>138064</v>
      </c>
      <c r="I48" s="46">
        <f>SUMIFS(表1_86121822242634[活跃虚拟充值],表1_86121822242634[目标区服],表2_97131923252735[[#This Row],[合区区服]],表1_86121822242634[目标国家（映射）],表2_97131923252735[[#This Row],[国家]])</f>
        <v>0</v>
      </c>
      <c r="J48" s="46">
        <f>SUMIFS(表1_86121822242634[活跃Coin],表1_86121822242634[目标区服],表2_97131923252735[[#This Row],[合区区服]],表1_86121822242634[目标国家（映射）],表2_97131923252735[[#This Row],[国家]])</f>
        <v>662704</v>
      </c>
      <c r="K48" s="46">
        <f>SUMIFS(表1_86121822242634[共计补偿Coin],表1_86121822242634[目标区服],表2_97131923252735[[#This Row],[合区区服]],表1_86121822242634[目标国家（映射）],表2_97131923252735[[#This Row],[国家]])</f>
        <v>64500</v>
      </c>
      <c r="L48" s="46">
        <f>表2_97131923252735[[#This Row],[活跃Coin]]+表2_97131923252735[[#This Row],[共计补偿Coin]]</f>
        <v>727204</v>
      </c>
      <c r="M48" s="46">
        <f>SUMIFS(表1_86121822242634[综合国力],表1_86121822242634[目标区服],表2_97131923252735[[#This Row],[合区区服]],表1_86121822242634[目标国家（映射）],表2_97131923252735[[#This Row],[国家]])</f>
        <v>20216</v>
      </c>
      <c r="O48" s="51">
        <v>90</v>
      </c>
      <c r="P48" s="51">
        <v>45</v>
      </c>
    </row>
    <row r="49" ht="15" spans="1:16">
      <c r="A49" s="665" t="s">
        <v>75</v>
      </c>
      <c r="B49" s="48" t="s">
        <v>27</v>
      </c>
      <c r="C49" s="48">
        <f>COUNTIFS(表1_86121822242634[目标区服],表2_97131923252735[[#This Row],[合区区服]],表1_86121822242634[目标国家（映射）],表2_97131923252735[[#This Row],[国家]])</f>
        <v>3</v>
      </c>
      <c r="D49" s="48">
        <f>SUMIFS(表1_86121822242634[活跃高战玩家数],表1_86121822242634[目标区服],表2_97131923252735[[#This Row],[合区区服]],表1_86121822242634[目标国家（映射）],表2_97131923252735[[#This Row],[国家]])</f>
        <v>12</v>
      </c>
      <c r="E49" s="48">
        <f>SUMIFS(表1_86121822242634[活跃中坚玩家数],表1_86121822242634[目标区服],表2_97131923252735[[#This Row],[合区区服]],表1_86121822242634[目标国家（映射）],表2_97131923252735[[#This Row],[国家]])</f>
        <v>45</v>
      </c>
      <c r="F49" s="48">
        <f t="array" ref="F49">MAX((表1_86121822242634[目标区服]=表2_97131923252735[[#This Row],[合区区服]])*(表1_86121822242634[目标国家（映射）]=表2_97131923252735[[#This Row],[国家]])*表1_86121822242634[活跃尖端战力])</f>
        <v>2919937</v>
      </c>
      <c r="G49" s="458">
        <f>SUMIFS(表1_86121822242634[活跃总战力],表1_86121822242634[目标区服],表2_97131923252735[[#This Row],[合区区服]],表1_86121822242634[目标国家（映射）],表2_97131923252735[[#This Row],[国家]])</f>
        <v>46123777</v>
      </c>
      <c r="H49" s="48">
        <f>SUMIFS(表1_86121822242634[活跃实际充值],表1_86121822242634[目标区服],表2_97131923252735[[#This Row],[合区区服]],表1_86121822242634[目标国家（映射）],表2_97131923252735[[#This Row],[国家]])</f>
        <v>112930</v>
      </c>
      <c r="I49" s="48">
        <f>SUMIFS(表1_86121822242634[活跃虚拟充值],表1_86121822242634[目标区服],表2_97131923252735[[#This Row],[合区区服]],表1_86121822242634[目标国家（映射）],表2_97131923252735[[#This Row],[国家]])</f>
        <v>0</v>
      </c>
      <c r="J49" s="48">
        <f>SUMIFS(表1_86121822242634[活跃Coin],表1_86121822242634[目标区服],表2_97131923252735[[#This Row],[合区区服]],表1_86121822242634[目标国家（映射）],表2_97131923252735[[#This Row],[国家]])</f>
        <v>785128</v>
      </c>
      <c r="K49" s="48">
        <f>SUMIFS(表1_86121822242634[共计补偿Coin],表1_86121822242634[目标区服],表2_97131923252735[[#This Row],[合区区服]],表1_86121822242634[目标国家（映射）],表2_97131923252735[[#This Row],[国家]])</f>
        <v>88500</v>
      </c>
      <c r="L49" s="48">
        <f>表2_97131923252735[[#This Row],[活跃Coin]]+表2_97131923252735[[#This Row],[共计补偿Coin]]</f>
        <v>873628</v>
      </c>
      <c r="M49" s="48">
        <f>SUMIFS(表1_86121822242634[综合国力],表1_86121822242634[目标区服],表2_97131923252735[[#This Row],[合区区服]],表1_86121822242634[目标国家（映射）],表2_97131923252735[[#This Row],[国家]])</f>
        <v>21359</v>
      </c>
      <c r="O49" s="51">
        <v>91</v>
      </c>
      <c r="P49" s="51">
        <v>44</v>
      </c>
    </row>
    <row r="52" ht="27" spans="1:12">
      <c r="A52" s="49"/>
      <c r="B52" s="50" t="s">
        <v>9</v>
      </c>
      <c r="C52" s="50" t="s">
        <v>10</v>
      </c>
      <c r="D52" s="50" t="s">
        <v>11</v>
      </c>
      <c r="E52" s="50" t="s">
        <v>12</v>
      </c>
      <c r="F52" s="50" t="s">
        <v>13</v>
      </c>
      <c r="G52" s="50" t="s">
        <v>14</v>
      </c>
      <c r="H52" s="50" t="s">
        <v>15</v>
      </c>
      <c r="I52" s="50" t="s">
        <v>18</v>
      </c>
      <c r="J52" s="50" t="s">
        <v>19</v>
      </c>
      <c r="K52" s="50" t="s">
        <v>20</v>
      </c>
      <c r="L52" s="50" t="s">
        <v>21</v>
      </c>
    </row>
    <row r="53" spans="1:12">
      <c r="A53" s="50" t="s">
        <v>25</v>
      </c>
      <c r="B53" s="50">
        <v>7</v>
      </c>
      <c r="C53" s="50">
        <v>253</v>
      </c>
      <c r="D53" s="50">
        <v>6</v>
      </c>
      <c r="E53" s="50">
        <v>13</v>
      </c>
      <c r="F53" s="50">
        <v>118248</v>
      </c>
      <c r="G53" s="50">
        <v>3564028</v>
      </c>
      <c r="H53" s="50">
        <v>24885896</v>
      </c>
      <c r="I53" s="50">
        <v>185890</v>
      </c>
      <c r="J53" s="50">
        <v>0</v>
      </c>
      <c r="K53" s="50">
        <v>770291</v>
      </c>
      <c r="L53" s="50">
        <v>15835</v>
      </c>
    </row>
    <row r="54" spans="1:12">
      <c r="A54" s="50" t="s">
        <v>26</v>
      </c>
      <c r="B54" s="50">
        <v>1</v>
      </c>
      <c r="C54" s="50">
        <v>66</v>
      </c>
      <c r="D54" s="50">
        <v>1</v>
      </c>
      <c r="E54" s="50">
        <v>11</v>
      </c>
      <c r="F54" s="50">
        <v>54251</v>
      </c>
      <c r="G54" s="50">
        <v>2018489</v>
      </c>
      <c r="H54" s="50">
        <v>9716946</v>
      </c>
      <c r="I54" s="50">
        <v>27748</v>
      </c>
      <c r="J54" s="50">
        <v>648</v>
      </c>
      <c r="K54" s="50">
        <v>191549</v>
      </c>
      <c r="L54" s="50">
        <v>4956</v>
      </c>
    </row>
    <row r="55" spans="1:12">
      <c r="A55" s="50" t="s">
        <v>27</v>
      </c>
      <c r="B55" s="50">
        <v>1</v>
      </c>
      <c r="C55" s="50">
        <v>76</v>
      </c>
      <c r="D55" s="50">
        <v>3</v>
      </c>
      <c r="E55" s="50">
        <v>14</v>
      </c>
      <c r="F55" s="50">
        <v>83915</v>
      </c>
      <c r="G55" s="50">
        <v>2623670</v>
      </c>
      <c r="H55" s="50">
        <v>15195240</v>
      </c>
      <c r="I55" s="50">
        <v>74088</v>
      </c>
      <c r="J55" s="50">
        <v>0</v>
      </c>
      <c r="K55" s="50">
        <v>252692</v>
      </c>
      <c r="L55" s="50">
        <v>7771</v>
      </c>
    </row>
    <row r="56" spans="1:12">
      <c r="A56" s="50" t="s">
        <v>25</v>
      </c>
      <c r="B56" s="50">
        <v>1</v>
      </c>
      <c r="C56" s="50">
        <v>123</v>
      </c>
      <c r="D56" s="50">
        <v>2</v>
      </c>
      <c r="E56" s="50">
        <v>22</v>
      </c>
      <c r="F56" s="50">
        <v>91650</v>
      </c>
      <c r="G56" s="50">
        <v>1641148</v>
      </c>
      <c r="H56" s="50">
        <v>16366308</v>
      </c>
      <c r="I56" s="50">
        <v>18148</v>
      </c>
      <c r="J56" s="50">
        <v>0</v>
      </c>
      <c r="K56" s="50">
        <v>228091</v>
      </c>
      <c r="L56" s="50">
        <v>5724</v>
      </c>
    </row>
    <row r="57" spans="1:12">
      <c r="A57" s="50" t="s">
        <v>26</v>
      </c>
      <c r="B57" s="50">
        <v>1</v>
      </c>
      <c r="C57" s="50">
        <v>56</v>
      </c>
      <c r="D57" s="50">
        <v>0</v>
      </c>
      <c r="E57" s="50">
        <v>16</v>
      </c>
      <c r="F57" s="50">
        <v>42019</v>
      </c>
      <c r="G57" s="50">
        <v>1236757</v>
      </c>
      <c r="H57" s="50">
        <v>8338603</v>
      </c>
      <c r="I57" s="50">
        <v>1534</v>
      </c>
      <c r="J57" s="50">
        <v>0</v>
      </c>
      <c r="K57" s="50">
        <v>123136</v>
      </c>
      <c r="L57" s="50">
        <v>3048</v>
      </c>
    </row>
    <row r="58" spans="1:12">
      <c r="A58" s="50" t="s">
        <v>27</v>
      </c>
      <c r="B58" s="50">
        <v>7</v>
      </c>
      <c r="C58" s="50">
        <v>216</v>
      </c>
      <c r="D58" s="50">
        <v>8</v>
      </c>
      <c r="E58" s="50">
        <v>21</v>
      </c>
      <c r="F58" s="50">
        <v>161665</v>
      </c>
      <c r="G58" s="50">
        <v>2274255</v>
      </c>
      <c r="H58" s="50">
        <v>26294662</v>
      </c>
      <c r="I58" s="50">
        <v>38660</v>
      </c>
      <c r="J58" s="50">
        <v>0</v>
      </c>
      <c r="K58" s="50">
        <v>528934</v>
      </c>
      <c r="L58" s="50">
        <v>9996</v>
      </c>
    </row>
    <row r="59" spans="1:12">
      <c r="A59" s="50" t="s">
        <v>25</v>
      </c>
      <c r="B59" s="50">
        <v>0</v>
      </c>
      <c r="C59" s="50">
        <v>27</v>
      </c>
      <c r="D59" s="50">
        <v>1</v>
      </c>
      <c r="E59" s="50">
        <v>12</v>
      </c>
      <c r="F59" s="50">
        <v>68133</v>
      </c>
      <c r="G59" s="50">
        <v>1926942</v>
      </c>
      <c r="H59" s="50">
        <v>9960930</v>
      </c>
      <c r="I59" s="50">
        <v>21846</v>
      </c>
      <c r="J59" s="50">
        <v>0</v>
      </c>
      <c r="K59" s="50">
        <v>105321</v>
      </c>
      <c r="L59" s="50">
        <v>4241</v>
      </c>
    </row>
    <row r="60" spans="1:12">
      <c r="A60" s="50" t="s">
        <v>26</v>
      </c>
      <c r="B60" s="50">
        <v>1</v>
      </c>
      <c r="C60" s="50">
        <v>52</v>
      </c>
      <c r="D60" s="50">
        <v>0</v>
      </c>
      <c r="E60" s="50">
        <v>10</v>
      </c>
      <c r="F60" s="50">
        <v>41636</v>
      </c>
      <c r="G60" s="50">
        <v>933179</v>
      </c>
      <c r="H60" s="50">
        <v>5904526</v>
      </c>
      <c r="I60" s="50">
        <v>6956</v>
      </c>
      <c r="J60" s="50">
        <v>0</v>
      </c>
      <c r="K60" s="50">
        <v>40694</v>
      </c>
      <c r="L60" s="50">
        <v>2580</v>
      </c>
    </row>
    <row r="61" spans="1:12">
      <c r="A61" s="50" t="s">
        <v>27</v>
      </c>
      <c r="B61" s="50">
        <v>8</v>
      </c>
      <c r="C61" s="50">
        <v>316</v>
      </c>
      <c r="D61" s="50">
        <v>9</v>
      </c>
      <c r="E61" s="50">
        <v>17</v>
      </c>
      <c r="F61" s="50">
        <v>165346</v>
      </c>
      <c r="G61" s="50">
        <v>3282424</v>
      </c>
      <c r="H61" s="50">
        <v>27751526</v>
      </c>
      <c r="I61" s="50">
        <v>94338</v>
      </c>
      <c r="J61" s="50">
        <v>0</v>
      </c>
      <c r="K61" s="50">
        <v>1007993</v>
      </c>
      <c r="L61" s="50">
        <v>14178</v>
      </c>
    </row>
    <row r="62" spans="1:12">
      <c r="A62" s="50" t="s">
        <v>25</v>
      </c>
      <c r="B62" s="50">
        <v>4</v>
      </c>
      <c r="C62" s="50">
        <v>135</v>
      </c>
      <c r="D62" s="50">
        <v>6</v>
      </c>
      <c r="E62" s="50">
        <v>28</v>
      </c>
      <c r="F62" s="50">
        <v>183771</v>
      </c>
      <c r="G62" s="50">
        <v>2743063</v>
      </c>
      <c r="H62" s="50">
        <v>32684870</v>
      </c>
      <c r="I62" s="50">
        <v>109354</v>
      </c>
      <c r="J62" s="50">
        <v>0</v>
      </c>
      <c r="K62" s="50">
        <v>1473962</v>
      </c>
      <c r="L62" s="50">
        <v>12698</v>
      </c>
    </row>
    <row r="63" spans="1:12">
      <c r="A63" s="50" t="s">
        <v>26</v>
      </c>
      <c r="B63" s="50">
        <v>4</v>
      </c>
      <c r="C63" s="50">
        <v>194</v>
      </c>
      <c r="D63" s="50">
        <v>3</v>
      </c>
      <c r="E63" s="50">
        <v>12</v>
      </c>
      <c r="F63" s="50">
        <v>70003</v>
      </c>
      <c r="G63" s="50">
        <v>2423250</v>
      </c>
      <c r="H63" s="50">
        <v>13487392</v>
      </c>
      <c r="I63" s="50">
        <v>62364</v>
      </c>
      <c r="J63" s="50">
        <v>30</v>
      </c>
      <c r="K63" s="50">
        <v>247434</v>
      </c>
      <c r="L63" s="50">
        <v>8456</v>
      </c>
    </row>
    <row r="64" spans="1:12">
      <c r="A64" s="50" t="s">
        <v>27</v>
      </c>
      <c r="B64" s="50">
        <v>1</v>
      </c>
      <c r="C64" s="50">
        <v>66</v>
      </c>
      <c r="D64" s="50">
        <v>0</v>
      </c>
      <c r="E64" s="50">
        <v>13</v>
      </c>
      <c r="F64" s="50">
        <v>41696</v>
      </c>
      <c r="G64" s="50">
        <v>1164517</v>
      </c>
      <c r="H64" s="50">
        <v>7964441</v>
      </c>
      <c r="I64" s="50">
        <v>8300</v>
      </c>
      <c r="J64" s="50">
        <v>0</v>
      </c>
      <c r="K64" s="50">
        <v>29454</v>
      </c>
      <c r="L64" s="50">
        <v>3193</v>
      </c>
    </row>
    <row r="65" spans="1:12">
      <c r="A65" s="50" t="s">
        <v>25</v>
      </c>
      <c r="B65" s="50">
        <v>9</v>
      </c>
      <c r="C65" s="50">
        <v>327</v>
      </c>
      <c r="D65" s="50">
        <v>9</v>
      </c>
      <c r="E65" s="50">
        <v>18</v>
      </c>
      <c r="F65" s="50">
        <v>177254</v>
      </c>
      <c r="G65" s="50">
        <v>2599089</v>
      </c>
      <c r="H65" s="50">
        <v>23903986</v>
      </c>
      <c r="I65" s="50">
        <v>53784</v>
      </c>
      <c r="J65" s="50">
        <v>0</v>
      </c>
      <c r="K65" s="50">
        <v>828269</v>
      </c>
      <c r="L65" s="50">
        <v>12073</v>
      </c>
    </row>
    <row r="66" spans="1:12">
      <c r="A66" s="50" t="s">
        <v>26</v>
      </c>
      <c r="B66" s="50">
        <v>0</v>
      </c>
      <c r="C66" s="50">
        <v>45</v>
      </c>
      <c r="D66" s="50">
        <v>1</v>
      </c>
      <c r="E66" s="50">
        <v>6</v>
      </c>
      <c r="F66" s="50">
        <v>36077</v>
      </c>
      <c r="G66" s="50">
        <v>1282189</v>
      </c>
      <c r="H66" s="50">
        <v>4164368</v>
      </c>
      <c r="I66" s="50">
        <v>5636</v>
      </c>
      <c r="J66" s="50">
        <v>128</v>
      </c>
      <c r="K66" s="50">
        <v>70938</v>
      </c>
      <c r="L66" s="50">
        <v>2534</v>
      </c>
    </row>
    <row r="67" spans="1:12">
      <c r="A67" s="50" t="s">
        <v>27</v>
      </c>
      <c r="B67" s="50">
        <v>0</v>
      </c>
      <c r="C67" s="50">
        <v>23</v>
      </c>
      <c r="D67" s="50">
        <v>0</v>
      </c>
      <c r="E67" s="50">
        <v>7</v>
      </c>
      <c r="F67" s="50">
        <v>38223</v>
      </c>
      <c r="G67" s="50">
        <v>992334</v>
      </c>
      <c r="H67" s="50">
        <v>4118315</v>
      </c>
      <c r="I67" s="50">
        <v>848</v>
      </c>
      <c r="J67" s="50">
        <v>0</v>
      </c>
      <c r="K67" s="50">
        <v>84393</v>
      </c>
      <c r="L67" s="50">
        <v>1892</v>
      </c>
    </row>
    <row r="68" spans="1:12">
      <c r="A68" s="50" t="s">
        <v>25</v>
      </c>
      <c r="B68" s="50">
        <v>3</v>
      </c>
      <c r="C68" s="50">
        <v>82</v>
      </c>
      <c r="D68" s="50">
        <v>2</v>
      </c>
      <c r="E68" s="50">
        <v>13</v>
      </c>
      <c r="F68" s="50">
        <v>71928</v>
      </c>
      <c r="G68" s="50">
        <v>1568960</v>
      </c>
      <c r="H68" s="50">
        <v>10632511</v>
      </c>
      <c r="I68" s="50">
        <v>17086</v>
      </c>
      <c r="J68" s="50">
        <v>328</v>
      </c>
      <c r="K68" s="50">
        <v>198684</v>
      </c>
      <c r="L68" s="50">
        <v>4727</v>
      </c>
    </row>
    <row r="69" spans="1:12">
      <c r="A69" s="50" t="s">
        <v>26</v>
      </c>
      <c r="B69" s="50">
        <v>2</v>
      </c>
      <c r="C69" s="50">
        <v>106</v>
      </c>
      <c r="D69" s="50">
        <v>3</v>
      </c>
      <c r="E69" s="50">
        <v>17</v>
      </c>
      <c r="F69" s="50">
        <v>93322</v>
      </c>
      <c r="G69" s="50">
        <v>2117910</v>
      </c>
      <c r="H69" s="50">
        <v>14683105</v>
      </c>
      <c r="I69" s="50">
        <v>35132</v>
      </c>
      <c r="J69" s="50">
        <v>0</v>
      </c>
      <c r="K69" s="50">
        <v>174202</v>
      </c>
      <c r="L69" s="50">
        <v>6453</v>
      </c>
    </row>
    <row r="70" spans="1:12">
      <c r="A70" s="50" t="s">
        <v>27</v>
      </c>
      <c r="B70" s="50">
        <v>4</v>
      </c>
      <c r="C70" s="50">
        <v>207</v>
      </c>
      <c r="D70" s="50">
        <v>5</v>
      </c>
      <c r="E70" s="50">
        <v>17</v>
      </c>
      <c r="F70" s="50">
        <v>135277</v>
      </c>
      <c r="G70" s="50">
        <v>3385928</v>
      </c>
      <c r="H70" s="50">
        <v>22333009</v>
      </c>
      <c r="I70" s="50">
        <v>100962</v>
      </c>
      <c r="J70" s="50">
        <v>30</v>
      </c>
      <c r="K70" s="50">
        <v>822170</v>
      </c>
      <c r="L70" s="50">
        <v>12205</v>
      </c>
    </row>
    <row r="71" spans="1:12">
      <c r="A71" s="50" t="s">
        <v>25</v>
      </c>
      <c r="B71" s="50">
        <v>3</v>
      </c>
      <c r="C71" s="50">
        <v>104</v>
      </c>
      <c r="D71" s="50">
        <v>5</v>
      </c>
      <c r="E71" s="50">
        <v>14</v>
      </c>
      <c r="F71" s="50">
        <v>101646</v>
      </c>
      <c r="G71" s="50">
        <v>1779915</v>
      </c>
      <c r="H71" s="50">
        <v>15590332</v>
      </c>
      <c r="I71" s="50">
        <v>9760</v>
      </c>
      <c r="J71" s="50">
        <v>0</v>
      </c>
      <c r="K71" s="50">
        <v>269889</v>
      </c>
      <c r="L71" s="50">
        <v>5614</v>
      </c>
    </row>
    <row r="72" spans="1:12">
      <c r="A72" s="50" t="s">
        <v>26</v>
      </c>
      <c r="B72" s="50">
        <v>4</v>
      </c>
      <c r="C72" s="50">
        <v>195</v>
      </c>
      <c r="D72" s="50">
        <v>3</v>
      </c>
      <c r="E72" s="50">
        <v>13</v>
      </c>
      <c r="F72" s="50">
        <v>79145</v>
      </c>
      <c r="G72" s="50">
        <v>2690382</v>
      </c>
      <c r="H72" s="50">
        <v>14823745</v>
      </c>
      <c r="I72" s="50">
        <v>56220</v>
      </c>
      <c r="J72" s="50">
        <v>26988</v>
      </c>
      <c r="K72" s="50">
        <v>178931</v>
      </c>
      <c r="L72" s="50">
        <v>8964</v>
      </c>
    </row>
    <row r="73" spans="1:13">
      <c r="A73" s="50" t="s">
        <v>27</v>
      </c>
      <c r="B73" s="50">
        <v>2</v>
      </c>
      <c r="C73" s="50">
        <v>96</v>
      </c>
      <c r="D73" s="50">
        <v>2</v>
      </c>
      <c r="E73" s="50">
        <v>9</v>
      </c>
      <c r="F73" s="50">
        <v>65894</v>
      </c>
      <c r="G73" s="50">
        <v>2229630</v>
      </c>
      <c r="H73" s="50">
        <v>11029122</v>
      </c>
      <c r="I73" s="50">
        <v>32712</v>
      </c>
      <c r="J73" s="50">
        <v>30</v>
      </c>
      <c r="K73" s="50">
        <v>195142</v>
      </c>
      <c r="L73" s="50">
        <v>5901</v>
      </c>
      <c r="M73" t="s">
        <v>66</v>
      </c>
    </row>
    <row r="74" spans="1:12">
      <c r="A74" s="50" t="s">
        <v>25</v>
      </c>
      <c r="B74" s="50">
        <v>0</v>
      </c>
      <c r="C74" s="50">
        <v>41</v>
      </c>
      <c r="D74" s="50">
        <v>1</v>
      </c>
      <c r="E74" s="50">
        <v>11</v>
      </c>
      <c r="F74" s="50">
        <v>54040</v>
      </c>
      <c r="G74" s="50">
        <v>1829535</v>
      </c>
      <c r="H74" s="50">
        <v>7785180</v>
      </c>
      <c r="I74" s="50">
        <v>14042</v>
      </c>
      <c r="J74" s="50">
        <v>0</v>
      </c>
      <c r="K74" s="50">
        <v>102758</v>
      </c>
      <c r="L74" s="50">
        <v>3760</v>
      </c>
    </row>
    <row r="75" spans="1:12">
      <c r="A75" s="50" t="s">
        <v>26</v>
      </c>
      <c r="B75" s="50">
        <v>0</v>
      </c>
      <c r="C75" s="50">
        <v>35</v>
      </c>
      <c r="D75" s="50">
        <v>1</v>
      </c>
      <c r="E75" s="50">
        <v>5</v>
      </c>
      <c r="F75" s="50">
        <v>41262</v>
      </c>
      <c r="G75" s="50">
        <v>1835049</v>
      </c>
      <c r="H75" s="50">
        <v>5640676</v>
      </c>
      <c r="I75" s="50">
        <v>33256</v>
      </c>
      <c r="J75" s="50">
        <v>0</v>
      </c>
      <c r="K75" s="50">
        <v>120248</v>
      </c>
      <c r="L75" s="50">
        <v>4013</v>
      </c>
    </row>
    <row r="76" spans="1:12">
      <c r="A76" s="50" t="s">
        <v>27</v>
      </c>
      <c r="B76" s="50">
        <v>9</v>
      </c>
      <c r="C76" s="50">
        <v>319</v>
      </c>
      <c r="D76" s="50">
        <v>8</v>
      </c>
      <c r="E76" s="50">
        <v>14</v>
      </c>
      <c r="F76" s="50">
        <v>129611</v>
      </c>
      <c r="G76" s="50">
        <v>2980875</v>
      </c>
      <c r="H76" s="50">
        <v>20430162</v>
      </c>
      <c r="I76" s="50">
        <v>48602</v>
      </c>
      <c r="J76" s="50">
        <v>0</v>
      </c>
      <c r="K76" s="50">
        <v>793072</v>
      </c>
      <c r="L76" s="50">
        <v>11616</v>
      </c>
    </row>
    <row r="77" spans="1:12">
      <c r="A77" s="50" t="s">
        <v>25</v>
      </c>
      <c r="B77" s="50">
        <v>0</v>
      </c>
      <c r="C77" s="50">
        <v>43</v>
      </c>
      <c r="D77" s="50">
        <v>0</v>
      </c>
      <c r="E77" s="50">
        <v>16</v>
      </c>
      <c r="F77" s="50">
        <v>55499</v>
      </c>
      <c r="G77" s="50">
        <v>1590839</v>
      </c>
      <c r="H77" s="50">
        <v>9678417</v>
      </c>
      <c r="I77" s="50">
        <v>18588</v>
      </c>
      <c r="J77" s="50">
        <v>0</v>
      </c>
      <c r="K77" s="50">
        <v>122919</v>
      </c>
      <c r="L77" s="50">
        <v>3885</v>
      </c>
    </row>
    <row r="78" spans="1:12">
      <c r="A78" s="50" t="s">
        <v>26</v>
      </c>
      <c r="B78" s="50">
        <v>7</v>
      </c>
      <c r="C78" s="50">
        <v>285</v>
      </c>
      <c r="D78" s="50">
        <v>6</v>
      </c>
      <c r="E78" s="50">
        <v>22</v>
      </c>
      <c r="F78" s="50">
        <v>152997</v>
      </c>
      <c r="G78" s="50">
        <v>2899974</v>
      </c>
      <c r="H78" s="50">
        <v>28700810</v>
      </c>
      <c r="I78" s="50">
        <v>130368</v>
      </c>
      <c r="J78" s="50">
        <v>0</v>
      </c>
      <c r="K78" s="50">
        <v>408519</v>
      </c>
      <c r="L78" s="50">
        <v>14200</v>
      </c>
    </row>
    <row r="79" spans="1:12">
      <c r="A79" s="50" t="s">
        <v>27</v>
      </c>
      <c r="B79" s="50">
        <v>2</v>
      </c>
      <c r="C79" s="50">
        <v>67</v>
      </c>
      <c r="D79" s="50">
        <v>4</v>
      </c>
      <c r="E79" s="50">
        <v>11</v>
      </c>
      <c r="F79" s="50">
        <v>79157</v>
      </c>
      <c r="G79" s="50">
        <v>2919937</v>
      </c>
      <c r="H79" s="50">
        <v>15421896</v>
      </c>
      <c r="I79" s="50">
        <v>82114</v>
      </c>
      <c r="J79" s="50">
        <v>0</v>
      </c>
      <c r="K79" s="50">
        <v>239024</v>
      </c>
      <c r="L79" s="50">
        <v>8310</v>
      </c>
    </row>
    <row r="80" spans="1:12">
      <c r="A80" s="50" t="s">
        <v>25</v>
      </c>
      <c r="B80" s="50">
        <v>3</v>
      </c>
      <c r="C80" s="50">
        <v>126</v>
      </c>
      <c r="D80" s="50">
        <v>3</v>
      </c>
      <c r="E80" s="50">
        <v>11</v>
      </c>
      <c r="F80" s="50">
        <v>73800</v>
      </c>
      <c r="G80" s="50">
        <v>2344364</v>
      </c>
      <c r="H80" s="50">
        <v>10435596</v>
      </c>
      <c r="I80" s="50">
        <v>25102</v>
      </c>
      <c r="J80" s="50">
        <v>0</v>
      </c>
      <c r="K80" s="50">
        <v>336168</v>
      </c>
      <c r="L80" s="50">
        <v>6238</v>
      </c>
    </row>
    <row r="81" spans="1:12">
      <c r="A81" s="50" t="s">
        <v>26</v>
      </c>
      <c r="B81" s="50">
        <v>1</v>
      </c>
      <c r="C81" s="50">
        <v>55</v>
      </c>
      <c r="D81" s="50">
        <v>0</v>
      </c>
      <c r="E81" s="50">
        <v>7</v>
      </c>
      <c r="F81" s="50">
        <v>33098</v>
      </c>
      <c r="G81" s="50">
        <v>1143625</v>
      </c>
      <c r="H81" s="50">
        <v>3906352</v>
      </c>
      <c r="I81" s="50">
        <v>1684</v>
      </c>
      <c r="J81" s="50">
        <v>0</v>
      </c>
      <c r="K81" s="50">
        <v>127085</v>
      </c>
      <c r="L81" s="50">
        <v>2463</v>
      </c>
    </row>
    <row r="82" spans="1:12">
      <c r="A82" s="50" t="s">
        <v>27</v>
      </c>
      <c r="B82" s="50">
        <v>5</v>
      </c>
      <c r="C82" s="50">
        <v>214</v>
      </c>
      <c r="D82" s="50">
        <v>7</v>
      </c>
      <c r="E82" s="50">
        <v>14</v>
      </c>
      <c r="F82" s="50">
        <v>141083</v>
      </c>
      <c r="G82" s="50">
        <v>2504534</v>
      </c>
      <c r="H82" s="50">
        <v>18881647</v>
      </c>
      <c r="I82" s="50">
        <v>20734</v>
      </c>
      <c r="J82" s="50">
        <v>0</v>
      </c>
      <c r="K82" s="50">
        <v>462023</v>
      </c>
      <c r="L82" s="50">
        <v>8591</v>
      </c>
    </row>
    <row r="83" spans="1:12">
      <c r="A83" s="50" t="s">
        <v>25</v>
      </c>
      <c r="B83" s="50">
        <v>0</v>
      </c>
      <c r="C83" s="50">
        <v>52</v>
      </c>
      <c r="D83" s="50">
        <v>1</v>
      </c>
      <c r="E83" s="50">
        <v>12</v>
      </c>
      <c r="F83" s="50">
        <v>48915</v>
      </c>
      <c r="G83" s="50">
        <v>1750810</v>
      </c>
      <c r="H83" s="50">
        <v>7945902</v>
      </c>
      <c r="I83" s="50">
        <v>6012</v>
      </c>
      <c r="J83" s="50">
        <v>0</v>
      </c>
      <c r="K83" s="50">
        <v>127100</v>
      </c>
      <c r="L83" s="50">
        <v>3553</v>
      </c>
    </row>
    <row r="84" spans="1:12">
      <c r="A84" s="50" t="s">
        <v>26</v>
      </c>
      <c r="B84" s="50">
        <v>8</v>
      </c>
      <c r="C84" s="50">
        <v>271</v>
      </c>
      <c r="D84" s="50">
        <v>7</v>
      </c>
      <c r="E84" s="50">
        <v>17</v>
      </c>
      <c r="F84" s="50">
        <v>158110</v>
      </c>
      <c r="G84" s="50">
        <v>2509029</v>
      </c>
      <c r="H84" s="50">
        <v>25802966</v>
      </c>
      <c r="I84" s="50">
        <v>63780</v>
      </c>
      <c r="J84" s="50">
        <v>0</v>
      </c>
      <c r="K84" s="50">
        <v>670548</v>
      </c>
      <c r="L84" s="50">
        <v>11638</v>
      </c>
    </row>
    <row r="85" spans="1:12">
      <c r="A85" s="50" t="s">
        <v>27</v>
      </c>
      <c r="B85" s="50">
        <v>1</v>
      </c>
      <c r="C85" s="50">
        <v>72</v>
      </c>
      <c r="D85" s="50">
        <v>1</v>
      </c>
      <c r="E85" s="50">
        <v>20</v>
      </c>
      <c r="F85" s="50">
        <v>70801</v>
      </c>
      <c r="G85" s="50">
        <v>1757814</v>
      </c>
      <c r="H85" s="50">
        <v>11820234</v>
      </c>
      <c r="I85" s="50">
        <v>10082</v>
      </c>
      <c r="J85" s="50">
        <v>0</v>
      </c>
      <c r="K85" s="50">
        <v>84081</v>
      </c>
      <c r="L85" s="50">
        <v>4458</v>
      </c>
    </row>
  </sheetData>
  <conditionalFormatting sqref="F38:F40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{70d79f56-58b6-4722-879c-cfce1173abcb}</x14:id>
        </ext>
      </extLst>
    </cfRule>
  </conditionalFormatting>
  <conditionalFormatting sqref="F41:F43">
    <cfRule type="dataBar" priority="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{83fd67c3-d963-42d6-86da-1650c4fa87ee}</x14:id>
        </ext>
      </extLst>
    </cfRule>
  </conditionalFormatting>
  <conditionalFormatting sqref="F44:F46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{b8e05d79-5a7f-43e4-b8de-d7e394847a6f}</x14:id>
        </ext>
      </extLst>
    </cfRule>
  </conditionalFormatting>
  <conditionalFormatting sqref="F47:F4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{a35c25ce-de90-4e6c-83ac-df5ff69aa373}</x14:id>
        </ext>
      </extLst>
    </cfRule>
  </conditionalFormatting>
  <conditionalFormatting sqref="G38:G40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{8ed26836-0d75-425d-91b4-0c0f7844f4c8}</x14:id>
        </ext>
      </extLst>
    </cfRule>
  </conditionalFormatting>
  <conditionalFormatting sqref="G41:G43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{4811981a-28b6-4969-987f-465959006a23}</x14:id>
        </ext>
      </extLst>
    </cfRule>
  </conditionalFormatting>
  <conditionalFormatting sqref="G44:G46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{7eac43ad-14e8-4664-abee-6b942c00bc12}</x14:id>
        </ext>
      </extLst>
    </cfRule>
  </conditionalFormatting>
  <conditionalFormatting sqref="G47:G4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{f49ca7e1-09c1-4991-a88a-92b33d5f5d3b}</x14:id>
        </ext>
      </extLst>
    </cfRule>
  </conditionalFormatting>
  <conditionalFormatting sqref="O20:O25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{38c490d7-1f24-4075-83c3-b1d370f14bc7}</x14:id>
        </ext>
      </extLst>
    </cfRule>
  </conditionalFormatting>
  <conditionalFormatting sqref="O29:O31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{f7c56422-225d-4c03-92a7-92d232eae569}</x14:id>
        </ext>
      </extLst>
    </cfRule>
  </conditionalFormatting>
  <conditionalFormatting sqref="O32:O3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{52c0ef89-5352-4ed5-9730-9e6e1bdf4acb}</x14:id>
        </ext>
      </extLst>
    </cfRule>
  </conditionalFormatting>
  <conditionalFormatting sqref="O38:O49">
    <cfRule type="cellIs" dxfId="37" priority="24" operator="equal">
      <formula>$S$38</formula>
    </cfRule>
  </conditionalFormatting>
  <conditionalFormatting sqref="P20:P25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{b082eef7-c4f1-4c60-85d1-996928df5e78}</x14:id>
        </ext>
      </extLst>
    </cfRule>
  </conditionalFormatting>
  <conditionalFormatting sqref="P29:P31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{b93233d9-77ae-4918-82b1-23a7eecba940}</x14:id>
        </ext>
      </extLst>
    </cfRule>
  </conditionalFormatting>
  <conditionalFormatting sqref="P32:P34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{52a77895-b48b-4d2f-be28-abc3f81e0caa}</x14:id>
        </ext>
      </extLst>
    </cfRule>
  </conditionalFormatting>
  <conditionalFormatting sqref="Q20:Q25">
    <cfRule type="cellIs" dxfId="38" priority="1" operator="equal">
      <formula>配置!$D$4</formula>
    </cfRule>
    <cfRule type="cellIs" dxfId="39" priority="2" operator="equal">
      <formula>配置!$D$3</formula>
    </cfRule>
    <cfRule type="cellIs" dxfId="37" priority="3" operator="equal">
      <formula>配置!$D$2</formula>
    </cfRule>
  </conditionalFormatting>
  <conditionalFormatting sqref="Q29:Q31">
    <cfRule type="cellIs" dxfId="38" priority="12" operator="equal">
      <formula>配置!$D$4</formula>
    </cfRule>
    <cfRule type="cellIs" dxfId="39" priority="13" operator="equal">
      <formula>配置!$D$3</formula>
    </cfRule>
    <cfRule type="cellIs" dxfId="37" priority="14" operator="equal">
      <formula>配置!$D$2</formula>
    </cfRule>
  </conditionalFormatting>
  <conditionalFormatting sqref="Q38:Q41">
    <cfRule type="cellIs" dxfId="37" priority="25" operator="equal">
      <formula>$S$38</formula>
    </cfRule>
  </conditionalFormatting>
  <conditionalFormatting sqref="O35:O36 Q1:R1 Q2 Q4:Q5 Q19 Q26 Q28 Q34 Q7:Q17 Q32">
    <cfRule type="cellIs" dxfId="37" priority="33" operator="equal">
      <formula>配置!$D$2</formula>
    </cfRule>
  </conditionalFormatting>
  <conditionalFormatting sqref="O2:O19 O26:O28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{3a63a8f7-6d63-44a9-abf9-5caf26ba96f1}</x14:id>
        </ext>
      </extLst>
    </cfRule>
  </conditionalFormatting>
  <conditionalFormatting sqref="P2:P19 P26:P2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{f948e4a8-ebd6-46e8-8ed1-ed12e4d07bdc}</x14:id>
        </ext>
      </extLst>
    </cfRule>
  </conditionalFormatting>
  <conditionalFormatting sqref="Q2 Q4:Q5 Q19 Q26 Q28 Q34 Q7:Q17 Q32">
    <cfRule type="cellIs" dxfId="38" priority="32" operator="equal">
      <formula>配置!$D$4</formula>
    </cfRule>
  </conditionalFormatting>
  <conditionalFormatting sqref="Q2:Q19 Q32:Q34 Q26:Q28">
    <cfRule type="cellIs" dxfId="38" priority="21" operator="equal">
      <formula>配置!$D$4</formula>
    </cfRule>
    <cfRule type="cellIs" dxfId="39" priority="22" operator="equal">
      <formula>配置!$D$3</formula>
    </cfRule>
    <cfRule type="cellIs" dxfId="37" priority="23" operator="equal">
      <formula>配置!$D$2</formula>
    </cfRule>
  </conditionalFormatting>
  <conditionalFormatting sqref="Q25 Q20 Q22:Q23">
    <cfRule type="cellIs" dxfId="38" priority="6" operator="equal">
      <formula>配置!$D$4</formula>
    </cfRule>
    <cfRule type="cellIs" dxfId="37" priority="7" operator="equal">
      <formula>配置!$D$2</formula>
    </cfRule>
  </conditionalFormatting>
  <conditionalFormatting sqref="Q31 Q29">
    <cfRule type="cellIs" dxfId="38" priority="15" operator="equal">
      <formula>配置!$D$4</formula>
    </cfRule>
    <cfRule type="cellIs" dxfId="37" priority="16" operator="equal">
      <formula>配置!$D$2</formula>
    </cfRule>
  </conditionalFormatting>
  <dataValidations count="1">
    <dataValidation type="list" allowBlank="1" showInputMessage="1" showErrorMessage="1" sqref="Q2:Q34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0d79f56-58b6-4722-879c-cfce1173ab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F38:F40</xm:sqref>
        </x14:conditionalFormatting>
        <x14:conditionalFormatting xmlns:xm="http://schemas.microsoft.com/office/excel/2006/main">
          <x14:cfRule type="dataBar" id="{83fd67c3-d963-42d6-86da-1650c4fa87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F41:F43</xm:sqref>
        </x14:conditionalFormatting>
        <x14:conditionalFormatting xmlns:xm="http://schemas.microsoft.com/office/excel/2006/main">
          <x14:cfRule type="dataBar" id="{b8e05d79-5a7f-43e4-b8de-d7e394847a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F44:F46</xm:sqref>
        </x14:conditionalFormatting>
        <x14:conditionalFormatting xmlns:xm="http://schemas.microsoft.com/office/excel/2006/main">
          <x14:cfRule type="dataBar" id="{a35c25ce-de90-4e6c-83ac-df5ff69aa3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F47:F49</xm:sqref>
        </x14:conditionalFormatting>
        <x14:conditionalFormatting xmlns:xm="http://schemas.microsoft.com/office/excel/2006/main">
          <x14:cfRule type="dataBar" id="{8ed26836-0d75-425d-91b4-0c0f7844f4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G38:G40</xm:sqref>
        </x14:conditionalFormatting>
        <x14:conditionalFormatting xmlns:xm="http://schemas.microsoft.com/office/excel/2006/main">
          <x14:cfRule type="dataBar" id="{4811981a-28b6-4969-987f-465959006a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G41:G43</xm:sqref>
        </x14:conditionalFormatting>
        <x14:conditionalFormatting xmlns:xm="http://schemas.microsoft.com/office/excel/2006/main">
          <x14:cfRule type="dataBar" id="{7eac43ad-14e8-4664-abee-6b942c00bc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G44:G46</xm:sqref>
        </x14:conditionalFormatting>
        <x14:conditionalFormatting xmlns:xm="http://schemas.microsoft.com/office/excel/2006/main">
          <x14:cfRule type="dataBar" id="{f49ca7e1-09c1-4991-a88a-92b33d5f5d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G47:G49</xm:sqref>
        </x14:conditionalFormatting>
        <x14:conditionalFormatting xmlns:xm="http://schemas.microsoft.com/office/excel/2006/main">
          <x14:cfRule type="dataBar" id="{38c490d7-1f24-4075-83c3-b1d370f14b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O20:O25</xm:sqref>
        </x14:conditionalFormatting>
        <x14:conditionalFormatting xmlns:xm="http://schemas.microsoft.com/office/excel/2006/main">
          <x14:cfRule type="dataBar" id="{f7c56422-225d-4c03-92a7-92d232eae5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O29:O31</xm:sqref>
        </x14:conditionalFormatting>
        <x14:conditionalFormatting xmlns:xm="http://schemas.microsoft.com/office/excel/2006/main">
          <x14:cfRule type="dataBar" id="{52c0ef89-5352-4ed5-9730-9e6e1bdf4a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O32:O34</xm:sqref>
        </x14:conditionalFormatting>
        <x14:conditionalFormatting xmlns:xm="http://schemas.microsoft.com/office/excel/2006/main">
          <x14:cfRule type="dataBar" id="{b082eef7-c4f1-4c60-85d1-996928df5e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P20:P25</xm:sqref>
        </x14:conditionalFormatting>
        <x14:conditionalFormatting xmlns:xm="http://schemas.microsoft.com/office/excel/2006/main">
          <x14:cfRule type="dataBar" id="{b93233d9-77ae-4918-82b1-23a7eecba9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P29:P31</xm:sqref>
        </x14:conditionalFormatting>
        <x14:conditionalFormatting xmlns:xm="http://schemas.microsoft.com/office/excel/2006/main">
          <x14:cfRule type="dataBar" id="{52a77895-b48b-4d2f-be28-abc3f81e0c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P32:P34</xm:sqref>
        </x14:conditionalFormatting>
        <x14:conditionalFormatting xmlns:xm="http://schemas.microsoft.com/office/excel/2006/main">
          <x14:cfRule type="dataBar" id="{3a63a8f7-6d63-44a9-abf9-5caf26ba96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 O26:O28</xm:sqref>
        </x14:conditionalFormatting>
        <x14:conditionalFormatting xmlns:xm="http://schemas.microsoft.com/office/excel/2006/main">
          <x14:cfRule type="dataBar" id="{f948e4a8-ebd6-46e8-8ed1-ed12e4d07b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 P26:P28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1"/>
  <sheetViews>
    <sheetView topLeftCell="M1" workbookViewId="0">
      <selection activeCell="Z27" sqref="Z27"/>
    </sheetView>
  </sheetViews>
  <sheetFormatPr defaultColWidth="9" defaultRowHeight="13.5"/>
  <sheetData>
    <row r="1" s="1" customFormat="1" ht="27.75" spans="1:24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22</v>
      </c>
      <c r="X1" s="22" t="s">
        <v>23</v>
      </c>
    </row>
    <row r="2" s="354" customFormat="1" ht="14.25" customHeight="1" spans="1:24">
      <c r="A2" s="371">
        <v>91</v>
      </c>
      <c r="B2" s="371">
        <f>VLOOKUP(表1_86121822242636[[#This Row],[区服]],$O$26:$P$33,2,FALSE)</f>
        <v>52</v>
      </c>
      <c r="C2" s="372" t="s">
        <v>76</v>
      </c>
      <c r="D2" s="373" t="str">
        <f>表1_86121822242636[[#This Row],[目标国家]]</f>
        <v>魏</v>
      </c>
      <c r="E2" s="374">
        <f>(VLOOKUP(表1_86121822242636[[#This Row],[目标区服]],$Q$26:$R$29,2,FALSE)-表1_86121822242636[[#This Row],[开服天数]])*配置!$B$1</f>
        <v>1000</v>
      </c>
      <c r="F2" s="374">
        <f>表1_86121822242636[[#This Row],[补偿Coin]]*(表1_86121822242636[[#This Row],[活跃高战玩家数]]+表1_86121822242636[[#This Row],[活跃中坚玩家数]])</f>
        <v>16000</v>
      </c>
      <c r="G2" s="374">
        <f>(VLOOKUP(表1_86121822242636[[#This Row],[目标区服]],$Q$26:$R$29,2,FALSE)-表1_86121822242636[[#This Row],[开服天数]])*配置!$B$2</f>
        <v>10</v>
      </c>
      <c r="H2" s="376" t="s">
        <v>25</v>
      </c>
      <c r="I2" s="376">
        <f>IF(表1_86121822242636[[#This Row],[原国家]]="魏",0,IF(表1_86121822242636[[#This Row],[原国家]]="蜀",1,2))</f>
        <v>0</v>
      </c>
      <c r="J2" s="380">
        <v>0</v>
      </c>
      <c r="K2" s="380">
        <v>31</v>
      </c>
      <c r="L2" s="380">
        <v>3</v>
      </c>
      <c r="M2" s="380">
        <v>13</v>
      </c>
      <c r="N2" s="380">
        <v>63959</v>
      </c>
      <c r="O2" s="380">
        <v>2254832</v>
      </c>
      <c r="P2" s="381">
        <v>12407221</v>
      </c>
      <c r="Q2" s="493" t="s">
        <v>25</v>
      </c>
      <c r="R2" s="376">
        <f>IF(表1_86121822242636[[#This Row],[目标国家]]="魏",0,IF(表1_86121822242636[[#This Row],[目标国家]]="蜀",1,2))</f>
        <v>0</v>
      </c>
      <c r="S2" s="380">
        <v>42410</v>
      </c>
      <c r="T2" s="380">
        <v>0</v>
      </c>
      <c r="U2" s="380">
        <v>249260</v>
      </c>
      <c r="V2" s="380">
        <v>5522</v>
      </c>
      <c r="W2" s="387" t="str">
        <f>"{"&amp;"'coin':"&amp;表1_86121822242636[[#This Row],[补偿Coin]]&amp;",'"&amp;配置!$A$2&amp;"':"&amp;表1_86121822242636[[#This Row],[补偿辎重]]&amp;"},"</f>
        <v>{'coin':1000,'item036':10},</v>
      </c>
      <c r="X2" s="388" t="str">
        <f>"      '"&amp;表1_86121822242636[[#This Row],[区服]]&amp;"':{"</f>
        <v>      '91':{</v>
      </c>
    </row>
    <row r="3" s="354" customFormat="1" ht="14.25" customHeight="1" spans="1:24">
      <c r="A3" s="375">
        <v>91</v>
      </c>
      <c r="B3" s="371">
        <f>VLOOKUP(表1_86121822242636[[#This Row],[区服]],$O$26:$P$33,2,FALSE)</f>
        <v>52</v>
      </c>
      <c r="C3" s="372" t="s">
        <v>76</v>
      </c>
      <c r="D3" s="376" t="str">
        <f>表1_86121822242636[[#This Row],[目标国家]]</f>
        <v>蜀</v>
      </c>
      <c r="E3" s="380">
        <f>(VLOOKUP(表1_86121822242636[[#This Row],[目标区服]],$Q$26:$R$29,2,FALSE)-表1_86121822242636[[#This Row],[开服天数]])*配置!$B$1</f>
        <v>1000</v>
      </c>
      <c r="F3" s="380">
        <f>表1_86121822242636[[#This Row],[补偿Coin]]*(表1_86121822242636[[#This Row],[活跃高战玩家数]]+表1_86121822242636[[#This Row],[活跃中坚玩家数]])</f>
        <v>27000</v>
      </c>
      <c r="G3" s="380">
        <f>(VLOOKUP(表1_86121822242636[[#This Row],[目标区服]],$Q$26:$R$29,2,FALSE)-表1_86121822242636[[#This Row],[开服天数]])*配置!$B$2</f>
        <v>10</v>
      </c>
      <c r="H3" s="376" t="s">
        <v>26</v>
      </c>
      <c r="I3" s="376">
        <f>IF(表1_86121822242636[[#This Row],[原国家]]="魏",0,IF(表1_86121822242636[[#This Row],[原国家]]="蜀",1,2))</f>
        <v>1</v>
      </c>
      <c r="J3" s="380">
        <v>9</v>
      </c>
      <c r="K3" s="380">
        <v>341</v>
      </c>
      <c r="L3" s="380">
        <v>5</v>
      </c>
      <c r="M3" s="380">
        <v>22</v>
      </c>
      <c r="N3" s="380">
        <v>167650</v>
      </c>
      <c r="O3" s="380">
        <v>3234047</v>
      </c>
      <c r="P3" s="381">
        <v>30508947</v>
      </c>
      <c r="Q3" s="493" t="s">
        <v>26</v>
      </c>
      <c r="R3" s="376">
        <f>IF(表1_86121822242636[[#This Row],[目标国家]]="魏",0,IF(表1_86121822242636[[#This Row],[目标国家]]="蜀",1,2))</f>
        <v>1</v>
      </c>
      <c r="S3" s="380">
        <v>74836</v>
      </c>
      <c r="T3" s="380">
        <v>1676</v>
      </c>
      <c r="U3" s="380">
        <v>897852</v>
      </c>
      <c r="V3" s="380">
        <v>14143</v>
      </c>
      <c r="W3" s="387" t="str">
        <f>"{"&amp;"'coin':"&amp;表1_86121822242636[[#This Row],[补偿Coin]]&amp;",'"&amp;配置!$A$2&amp;"':"&amp;表1_86121822242636[[#This Row],[补偿辎重]]&amp;"},"</f>
        <v>{'coin':1000,'item036':10},</v>
      </c>
      <c r="X3" s="388" t="str">
        <f>"            'to_zone':'"&amp;表1_86121822242636[[#This Row],[目标区服]]&amp;"',
            'reward':"&amp;表1_86121822242636[[#This Row],[辅助导出]]&amp;"
            'country':["&amp;R2&amp;","&amp;R3&amp;","&amp;R4&amp;"],"</f>
        <v>            'to_zone':'h1_37',
            'reward':{'coin':1000,'item036':10},
            'country':[0,1,2],</v>
      </c>
    </row>
    <row r="4" s="354" customFormat="1" ht="14.25" customHeight="1" spans="1:24">
      <c r="A4" s="375">
        <v>91</v>
      </c>
      <c r="B4" s="371">
        <f>VLOOKUP(表1_86121822242636[[#This Row],[区服]],$O$26:$P$33,2,FALSE)</f>
        <v>52</v>
      </c>
      <c r="C4" s="372" t="s">
        <v>76</v>
      </c>
      <c r="D4" s="376" t="str">
        <f>表1_86121822242636[[#This Row],[目标国家]]</f>
        <v>吴</v>
      </c>
      <c r="E4" s="380">
        <f>(VLOOKUP(表1_86121822242636[[#This Row],[目标区服]],$Q$26:$R$29,2,FALSE)-表1_86121822242636[[#This Row],[开服天数]])*配置!$B$1</f>
        <v>1000</v>
      </c>
      <c r="F4" s="380">
        <f>表1_86121822242636[[#This Row],[补偿Coin]]*(表1_86121822242636[[#This Row],[活跃高战玩家数]]+表1_86121822242636[[#This Row],[活跃中坚玩家数]])</f>
        <v>12000</v>
      </c>
      <c r="G4" s="380">
        <f>(VLOOKUP(表1_86121822242636[[#This Row],[目标区服]],$Q$26:$R$29,2,FALSE)-表1_86121822242636[[#This Row],[开服天数]])*配置!$B$2</f>
        <v>10</v>
      </c>
      <c r="H4" s="376" t="s">
        <v>27</v>
      </c>
      <c r="I4" s="376">
        <f>IF(表1_86121822242636[[#This Row],[原国家]]="魏",0,IF(表1_86121822242636[[#This Row],[原国家]]="蜀",1,2))</f>
        <v>2</v>
      </c>
      <c r="J4" s="380">
        <v>0</v>
      </c>
      <c r="K4" s="380">
        <v>23</v>
      </c>
      <c r="L4" s="380">
        <v>1</v>
      </c>
      <c r="M4" s="380">
        <v>11</v>
      </c>
      <c r="N4" s="380">
        <v>41672</v>
      </c>
      <c r="O4" s="380">
        <v>1558977</v>
      </c>
      <c r="P4" s="381">
        <v>8234698</v>
      </c>
      <c r="Q4" s="493" t="s">
        <v>27</v>
      </c>
      <c r="R4" s="376">
        <f>IF(表1_86121822242636[[#This Row],[目标国家]]="魏",0,IF(表1_86121822242636[[#This Row],[目标国家]]="蜀",1,2))</f>
        <v>2</v>
      </c>
      <c r="S4" s="380">
        <v>22774</v>
      </c>
      <c r="T4" s="380">
        <v>0</v>
      </c>
      <c r="U4" s="380">
        <v>118270</v>
      </c>
      <c r="V4" s="380">
        <v>3563</v>
      </c>
      <c r="W4" s="387" t="str">
        <f>"{"&amp;"'coin':"&amp;表1_86121822242636[[#This Row],[补偿Coin]]&amp;",'"&amp;配置!$A$2&amp;"':"&amp;表1_86121822242636[[#This Row],[补偿辎重]]&amp;"},"</f>
        <v>{'coin':1000,'item036':10},</v>
      </c>
      <c r="X4" s="388" t="str">
        <f>"      },"</f>
        <v>      },</v>
      </c>
    </row>
    <row r="5" s="354" customFormat="1" ht="14.25" customHeight="1" spans="1:24">
      <c r="A5" s="375">
        <v>92</v>
      </c>
      <c r="B5" s="371">
        <f>VLOOKUP(表1_86121822242636[[#This Row],[区服]],$O$26:$P$33,2,FALSE)</f>
        <v>51</v>
      </c>
      <c r="C5" s="372" t="s">
        <v>76</v>
      </c>
      <c r="D5" s="376" t="str">
        <f>表1_86121822242636[[#This Row],[目标国家]]</f>
        <v>吴</v>
      </c>
      <c r="E5" s="380">
        <f>(VLOOKUP(表1_86121822242636[[#This Row],[目标区服]],$Q$26:$R$29,2,FALSE)-表1_86121822242636[[#This Row],[开服天数]])*配置!$B$1</f>
        <v>1500</v>
      </c>
      <c r="F5" s="380">
        <f>表1_86121822242636[[#This Row],[补偿Coin]]*(表1_86121822242636[[#This Row],[活跃高战玩家数]]+表1_86121822242636[[#This Row],[活跃中坚玩家数]])</f>
        <v>13500</v>
      </c>
      <c r="G5" s="380">
        <f>(VLOOKUP(表1_86121822242636[[#This Row],[目标区服]],$Q$26:$R$29,2,FALSE)-表1_86121822242636[[#This Row],[开服天数]])*配置!$B$2</f>
        <v>15</v>
      </c>
      <c r="H5" s="376" t="s">
        <v>25</v>
      </c>
      <c r="I5" s="376">
        <f>IF(表1_86121822242636[[#This Row],[原国家]]="魏",0,IF(表1_86121822242636[[#This Row],[原国家]]="蜀",1,2))</f>
        <v>0</v>
      </c>
      <c r="J5" s="380">
        <v>1</v>
      </c>
      <c r="K5" s="380">
        <v>89</v>
      </c>
      <c r="L5" s="380">
        <v>1</v>
      </c>
      <c r="M5" s="380">
        <v>8</v>
      </c>
      <c r="N5" s="380">
        <v>51661</v>
      </c>
      <c r="O5" s="380">
        <v>1560670</v>
      </c>
      <c r="P5" s="381">
        <v>7325784</v>
      </c>
      <c r="Q5" s="493" t="s">
        <v>27</v>
      </c>
      <c r="R5" s="376">
        <f>IF(表1_86121822242636[[#This Row],[目标国家]]="魏",0,IF(表1_86121822242636[[#This Row],[目标国家]]="蜀",1,2))</f>
        <v>2</v>
      </c>
      <c r="S5" s="380">
        <v>6342</v>
      </c>
      <c r="T5" s="380">
        <v>0</v>
      </c>
      <c r="U5" s="380">
        <v>80493</v>
      </c>
      <c r="V5" s="380">
        <v>3772</v>
      </c>
      <c r="W5" s="387" t="str">
        <f>"{"&amp;"'coin':"&amp;表1_86121822242636[[#This Row],[补偿Coin]]&amp;",'"&amp;配置!$A$2&amp;"':"&amp;表1_86121822242636[[#This Row],[补偿辎重]]&amp;"},"</f>
        <v>{'coin':1500,'item036':15},</v>
      </c>
      <c r="X5" s="388" t="str">
        <f>"      '"&amp;表1_86121822242636[[#This Row],[区服]]&amp;"':{"</f>
        <v>      '92':{</v>
      </c>
    </row>
    <row r="6" s="354" customFormat="1" ht="14.25" customHeight="1" spans="1:24">
      <c r="A6" s="371">
        <v>92</v>
      </c>
      <c r="B6" s="371">
        <f>VLOOKUP(表1_86121822242636[[#This Row],[区服]],$O$26:$P$33,2,FALSE)</f>
        <v>51</v>
      </c>
      <c r="C6" s="372" t="s">
        <v>76</v>
      </c>
      <c r="D6" s="376" t="str">
        <f>表1_86121822242636[[#This Row],[目标国家]]</f>
        <v>魏</v>
      </c>
      <c r="E6" s="380">
        <f>(VLOOKUP(表1_86121822242636[[#This Row],[目标区服]],$Q$26:$R$29,2,FALSE)-表1_86121822242636[[#This Row],[开服天数]])*配置!$B$1</f>
        <v>1500</v>
      </c>
      <c r="F6" s="380">
        <f>表1_86121822242636[[#This Row],[补偿Coin]]*(表1_86121822242636[[#This Row],[活跃高战玩家数]]+表1_86121822242636[[#This Row],[活跃中坚玩家数]])</f>
        <v>39000</v>
      </c>
      <c r="G6" s="380">
        <f>(VLOOKUP(表1_86121822242636[[#This Row],[目标区服]],$Q$26:$R$29,2,FALSE)-表1_86121822242636[[#This Row],[开服天数]])*配置!$B$2</f>
        <v>15</v>
      </c>
      <c r="H6" s="376" t="s">
        <v>26</v>
      </c>
      <c r="I6" s="376">
        <f>IF(表1_86121822242636[[#This Row],[原国家]]="魏",0,IF(表1_86121822242636[[#This Row],[原国家]]="蜀",1,2))</f>
        <v>1</v>
      </c>
      <c r="J6" s="380">
        <v>8</v>
      </c>
      <c r="K6" s="380">
        <v>239</v>
      </c>
      <c r="L6" s="380">
        <v>9</v>
      </c>
      <c r="M6" s="380">
        <v>17</v>
      </c>
      <c r="N6" s="380">
        <v>161576</v>
      </c>
      <c r="O6" s="380">
        <v>3078844</v>
      </c>
      <c r="P6" s="381">
        <v>26749867</v>
      </c>
      <c r="Q6" s="493" t="s">
        <v>25</v>
      </c>
      <c r="R6" s="376">
        <f>IF(表1_86121822242636[[#This Row],[目标国家]]="魏",0,IF(表1_86121822242636[[#This Row],[目标国家]]="蜀",1,2))</f>
        <v>0</v>
      </c>
      <c r="S6" s="380">
        <v>102600</v>
      </c>
      <c r="T6" s="380">
        <v>0</v>
      </c>
      <c r="U6" s="380">
        <v>795557</v>
      </c>
      <c r="V6" s="380">
        <v>13227</v>
      </c>
      <c r="W6" s="387" t="str">
        <f>"{"&amp;"'coin':"&amp;表1_86121822242636[[#This Row],[补偿Coin]]&amp;",'"&amp;配置!$A$2&amp;"':"&amp;表1_86121822242636[[#This Row],[补偿辎重]]&amp;"},"</f>
        <v>{'coin':1500,'item036':15},</v>
      </c>
      <c r="X6" s="388" t="str">
        <f>"            'to_zone':'"&amp;表1_86121822242636[[#This Row],[目标区服]]&amp;"',
            'reward':"&amp;表1_86121822242636[[#This Row],[辅助导出]]&amp;"
            'country':["&amp;R5&amp;","&amp;R6&amp;","&amp;R7&amp;"],"</f>
        <v>            'to_zone':'h1_37',
            'reward':{'coin':1500,'item036':15},
            'country':[2,0,1],</v>
      </c>
    </row>
    <row r="7" s="354" customFormat="1" ht="14.25" customHeight="1" spans="1:24">
      <c r="A7" s="371">
        <v>92</v>
      </c>
      <c r="B7" s="371">
        <f>VLOOKUP(表1_86121822242636[[#This Row],[区服]],$O$26:$P$33,2,FALSE)</f>
        <v>51</v>
      </c>
      <c r="C7" s="372" t="s">
        <v>76</v>
      </c>
      <c r="D7" s="376" t="str">
        <f>表1_86121822242636[[#This Row],[目标国家]]</f>
        <v>蜀</v>
      </c>
      <c r="E7" s="380">
        <f>(VLOOKUP(表1_86121822242636[[#This Row],[目标区服]],$Q$26:$R$29,2,FALSE)-表1_86121822242636[[#This Row],[开服天数]])*配置!$B$1</f>
        <v>1500</v>
      </c>
      <c r="F7" s="380">
        <f>表1_86121822242636[[#This Row],[补偿Coin]]*(表1_86121822242636[[#This Row],[活跃高战玩家数]]+表1_86121822242636[[#This Row],[活跃中坚玩家数]])</f>
        <v>12000</v>
      </c>
      <c r="G7" s="380">
        <f>(VLOOKUP(表1_86121822242636[[#This Row],[目标区服]],$Q$26:$R$29,2,FALSE)-表1_86121822242636[[#This Row],[开服天数]])*配置!$B$2</f>
        <v>15</v>
      </c>
      <c r="H7" s="376" t="s">
        <v>27</v>
      </c>
      <c r="I7" s="376">
        <f>IF(表1_86121822242636[[#This Row],[原国家]]="魏",0,IF(表1_86121822242636[[#This Row],[原国家]]="蜀",1,2))</f>
        <v>2</v>
      </c>
      <c r="J7" s="380">
        <v>0</v>
      </c>
      <c r="K7" s="380">
        <v>67</v>
      </c>
      <c r="L7" s="380">
        <v>0</v>
      </c>
      <c r="M7" s="380">
        <v>8</v>
      </c>
      <c r="N7" s="380">
        <v>33511</v>
      </c>
      <c r="O7" s="380">
        <v>1446725</v>
      </c>
      <c r="P7" s="381">
        <v>4905960</v>
      </c>
      <c r="Q7" s="493" t="s">
        <v>26</v>
      </c>
      <c r="R7" s="376">
        <f>IF(表1_86121822242636[[#This Row],[目标国家]]="魏",0,IF(表1_86121822242636[[#This Row],[目标国家]]="蜀",1,2))</f>
        <v>1</v>
      </c>
      <c r="S7" s="380">
        <v>2274</v>
      </c>
      <c r="T7" s="380">
        <v>0</v>
      </c>
      <c r="U7" s="380">
        <v>205101</v>
      </c>
      <c r="V7" s="380">
        <v>2945</v>
      </c>
      <c r="W7" s="387" t="str">
        <f>"{"&amp;"'coin':"&amp;表1_86121822242636[[#This Row],[补偿Coin]]&amp;",'"&amp;配置!$A$2&amp;"':"&amp;表1_86121822242636[[#This Row],[补偿辎重]]&amp;"},"</f>
        <v>{'coin':1500,'item036':15},</v>
      </c>
      <c r="X7" s="388" t="str">
        <f t="shared" ref="X7" si="0">"      },"</f>
        <v>      },</v>
      </c>
    </row>
    <row r="8" s="354" customFormat="1" ht="14.25" customHeight="1" spans="1:24">
      <c r="A8" s="375">
        <v>93</v>
      </c>
      <c r="B8" s="371">
        <f>VLOOKUP(表1_86121822242636[[#This Row],[区服]],$O$26:$P$33,2,FALSE)</f>
        <v>50</v>
      </c>
      <c r="C8" s="372" t="s">
        <v>76</v>
      </c>
      <c r="D8" s="376" t="str">
        <f>表1_86121822242636[[#This Row],[目标国家]]</f>
        <v>魏</v>
      </c>
      <c r="E8" s="380">
        <f>(VLOOKUP(表1_86121822242636[[#This Row],[目标区服]],$Q$26:$R$29,2,FALSE)-表1_86121822242636[[#This Row],[开服天数]])*配置!$B$1</f>
        <v>2000</v>
      </c>
      <c r="F8" s="380">
        <f>表1_86121822242636[[#This Row],[补偿Coin]]*(表1_86121822242636[[#This Row],[活跃高战玩家数]]+表1_86121822242636[[#This Row],[活跃中坚玩家数]])</f>
        <v>26000</v>
      </c>
      <c r="G8" s="490">
        <f>(VLOOKUP(表1_86121822242636[[#This Row],[目标区服]],$Q$26:$R$29,2,FALSE)-表1_86121822242636[[#This Row],[开服天数]])*配置!$B$2</f>
        <v>20</v>
      </c>
      <c r="H8" s="376" t="s">
        <v>25</v>
      </c>
      <c r="I8" s="491">
        <f>IF(表1_86121822242636[[#This Row],[原国家]]="魏",0,IF(表1_86121822242636[[#This Row],[原国家]]="蜀",1,2))</f>
        <v>0</v>
      </c>
      <c r="J8" s="380">
        <v>2</v>
      </c>
      <c r="K8" s="380">
        <v>89</v>
      </c>
      <c r="L8" s="380">
        <v>2</v>
      </c>
      <c r="M8" s="380">
        <v>11</v>
      </c>
      <c r="N8" s="380">
        <v>56665</v>
      </c>
      <c r="O8" s="492">
        <v>2671760</v>
      </c>
      <c r="P8" s="381">
        <v>10172138</v>
      </c>
      <c r="Q8" s="493" t="s">
        <v>25</v>
      </c>
      <c r="R8" s="376">
        <f>IF(表1_86121822242636[[#This Row],[目标国家]]="魏",0,IF(表1_86121822242636[[#This Row],[目标国家]]="蜀",1,2))</f>
        <v>0</v>
      </c>
      <c r="S8" s="380">
        <v>48644</v>
      </c>
      <c r="T8" s="380">
        <v>0</v>
      </c>
      <c r="U8" s="380">
        <v>429088</v>
      </c>
      <c r="V8" s="380">
        <v>6736</v>
      </c>
      <c r="W8" s="494" t="str">
        <f>"{"&amp;"'coin':"&amp;表1_86121822242636[[#This Row],[补偿Coin]]&amp;",'"&amp;配置!$A$2&amp;"':"&amp;表1_86121822242636[[#This Row],[补偿辎重]]&amp;"},"</f>
        <v>{'coin':2000,'item036':20},</v>
      </c>
      <c r="X8" s="494" t="str">
        <f>"      '"&amp;表1_86121822242636[[#This Row],[区服]]&amp;"':{"</f>
        <v>      '93':{</v>
      </c>
    </row>
    <row r="9" s="354" customFormat="1" ht="14.25" customHeight="1" spans="1:24">
      <c r="A9" s="375">
        <v>93</v>
      </c>
      <c r="B9" s="371">
        <f>VLOOKUP(表1_86121822242636[[#This Row],[区服]],$O$26:$P$33,2,FALSE)</f>
        <v>50</v>
      </c>
      <c r="C9" s="372" t="s">
        <v>76</v>
      </c>
      <c r="D9" s="376" t="str">
        <f>表1_86121822242636[[#This Row],[目标国家]]</f>
        <v>吴</v>
      </c>
      <c r="E9" s="380">
        <f>(VLOOKUP(表1_86121822242636[[#This Row],[目标区服]],$Q$26:$R$29,2,FALSE)-表1_86121822242636[[#This Row],[开服天数]])*配置!$B$1</f>
        <v>2000</v>
      </c>
      <c r="F9" s="380">
        <f>表1_86121822242636[[#This Row],[补偿Coin]]*(表1_86121822242636[[#This Row],[活跃高战玩家数]]+表1_86121822242636[[#This Row],[活跃中坚玩家数]])</f>
        <v>50000</v>
      </c>
      <c r="G9" s="490">
        <f>(VLOOKUP(表1_86121822242636[[#This Row],[目标区服]],$Q$26:$R$29,2,FALSE)-表1_86121822242636[[#This Row],[开服天数]])*配置!$B$2</f>
        <v>20</v>
      </c>
      <c r="H9" s="376" t="s">
        <v>26</v>
      </c>
      <c r="I9" s="491">
        <f>IF(表1_86121822242636[[#This Row],[原国家]]="魏",0,IF(表1_86121822242636[[#This Row],[原国家]]="蜀",1,2))</f>
        <v>1</v>
      </c>
      <c r="J9" s="380">
        <v>4</v>
      </c>
      <c r="K9" s="380">
        <v>187</v>
      </c>
      <c r="L9" s="380">
        <v>5</v>
      </c>
      <c r="M9" s="380">
        <v>20</v>
      </c>
      <c r="N9" s="380">
        <v>135525</v>
      </c>
      <c r="O9" s="492">
        <v>3618570</v>
      </c>
      <c r="P9" s="381">
        <v>26287249</v>
      </c>
      <c r="Q9" s="493" t="s">
        <v>27</v>
      </c>
      <c r="R9" s="376">
        <f>IF(表1_86121822242636[[#This Row],[目标国家]]="魏",0,IF(表1_86121822242636[[#This Row],[目标国家]]="蜀",1,2))</f>
        <v>2</v>
      </c>
      <c r="S9" s="380">
        <v>136728</v>
      </c>
      <c r="T9" s="380">
        <v>0</v>
      </c>
      <c r="U9" s="380">
        <v>722610</v>
      </c>
      <c r="V9" s="380">
        <v>13658</v>
      </c>
      <c r="W9" s="494" t="str">
        <f>"{"&amp;"'coin':"&amp;表1_86121822242636[[#This Row],[补偿Coin]]&amp;",'"&amp;配置!$A$2&amp;"':"&amp;表1_86121822242636[[#This Row],[补偿辎重]]&amp;"},"</f>
        <v>{'coin':2000,'item036':20},</v>
      </c>
      <c r="X9" s="494" t="str">
        <f>"            'to_zone':'"&amp;表1_86121822242636[[#This Row],[目标区服]]&amp;"',
            'reward':"&amp;表1_86121822242636[[#This Row],[辅助导出]]&amp;"
            'country':["&amp;R8&amp;","&amp;R9&amp;","&amp;R10&amp;"],"</f>
        <v>            'to_zone':'h1_37',
            'reward':{'coin':2000,'item036':20},
            'country':[0,2,1],</v>
      </c>
    </row>
    <row r="10" s="354" customFormat="1" ht="14.25" customHeight="1" spans="1:24">
      <c r="A10" s="375">
        <v>93</v>
      </c>
      <c r="B10" s="371">
        <f>VLOOKUP(表1_86121822242636[[#This Row],[区服]],$O$26:$P$33,2,FALSE)</f>
        <v>50</v>
      </c>
      <c r="C10" s="372" t="s">
        <v>76</v>
      </c>
      <c r="D10" s="376" t="str">
        <f>表1_86121822242636[[#This Row],[目标国家]]</f>
        <v>蜀</v>
      </c>
      <c r="E10" s="380">
        <f>(VLOOKUP(表1_86121822242636[[#This Row],[目标区服]],$Q$26:$R$29,2,FALSE)-表1_86121822242636[[#This Row],[开服天数]])*配置!$B$1</f>
        <v>2000</v>
      </c>
      <c r="F10" s="380">
        <f>表1_86121822242636[[#This Row],[补偿Coin]]*(表1_86121822242636[[#This Row],[活跃高战玩家数]]+表1_86121822242636[[#This Row],[活跃中坚玩家数]])</f>
        <v>24000</v>
      </c>
      <c r="G10" s="490">
        <f>(VLOOKUP(表1_86121822242636[[#This Row],[目标区服]],$Q$26:$R$29,2,FALSE)-表1_86121822242636[[#This Row],[开服天数]])*配置!$B$2</f>
        <v>20</v>
      </c>
      <c r="H10" s="376" t="s">
        <v>27</v>
      </c>
      <c r="I10" s="491">
        <f>IF(表1_86121822242636[[#This Row],[原国家]]="魏",0,IF(表1_86121822242636[[#This Row],[原国家]]="蜀",1,2))</f>
        <v>2</v>
      </c>
      <c r="J10" s="380">
        <v>3</v>
      </c>
      <c r="K10" s="380">
        <v>119</v>
      </c>
      <c r="L10" s="380">
        <v>3</v>
      </c>
      <c r="M10" s="380">
        <v>9</v>
      </c>
      <c r="N10" s="380">
        <v>69170</v>
      </c>
      <c r="O10" s="492">
        <v>2599325</v>
      </c>
      <c r="P10" s="381">
        <v>11362657</v>
      </c>
      <c r="Q10" s="493" t="s">
        <v>26</v>
      </c>
      <c r="R10" s="376">
        <f>IF(表1_86121822242636[[#This Row],[目标国家]]="魏",0,IF(表1_86121822242636[[#This Row],[目标国家]]="蜀",1,2))</f>
        <v>1</v>
      </c>
      <c r="S10" s="380">
        <v>26374</v>
      </c>
      <c r="T10" s="380">
        <v>0</v>
      </c>
      <c r="U10" s="380">
        <v>210715</v>
      </c>
      <c r="V10" s="380">
        <v>6468</v>
      </c>
      <c r="W10" s="494" t="str">
        <f>"{"&amp;"'coin':"&amp;表1_86121822242636[[#This Row],[补偿Coin]]&amp;",'"&amp;配置!$A$2&amp;"':"&amp;表1_86121822242636[[#This Row],[补偿辎重]]&amp;"},"</f>
        <v>{'coin':2000,'item036':20},</v>
      </c>
      <c r="X10" s="494" t="str">
        <f>"      },"</f>
        <v>      },</v>
      </c>
    </row>
    <row r="11" s="354" customFormat="1" ht="14.25" customHeight="1" spans="1:24">
      <c r="A11" s="259">
        <v>94</v>
      </c>
      <c r="B11" s="210">
        <f>VLOOKUP(表1_86121822242636[[#This Row],[区服]],$O$26:$P$33,2,FALSE)</f>
        <v>49</v>
      </c>
      <c r="C11" s="296" t="s">
        <v>77</v>
      </c>
      <c r="D11" s="212" t="str">
        <f>表1_86121822242636[[#This Row],[目标国家]]</f>
        <v>魏</v>
      </c>
      <c r="E11" s="213">
        <f>(VLOOKUP(表1_86121822242636[[#This Row],[目标区服]],$Q$26:$R$29,2,FALSE)-表1_86121822242636[[#This Row],[开服天数]])*配置!$B$1</f>
        <v>1000</v>
      </c>
      <c r="F11" s="213">
        <f>表1_86121822242636[[#This Row],[补偿Coin]]*(表1_86121822242636[[#This Row],[活跃高战玩家数]]+表1_86121822242636[[#This Row],[活跃中坚玩家数]])</f>
        <v>24000</v>
      </c>
      <c r="G11" s="260">
        <f>(VLOOKUP(表1_86121822242636[[#This Row],[目标区服]],$Q$26:$R$29,2,FALSE)-表1_86121822242636[[#This Row],[开服天数]])*配置!$B$2</f>
        <v>10</v>
      </c>
      <c r="H11" s="212" t="s">
        <v>25</v>
      </c>
      <c r="I11" s="268">
        <f>IF(表1_86121822242636[[#This Row],[原国家]]="魏",0,IF(表1_86121822242636[[#This Row],[原国家]]="蜀",1,2))</f>
        <v>0</v>
      </c>
      <c r="J11" s="213">
        <v>5</v>
      </c>
      <c r="K11" s="213">
        <v>208</v>
      </c>
      <c r="L11" s="213">
        <v>5</v>
      </c>
      <c r="M11" s="213">
        <v>19</v>
      </c>
      <c r="N11" s="213">
        <v>133001</v>
      </c>
      <c r="O11" s="419">
        <v>2160442</v>
      </c>
      <c r="P11" s="420">
        <v>19958922</v>
      </c>
      <c r="Q11" s="243" t="s">
        <v>25</v>
      </c>
      <c r="R11" s="212">
        <f>IF(表1_86121822242636[[#This Row],[目标国家]]="魏",0,IF(表1_86121822242636[[#This Row],[目标国家]]="蜀",1,2))</f>
        <v>0</v>
      </c>
      <c r="S11" s="213">
        <v>67506</v>
      </c>
      <c r="T11" s="213">
        <v>0</v>
      </c>
      <c r="U11" s="213">
        <v>454884</v>
      </c>
      <c r="V11" s="213">
        <v>9653</v>
      </c>
      <c r="W11" s="278" t="str">
        <f>"{"&amp;"'coin':"&amp;表1_86121822242636[[#This Row],[补偿Coin]]&amp;",'"&amp;配置!$A$2&amp;"':"&amp;表1_86121822242636[[#This Row],[补偿辎重]]&amp;"},"</f>
        <v>{'coin':1000,'item036':10},</v>
      </c>
      <c r="X11" s="278" t="str">
        <f>"      '"&amp;表1_86121822242636[[#This Row],[区服]]&amp;"':{"</f>
        <v>      '94':{</v>
      </c>
    </row>
    <row r="12" s="354" customFormat="1" ht="14.25" customHeight="1" spans="1:24">
      <c r="A12" s="259">
        <v>94</v>
      </c>
      <c r="B12" s="210">
        <f>VLOOKUP(表1_86121822242636[[#This Row],[区服]],$O$26:$P$33,2,FALSE)</f>
        <v>49</v>
      </c>
      <c r="C12" s="296" t="s">
        <v>77</v>
      </c>
      <c r="D12" s="212" t="str">
        <f>表1_86121822242636[[#This Row],[目标国家]]</f>
        <v>吴</v>
      </c>
      <c r="E12" s="213">
        <f>(VLOOKUP(表1_86121822242636[[#This Row],[目标区服]],$Q$26:$R$29,2,FALSE)-表1_86121822242636[[#This Row],[开服天数]])*配置!$B$1</f>
        <v>1000</v>
      </c>
      <c r="F12" s="213">
        <f>表1_86121822242636[[#This Row],[补偿Coin]]*(表1_86121822242636[[#This Row],[活跃高战玩家数]]+表1_86121822242636[[#This Row],[活跃中坚玩家数]])</f>
        <v>6000</v>
      </c>
      <c r="G12" s="260">
        <f>(VLOOKUP(表1_86121822242636[[#This Row],[目标区服]],$Q$26:$R$29,2,FALSE)-表1_86121822242636[[#This Row],[开服天数]])*配置!$B$2</f>
        <v>10</v>
      </c>
      <c r="H12" s="212" t="s">
        <v>26</v>
      </c>
      <c r="I12" s="268">
        <f>IF(表1_86121822242636[[#This Row],[原国家]]="魏",0,IF(表1_86121822242636[[#This Row],[原国家]]="蜀",1,2))</f>
        <v>1</v>
      </c>
      <c r="J12" s="213">
        <v>2</v>
      </c>
      <c r="K12" s="213">
        <v>103</v>
      </c>
      <c r="L12" s="213">
        <v>0</v>
      </c>
      <c r="M12" s="213">
        <v>6</v>
      </c>
      <c r="N12" s="213">
        <v>30705</v>
      </c>
      <c r="O12" s="419">
        <v>1012765</v>
      </c>
      <c r="P12" s="420">
        <v>4225302</v>
      </c>
      <c r="Q12" s="243" t="s">
        <v>27</v>
      </c>
      <c r="R12" s="212">
        <f>IF(表1_86121822242636[[#This Row],[目标国家]]="魏",0,IF(表1_86121822242636[[#This Row],[目标国家]]="蜀",1,2))</f>
        <v>2</v>
      </c>
      <c r="S12" s="213">
        <v>1424</v>
      </c>
      <c r="T12" s="213">
        <v>0</v>
      </c>
      <c r="U12" s="213">
        <v>195332</v>
      </c>
      <c r="V12" s="213">
        <v>2959</v>
      </c>
      <c r="W12" s="278" t="str">
        <f>"{"&amp;"'coin':"&amp;表1_86121822242636[[#This Row],[补偿Coin]]&amp;",'"&amp;配置!$A$2&amp;"':"&amp;表1_86121822242636[[#This Row],[补偿辎重]]&amp;"},"</f>
        <v>{'coin':1000,'item036':10},</v>
      </c>
      <c r="X12" s="278" t="str">
        <f>"            'to_zone':'"&amp;表1_86121822242636[[#This Row],[目标区服]]&amp;"',
            'reward':"&amp;表1_86121822242636[[#This Row],[辅助导出]]&amp;"
            'country':["&amp;R11&amp;","&amp;R12&amp;","&amp;R13&amp;"],"</f>
        <v>            'to_zone':'h1_38',
            'reward':{'coin':1000,'item036':10},
            'country':[0,2,1],</v>
      </c>
    </row>
    <row r="13" s="354" customFormat="1" ht="14.25" customHeight="1" spans="1:24">
      <c r="A13" s="259">
        <v>94</v>
      </c>
      <c r="B13" s="210">
        <f>VLOOKUP(表1_86121822242636[[#This Row],[区服]],$O$26:$P$33,2,FALSE)</f>
        <v>49</v>
      </c>
      <c r="C13" s="296" t="s">
        <v>77</v>
      </c>
      <c r="D13" s="212" t="str">
        <f>表1_86121822242636[[#This Row],[目标国家]]</f>
        <v>蜀</v>
      </c>
      <c r="E13" s="213">
        <f>(VLOOKUP(表1_86121822242636[[#This Row],[目标区服]],$Q$26:$R$29,2,FALSE)-表1_86121822242636[[#This Row],[开服天数]])*配置!$B$1</f>
        <v>1000</v>
      </c>
      <c r="F13" s="213">
        <f>表1_86121822242636[[#This Row],[补偿Coin]]*(表1_86121822242636[[#This Row],[活跃高战玩家数]]+表1_86121822242636[[#This Row],[活跃中坚玩家数]])</f>
        <v>23000</v>
      </c>
      <c r="G13" s="260">
        <f>(VLOOKUP(表1_86121822242636[[#This Row],[目标区服]],$Q$26:$R$29,2,FALSE)-表1_86121822242636[[#This Row],[开服天数]])*配置!$B$2</f>
        <v>10</v>
      </c>
      <c r="H13" s="212" t="s">
        <v>27</v>
      </c>
      <c r="I13" s="268">
        <f>IF(表1_86121822242636[[#This Row],[原国家]]="魏",0,IF(表1_86121822242636[[#This Row],[原国家]]="蜀",1,2))</f>
        <v>2</v>
      </c>
      <c r="J13" s="213">
        <v>2</v>
      </c>
      <c r="K13" s="213">
        <v>84</v>
      </c>
      <c r="L13" s="213">
        <v>4</v>
      </c>
      <c r="M13" s="213">
        <v>19</v>
      </c>
      <c r="N13" s="213">
        <v>106372</v>
      </c>
      <c r="O13" s="419">
        <v>2340328</v>
      </c>
      <c r="P13" s="420">
        <v>16620431</v>
      </c>
      <c r="Q13" s="243" t="s">
        <v>26</v>
      </c>
      <c r="R13" s="212">
        <f>IF(表1_86121822242636[[#This Row],[目标国家]]="魏",0,IF(表1_86121822242636[[#This Row],[目标国家]]="蜀",1,2))</f>
        <v>1</v>
      </c>
      <c r="S13" s="213">
        <v>39748</v>
      </c>
      <c r="T13" s="213">
        <v>0</v>
      </c>
      <c r="U13" s="213">
        <v>383706</v>
      </c>
      <c r="V13" s="213">
        <v>6958</v>
      </c>
      <c r="W13" s="278" t="str">
        <f>"{"&amp;"'coin':"&amp;表1_86121822242636[[#This Row],[补偿Coin]]&amp;",'"&amp;配置!$A$2&amp;"':"&amp;表1_86121822242636[[#This Row],[补偿辎重]]&amp;"},"</f>
        <v>{'coin':1000,'item036':10},</v>
      </c>
      <c r="X13" s="278" t="str">
        <f t="shared" ref="X13" si="1">"      },"</f>
        <v>      },</v>
      </c>
    </row>
    <row r="14" ht="14.25" customHeight="1" spans="1:24">
      <c r="A14" s="210">
        <v>95</v>
      </c>
      <c r="B14" s="210">
        <f>VLOOKUP(表1_86121822242636[[#This Row],[区服]],$O$26:$P$33,2,FALSE)</f>
        <v>48</v>
      </c>
      <c r="C14" s="296" t="s">
        <v>77</v>
      </c>
      <c r="D14" s="212" t="str">
        <f>表1_86121822242636[[#This Row],[目标国家]]</f>
        <v>魏</v>
      </c>
      <c r="E14" s="213">
        <f>(VLOOKUP(表1_86121822242636[[#This Row],[目标区服]],$Q$26:$R$29,2,FALSE)-表1_86121822242636[[#This Row],[开服天数]])*配置!$B$1</f>
        <v>1500</v>
      </c>
      <c r="F14" s="213">
        <f>表1_86121822242636[[#This Row],[补偿Coin]]*(表1_86121822242636[[#This Row],[活跃高战玩家数]]+表1_86121822242636[[#This Row],[活跃中坚玩家数]])</f>
        <v>21000</v>
      </c>
      <c r="G14" s="213">
        <f>(VLOOKUP(表1_86121822242636[[#This Row],[目标区服]],$Q$26:$R$29,2,FALSE)-表1_86121822242636[[#This Row],[开服天数]])*配置!$B$2</f>
        <v>15</v>
      </c>
      <c r="H14" s="212" t="s">
        <v>25</v>
      </c>
      <c r="I14" s="212">
        <f>IF(表1_86121822242636[[#This Row],[原国家]]="魏",0,IF(表1_86121822242636[[#This Row],[原国家]]="蜀",1,2))</f>
        <v>0</v>
      </c>
      <c r="J14" s="213">
        <v>3</v>
      </c>
      <c r="K14" s="213">
        <v>80</v>
      </c>
      <c r="L14" s="213">
        <v>1</v>
      </c>
      <c r="M14" s="213">
        <v>13</v>
      </c>
      <c r="N14" s="213">
        <v>48843</v>
      </c>
      <c r="O14" s="213">
        <v>2071480</v>
      </c>
      <c r="P14" s="420">
        <v>10205277</v>
      </c>
      <c r="Q14" s="243" t="s">
        <v>25</v>
      </c>
      <c r="R14" s="212">
        <f>IF(表1_86121822242636[[#This Row],[目标国家]]="魏",0,IF(表1_86121822242636[[#This Row],[目标国家]]="蜀",1,2))</f>
        <v>0</v>
      </c>
      <c r="S14" s="213">
        <v>18436</v>
      </c>
      <c r="T14" s="213">
        <v>0</v>
      </c>
      <c r="U14" s="213">
        <v>113156</v>
      </c>
      <c r="V14" s="213">
        <v>5045</v>
      </c>
      <c r="W14" s="245" t="str">
        <f>"{"&amp;"'coin':"&amp;表1_86121822242636[[#This Row],[补偿Coin]]&amp;",'"&amp;配置!$A$2&amp;"':"&amp;表1_86121822242636[[#This Row],[补偿辎重]]&amp;"},"</f>
        <v>{'coin':1500,'item036':15},</v>
      </c>
      <c r="X14" s="254" t="str">
        <f>"      '"&amp;表1_86121822242636[[#This Row],[区服]]&amp;"':{"</f>
        <v>      '95':{</v>
      </c>
    </row>
    <row r="15" ht="14.25" customHeight="1" spans="1:24">
      <c r="A15" s="210">
        <v>95</v>
      </c>
      <c r="B15" s="210">
        <f>VLOOKUP(表1_86121822242636[[#This Row],[区服]],$O$26:$P$33,2,FALSE)</f>
        <v>48</v>
      </c>
      <c r="C15" s="296" t="s">
        <v>77</v>
      </c>
      <c r="D15" s="212" t="str">
        <f>表1_86121822242636[[#This Row],[目标国家]]</f>
        <v>蜀</v>
      </c>
      <c r="E15" s="213">
        <f>(VLOOKUP(表1_86121822242636[[#This Row],[目标区服]],$Q$26:$R$29,2,FALSE)-表1_86121822242636[[#This Row],[开服天数]])*配置!$B$1</f>
        <v>1500</v>
      </c>
      <c r="F15" s="213">
        <f>表1_86121822242636[[#This Row],[补偿Coin]]*(表1_86121822242636[[#This Row],[活跃高战玩家数]]+表1_86121822242636[[#This Row],[活跃中坚玩家数]])</f>
        <v>27000</v>
      </c>
      <c r="G15" s="213">
        <f>(VLOOKUP(表1_86121822242636[[#This Row],[目标区服]],$Q$26:$R$29,2,FALSE)-表1_86121822242636[[#This Row],[开服天数]])*配置!$B$2</f>
        <v>15</v>
      </c>
      <c r="H15" s="212" t="s">
        <v>26</v>
      </c>
      <c r="I15" s="212">
        <f>IF(表1_86121822242636[[#This Row],[原国家]]="魏",0,IF(表1_86121822242636[[#This Row],[原国家]]="蜀",1,2))</f>
        <v>1</v>
      </c>
      <c r="J15" s="213">
        <v>2</v>
      </c>
      <c r="K15" s="213">
        <v>104</v>
      </c>
      <c r="L15" s="213">
        <v>1</v>
      </c>
      <c r="M15" s="213">
        <v>17</v>
      </c>
      <c r="N15" s="213">
        <v>70308</v>
      </c>
      <c r="O15" s="213">
        <v>2421131</v>
      </c>
      <c r="P15" s="420">
        <v>15168715</v>
      </c>
      <c r="Q15" s="243" t="s">
        <v>26</v>
      </c>
      <c r="R15" s="212">
        <f>IF(表1_86121822242636[[#This Row],[目标国家]]="魏",0,IF(表1_86121822242636[[#This Row],[目标国家]]="蜀",1,2))</f>
        <v>1</v>
      </c>
      <c r="S15" s="213">
        <v>36474</v>
      </c>
      <c r="T15" s="213">
        <v>0</v>
      </c>
      <c r="U15" s="213">
        <v>218900</v>
      </c>
      <c r="V15" s="213">
        <v>6733</v>
      </c>
      <c r="W15" s="245" t="str">
        <f>"{"&amp;"'coin':"&amp;表1_86121822242636[[#This Row],[补偿Coin]]&amp;",'"&amp;配置!$A$2&amp;"':"&amp;表1_86121822242636[[#This Row],[补偿辎重]]&amp;"},"</f>
        <v>{'coin':1500,'item036':15},</v>
      </c>
      <c r="X15" s="254" t="str">
        <f>"            'to_zone':'"&amp;表1_86121822242636[[#This Row],[目标区服]]&amp;"',
            'reward':"&amp;表1_86121822242636[[#This Row],[辅助导出]]&amp;"
            'country':["&amp;R14&amp;","&amp;R15&amp;","&amp;R16&amp;"],"</f>
        <v>            'to_zone':'h1_38',
            'reward':{'coin':1500,'item036':15},
            'country':[0,1,2],</v>
      </c>
    </row>
    <row r="16" ht="14.25" customHeight="1" spans="1:24">
      <c r="A16" s="210">
        <v>95</v>
      </c>
      <c r="B16" s="210">
        <f>VLOOKUP(表1_86121822242636[[#This Row],[区服]],$O$26:$P$33,2,FALSE)</f>
        <v>48</v>
      </c>
      <c r="C16" s="296" t="s">
        <v>77</v>
      </c>
      <c r="D16" s="212" t="str">
        <f>表1_86121822242636[[#This Row],[目标国家]]</f>
        <v>吴</v>
      </c>
      <c r="E16" s="213">
        <f>(VLOOKUP(表1_86121822242636[[#This Row],[目标区服]],$Q$26:$R$29,2,FALSE)-表1_86121822242636[[#This Row],[开服天数]])*配置!$B$1</f>
        <v>1500</v>
      </c>
      <c r="F16" s="213">
        <f>表1_86121822242636[[#This Row],[补偿Coin]]*(表1_86121822242636[[#This Row],[活跃高战玩家数]]+表1_86121822242636[[#This Row],[活跃中坚玩家数]])</f>
        <v>40500</v>
      </c>
      <c r="G16" s="213">
        <f>(VLOOKUP(表1_86121822242636[[#This Row],[目标区服]],$Q$26:$R$29,2,FALSE)-表1_86121822242636[[#This Row],[开服天数]])*配置!$B$2</f>
        <v>15</v>
      </c>
      <c r="H16" s="212" t="s">
        <v>27</v>
      </c>
      <c r="I16" s="212">
        <f>IF(表1_86121822242636[[#This Row],[原国家]]="魏",0,IF(表1_86121822242636[[#This Row],[原国家]]="蜀",1,2))</f>
        <v>2</v>
      </c>
      <c r="J16" s="213">
        <v>4</v>
      </c>
      <c r="K16" s="213">
        <v>211</v>
      </c>
      <c r="L16" s="213">
        <v>5</v>
      </c>
      <c r="M16" s="213">
        <v>22</v>
      </c>
      <c r="N16" s="213">
        <v>126589</v>
      </c>
      <c r="O16" s="213">
        <v>2530715</v>
      </c>
      <c r="P16" s="420">
        <v>24382160</v>
      </c>
      <c r="Q16" s="243" t="s">
        <v>27</v>
      </c>
      <c r="R16" s="212">
        <f>IF(表1_86121822242636[[#This Row],[目标国家]]="魏",0,IF(表1_86121822242636[[#This Row],[目标国家]]="蜀",1,2))</f>
        <v>2</v>
      </c>
      <c r="S16" s="213">
        <v>30848</v>
      </c>
      <c r="T16" s="213">
        <v>0</v>
      </c>
      <c r="U16" s="213">
        <v>383932</v>
      </c>
      <c r="V16" s="213">
        <v>9229</v>
      </c>
      <c r="W16" s="245" t="str">
        <f>"{"&amp;"'coin':"&amp;表1_86121822242636[[#This Row],[补偿Coin]]&amp;",'"&amp;配置!$A$2&amp;"':"&amp;表1_86121822242636[[#This Row],[补偿辎重]]&amp;"},"</f>
        <v>{'coin':1500,'item036':15},</v>
      </c>
      <c r="X16" s="254" t="str">
        <f t="shared" ref="X16" si="2">"      },"</f>
        <v>      },</v>
      </c>
    </row>
    <row r="17" ht="14.25" customHeight="1" spans="1:24">
      <c r="A17" s="210">
        <v>96</v>
      </c>
      <c r="B17" s="210">
        <f>VLOOKUP(表1_86121822242636[[#This Row],[区服]],$O$26:$P$33,2,FALSE)</f>
        <v>47</v>
      </c>
      <c r="C17" s="296" t="s">
        <v>77</v>
      </c>
      <c r="D17" s="212" t="str">
        <f>表1_86121822242636[[#This Row],[目标国家]]</f>
        <v>吴</v>
      </c>
      <c r="E17" s="213">
        <f>(VLOOKUP(表1_86121822242636[[#This Row],[目标区服]],$Q$26:$R$29,2,FALSE)-表1_86121822242636[[#This Row],[开服天数]])*配置!$B$1</f>
        <v>2000</v>
      </c>
      <c r="F17" s="213">
        <f>表1_86121822242636[[#This Row],[补偿Coin]]*(表1_86121822242636[[#This Row],[活跃高战玩家数]]+表1_86121822242636[[#This Row],[活跃中坚玩家数]])</f>
        <v>46000</v>
      </c>
      <c r="G17" s="213">
        <f>(VLOOKUP(表1_86121822242636[[#This Row],[目标区服]],$Q$26:$R$29,2,FALSE)-表1_86121822242636[[#This Row],[开服天数]])*配置!$B$2</f>
        <v>20</v>
      </c>
      <c r="H17" s="212" t="s">
        <v>25</v>
      </c>
      <c r="I17" s="212">
        <f>IF(表1_86121822242636[[#This Row],[原国家]]="魏",0,IF(表1_86121822242636[[#This Row],[原国家]]="蜀",1,2))</f>
        <v>0</v>
      </c>
      <c r="J17" s="213">
        <v>4</v>
      </c>
      <c r="K17" s="213">
        <v>151</v>
      </c>
      <c r="L17" s="213">
        <v>3</v>
      </c>
      <c r="M17" s="213">
        <v>20</v>
      </c>
      <c r="N17" s="213">
        <v>106183</v>
      </c>
      <c r="O17" s="213">
        <v>3843545</v>
      </c>
      <c r="P17" s="420">
        <v>20736310</v>
      </c>
      <c r="Q17" s="243" t="s">
        <v>27</v>
      </c>
      <c r="R17" s="212">
        <f>IF(表1_86121822242636[[#This Row],[目标国家]]="魏",0,IF(表1_86121822242636[[#This Row],[目标国家]]="蜀",1,2))</f>
        <v>2</v>
      </c>
      <c r="S17" s="213">
        <v>102854</v>
      </c>
      <c r="T17" s="213">
        <v>0</v>
      </c>
      <c r="U17" s="213">
        <v>448903</v>
      </c>
      <c r="V17" s="213">
        <v>11668</v>
      </c>
      <c r="W17" s="245" t="str">
        <f>"{"&amp;"'coin':"&amp;表1_86121822242636[[#This Row],[补偿Coin]]&amp;",'"&amp;配置!$A$2&amp;"':"&amp;表1_86121822242636[[#This Row],[补偿辎重]]&amp;"},"</f>
        <v>{'coin':2000,'item036':20},</v>
      </c>
      <c r="X17" s="254" t="str">
        <f>"      '"&amp;表1_86121822242636[[#This Row],[区服]]&amp;"':{"</f>
        <v>      '96':{</v>
      </c>
    </row>
    <row r="18" ht="14.25" customHeight="1" spans="1:24">
      <c r="A18" s="210">
        <v>96</v>
      </c>
      <c r="B18" s="210">
        <f>VLOOKUP(表1_86121822242636[[#This Row],[区服]],$O$26:$P$33,2,FALSE)</f>
        <v>47</v>
      </c>
      <c r="C18" s="296" t="s">
        <v>77</v>
      </c>
      <c r="D18" s="212" t="str">
        <f>表1_86121822242636[[#This Row],[目标国家]]</f>
        <v>魏</v>
      </c>
      <c r="E18" s="213">
        <f>(VLOOKUP(表1_86121822242636[[#This Row],[目标区服]],$Q$26:$R$29,2,FALSE)-表1_86121822242636[[#This Row],[开服天数]])*配置!$B$1</f>
        <v>2000</v>
      </c>
      <c r="F18" s="213">
        <f>表1_86121822242636[[#This Row],[补偿Coin]]*(表1_86121822242636[[#This Row],[活跃高战玩家数]]+表1_86121822242636[[#This Row],[活跃中坚玩家数]])</f>
        <v>46000</v>
      </c>
      <c r="G18" s="213">
        <f>(VLOOKUP(表1_86121822242636[[#This Row],[目标区服]],$Q$26:$R$29,2,FALSE)-表1_86121822242636[[#This Row],[开服天数]])*配置!$B$2</f>
        <v>20</v>
      </c>
      <c r="H18" s="212" t="s">
        <v>26</v>
      </c>
      <c r="I18" s="212">
        <f>IF(表1_86121822242636[[#This Row],[原国家]]="魏",0,IF(表1_86121822242636[[#This Row],[原国家]]="蜀",1,2))</f>
        <v>1</v>
      </c>
      <c r="J18" s="213">
        <v>3</v>
      </c>
      <c r="K18" s="213">
        <v>163</v>
      </c>
      <c r="L18" s="213">
        <v>2</v>
      </c>
      <c r="M18" s="213">
        <v>21</v>
      </c>
      <c r="N18" s="213">
        <v>94377</v>
      </c>
      <c r="O18" s="213">
        <v>2992587</v>
      </c>
      <c r="P18" s="420">
        <v>17859902</v>
      </c>
      <c r="Q18" s="243" t="s">
        <v>25</v>
      </c>
      <c r="R18" s="212">
        <f>IF(表1_86121822242636[[#This Row],[目标国家]]="魏",0,IF(表1_86121822242636[[#This Row],[目标国家]]="蜀",1,2))</f>
        <v>0</v>
      </c>
      <c r="S18" s="213">
        <v>83042</v>
      </c>
      <c r="T18" s="213">
        <v>998</v>
      </c>
      <c r="U18" s="213">
        <v>196074</v>
      </c>
      <c r="V18" s="213">
        <v>9779</v>
      </c>
      <c r="W18" s="245" t="str">
        <f>"{"&amp;"'coin':"&amp;表1_86121822242636[[#This Row],[补偿Coin]]&amp;",'"&amp;配置!$A$2&amp;"':"&amp;表1_86121822242636[[#This Row],[补偿辎重]]&amp;"},"</f>
        <v>{'coin':2000,'item036':20},</v>
      </c>
      <c r="X18" s="254" t="str">
        <f>"            'to_zone':'"&amp;表1_86121822242636[[#This Row],[目标区服]]&amp;"',
            'reward':"&amp;表1_86121822242636[[#This Row],[辅助导出]]&amp;"
            'country':["&amp;R17&amp;","&amp;R18&amp;","&amp;R19&amp;"],"</f>
        <v>            'to_zone':'h1_38',
            'reward':{'coin':2000,'item036':20},
            'country':[2,0,1],</v>
      </c>
    </row>
    <row r="19" ht="14.25" customHeight="1" spans="1:24">
      <c r="A19" s="210">
        <v>96</v>
      </c>
      <c r="B19" s="210">
        <f>VLOOKUP(表1_86121822242636[[#This Row],[区服]],$O$26:$P$33,2,FALSE)</f>
        <v>47</v>
      </c>
      <c r="C19" s="296" t="s">
        <v>77</v>
      </c>
      <c r="D19" s="212" t="str">
        <f>表1_86121822242636[[#This Row],[目标国家]]</f>
        <v>蜀</v>
      </c>
      <c r="E19" s="213">
        <f>(VLOOKUP(表1_86121822242636[[#This Row],[目标区服]],$Q$26:$R$29,2,FALSE)-表1_86121822242636[[#This Row],[开服天数]])*配置!$B$1</f>
        <v>2000</v>
      </c>
      <c r="F19" s="213">
        <f>表1_86121822242636[[#This Row],[补偿Coin]]*(表1_86121822242636[[#This Row],[活跃高战玩家数]]+表1_86121822242636[[#This Row],[活跃中坚玩家数]])</f>
        <v>42000</v>
      </c>
      <c r="G19" s="213">
        <f>(VLOOKUP(表1_86121822242636[[#This Row],[目标区服]],$Q$26:$R$29,2,FALSE)-表1_86121822242636[[#This Row],[开服天数]])*配置!$B$2</f>
        <v>20</v>
      </c>
      <c r="H19" s="212" t="s">
        <v>27</v>
      </c>
      <c r="I19" s="212">
        <f>IF(表1_86121822242636[[#This Row],[原国家]]="魏",0,IF(表1_86121822242636[[#This Row],[原国家]]="蜀",1,2))</f>
        <v>2</v>
      </c>
      <c r="J19" s="213">
        <v>2</v>
      </c>
      <c r="K19" s="213">
        <v>81</v>
      </c>
      <c r="L19" s="213">
        <v>5</v>
      </c>
      <c r="M19" s="213">
        <v>16</v>
      </c>
      <c r="N19" s="213">
        <v>104369</v>
      </c>
      <c r="O19" s="213">
        <v>3180728</v>
      </c>
      <c r="P19" s="420">
        <v>19777008</v>
      </c>
      <c r="Q19" s="243" t="s">
        <v>26</v>
      </c>
      <c r="R19" s="212">
        <f>IF(表1_86121822242636[[#This Row],[目标国家]]="魏",0,IF(表1_86121822242636[[#This Row],[目标国家]]="蜀",1,2))</f>
        <v>1</v>
      </c>
      <c r="S19" s="213">
        <v>53016</v>
      </c>
      <c r="T19" s="213">
        <v>0</v>
      </c>
      <c r="U19" s="213">
        <v>321406</v>
      </c>
      <c r="V19" s="213">
        <v>8441</v>
      </c>
      <c r="W19" s="245" t="str">
        <f>"{"&amp;"'coin':"&amp;表1_86121822242636[[#This Row],[补偿Coin]]&amp;",'"&amp;配置!$A$2&amp;"':"&amp;表1_86121822242636[[#This Row],[补偿辎重]]&amp;"},"</f>
        <v>{'coin':2000,'item036':20},</v>
      </c>
      <c r="X19" s="254" t="str">
        <f t="shared" ref="X19" si="3">"      },"</f>
        <v>      },</v>
      </c>
    </row>
    <row r="20" ht="14.25" customHeight="1" spans="1:24">
      <c r="A20" s="17"/>
      <c r="B20" s="17" t="e">
        <f>VLOOKUP(表1_86121822242636[[#This Row],[区服]],$O$26:$P$33,2,FALSE)</f>
        <v>#N/A</v>
      </c>
      <c r="C20" s="18"/>
      <c r="D20" s="19" t="str">
        <f>表1_86121822242636[[#This Row],[目标国家]]</f>
        <v>魏</v>
      </c>
      <c r="E20" s="20" t="e">
        <f>(VLOOKUP(表1_86121822242636[[#This Row],[目标区服]],$Q$26:$R$29,2,FALSE)-表1_86121822242636[[#This Row],[开服天数]])*配置!$B$1</f>
        <v>#N/A</v>
      </c>
      <c r="F20" s="20" t="e">
        <f>表1_86121822242636[[#This Row],[补偿Coin]]*(表1_86121822242636[[#This Row],[活跃高战玩家数]]+表1_86121822242636[[#This Row],[活跃中坚玩家数]])</f>
        <v>#N/A</v>
      </c>
      <c r="G20" s="20" t="e">
        <f>(VLOOKUP(表1_86121822242636[[#This Row],[目标区服]],$Q$26:$R$29,2,FALSE)-表1_86121822242636[[#This Row],[开服天数]])*配置!$B$2</f>
        <v>#N/A</v>
      </c>
      <c r="H20" s="19" t="s">
        <v>25</v>
      </c>
      <c r="I20" s="19">
        <f>IF(表1_86121822242636[[#This Row],[原国家]]="魏",0,IF(表1_86121822242636[[#This Row],[原国家]]="蜀",1,2))</f>
        <v>0</v>
      </c>
      <c r="J20" s="20"/>
      <c r="K20" s="20"/>
      <c r="L20" s="20"/>
      <c r="M20" s="20"/>
      <c r="N20" s="20"/>
      <c r="O20" s="20"/>
      <c r="P20" s="26"/>
      <c r="Q20" s="31" t="s">
        <v>25</v>
      </c>
      <c r="R20" s="19">
        <f>IF(表1_86121822242636[[#This Row],[目标国家]]="魏",0,IF(表1_86121822242636[[#This Row],[目标国家]]="蜀",1,2))</f>
        <v>0</v>
      </c>
      <c r="S20" s="20"/>
      <c r="T20" s="20"/>
      <c r="U20" s="20"/>
      <c r="V20" s="20"/>
      <c r="W20" s="33" t="e">
        <f>"{"&amp;"'coin':"&amp;表1_86121822242636[[#This Row],[补偿Coin]]&amp;",'"&amp;配置!$A$2&amp;"':"&amp;表1_86121822242636[[#This Row],[补偿辎重]]&amp;"},"</f>
        <v>#N/A</v>
      </c>
      <c r="X20" s="34" t="str">
        <f>"      '"&amp;表1_86121822242636[[#This Row],[区服]]&amp;"':{"</f>
        <v>      '':{</v>
      </c>
    </row>
    <row r="21" ht="14.25" customHeight="1" spans="1:24">
      <c r="A21" s="17"/>
      <c r="B21" s="17" t="e">
        <f>VLOOKUP(表1_86121822242636[[#This Row],[区服]],$O$26:$P$33,2,FALSE)</f>
        <v>#N/A</v>
      </c>
      <c r="C21" s="18"/>
      <c r="D21" s="19" t="str">
        <f>表1_86121822242636[[#This Row],[目标国家]]</f>
        <v>蜀</v>
      </c>
      <c r="E21" s="20" t="e">
        <f>(VLOOKUP(表1_86121822242636[[#This Row],[目标区服]],$Q$26:$R$29,2,FALSE)-表1_86121822242636[[#This Row],[开服天数]])*配置!$B$1</f>
        <v>#N/A</v>
      </c>
      <c r="F21" s="20" t="e">
        <f>表1_86121822242636[[#This Row],[补偿Coin]]*(表1_86121822242636[[#This Row],[活跃高战玩家数]]+表1_86121822242636[[#This Row],[活跃中坚玩家数]])</f>
        <v>#N/A</v>
      </c>
      <c r="G21" s="20" t="e">
        <f>(VLOOKUP(表1_86121822242636[[#This Row],[目标区服]],$Q$26:$R$29,2,FALSE)-表1_86121822242636[[#This Row],[开服天数]])*配置!$B$2</f>
        <v>#N/A</v>
      </c>
      <c r="H21" s="19" t="s">
        <v>26</v>
      </c>
      <c r="I21" s="19">
        <f>IF(表1_86121822242636[[#This Row],[原国家]]="魏",0,IF(表1_86121822242636[[#This Row],[原国家]]="蜀",1,2))</f>
        <v>1</v>
      </c>
      <c r="J21" s="20"/>
      <c r="K21" s="20"/>
      <c r="L21" s="20"/>
      <c r="M21" s="20"/>
      <c r="N21" s="20"/>
      <c r="O21" s="20"/>
      <c r="P21" s="26"/>
      <c r="Q21" s="31" t="s">
        <v>26</v>
      </c>
      <c r="R21" s="19">
        <f>IF(表1_86121822242636[[#This Row],[目标国家]]="魏",0,IF(表1_86121822242636[[#This Row],[目标国家]]="蜀",1,2))</f>
        <v>1</v>
      </c>
      <c r="S21" s="20"/>
      <c r="T21" s="20"/>
      <c r="U21" s="20"/>
      <c r="V21" s="20"/>
      <c r="W21" s="33" t="e">
        <f>"{"&amp;"'coin':"&amp;表1_86121822242636[[#This Row],[补偿Coin]]&amp;",'"&amp;配置!$A$2&amp;"':"&amp;表1_86121822242636[[#This Row],[补偿辎重]]&amp;"},"</f>
        <v>#N/A</v>
      </c>
      <c r="X21" s="34" t="e">
        <f>"            'to_zone':'"&amp;表1_86121822242636[[#This Row],[目标区服]]&amp;"',
            'reward':"&amp;表1_86121822242636[[#This Row],[辅助导出]]&amp;"
            'country':["&amp;R20&amp;","&amp;R21&amp;","&amp;R22&amp;"],"</f>
        <v>#N/A</v>
      </c>
    </row>
    <row r="22" ht="14.25" customHeight="1" spans="1:24">
      <c r="A22" s="17"/>
      <c r="B22" s="17" t="e">
        <f>VLOOKUP(表1_86121822242636[[#This Row],[区服]],$O$26:$P$33,2,FALSE)</f>
        <v>#N/A</v>
      </c>
      <c r="C22" s="18"/>
      <c r="D22" s="19" t="str">
        <f>表1_86121822242636[[#This Row],[目标国家]]</f>
        <v>吴</v>
      </c>
      <c r="E22" s="20" t="e">
        <f>(VLOOKUP(表1_86121822242636[[#This Row],[目标区服]],$Q$26:$R$29,2,FALSE)-表1_86121822242636[[#This Row],[开服天数]])*配置!$B$1</f>
        <v>#N/A</v>
      </c>
      <c r="F22" s="20" t="e">
        <f>表1_86121822242636[[#This Row],[补偿Coin]]*(表1_86121822242636[[#This Row],[活跃高战玩家数]]+表1_86121822242636[[#This Row],[活跃中坚玩家数]])</f>
        <v>#N/A</v>
      </c>
      <c r="G22" s="20" t="e">
        <f>(VLOOKUP(表1_86121822242636[[#This Row],[目标区服]],$Q$26:$R$29,2,FALSE)-表1_86121822242636[[#This Row],[开服天数]])*配置!$B$2</f>
        <v>#N/A</v>
      </c>
      <c r="H22" s="19" t="s">
        <v>27</v>
      </c>
      <c r="I22" s="19">
        <f>IF(表1_86121822242636[[#This Row],[原国家]]="魏",0,IF(表1_86121822242636[[#This Row],[原国家]]="蜀",1,2))</f>
        <v>2</v>
      </c>
      <c r="J22" s="20"/>
      <c r="K22" s="20"/>
      <c r="L22" s="20"/>
      <c r="M22" s="20"/>
      <c r="N22" s="20"/>
      <c r="O22" s="20"/>
      <c r="P22" s="26"/>
      <c r="Q22" s="31" t="s">
        <v>27</v>
      </c>
      <c r="R22" s="19">
        <f>IF(表1_86121822242636[[#This Row],[目标国家]]="魏",0,IF(表1_86121822242636[[#This Row],[目标国家]]="蜀",1,2))</f>
        <v>2</v>
      </c>
      <c r="S22" s="20"/>
      <c r="T22" s="20"/>
      <c r="U22" s="20"/>
      <c r="V22" s="20"/>
      <c r="W22" s="33" t="e">
        <f>"{"&amp;"'coin':"&amp;表1_86121822242636[[#This Row],[补偿Coin]]&amp;",'"&amp;配置!$A$2&amp;"':"&amp;表1_86121822242636[[#This Row],[补偿辎重]]&amp;"},"</f>
        <v>#N/A</v>
      </c>
      <c r="X22" s="34" t="str">
        <f t="shared" ref="X22" si="4">"      },"</f>
        <v>      },</v>
      </c>
    </row>
    <row r="25" ht="37.5" customHeight="1" spans="1:18">
      <c r="A25" s="36" t="s">
        <v>28</v>
      </c>
      <c r="B25" s="37" t="s">
        <v>29</v>
      </c>
      <c r="C25" s="38" t="s">
        <v>30</v>
      </c>
      <c r="D25" s="38" t="s">
        <v>31</v>
      </c>
      <c r="E25" s="38" t="s">
        <v>32</v>
      </c>
      <c r="F25" s="38" t="s">
        <v>33</v>
      </c>
      <c r="G25" s="38" t="s">
        <v>15</v>
      </c>
      <c r="H25" s="37" t="s">
        <v>18</v>
      </c>
      <c r="I25" s="37" t="s">
        <v>19</v>
      </c>
      <c r="J25" s="37" t="s">
        <v>34</v>
      </c>
      <c r="K25" s="38" t="s">
        <v>35</v>
      </c>
      <c r="L25" s="38" t="s">
        <v>36</v>
      </c>
      <c r="M25" s="38" t="s">
        <v>37</v>
      </c>
      <c r="O25" s="51" t="s">
        <v>0</v>
      </c>
      <c r="P25" s="51" t="s">
        <v>1</v>
      </c>
      <c r="Q25" s="51"/>
      <c r="R25" s="51" t="s">
        <v>38</v>
      </c>
    </row>
    <row r="26" ht="15" spans="1:18">
      <c r="A26" s="39" t="s">
        <v>76</v>
      </c>
      <c r="B26" s="39" t="s">
        <v>25</v>
      </c>
      <c r="C26" s="39">
        <f>COUNTIFS(表1_86121822242636[目标区服],表2_97131923252737[[#This Row],[合区区服]],表1_86121822242636[目标国家（映射）],表2_97131923252737[[#This Row],[国家]])</f>
        <v>3</v>
      </c>
      <c r="D26" s="39">
        <f>SUMIFS(表1_86121822242636[活跃高战玩家数],表1_86121822242636[目标区服],表2_97131923252737[[#This Row],[合区区服]],表1_86121822242636[目标国家（映射）],表2_97131923252737[[#This Row],[国家]])</f>
        <v>14</v>
      </c>
      <c r="E26" s="39">
        <f>SUMIFS(表1_86121822242636[活跃中坚玩家数],表1_86121822242636[目标区服],表2_97131923252737[[#This Row],[合区区服]],表1_86121822242636[目标国家（映射）],表2_97131923252737[[#This Row],[国家]])</f>
        <v>41</v>
      </c>
      <c r="F26" s="39">
        <f t="array" ref="F26">MAX((表1_86121822242636[目标区服]=表2_97131923252737[[#This Row],[合区区服]])*(表1_86121822242636[目标国家（映射）]=表2_97131923252737[[#This Row],[国家]])*表1_86121822242636[活跃尖端战力])</f>
        <v>3078844</v>
      </c>
      <c r="G26" s="40">
        <f>SUMIFS(表1_86121822242636[活跃总战力],表1_86121822242636[目标区服],表2_97131923252737[[#This Row],[合区区服]],表1_86121822242636[目标国家（映射）],表2_97131923252737[[#This Row],[国家]])</f>
        <v>49329226</v>
      </c>
      <c r="H26" s="39">
        <f>SUMIFS(表1_86121822242636[活跃实际充值],表1_86121822242636[目标区服],表2_97131923252737[[#This Row],[合区区服]],表1_86121822242636[目标国家（映射）],表2_97131923252737[[#This Row],[国家]])</f>
        <v>193654</v>
      </c>
      <c r="I26" s="39">
        <f>SUMIFS(表1_86121822242636[活跃虚拟充值],表1_86121822242636[目标区服],表2_97131923252737[[#This Row],[合区区服]],表1_86121822242636[目标国家（映射）],表2_97131923252737[[#This Row],[国家]])</f>
        <v>0</v>
      </c>
      <c r="J26" s="39">
        <f>SUMIFS(表1_86121822242636[活跃Coin],表1_86121822242636[目标区服],表2_97131923252737[[#This Row],[合区区服]],表1_86121822242636[目标国家（映射）],表2_97131923252737[[#This Row],[国家]])</f>
        <v>1473905</v>
      </c>
      <c r="K26" s="39">
        <f>SUMIFS(表1_86121822242636[共计补偿Coin],表1_86121822242636[目标区服],表2_97131923252737[[#This Row],[合区区服]],表1_86121822242636[目标国家（映射）],表2_97131923252737[[#This Row],[国家]])</f>
        <v>81000</v>
      </c>
      <c r="L26" s="39">
        <f>表2_97131923252737[[#This Row],[活跃Coin]]+表2_97131923252737[[#This Row],[共计补偿Coin]]</f>
        <v>1554905</v>
      </c>
      <c r="M26" s="39">
        <f>SUMIFS(表1_86121822242636[综合国力],表1_86121822242636[目标区服],表2_97131923252737[[#This Row],[合区区服]],表1_86121822242636[目标国家（映射）],表2_97131923252737[[#This Row],[国家]])</f>
        <v>25485</v>
      </c>
      <c r="O26" s="51">
        <v>91</v>
      </c>
      <c r="P26" s="51">
        <v>52</v>
      </c>
      <c r="Q26" s="51" t="s">
        <v>76</v>
      </c>
      <c r="R26" s="51">
        <v>54</v>
      </c>
    </row>
    <row r="27" ht="15" spans="1:18">
      <c r="A27" s="39" t="s">
        <v>76</v>
      </c>
      <c r="B27" s="39" t="s">
        <v>26</v>
      </c>
      <c r="C27" s="39">
        <f>COUNTIFS(表1_86121822242636[目标区服],表2_97131923252737[[#This Row],[合区区服]],表1_86121822242636[目标国家（映射）],表2_97131923252737[[#This Row],[国家]])</f>
        <v>3</v>
      </c>
      <c r="D27" s="39">
        <f>SUMIFS(表1_86121822242636[活跃高战玩家数],表1_86121822242636[目标区服],表2_97131923252737[[#This Row],[合区区服]],表1_86121822242636[目标国家（映射）],表2_97131923252737[[#This Row],[国家]])</f>
        <v>8</v>
      </c>
      <c r="E27" s="39">
        <f>SUMIFS(表1_86121822242636[活跃中坚玩家数],表1_86121822242636[目标区服],表2_97131923252737[[#This Row],[合区区服]],表1_86121822242636[目标国家（映射）],表2_97131923252737[[#This Row],[国家]])</f>
        <v>39</v>
      </c>
      <c r="F27" s="39">
        <f t="array" ref="F27">MAX((表1_86121822242636[目标区服]=表2_97131923252737[[#This Row],[合区区服]])*(表1_86121822242636[目标国家（映射）]=表2_97131923252737[[#This Row],[国家]])*表1_86121822242636[活跃尖端战力])</f>
        <v>3234047</v>
      </c>
      <c r="G27" s="40">
        <f>SUMIFS(表1_86121822242636[活跃总战力],表1_86121822242636[目标区服],表2_97131923252737[[#This Row],[合区区服]],表1_86121822242636[目标国家（映射）],表2_97131923252737[[#This Row],[国家]])</f>
        <v>46777564</v>
      </c>
      <c r="H27" s="39">
        <f>SUMIFS(表1_86121822242636[活跃实际充值],表1_86121822242636[目标区服],表2_97131923252737[[#This Row],[合区区服]],表1_86121822242636[目标国家（映射）],表2_97131923252737[[#This Row],[国家]])</f>
        <v>103484</v>
      </c>
      <c r="I27" s="39">
        <f>SUMIFS(表1_86121822242636[活跃虚拟充值],表1_86121822242636[目标区服],表2_97131923252737[[#This Row],[合区区服]],表1_86121822242636[目标国家（映射）],表2_97131923252737[[#This Row],[国家]])</f>
        <v>1676</v>
      </c>
      <c r="J27" s="39">
        <f>SUMIFS(表1_86121822242636[活跃Coin],表1_86121822242636[目标区服],表2_97131923252737[[#This Row],[合区区服]],表1_86121822242636[目标国家（映射）],表2_97131923252737[[#This Row],[国家]])</f>
        <v>1313668</v>
      </c>
      <c r="K27" s="39">
        <f>SUMIFS(表1_86121822242636[共计补偿Coin],表1_86121822242636[目标区服],表2_97131923252737[[#This Row],[合区区服]],表1_86121822242636[目标国家（映射）],表2_97131923252737[[#This Row],[国家]])</f>
        <v>63000</v>
      </c>
      <c r="L27" s="39">
        <f>表2_97131923252737[[#This Row],[活跃Coin]]+表2_97131923252737[[#This Row],[共计补偿Coin]]</f>
        <v>1376668</v>
      </c>
      <c r="M27" s="39">
        <f>SUMIFS(表1_86121822242636[综合国力],表1_86121822242636[目标区服],表2_97131923252737[[#This Row],[合区区服]],表1_86121822242636[目标国家（映射）],表2_97131923252737[[#This Row],[国家]])</f>
        <v>23556</v>
      </c>
      <c r="O27" s="51">
        <v>92</v>
      </c>
      <c r="P27" s="51">
        <v>51</v>
      </c>
      <c r="Q27" s="51" t="s">
        <v>77</v>
      </c>
      <c r="R27" s="51">
        <v>51</v>
      </c>
    </row>
    <row r="28" ht="15" spans="1:18">
      <c r="A28" s="39" t="s">
        <v>76</v>
      </c>
      <c r="B28" s="39" t="s">
        <v>27</v>
      </c>
      <c r="C28" s="39">
        <f>COUNTIFS(表1_86121822242636[目标区服],表2_97131923252737[[#This Row],[合区区服]],表1_86121822242636[目标国家（映射）],表2_97131923252737[[#This Row],[国家]])</f>
        <v>3</v>
      </c>
      <c r="D28" s="39">
        <f>SUMIFS(表1_86121822242636[活跃高战玩家数],表1_86121822242636[目标区服],表2_97131923252737[[#This Row],[合区区服]],表1_86121822242636[目标国家（映射）],表2_97131923252737[[#This Row],[国家]])</f>
        <v>7</v>
      </c>
      <c r="E28" s="39">
        <f>SUMIFS(表1_86121822242636[活跃中坚玩家数],表1_86121822242636[目标区服],表2_97131923252737[[#This Row],[合区区服]],表1_86121822242636[目标国家（映射）],表2_97131923252737[[#This Row],[国家]])</f>
        <v>39</v>
      </c>
      <c r="F28" s="39">
        <f t="array" ref="F28">MAX((表1_86121822242636[目标区服]=表2_97131923252737[[#This Row],[合区区服]])*(表1_86121822242636[目标国家（映射）]=表2_97131923252737[[#This Row],[国家]])*表1_86121822242636[活跃尖端战力])</f>
        <v>3618570</v>
      </c>
      <c r="G28" s="40">
        <f>SUMIFS(表1_86121822242636[活跃总战力],表1_86121822242636[目标区服],表2_97131923252737[[#This Row],[合区区服]],表1_86121822242636[目标国家（映射）],表2_97131923252737[[#This Row],[国家]])</f>
        <v>41847731</v>
      </c>
      <c r="H28" s="39">
        <f>SUMIFS(表1_86121822242636[活跃实际充值],表1_86121822242636[目标区服],表2_97131923252737[[#This Row],[合区区服]],表1_86121822242636[目标国家（映射）],表2_97131923252737[[#This Row],[国家]])</f>
        <v>165844</v>
      </c>
      <c r="I28" s="39">
        <f>SUMIFS(表1_86121822242636[活跃虚拟充值],表1_86121822242636[目标区服],表2_97131923252737[[#This Row],[合区区服]],表1_86121822242636[目标国家（映射）],表2_97131923252737[[#This Row],[国家]])</f>
        <v>0</v>
      </c>
      <c r="J28" s="39">
        <f>SUMIFS(表1_86121822242636[活跃Coin],表1_86121822242636[目标区服],表2_97131923252737[[#This Row],[合区区服]],表1_86121822242636[目标国家（映射）],表2_97131923252737[[#This Row],[国家]])</f>
        <v>921373</v>
      </c>
      <c r="K28" s="39">
        <f>SUMIFS(表1_86121822242636[共计补偿Coin],表1_86121822242636[目标区服],表2_97131923252737[[#This Row],[合区区服]],表1_86121822242636[目标国家（映射）],表2_97131923252737[[#This Row],[国家]])</f>
        <v>75500</v>
      </c>
      <c r="L28" s="39">
        <f>表2_97131923252737[[#This Row],[活跃Coin]]+表2_97131923252737[[#This Row],[共计补偿Coin]]</f>
        <v>996873</v>
      </c>
      <c r="M28" s="39">
        <f>SUMIFS(表1_86121822242636[综合国力],表1_86121822242636[目标区服],表2_97131923252737[[#This Row],[合区区服]],表1_86121822242636[目标国家（映射）],表2_97131923252737[[#This Row],[国家]])</f>
        <v>20993</v>
      </c>
      <c r="O28" s="51">
        <v>93</v>
      </c>
      <c r="P28" s="51">
        <v>50</v>
      </c>
      <c r="Q28" s="51"/>
      <c r="R28" s="51"/>
    </row>
    <row r="29" ht="15" spans="1:18">
      <c r="A29" s="41" t="s">
        <v>77</v>
      </c>
      <c r="B29" s="41" t="s">
        <v>25</v>
      </c>
      <c r="C29" s="41">
        <f>COUNTIFS(表1_86121822242636[目标区服],表2_97131923252737[[#This Row],[合区区服]],表1_86121822242636[目标国家（映射）],表2_97131923252737[[#This Row],[国家]])</f>
        <v>3</v>
      </c>
      <c r="D29" s="41">
        <f>SUMIFS(表1_86121822242636[活跃高战玩家数],表1_86121822242636[目标区服],表2_97131923252737[[#This Row],[合区区服]],表1_86121822242636[目标国家（映射）],表2_97131923252737[[#This Row],[国家]])</f>
        <v>8</v>
      </c>
      <c r="E29" s="41">
        <f>SUMIFS(表1_86121822242636[活跃中坚玩家数],表1_86121822242636[目标区服],表2_97131923252737[[#This Row],[合区区服]],表1_86121822242636[目标国家（映射）],表2_97131923252737[[#This Row],[国家]])</f>
        <v>53</v>
      </c>
      <c r="F29" s="41">
        <f t="array" ref="F29">MAX((表1_86121822242636[目标区服]=表2_97131923252737[[#This Row],[合区区服]])*(表1_86121822242636[目标国家（映射）]=表2_97131923252737[[#This Row],[国家]])*表1_86121822242636[活跃尖端战力])</f>
        <v>2992587</v>
      </c>
      <c r="G29" s="42">
        <f>SUMIFS(表1_86121822242636[活跃总战力],表1_86121822242636[目标区服],表2_97131923252737[[#This Row],[合区区服]],表1_86121822242636[目标国家（映射）],表2_97131923252737[[#This Row],[国家]])</f>
        <v>48024101</v>
      </c>
      <c r="H29" s="41">
        <f>SUMIFS(表1_86121822242636[活跃实际充值],表1_86121822242636[目标区服],表2_97131923252737[[#This Row],[合区区服]],表1_86121822242636[目标国家（映射）],表2_97131923252737[[#This Row],[国家]])</f>
        <v>168984</v>
      </c>
      <c r="I29" s="41">
        <f>SUMIFS(表1_86121822242636[活跃虚拟充值],表1_86121822242636[目标区服],表2_97131923252737[[#This Row],[合区区服]],表1_86121822242636[目标国家（映射）],表2_97131923252737[[#This Row],[国家]])</f>
        <v>998</v>
      </c>
      <c r="J29" s="41">
        <f>SUMIFS(表1_86121822242636[活跃Coin],表1_86121822242636[目标区服],表2_97131923252737[[#This Row],[合区区服]],表1_86121822242636[目标国家（映射）],表2_97131923252737[[#This Row],[国家]])</f>
        <v>764114</v>
      </c>
      <c r="K29" s="41">
        <f>SUMIFS(表1_86121822242636[共计补偿Coin],表1_86121822242636[目标区服],表2_97131923252737[[#This Row],[合区区服]],表1_86121822242636[目标国家（映射）],表2_97131923252737[[#This Row],[国家]])</f>
        <v>91000</v>
      </c>
      <c r="L29" s="41">
        <f>表2_97131923252737[[#This Row],[活跃Coin]]+表2_97131923252737[[#This Row],[共计补偿Coin]]</f>
        <v>855114</v>
      </c>
      <c r="M29" s="41">
        <f>SUMIFS(表1_86121822242636[综合国力],表1_86121822242636[目标区服],表2_97131923252737[[#This Row],[合区区服]],表1_86121822242636[目标国家（映射）],表2_97131923252737[[#This Row],[国家]])</f>
        <v>24477</v>
      </c>
      <c r="O29" s="51">
        <v>94</v>
      </c>
      <c r="P29" s="51">
        <v>49</v>
      </c>
      <c r="Q29" s="51"/>
      <c r="R29" s="51"/>
    </row>
    <row r="30" ht="15" spans="1:16">
      <c r="A30" s="41" t="s">
        <v>77</v>
      </c>
      <c r="B30" s="41" t="s">
        <v>26</v>
      </c>
      <c r="C30" s="41">
        <f>COUNTIFS(表1_86121822242636[目标区服],表2_97131923252737[[#This Row],[合区区服]],表1_86121822242636[目标国家（映射）],表2_97131923252737[[#This Row],[国家]])</f>
        <v>3</v>
      </c>
      <c r="D30" s="41">
        <f>SUMIFS(表1_86121822242636[活跃高战玩家数],表1_86121822242636[目标区服],表2_97131923252737[[#This Row],[合区区服]],表1_86121822242636[目标国家（映射）],表2_97131923252737[[#This Row],[国家]])</f>
        <v>10</v>
      </c>
      <c r="E30" s="41">
        <f>SUMIFS(表1_86121822242636[活跃中坚玩家数],表1_86121822242636[目标区服],表2_97131923252737[[#This Row],[合区区服]],表1_86121822242636[目标国家（映射）],表2_97131923252737[[#This Row],[国家]])</f>
        <v>52</v>
      </c>
      <c r="F30" s="41">
        <f t="array" ref="F30">MAX((表1_86121822242636[目标区服]=表2_97131923252737[[#This Row],[合区区服]])*(表1_86121822242636[目标国家（映射）]=表2_97131923252737[[#This Row],[国家]])*表1_86121822242636[活跃尖端战力])</f>
        <v>3180728</v>
      </c>
      <c r="G30" s="42">
        <f>SUMIFS(表1_86121822242636[活跃总战力],表1_86121822242636[目标区服],表2_97131923252737[[#This Row],[合区区服]],表1_86121822242636[目标国家（映射）],表2_97131923252737[[#This Row],[国家]])</f>
        <v>51566154</v>
      </c>
      <c r="H30" s="41">
        <f>SUMIFS(表1_86121822242636[活跃实际充值],表1_86121822242636[目标区服],表2_97131923252737[[#This Row],[合区区服]],表1_86121822242636[目标国家（映射）],表2_97131923252737[[#This Row],[国家]])</f>
        <v>129238</v>
      </c>
      <c r="I30" s="41">
        <f>SUMIFS(表1_86121822242636[活跃虚拟充值],表1_86121822242636[目标区服],表2_97131923252737[[#This Row],[合区区服]],表1_86121822242636[目标国家（映射）],表2_97131923252737[[#This Row],[国家]])</f>
        <v>0</v>
      </c>
      <c r="J30" s="41">
        <f>SUMIFS(表1_86121822242636[活跃Coin],表1_86121822242636[目标区服],表2_97131923252737[[#This Row],[合区区服]],表1_86121822242636[目标国家（映射）],表2_97131923252737[[#This Row],[国家]])</f>
        <v>924012</v>
      </c>
      <c r="K30" s="41">
        <f>SUMIFS(表1_86121822242636[共计补偿Coin],表1_86121822242636[目标区服],表2_97131923252737[[#This Row],[合区区服]],表1_86121822242636[目标国家（映射）],表2_97131923252737[[#This Row],[国家]])</f>
        <v>92000</v>
      </c>
      <c r="L30" s="41">
        <f>表2_97131923252737[[#This Row],[活跃Coin]]+表2_97131923252737[[#This Row],[共计补偿Coin]]</f>
        <v>1016012</v>
      </c>
      <c r="M30" s="41">
        <f>SUMIFS(表1_86121822242636[综合国力],表1_86121822242636[目标区服],表2_97131923252737[[#This Row],[合区区服]],表1_86121822242636[目标国家（映射）],表2_97131923252737[[#This Row],[国家]])</f>
        <v>22132</v>
      </c>
      <c r="O30" s="51">
        <v>95</v>
      </c>
      <c r="P30" s="51">
        <v>48</v>
      </c>
    </row>
    <row r="31" ht="15" spans="1:16">
      <c r="A31" s="41" t="s">
        <v>77</v>
      </c>
      <c r="B31" s="43" t="s">
        <v>27</v>
      </c>
      <c r="C31" s="43">
        <f>COUNTIFS(表1_86121822242636[目标区服],表2_97131923252737[[#This Row],[合区区服]],表1_86121822242636[目标国家（映射）],表2_97131923252737[[#This Row],[国家]])</f>
        <v>3</v>
      </c>
      <c r="D31" s="43">
        <f>SUMIFS(表1_86121822242636[活跃高战玩家数],表1_86121822242636[目标区服],表2_97131923252737[[#This Row],[合区区服]],表1_86121822242636[目标国家（映射）],表2_97131923252737[[#This Row],[国家]])</f>
        <v>8</v>
      </c>
      <c r="E31" s="43">
        <f>SUMIFS(表1_86121822242636[活跃中坚玩家数],表1_86121822242636[目标区服],表2_97131923252737[[#This Row],[合区区服]],表1_86121822242636[目标国家（映射）],表2_97131923252737[[#This Row],[国家]])</f>
        <v>48</v>
      </c>
      <c r="F31" s="43">
        <f t="array" ref="F31">MAX((表1_86121822242636[目标区服]=表2_97131923252737[[#This Row],[合区区服]])*(表1_86121822242636[目标国家（映射）]=表2_97131923252737[[#This Row],[国家]])*表1_86121822242636[活跃尖端战力])</f>
        <v>3843545</v>
      </c>
      <c r="G31" s="44">
        <f>SUMIFS(表1_86121822242636[活跃总战力],表1_86121822242636[目标区服],表2_97131923252737[[#This Row],[合区区服]],表1_86121822242636[目标国家（映射）],表2_97131923252737[[#This Row],[国家]])</f>
        <v>49343772</v>
      </c>
      <c r="H31" s="43">
        <f>SUMIFS(表1_86121822242636[活跃实际充值],表1_86121822242636[目标区服],表2_97131923252737[[#This Row],[合区区服]],表1_86121822242636[目标国家（映射）],表2_97131923252737[[#This Row],[国家]])</f>
        <v>135126</v>
      </c>
      <c r="I31" s="43">
        <f>SUMIFS(表1_86121822242636[活跃虚拟充值],表1_86121822242636[目标区服],表2_97131923252737[[#This Row],[合区区服]],表1_86121822242636[目标国家（映射）],表2_97131923252737[[#This Row],[国家]])</f>
        <v>0</v>
      </c>
      <c r="J31" s="43">
        <f>SUMIFS(表1_86121822242636[活跃Coin],表1_86121822242636[目标区服],表2_97131923252737[[#This Row],[合区区服]],表1_86121822242636[目标国家（映射）],表2_97131923252737[[#This Row],[国家]])</f>
        <v>1028167</v>
      </c>
      <c r="K31" s="43">
        <f>SUMIFS(表1_86121822242636[共计补偿Coin],表1_86121822242636[目标区服],表2_97131923252737[[#This Row],[合区区服]],表1_86121822242636[目标国家（映射）],表2_97131923252737[[#This Row],[国家]])</f>
        <v>92500</v>
      </c>
      <c r="L31" s="43">
        <f>表2_97131923252737[[#This Row],[活跃Coin]]+表2_97131923252737[[#This Row],[共计补偿Coin]]</f>
        <v>1120667</v>
      </c>
      <c r="M31" s="43">
        <f>SUMIFS(表1_86121822242636[综合国力],表1_86121822242636[目标区服],表2_97131923252737[[#This Row],[合区区服]],表1_86121822242636[目标国家（映射）],表2_97131923252737[[#This Row],[国家]])</f>
        <v>23856</v>
      </c>
      <c r="O31" s="51">
        <v>96</v>
      </c>
      <c r="P31" s="51">
        <v>47</v>
      </c>
    </row>
    <row r="32" ht="15" spans="1:16">
      <c r="A32" s="45"/>
      <c r="B32" s="46" t="s">
        <v>25</v>
      </c>
      <c r="C32" s="46">
        <f>COUNTIFS(表1_86121822242636[目标区服],表2_97131923252737[[#This Row],[合区区服]],表1_86121822242636[目标国家（映射）],表2_97131923252737[[#This Row],[国家]])</f>
        <v>0</v>
      </c>
      <c r="D32" s="46">
        <f>SUMIFS(表1_86121822242636[活跃高战玩家数],表1_86121822242636[目标区服],表2_97131923252737[[#This Row],[合区区服]],表1_86121822242636[目标国家（映射）],表2_97131923252737[[#This Row],[国家]])</f>
        <v>0</v>
      </c>
      <c r="E32" s="46">
        <f>SUMIFS(表1_86121822242636[活跃中坚玩家数],表1_86121822242636[目标区服],表2_97131923252737[[#This Row],[合区区服]],表1_86121822242636[目标国家（映射）],表2_97131923252737[[#This Row],[国家]])</f>
        <v>0</v>
      </c>
      <c r="F32" s="46">
        <f t="array" ref="F32">MAX((表1_86121822242636[目标区服]=表2_97131923252737[[#This Row],[合区区服]])*(表1_86121822242636[目标国家（映射）]=表2_97131923252737[[#This Row],[国家]])*表1_86121822242636[活跃尖端战力])</f>
        <v>0</v>
      </c>
      <c r="G32" s="47">
        <f>SUMIFS(表1_86121822242636[活跃总战力],表1_86121822242636[目标区服],表2_97131923252737[[#This Row],[合区区服]],表1_86121822242636[目标国家（映射）],表2_97131923252737[[#This Row],[国家]])</f>
        <v>0</v>
      </c>
      <c r="H32" s="46">
        <f>SUMIFS(表1_86121822242636[活跃实际充值],表1_86121822242636[目标区服],表2_97131923252737[[#This Row],[合区区服]],表1_86121822242636[目标国家（映射）],表2_97131923252737[[#This Row],[国家]])</f>
        <v>0</v>
      </c>
      <c r="I32" s="46">
        <f>SUMIFS(表1_86121822242636[活跃虚拟充值],表1_86121822242636[目标区服],表2_97131923252737[[#This Row],[合区区服]],表1_86121822242636[目标国家（映射）],表2_97131923252737[[#This Row],[国家]])</f>
        <v>0</v>
      </c>
      <c r="J32" s="46">
        <f>SUMIFS(表1_86121822242636[活跃Coin],表1_86121822242636[目标区服],表2_97131923252737[[#This Row],[合区区服]],表1_86121822242636[目标国家（映射）],表2_97131923252737[[#This Row],[国家]])</f>
        <v>0</v>
      </c>
      <c r="K32" s="46">
        <f>SUMIFS(表1_86121822242636[共计补偿Coin],表1_86121822242636[目标区服],表2_97131923252737[[#This Row],[合区区服]],表1_86121822242636[目标国家（映射）],表2_97131923252737[[#This Row],[国家]])</f>
        <v>0</v>
      </c>
      <c r="L32" s="46">
        <f>表2_97131923252737[[#This Row],[活跃Coin]]+表2_97131923252737[[#This Row],[共计补偿Coin]]</f>
        <v>0</v>
      </c>
      <c r="M32" s="46">
        <f>SUMIFS(表1_86121822242636[综合国力],表1_86121822242636[目标区服],表2_97131923252737[[#This Row],[合区区服]],表1_86121822242636[目标国家（映射）],表2_97131923252737[[#This Row],[国家]])</f>
        <v>0</v>
      </c>
      <c r="O32" s="51"/>
      <c r="P32" s="51"/>
    </row>
    <row r="33" ht="15" spans="1:16">
      <c r="A33" s="45"/>
      <c r="B33" s="46" t="s">
        <v>26</v>
      </c>
      <c r="C33" s="46">
        <f>COUNTIFS(表1_86121822242636[目标区服],表2_97131923252737[[#This Row],[合区区服]],表1_86121822242636[目标国家（映射）],表2_97131923252737[[#This Row],[国家]])</f>
        <v>0</v>
      </c>
      <c r="D33" s="46">
        <f>SUMIFS(表1_86121822242636[活跃高战玩家数],表1_86121822242636[目标区服],表2_97131923252737[[#This Row],[合区区服]],表1_86121822242636[目标国家（映射）],表2_97131923252737[[#This Row],[国家]])</f>
        <v>0</v>
      </c>
      <c r="E33" s="46">
        <f>SUMIFS(表1_86121822242636[活跃中坚玩家数],表1_86121822242636[目标区服],表2_97131923252737[[#This Row],[合区区服]],表1_86121822242636[目标国家（映射）],表2_97131923252737[[#This Row],[国家]])</f>
        <v>0</v>
      </c>
      <c r="F33" s="46">
        <f t="array" ref="F33">MAX((表1_86121822242636[目标区服]=表2_97131923252737[[#This Row],[合区区服]])*(表1_86121822242636[目标国家（映射）]=表2_97131923252737[[#This Row],[国家]])*表1_86121822242636[活跃尖端战力])</f>
        <v>0</v>
      </c>
      <c r="G33" s="47">
        <f>SUMIFS(表1_86121822242636[活跃总战力],表1_86121822242636[目标区服],表2_97131923252737[[#This Row],[合区区服]],表1_86121822242636[目标国家（映射）],表2_97131923252737[[#This Row],[国家]])</f>
        <v>0</v>
      </c>
      <c r="H33" s="46">
        <f>SUMIFS(表1_86121822242636[活跃实际充值],表1_86121822242636[目标区服],表2_97131923252737[[#This Row],[合区区服]],表1_86121822242636[目标国家（映射）],表2_97131923252737[[#This Row],[国家]])</f>
        <v>0</v>
      </c>
      <c r="I33" s="46">
        <f>SUMIFS(表1_86121822242636[活跃虚拟充值],表1_86121822242636[目标区服],表2_97131923252737[[#This Row],[合区区服]],表1_86121822242636[目标国家（映射）],表2_97131923252737[[#This Row],[国家]])</f>
        <v>0</v>
      </c>
      <c r="J33" s="46">
        <f>SUMIFS(表1_86121822242636[活跃Coin],表1_86121822242636[目标区服],表2_97131923252737[[#This Row],[合区区服]],表1_86121822242636[目标国家（映射）],表2_97131923252737[[#This Row],[国家]])</f>
        <v>0</v>
      </c>
      <c r="K33" s="46">
        <f>SUMIFS(表1_86121822242636[共计补偿Coin],表1_86121822242636[目标区服],表2_97131923252737[[#This Row],[合区区服]],表1_86121822242636[目标国家（映射）],表2_97131923252737[[#This Row],[国家]])</f>
        <v>0</v>
      </c>
      <c r="L33" s="46">
        <f>表2_97131923252737[[#This Row],[活跃Coin]]+表2_97131923252737[[#This Row],[共计补偿Coin]]</f>
        <v>0</v>
      </c>
      <c r="M33" s="46">
        <f>SUMIFS(表1_86121822242636[综合国力],表1_86121822242636[目标区服],表2_97131923252737[[#This Row],[合区区服]],表1_86121822242636[目标国家（映射）],表2_97131923252737[[#This Row],[国家]])</f>
        <v>0</v>
      </c>
      <c r="O33" s="51"/>
      <c r="P33" s="51"/>
    </row>
    <row r="34" ht="15" spans="1:13">
      <c r="A34" s="45"/>
      <c r="B34" s="48" t="s">
        <v>27</v>
      </c>
      <c r="C34" s="48">
        <f>COUNTIFS(表1_86121822242636[目标区服],表2_97131923252737[[#This Row],[合区区服]],表1_86121822242636[目标国家（映射）],表2_97131923252737[[#This Row],[国家]])</f>
        <v>0</v>
      </c>
      <c r="D34" s="48">
        <f>SUMIFS(表1_86121822242636[活跃高战玩家数],表1_86121822242636[目标区服],表2_97131923252737[[#This Row],[合区区服]],表1_86121822242636[目标国家（映射）],表2_97131923252737[[#This Row],[国家]])</f>
        <v>0</v>
      </c>
      <c r="E34" s="48">
        <f>SUMIFS(表1_86121822242636[活跃中坚玩家数],表1_86121822242636[目标区服],表2_97131923252737[[#This Row],[合区区服]],表1_86121822242636[目标国家（映射）],表2_97131923252737[[#This Row],[国家]])</f>
        <v>0</v>
      </c>
      <c r="F34" s="48">
        <f t="array" ref="F34">MAX((表1_86121822242636[目标区服]=表2_97131923252737[[#This Row],[合区区服]])*(表1_86121822242636[目标国家（映射）]=表2_97131923252737[[#This Row],[国家]])*表1_86121822242636[活跃尖端战力])</f>
        <v>0</v>
      </c>
      <c r="G34" s="458">
        <f>SUMIFS(表1_86121822242636[活跃总战力],表1_86121822242636[目标区服],表2_97131923252737[[#This Row],[合区区服]],表1_86121822242636[目标国家（映射）],表2_97131923252737[[#This Row],[国家]])</f>
        <v>0</v>
      </c>
      <c r="H34" s="48">
        <f>SUMIFS(表1_86121822242636[活跃实际充值],表1_86121822242636[目标区服],表2_97131923252737[[#This Row],[合区区服]],表1_86121822242636[目标国家（映射）],表2_97131923252737[[#This Row],[国家]])</f>
        <v>0</v>
      </c>
      <c r="I34" s="48">
        <f>SUMIFS(表1_86121822242636[活跃虚拟充值],表1_86121822242636[目标区服],表2_97131923252737[[#This Row],[合区区服]],表1_86121822242636[目标国家（映射）],表2_97131923252737[[#This Row],[国家]])</f>
        <v>0</v>
      </c>
      <c r="J34" s="48">
        <f>SUMIFS(表1_86121822242636[活跃Coin],表1_86121822242636[目标区服],表2_97131923252737[[#This Row],[合区区服]],表1_86121822242636[目标国家（映射）],表2_97131923252737[[#This Row],[国家]])</f>
        <v>0</v>
      </c>
      <c r="K34" s="48">
        <f>SUMIFS(表1_86121822242636[共计补偿Coin],表1_86121822242636[目标区服],表2_97131923252737[[#This Row],[合区区服]],表1_86121822242636[目标国家（映射）],表2_97131923252737[[#This Row],[国家]])</f>
        <v>0</v>
      </c>
      <c r="L34" s="48">
        <f>表2_97131923252737[[#This Row],[活跃Coin]]+表2_97131923252737[[#This Row],[共计补偿Coin]]</f>
        <v>0</v>
      </c>
      <c r="M34" s="48">
        <f>SUMIFS(表1_86121822242636[综合国力],表1_86121822242636[目标区服],表2_97131923252737[[#This Row],[合区区服]],表1_86121822242636[目标国家（映射）],表2_97131923252737[[#This Row],[国家]])</f>
        <v>0</v>
      </c>
    </row>
    <row r="40" ht="27" spans="1:12">
      <c r="A40" s="49"/>
      <c r="B40" s="50" t="s">
        <v>9</v>
      </c>
      <c r="C40" s="50" t="s">
        <v>10</v>
      </c>
      <c r="D40" s="50" t="s">
        <v>11</v>
      </c>
      <c r="E40" s="50" t="s">
        <v>12</v>
      </c>
      <c r="F40" s="50" t="s">
        <v>13</v>
      </c>
      <c r="G40" s="50" t="s">
        <v>14</v>
      </c>
      <c r="H40" s="50" t="s">
        <v>15</v>
      </c>
      <c r="I40" s="50" t="s">
        <v>18</v>
      </c>
      <c r="J40" s="50" t="s">
        <v>19</v>
      </c>
      <c r="K40" s="50" t="s">
        <v>20</v>
      </c>
      <c r="L40" s="50" t="s">
        <v>21</v>
      </c>
    </row>
    <row r="41" spans="1:12">
      <c r="A41" s="50" t="s">
        <v>25</v>
      </c>
      <c r="B41" s="50">
        <v>0</v>
      </c>
      <c r="C41" s="50">
        <v>31</v>
      </c>
      <c r="D41" s="50">
        <v>3</v>
      </c>
      <c r="E41" s="50">
        <v>13</v>
      </c>
      <c r="F41" s="50">
        <v>63959</v>
      </c>
      <c r="G41" s="50">
        <v>2254832</v>
      </c>
      <c r="H41" s="50">
        <v>12407221</v>
      </c>
      <c r="I41" s="50">
        <v>42410</v>
      </c>
      <c r="J41" s="50">
        <v>0</v>
      </c>
      <c r="K41" s="50">
        <v>249260</v>
      </c>
      <c r="L41" s="50">
        <v>5522</v>
      </c>
    </row>
    <row r="42" spans="1:12">
      <c r="A42" s="50" t="s">
        <v>26</v>
      </c>
      <c r="B42" s="50">
        <v>9</v>
      </c>
      <c r="C42" s="50">
        <v>341</v>
      </c>
      <c r="D42" s="50">
        <v>5</v>
      </c>
      <c r="E42" s="50">
        <v>22</v>
      </c>
      <c r="F42" s="50">
        <v>167650</v>
      </c>
      <c r="G42" s="50">
        <v>3234047</v>
      </c>
      <c r="H42" s="50">
        <v>30508947</v>
      </c>
      <c r="I42" s="50">
        <v>74836</v>
      </c>
      <c r="J42" s="50">
        <v>1676</v>
      </c>
      <c r="K42" s="50">
        <v>897852</v>
      </c>
      <c r="L42" s="50">
        <v>14143</v>
      </c>
    </row>
    <row r="43" spans="1:12">
      <c r="A43" s="50" t="s">
        <v>27</v>
      </c>
      <c r="B43" s="50">
        <v>0</v>
      </c>
      <c r="C43" s="50">
        <v>23</v>
      </c>
      <c r="D43" s="50">
        <v>1</v>
      </c>
      <c r="E43" s="50">
        <v>11</v>
      </c>
      <c r="F43" s="50">
        <v>41672</v>
      </c>
      <c r="G43" s="50">
        <v>1558977</v>
      </c>
      <c r="H43" s="50">
        <v>8234698</v>
      </c>
      <c r="I43" s="50">
        <v>22774</v>
      </c>
      <c r="J43" s="50">
        <v>0</v>
      </c>
      <c r="K43" s="50">
        <v>118270</v>
      </c>
      <c r="L43" s="50">
        <v>3563</v>
      </c>
    </row>
    <row r="44" spans="1:12">
      <c r="A44" s="50" t="s">
        <v>25</v>
      </c>
      <c r="B44" s="50">
        <v>1</v>
      </c>
      <c r="C44" s="50">
        <v>89</v>
      </c>
      <c r="D44" s="50">
        <v>1</v>
      </c>
      <c r="E44" s="50">
        <v>8</v>
      </c>
      <c r="F44" s="50">
        <v>51661</v>
      </c>
      <c r="G44" s="50">
        <v>1560670</v>
      </c>
      <c r="H44" s="50">
        <v>7325784</v>
      </c>
      <c r="I44" s="50">
        <v>6342</v>
      </c>
      <c r="J44" s="50">
        <v>0</v>
      </c>
      <c r="K44" s="50">
        <v>80493</v>
      </c>
      <c r="L44" s="50">
        <v>3772</v>
      </c>
    </row>
    <row r="45" spans="1:12">
      <c r="A45" s="50" t="s">
        <v>26</v>
      </c>
      <c r="B45" s="50">
        <v>8</v>
      </c>
      <c r="C45" s="50">
        <v>239</v>
      </c>
      <c r="D45" s="50">
        <v>9</v>
      </c>
      <c r="E45" s="50">
        <v>17</v>
      </c>
      <c r="F45" s="50">
        <v>161576</v>
      </c>
      <c r="G45" s="50">
        <v>3078844</v>
      </c>
      <c r="H45" s="50">
        <v>26749867</v>
      </c>
      <c r="I45" s="50">
        <v>102600</v>
      </c>
      <c r="J45" s="50">
        <v>0</v>
      </c>
      <c r="K45" s="50">
        <v>795557</v>
      </c>
      <c r="L45" s="50">
        <v>13227</v>
      </c>
    </row>
    <row r="46" spans="1:12">
      <c r="A46" s="50" t="s">
        <v>27</v>
      </c>
      <c r="B46" s="50">
        <v>0</v>
      </c>
      <c r="C46" s="50">
        <v>67</v>
      </c>
      <c r="D46" s="50">
        <v>0</v>
      </c>
      <c r="E46" s="50">
        <v>8</v>
      </c>
      <c r="F46" s="50">
        <v>33511</v>
      </c>
      <c r="G46" s="50">
        <v>1446725</v>
      </c>
      <c r="H46" s="50">
        <v>4905960</v>
      </c>
      <c r="I46" s="50">
        <v>2274</v>
      </c>
      <c r="J46" s="50">
        <v>0</v>
      </c>
      <c r="K46" s="50">
        <v>205101</v>
      </c>
      <c r="L46" s="50">
        <v>2945</v>
      </c>
    </row>
    <row r="47" spans="1:12">
      <c r="A47" s="50" t="s">
        <v>25</v>
      </c>
      <c r="B47" s="50">
        <v>2</v>
      </c>
      <c r="C47" s="50">
        <v>89</v>
      </c>
      <c r="D47" s="50">
        <v>2</v>
      </c>
      <c r="E47" s="50">
        <v>11</v>
      </c>
      <c r="F47" s="50">
        <v>56665</v>
      </c>
      <c r="G47" s="50">
        <v>2671760</v>
      </c>
      <c r="H47" s="50">
        <v>10172138</v>
      </c>
      <c r="I47" s="50">
        <v>48644</v>
      </c>
      <c r="J47" s="50">
        <v>0</v>
      </c>
      <c r="K47" s="50">
        <v>429088</v>
      </c>
      <c r="L47" s="50">
        <v>6736</v>
      </c>
    </row>
    <row r="48" spans="1:12">
      <c r="A48" s="50" t="s">
        <v>26</v>
      </c>
      <c r="B48" s="50">
        <v>4</v>
      </c>
      <c r="C48" s="50">
        <v>187</v>
      </c>
      <c r="D48" s="50">
        <v>5</v>
      </c>
      <c r="E48" s="50">
        <v>20</v>
      </c>
      <c r="F48" s="50">
        <v>135525</v>
      </c>
      <c r="G48" s="50">
        <v>3618570</v>
      </c>
      <c r="H48" s="50">
        <v>26287249</v>
      </c>
      <c r="I48" s="50">
        <v>136728</v>
      </c>
      <c r="J48" s="50">
        <v>0</v>
      </c>
      <c r="K48" s="50">
        <v>722610</v>
      </c>
      <c r="L48" s="50">
        <v>13658</v>
      </c>
    </row>
    <row r="49" spans="1:12">
      <c r="A49" s="50" t="s">
        <v>27</v>
      </c>
      <c r="B49" s="50">
        <v>3</v>
      </c>
      <c r="C49" s="50">
        <v>119</v>
      </c>
      <c r="D49" s="50">
        <v>3</v>
      </c>
      <c r="E49" s="50">
        <v>9</v>
      </c>
      <c r="F49" s="50">
        <v>69170</v>
      </c>
      <c r="G49" s="50">
        <v>2599325</v>
      </c>
      <c r="H49" s="50">
        <v>11362657</v>
      </c>
      <c r="I49" s="50">
        <v>26374</v>
      </c>
      <c r="J49" s="50">
        <v>0</v>
      </c>
      <c r="K49" s="50">
        <v>210715</v>
      </c>
      <c r="L49" s="50">
        <v>6468</v>
      </c>
    </row>
    <row r="50" spans="1:12">
      <c r="A50" s="50" t="s">
        <v>25</v>
      </c>
      <c r="B50" s="50">
        <v>5</v>
      </c>
      <c r="C50" s="50">
        <v>208</v>
      </c>
      <c r="D50" s="50">
        <v>5</v>
      </c>
      <c r="E50" s="50">
        <v>19</v>
      </c>
      <c r="F50" s="50">
        <v>133001</v>
      </c>
      <c r="G50" s="50">
        <v>2160442</v>
      </c>
      <c r="H50" s="50">
        <v>19958922</v>
      </c>
      <c r="I50" s="50">
        <v>67506</v>
      </c>
      <c r="J50" s="50">
        <v>0</v>
      </c>
      <c r="K50" s="50">
        <v>454884</v>
      </c>
      <c r="L50" s="50">
        <v>9653</v>
      </c>
    </row>
    <row r="51" spans="1:12">
      <c r="A51" s="50" t="s">
        <v>26</v>
      </c>
      <c r="B51" s="50">
        <v>2</v>
      </c>
      <c r="C51" s="50">
        <v>103</v>
      </c>
      <c r="D51" s="50">
        <v>0</v>
      </c>
      <c r="E51" s="50">
        <v>6</v>
      </c>
      <c r="F51" s="50">
        <v>30705</v>
      </c>
      <c r="G51" s="50">
        <v>1012765</v>
      </c>
      <c r="H51" s="50">
        <v>4225302</v>
      </c>
      <c r="I51" s="50">
        <v>1424</v>
      </c>
      <c r="J51" s="50">
        <v>0</v>
      </c>
      <c r="K51" s="50">
        <v>195332</v>
      </c>
      <c r="L51" s="50">
        <v>2959</v>
      </c>
    </row>
    <row r="52" spans="1:12">
      <c r="A52" s="50" t="s">
        <v>27</v>
      </c>
      <c r="B52" s="50">
        <v>2</v>
      </c>
      <c r="C52" s="50">
        <v>84</v>
      </c>
      <c r="D52" s="50">
        <v>4</v>
      </c>
      <c r="E52" s="50">
        <v>19</v>
      </c>
      <c r="F52" s="50">
        <v>106372</v>
      </c>
      <c r="G52" s="50">
        <v>2340328</v>
      </c>
      <c r="H52" s="50">
        <v>16620431</v>
      </c>
      <c r="I52" s="50">
        <v>39748</v>
      </c>
      <c r="J52" s="50">
        <v>0</v>
      </c>
      <c r="K52" s="50">
        <v>383706</v>
      </c>
      <c r="L52" s="50">
        <v>6958</v>
      </c>
    </row>
    <row r="53" spans="1:12">
      <c r="A53" s="50" t="s">
        <v>25</v>
      </c>
      <c r="B53" s="50">
        <v>3</v>
      </c>
      <c r="C53" s="50">
        <v>80</v>
      </c>
      <c r="D53" s="50">
        <v>1</v>
      </c>
      <c r="E53" s="50">
        <v>13</v>
      </c>
      <c r="F53" s="50">
        <v>48843</v>
      </c>
      <c r="G53" s="50">
        <v>2071480</v>
      </c>
      <c r="H53" s="50">
        <v>10205277</v>
      </c>
      <c r="I53" s="50">
        <v>18436</v>
      </c>
      <c r="J53" s="50">
        <v>0</v>
      </c>
      <c r="K53" s="50">
        <v>113156</v>
      </c>
      <c r="L53" s="50">
        <v>5045</v>
      </c>
    </row>
    <row r="54" spans="1:12">
      <c r="A54" s="50" t="s">
        <v>26</v>
      </c>
      <c r="B54" s="50">
        <v>2</v>
      </c>
      <c r="C54" s="50">
        <v>104</v>
      </c>
      <c r="D54" s="50">
        <v>1</v>
      </c>
      <c r="E54" s="50">
        <v>17</v>
      </c>
      <c r="F54" s="50">
        <v>70308</v>
      </c>
      <c r="G54" s="50">
        <v>2421131</v>
      </c>
      <c r="H54" s="50">
        <v>15168715</v>
      </c>
      <c r="I54" s="50">
        <v>36474</v>
      </c>
      <c r="J54" s="50">
        <v>0</v>
      </c>
      <c r="K54" s="50">
        <v>218900</v>
      </c>
      <c r="L54" s="50">
        <v>6733</v>
      </c>
    </row>
    <row r="55" spans="1:12">
      <c r="A55" s="50" t="s">
        <v>27</v>
      </c>
      <c r="B55" s="50">
        <v>4</v>
      </c>
      <c r="C55" s="50">
        <v>211</v>
      </c>
      <c r="D55" s="50">
        <v>5</v>
      </c>
      <c r="E55" s="50">
        <v>22</v>
      </c>
      <c r="F55" s="50">
        <v>126589</v>
      </c>
      <c r="G55" s="50">
        <v>2530715</v>
      </c>
      <c r="H55" s="50">
        <v>24382160</v>
      </c>
      <c r="I55" s="50">
        <v>30848</v>
      </c>
      <c r="J55" s="50">
        <v>0</v>
      </c>
      <c r="K55" s="50">
        <v>383932</v>
      </c>
      <c r="L55" s="50">
        <v>9229</v>
      </c>
    </row>
    <row r="56" spans="1:12">
      <c r="A56" s="50" t="s">
        <v>25</v>
      </c>
      <c r="B56" s="50">
        <v>4</v>
      </c>
      <c r="C56" s="50">
        <v>151</v>
      </c>
      <c r="D56" s="50">
        <v>3</v>
      </c>
      <c r="E56" s="50">
        <v>20</v>
      </c>
      <c r="F56" s="50">
        <v>106183</v>
      </c>
      <c r="G56" s="50">
        <v>3843545</v>
      </c>
      <c r="H56" s="50">
        <v>20736310</v>
      </c>
      <c r="I56" s="50">
        <v>102854</v>
      </c>
      <c r="J56" s="50">
        <v>0</v>
      </c>
      <c r="K56" s="50">
        <v>448903</v>
      </c>
      <c r="L56" s="50">
        <v>11668</v>
      </c>
    </row>
    <row r="57" spans="1:12">
      <c r="A57" s="50" t="s">
        <v>26</v>
      </c>
      <c r="B57" s="50">
        <v>3</v>
      </c>
      <c r="C57" s="50">
        <v>163</v>
      </c>
      <c r="D57" s="50">
        <v>2</v>
      </c>
      <c r="E57" s="50">
        <v>21</v>
      </c>
      <c r="F57" s="50">
        <v>94377</v>
      </c>
      <c r="G57" s="50">
        <v>2992587</v>
      </c>
      <c r="H57" s="50">
        <v>17859902</v>
      </c>
      <c r="I57" s="50">
        <v>83042</v>
      </c>
      <c r="J57" s="50">
        <v>998</v>
      </c>
      <c r="K57" s="50">
        <v>196074</v>
      </c>
      <c r="L57" s="50">
        <v>9779</v>
      </c>
    </row>
    <row r="58" spans="1:12">
      <c r="A58" s="50" t="s">
        <v>27</v>
      </c>
      <c r="B58" s="50">
        <v>2</v>
      </c>
      <c r="C58" s="50">
        <v>81</v>
      </c>
      <c r="D58" s="50">
        <v>5</v>
      </c>
      <c r="E58" s="50">
        <v>16</v>
      </c>
      <c r="F58" s="50">
        <v>104369</v>
      </c>
      <c r="G58" s="50">
        <v>3180728</v>
      </c>
      <c r="H58" s="50">
        <v>19777008</v>
      </c>
      <c r="I58" s="50">
        <v>53016</v>
      </c>
      <c r="J58" s="50">
        <v>0</v>
      </c>
      <c r="K58" s="50">
        <v>321406</v>
      </c>
      <c r="L58" s="50">
        <v>8441</v>
      </c>
    </row>
    <row r="59" spans="1:12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</row>
    <row r="60" spans="1:12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</row>
    <row r="61" spans="1:13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t="s">
        <v>66</v>
      </c>
    </row>
  </sheetData>
  <conditionalFormatting sqref="F26:F28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{70287371-71d8-40cd-add5-a591a256cd9b}</x14:id>
        </ext>
      </extLst>
    </cfRule>
  </conditionalFormatting>
  <conditionalFormatting sqref="F29:F3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{9ef58a6b-2a62-4c9c-9135-80889ba3be8e}</x14:id>
        </ext>
      </extLst>
    </cfRule>
  </conditionalFormatting>
  <conditionalFormatting sqref="F32:F34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{6317eecc-5edf-44bf-859d-f72115ad724b}</x14:id>
        </ext>
      </extLst>
    </cfRule>
  </conditionalFormatting>
  <conditionalFormatting sqref="G26:G28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{a5c7d1b1-3ae5-468f-bc2c-df0ebd93130d}</x14:id>
        </ext>
      </extLst>
    </cfRule>
  </conditionalFormatting>
  <conditionalFormatting sqref="G29:G31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{34030753-2a7e-4946-9e6d-3f1351e16b27}</x14:id>
        </ext>
      </extLst>
    </cfRule>
  </conditionalFormatting>
  <conditionalFormatting sqref="G32:G34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{05dfce0f-ea4d-4d72-8a31-7b48c1d8e700}</x14:id>
        </ext>
      </extLst>
    </cfRule>
  </conditionalFormatting>
  <conditionalFormatting sqref="O2:O19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{db90d3cd-e429-4063-9478-cd56adf68ecd}</x14:id>
        </ext>
      </extLst>
    </cfRule>
  </conditionalFormatting>
  <conditionalFormatting sqref="O20:O2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{e796c92e-cb2d-45ce-a12c-c00bdadf41db}</x14:id>
        </ext>
      </extLst>
    </cfRule>
  </conditionalFormatting>
  <conditionalFormatting sqref="O26:O33">
    <cfRule type="cellIs" dxfId="37" priority="8" operator="equal">
      <formula>$S$26</formula>
    </cfRule>
  </conditionalFormatting>
  <conditionalFormatting sqref="P2:P19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{e8564954-d717-4f88-824f-76255d4ce663}</x14:id>
        </ext>
      </extLst>
    </cfRule>
  </conditionalFormatting>
  <conditionalFormatting sqref="P20:P2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{3087e3f5-8f1e-44f8-8b48-e21c2b095d30}</x14:id>
        </ext>
      </extLst>
    </cfRule>
  </conditionalFormatting>
  <conditionalFormatting sqref="Q2:Q22">
    <cfRule type="cellIs" dxfId="38" priority="5" operator="equal">
      <formula>配置!$D$4</formula>
    </cfRule>
    <cfRule type="cellIs" dxfId="39" priority="6" operator="equal">
      <formula>配置!$D$3</formula>
    </cfRule>
    <cfRule type="cellIs" dxfId="37" priority="7" operator="equal">
      <formula>配置!$D$2</formula>
    </cfRule>
  </conditionalFormatting>
  <conditionalFormatting sqref="Q26:Q29">
    <cfRule type="cellIs" dxfId="37" priority="9" operator="equal">
      <formula>$S$26</formula>
    </cfRule>
  </conditionalFormatting>
  <conditionalFormatting sqref="O23:O24 Q1:R1 Q2 Q4:Q5 Q7:Q8 Q10:Q11 Q13:Q14 Q16:Q17 Q19:Q20 Q22">
    <cfRule type="cellIs" dxfId="37" priority="17" operator="equal">
      <formula>配置!$D$2</formula>
    </cfRule>
  </conditionalFormatting>
  <conditionalFormatting sqref="Q2 Q4:Q5 Q7:Q8 Q10:Q11 Q13:Q14 Q16:Q17 Q19:Q20 Q22">
    <cfRule type="cellIs" dxfId="38" priority="16" operator="equal">
      <formula>配置!$D$4</formula>
    </cfRule>
  </conditionalFormatting>
  <dataValidations count="1">
    <dataValidation type="list" allowBlank="1" showInputMessage="1" showErrorMessage="1" sqref="Q2:Q22">
      <formula1>配置!$D$2:$D$4</formula1>
    </dataValidation>
  </dataValidations>
  <pageMargins left="0.7" right="0.7" top="0.75" bottom="0.75" header="0.3" footer="0.3"/>
  <pageSetup paperSize="9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0287371-71d8-40cd-add5-a591a256cd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9ef58a6b-2a62-4c9c-9135-80889ba3be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6317eecc-5edf-44bf-859d-f72115ad72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a5c7d1b1-3ae5-468f-bc2c-df0ebd9313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34030753-2a7e-4946-9e6d-3f1351e16b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05dfce0f-ea4d-4d72-8a31-7b48c1d8e7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db90d3cd-e429-4063-9478-cd56adf68e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e796c92e-cb2d-45ce-a12c-c00bdadf41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e8564954-d717-4f88-824f-76255d4ce6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3087e3f5-8f1e-44f8-8b48-e21c2b095d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1"/>
  <sheetViews>
    <sheetView workbookViewId="0">
      <selection activeCell="K20" sqref="K20"/>
    </sheetView>
  </sheetViews>
  <sheetFormatPr defaultColWidth="9" defaultRowHeight="13.5"/>
  <sheetData>
    <row r="1" s="1" customFormat="1" ht="27.75" spans="1:24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22</v>
      </c>
      <c r="X1" s="22" t="s">
        <v>23</v>
      </c>
    </row>
    <row r="2" s="354" customFormat="1" ht="14.25" customHeight="1" spans="1:24">
      <c r="A2" s="371">
        <v>5004</v>
      </c>
      <c r="B2" s="371">
        <f>VLOOKUP(表1_86121822242638[[#This Row],[区服]],$O$26:$P$33,2,FALSE)</f>
        <v>41</v>
      </c>
      <c r="C2" s="372" t="s">
        <v>78</v>
      </c>
      <c r="D2" s="373" t="str">
        <f>表1_86121822242638[[#This Row],[目标国家]]</f>
        <v>吴</v>
      </c>
      <c r="E2" s="374">
        <f>(VLOOKUP(表1_86121822242638[[#This Row],[目标区服]],$Q$26:$R$29,2,FALSE)-表1_86121822242638[[#This Row],[开服天数]])*配置!$B$1</f>
        <v>1000</v>
      </c>
      <c r="F2" s="374">
        <f>表1_86121822242638[[#This Row],[补偿Coin]]*(表1_86121822242638[[#This Row],[活跃高战玩家数]]+表1_86121822242638[[#This Row],[活跃中坚玩家数]])</f>
        <v>22000</v>
      </c>
      <c r="G2" s="374">
        <f>(VLOOKUP(表1_86121822242638[[#This Row],[目标区服]],$Q$26:$R$29,2,FALSE)-表1_86121822242638[[#This Row],[开服天数]])*配置!$B$2</f>
        <v>10</v>
      </c>
      <c r="H2" s="376" t="s">
        <v>25</v>
      </c>
      <c r="I2" s="376">
        <f>IF(表1_86121822242638[[#This Row],[原国家]]="魏",0,IF(表1_86121822242638[[#This Row],[原国家]]="蜀",1,2))</f>
        <v>0</v>
      </c>
      <c r="J2" s="380">
        <v>0</v>
      </c>
      <c r="K2" s="380">
        <v>76</v>
      </c>
      <c r="L2" s="380">
        <v>3</v>
      </c>
      <c r="M2" s="380">
        <v>19</v>
      </c>
      <c r="N2" s="380">
        <v>107225</v>
      </c>
      <c r="O2" s="380">
        <v>1663632</v>
      </c>
      <c r="P2" s="381">
        <v>14581584</v>
      </c>
      <c r="Q2" s="31" t="s">
        <v>27</v>
      </c>
      <c r="R2" s="376">
        <f>IF(表1_86121822242638[[#This Row],[目标国家]]="魏",0,IF(表1_86121822242638[[#This Row],[目标国家]]="蜀",1,2))</f>
        <v>2</v>
      </c>
      <c r="S2" s="380">
        <v>22924</v>
      </c>
      <c r="T2" s="380">
        <v>0</v>
      </c>
      <c r="U2" s="380">
        <v>172697</v>
      </c>
      <c r="V2" s="380">
        <v>5191</v>
      </c>
      <c r="W2" s="387" t="str">
        <f>"{"&amp;"'coin':"&amp;表1_86121822242638[[#This Row],[补偿Coin]]&amp;",'"&amp;配置!$A$2&amp;"':"&amp;表1_86121822242638[[#This Row],[补偿辎重]]&amp;"},"</f>
        <v>{'coin':1000,'item036':10},</v>
      </c>
      <c r="X2" s="388" t="str">
        <f>"      '"&amp;表1_86121822242638[[#This Row],[区服]]&amp;"':{"</f>
        <v>      '5004':{</v>
      </c>
    </row>
    <row r="3" s="354" customFormat="1" ht="14.25" customHeight="1" spans="1:24">
      <c r="A3" s="375">
        <v>5004</v>
      </c>
      <c r="B3" s="371">
        <f>VLOOKUP(表1_86121822242638[[#This Row],[区服]],$O$26:$P$33,2,FALSE)</f>
        <v>41</v>
      </c>
      <c r="C3" s="372" t="s">
        <v>78</v>
      </c>
      <c r="D3" s="376" t="str">
        <f>表1_86121822242638[[#This Row],[目标国家]]</f>
        <v>蜀</v>
      </c>
      <c r="E3" s="380">
        <f>(VLOOKUP(表1_86121822242638[[#This Row],[目标区服]],$Q$26:$R$29,2,FALSE)-表1_86121822242638[[#This Row],[开服天数]])*配置!$B$1</f>
        <v>1000</v>
      </c>
      <c r="F3" s="380">
        <f>表1_86121822242638[[#This Row],[补偿Coin]]*(表1_86121822242638[[#This Row],[活跃高战玩家数]]+表1_86121822242638[[#This Row],[活跃中坚玩家数]])</f>
        <v>24000</v>
      </c>
      <c r="G3" s="380">
        <f>(VLOOKUP(表1_86121822242638[[#This Row],[目标区服]],$Q$26:$R$29,2,FALSE)-表1_86121822242638[[#This Row],[开服天数]])*配置!$B$2</f>
        <v>10</v>
      </c>
      <c r="H3" s="376" t="s">
        <v>26</v>
      </c>
      <c r="I3" s="376">
        <f>IF(表1_86121822242638[[#This Row],[原国家]]="魏",0,IF(表1_86121822242638[[#This Row],[原国家]]="蜀",1,2))</f>
        <v>1</v>
      </c>
      <c r="J3" s="380">
        <v>6</v>
      </c>
      <c r="K3" s="380">
        <v>245</v>
      </c>
      <c r="L3" s="380">
        <v>6</v>
      </c>
      <c r="M3" s="380">
        <v>18</v>
      </c>
      <c r="N3" s="380">
        <v>135695</v>
      </c>
      <c r="O3" s="380">
        <v>2301826</v>
      </c>
      <c r="P3" s="381">
        <v>19871956</v>
      </c>
      <c r="Q3" s="31" t="s">
        <v>26</v>
      </c>
      <c r="R3" s="376">
        <f>IF(表1_86121822242638[[#This Row],[目标国家]]="魏",0,IF(表1_86121822242638[[#This Row],[目标国家]]="蜀",1,2))</f>
        <v>1</v>
      </c>
      <c r="S3" s="380">
        <v>62144</v>
      </c>
      <c r="T3" s="380">
        <v>0</v>
      </c>
      <c r="U3" s="380">
        <v>524305</v>
      </c>
      <c r="V3" s="380">
        <v>10143</v>
      </c>
      <c r="W3" s="387" t="str">
        <f>"{"&amp;"'coin':"&amp;表1_86121822242638[[#This Row],[补偿Coin]]&amp;",'"&amp;配置!$A$2&amp;"':"&amp;表1_86121822242638[[#This Row],[补偿辎重]]&amp;"},"</f>
        <v>{'coin':1000,'item036':10},</v>
      </c>
      <c r="X3" s="388" t="str">
        <f>"            'to_zone':'"&amp;表1_86121822242638[[#This Row],[目标区服]]&amp;"',
            'reward':"&amp;表1_86121822242638[[#This Row],[辅助导出]]&amp;"
            'country':["&amp;R2&amp;","&amp;R3&amp;","&amp;R4&amp;"],"</f>
        <v>            'to_zone':'h1_502',
            'reward':{'coin':1000,'item036':10},
            'country':[2,1,2],</v>
      </c>
    </row>
    <row r="4" s="354" customFormat="1" ht="14.25" customHeight="1" spans="1:24">
      <c r="A4" s="375">
        <v>5004</v>
      </c>
      <c r="B4" s="371">
        <f>VLOOKUP(表1_86121822242638[[#This Row],[区服]],$O$26:$P$33,2,FALSE)</f>
        <v>41</v>
      </c>
      <c r="C4" s="372" t="s">
        <v>78</v>
      </c>
      <c r="D4" s="376" t="str">
        <f>表1_86121822242638[[#This Row],[目标国家]]</f>
        <v>吴</v>
      </c>
      <c r="E4" s="380">
        <f>(VLOOKUP(表1_86121822242638[[#This Row],[目标区服]],$Q$26:$R$29,2,FALSE)-表1_86121822242638[[#This Row],[开服天数]])*配置!$B$1</f>
        <v>1000</v>
      </c>
      <c r="F4" s="380">
        <f>表1_86121822242638[[#This Row],[补偿Coin]]*(表1_86121822242638[[#This Row],[活跃高战玩家数]]+表1_86121822242638[[#This Row],[活跃中坚玩家数]])</f>
        <v>16000</v>
      </c>
      <c r="G4" s="380">
        <f>(VLOOKUP(表1_86121822242638[[#This Row],[目标区服]],$Q$26:$R$29,2,FALSE)-表1_86121822242638[[#This Row],[开服天数]])*配置!$B$2</f>
        <v>10</v>
      </c>
      <c r="H4" s="376" t="s">
        <v>27</v>
      </c>
      <c r="I4" s="376">
        <f>IF(表1_86121822242638[[#This Row],[原国家]]="魏",0,IF(表1_86121822242638[[#This Row],[原国家]]="蜀",1,2))</f>
        <v>2</v>
      </c>
      <c r="J4" s="380">
        <v>3</v>
      </c>
      <c r="K4" s="380">
        <v>74</v>
      </c>
      <c r="L4" s="380">
        <v>1</v>
      </c>
      <c r="M4" s="380">
        <v>15</v>
      </c>
      <c r="N4" s="380">
        <v>60983</v>
      </c>
      <c r="O4" s="380">
        <v>1137156</v>
      </c>
      <c r="P4" s="381">
        <v>8759788</v>
      </c>
      <c r="Q4" s="31" t="s">
        <v>27</v>
      </c>
      <c r="R4" s="376">
        <f>IF(表1_86121822242638[[#This Row],[目标国家]]="魏",0,IF(表1_86121822242638[[#This Row],[目标国家]]="蜀",1,2))</f>
        <v>2</v>
      </c>
      <c r="S4" s="380">
        <v>5016</v>
      </c>
      <c r="T4" s="380">
        <v>0</v>
      </c>
      <c r="U4" s="380">
        <v>80230</v>
      </c>
      <c r="V4" s="380">
        <v>3548</v>
      </c>
      <c r="W4" s="387" t="str">
        <f>"{"&amp;"'coin':"&amp;表1_86121822242638[[#This Row],[补偿Coin]]&amp;",'"&amp;配置!$A$2&amp;"':"&amp;表1_86121822242638[[#This Row],[补偿辎重]]&amp;"},"</f>
        <v>{'coin':1000,'item036':10},</v>
      </c>
      <c r="X4" s="388" t="str">
        <f>"      },"</f>
        <v>      },</v>
      </c>
    </row>
    <row r="5" s="354" customFormat="1" ht="14.25" customHeight="1" spans="1:24">
      <c r="A5" s="375">
        <v>5005</v>
      </c>
      <c r="B5" s="371">
        <f>VLOOKUP(表1_86121822242638[[#This Row],[区服]],$O$26:$P$33,2,FALSE)</f>
        <v>41</v>
      </c>
      <c r="C5" s="372" t="s">
        <v>78</v>
      </c>
      <c r="D5" s="376" t="str">
        <f>表1_86121822242638[[#This Row],[目标国家]]</f>
        <v>魏</v>
      </c>
      <c r="E5" s="380">
        <f>(VLOOKUP(表1_86121822242638[[#This Row],[目标区服]],$Q$26:$R$29,2,FALSE)-表1_86121822242638[[#This Row],[开服天数]])*配置!$B$1</f>
        <v>1000</v>
      </c>
      <c r="F5" s="380">
        <f>表1_86121822242638[[#This Row],[补偿Coin]]*(表1_86121822242638[[#This Row],[活跃高战玩家数]]+表1_86121822242638[[#This Row],[活跃中坚玩家数]])</f>
        <v>38000</v>
      </c>
      <c r="G5" s="380">
        <f>(VLOOKUP(表1_86121822242638[[#This Row],[目标区服]],$Q$26:$R$29,2,FALSE)-表1_86121822242638[[#This Row],[开服天数]])*配置!$B$2</f>
        <v>10</v>
      </c>
      <c r="H5" s="376" t="s">
        <v>25</v>
      </c>
      <c r="I5" s="376">
        <f>IF(表1_86121822242638[[#This Row],[原国家]]="魏",0,IF(表1_86121822242638[[#This Row],[原国家]]="蜀",1,2))</f>
        <v>0</v>
      </c>
      <c r="J5" s="380">
        <v>5</v>
      </c>
      <c r="K5" s="380">
        <v>220</v>
      </c>
      <c r="L5" s="380">
        <v>8</v>
      </c>
      <c r="M5" s="380">
        <v>30</v>
      </c>
      <c r="N5" s="380">
        <v>179212</v>
      </c>
      <c r="O5" s="380">
        <v>2331949</v>
      </c>
      <c r="P5" s="381">
        <v>30007476</v>
      </c>
      <c r="Q5" s="31" t="s">
        <v>25</v>
      </c>
      <c r="R5" s="376">
        <f>IF(表1_86121822242638[[#This Row],[目标国家]]="魏",0,IF(表1_86121822242638[[#This Row],[目标国家]]="蜀",1,2))</f>
        <v>0</v>
      </c>
      <c r="S5" s="380">
        <v>76526</v>
      </c>
      <c r="T5" s="380">
        <v>0</v>
      </c>
      <c r="U5" s="380">
        <v>474092</v>
      </c>
      <c r="V5" s="380">
        <v>11461</v>
      </c>
      <c r="W5" s="387" t="str">
        <f>"{"&amp;"'coin':"&amp;表1_86121822242638[[#This Row],[补偿Coin]]&amp;",'"&amp;配置!$A$2&amp;"':"&amp;表1_86121822242638[[#This Row],[补偿辎重]]&amp;"},"</f>
        <v>{'coin':1000,'item036':10},</v>
      </c>
      <c r="X5" s="388" t="str">
        <f>"      '"&amp;表1_86121822242638[[#This Row],[区服]]&amp;"':{"</f>
        <v>      '5005':{</v>
      </c>
    </row>
    <row r="6" s="354" customFormat="1" ht="14.25" customHeight="1" spans="1:24">
      <c r="A6" s="371">
        <v>5005</v>
      </c>
      <c r="B6" s="371">
        <f>VLOOKUP(表1_86121822242638[[#This Row],[区服]],$O$26:$P$33,2,FALSE)</f>
        <v>41</v>
      </c>
      <c r="C6" s="372" t="s">
        <v>78</v>
      </c>
      <c r="D6" s="376" t="str">
        <f>表1_86121822242638[[#This Row],[目标国家]]</f>
        <v>蜀</v>
      </c>
      <c r="E6" s="380">
        <f>(VLOOKUP(表1_86121822242638[[#This Row],[目标区服]],$Q$26:$R$29,2,FALSE)-表1_86121822242638[[#This Row],[开服天数]])*配置!$B$1</f>
        <v>1000</v>
      </c>
      <c r="F6" s="380">
        <f>表1_86121822242638[[#This Row],[补偿Coin]]*(表1_86121822242638[[#This Row],[活跃高战玩家数]]+表1_86121822242638[[#This Row],[活跃中坚玩家数]])</f>
        <v>23000</v>
      </c>
      <c r="G6" s="380">
        <f>(VLOOKUP(表1_86121822242638[[#This Row],[目标区服]],$Q$26:$R$29,2,FALSE)-表1_86121822242638[[#This Row],[开服天数]])*配置!$B$2</f>
        <v>10</v>
      </c>
      <c r="H6" s="376" t="s">
        <v>26</v>
      </c>
      <c r="I6" s="376">
        <f>IF(表1_86121822242638[[#This Row],[原国家]]="魏",0,IF(表1_86121822242638[[#This Row],[原国家]]="蜀",1,2))</f>
        <v>1</v>
      </c>
      <c r="J6" s="380">
        <v>2</v>
      </c>
      <c r="K6" s="380">
        <v>89</v>
      </c>
      <c r="L6" s="380">
        <v>0</v>
      </c>
      <c r="M6" s="380">
        <v>23</v>
      </c>
      <c r="N6" s="380">
        <v>59998</v>
      </c>
      <c r="O6" s="380">
        <v>1107603</v>
      </c>
      <c r="P6" s="381">
        <v>12392688</v>
      </c>
      <c r="Q6" s="31" t="s">
        <v>26</v>
      </c>
      <c r="R6" s="376">
        <f>IF(表1_86121822242638[[#This Row],[目标国家]]="魏",0,IF(表1_86121822242638[[#This Row],[目标国家]]="蜀",1,2))</f>
        <v>1</v>
      </c>
      <c r="S6" s="380">
        <v>17842</v>
      </c>
      <c r="T6" s="380">
        <v>0</v>
      </c>
      <c r="U6" s="380">
        <v>136915</v>
      </c>
      <c r="V6" s="380">
        <v>4340</v>
      </c>
      <c r="W6" s="387" t="str">
        <f>"{"&amp;"'coin':"&amp;表1_86121822242638[[#This Row],[补偿Coin]]&amp;",'"&amp;配置!$A$2&amp;"':"&amp;表1_86121822242638[[#This Row],[补偿辎重]]&amp;"},"</f>
        <v>{'coin':1000,'item036':10},</v>
      </c>
      <c r="X6" s="388" t="str">
        <f>"            'to_zone':'"&amp;表1_86121822242638[[#This Row],[目标区服]]&amp;"',
            'reward':"&amp;表1_86121822242638[[#This Row],[辅助导出]]&amp;"
            'country':["&amp;R5&amp;","&amp;R6&amp;","&amp;R7&amp;"],"</f>
        <v>            'to_zone':'h1_502',
            'reward':{'coin':1000,'item036':10},
            'country':[0,1,2],</v>
      </c>
    </row>
    <row r="7" s="354" customFormat="1" ht="14.25" customHeight="1" spans="1:24">
      <c r="A7" s="371">
        <v>5005</v>
      </c>
      <c r="B7" s="371">
        <f>VLOOKUP(表1_86121822242638[[#This Row],[区服]],$O$26:$P$33,2,FALSE)</f>
        <v>41</v>
      </c>
      <c r="C7" s="372" t="s">
        <v>78</v>
      </c>
      <c r="D7" s="376" t="str">
        <f>表1_86121822242638[[#This Row],[目标国家]]</f>
        <v>吴</v>
      </c>
      <c r="E7" s="380">
        <f>(VLOOKUP(表1_86121822242638[[#This Row],[目标区服]],$Q$26:$R$29,2,FALSE)-表1_86121822242638[[#This Row],[开服天数]])*配置!$B$1</f>
        <v>1000</v>
      </c>
      <c r="F7" s="380">
        <f>表1_86121822242638[[#This Row],[补偿Coin]]*(表1_86121822242638[[#This Row],[活跃高战玩家数]]+表1_86121822242638[[#This Row],[活跃中坚玩家数]])</f>
        <v>23000</v>
      </c>
      <c r="G7" s="380">
        <f>(VLOOKUP(表1_86121822242638[[#This Row],[目标区服]],$Q$26:$R$29,2,FALSE)-表1_86121822242638[[#This Row],[开服天数]])*配置!$B$2</f>
        <v>10</v>
      </c>
      <c r="H7" s="376" t="s">
        <v>27</v>
      </c>
      <c r="I7" s="376">
        <f>IF(表1_86121822242638[[#This Row],[原国家]]="魏",0,IF(表1_86121822242638[[#This Row],[原国家]]="蜀",1,2))</f>
        <v>2</v>
      </c>
      <c r="J7" s="380">
        <v>2</v>
      </c>
      <c r="K7" s="380">
        <v>86</v>
      </c>
      <c r="L7" s="380">
        <v>2</v>
      </c>
      <c r="M7" s="380">
        <v>21</v>
      </c>
      <c r="N7" s="380">
        <v>78610</v>
      </c>
      <c r="O7" s="380">
        <v>1239080</v>
      </c>
      <c r="P7" s="381">
        <v>14044936</v>
      </c>
      <c r="Q7" s="31" t="s">
        <v>27</v>
      </c>
      <c r="R7" s="376">
        <f>IF(表1_86121822242638[[#This Row],[目标国家]]="魏",0,IF(表1_86121822242638[[#This Row],[目标国家]]="蜀",1,2))</f>
        <v>2</v>
      </c>
      <c r="S7" s="380">
        <v>28598</v>
      </c>
      <c r="T7" s="380">
        <v>11044</v>
      </c>
      <c r="U7" s="380">
        <v>195678</v>
      </c>
      <c r="V7" s="380">
        <v>5162</v>
      </c>
      <c r="W7" s="387" t="str">
        <f>"{"&amp;"'coin':"&amp;表1_86121822242638[[#This Row],[补偿Coin]]&amp;",'"&amp;配置!$A$2&amp;"':"&amp;表1_86121822242638[[#This Row],[补偿辎重]]&amp;"},"</f>
        <v>{'coin':1000,'item036':10},</v>
      </c>
      <c r="X7" s="388" t="str">
        <f t="shared" ref="X7" si="0">"      },"</f>
        <v>      },</v>
      </c>
    </row>
    <row r="8" s="354" customFormat="1" ht="14.25" customHeight="1" spans="1:24">
      <c r="A8" s="259">
        <v>5006</v>
      </c>
      <c r="B8" s="210">
        <f>VLOOKUP(表1_86121822242638[[#This Row],[区服]],$O$26:$P$33,2,FALSE)</f>
        <v>40</v>
      </c>
      <c r="C8" s="296" t="s">
        <v>79</v>
      </c>
      <c r="D8" s="212" t="str">
        <f>表1_86121822242638[[#This Row],[目标国家]]</f>
        <v>魏</v>
      </c>
      <c r="E8" s="213">
        <f>(VLOOKUP(表1_86121822242638[[#This Row],[目标区服]],$Q$26:$R$29,2,FALSE)-表1_86121822242638[[#This Row],[开服天数]])*配置!$B$1</f>
        <v>1000</v>
      </c>
      <c r="F8" s="213">
        <f>表1_86121822242638[[#This Row],[补偿Coin]]*(表1_86121822242638[[#This Row],[活跃高战玩家数]]+表1_86121822242638[[#This Row],[活跃中坚玩家数]])</f>
        <v>26000</v>
      </c>
      <c r="G8" s="260">
        <f>(VLOOKUP(表1_86121822242638[[#This Row],[目标区服]],$Q$26:$R$29,2,FALSE)-表1_86121822242638[[#This Row],[开服天数]])*配置!$B$2</f>
        <v>10</v>
      </c>
      <c r="H8" s="212" t="s">
        <v>25</v>
      </c>
      <c r="I8" s="268">
        <f>IF(表1_86121822242638[[#This Row],[原国家]]="魏",0,IF(表1_86121822242638[[#This Row],[原国家]]="蜀",1,2))</f>
        <v>0</v>
      </c>
      <c r="J8" s="213">
        <v>9</v>
      </c>
      <c r="K8" s="213">
        <v>309</v>
      </c>
      <c r="L8" s="213">
        <v>7</v>
      </c>
      <c r="M8" s="213">
        <v>19</v>
      </c>
      <c r="N8" s="213">
        <v>137494</v>
      </c>
      <c r="O8" s="419">
        <v>2538680</v>
      </c>
      <c r="P8" s="420">
        <v>20264877</v>
      </c>
      <c r="Q8" s="31" t="s">
        <v>25</v>
      </c>
      <c r="R8" s="212">
        <f>IF(表1_86121822242638[[#This Row],[目标国家]]="魏",0,IF(表1_86121822242638[[#This Row],[目标国家]]="蜀",1,2))</f>
        <v>0</v>
      </c>
      <c r="S8" s="213">
        <v>78434</v>
      </c>
      <c r="T8" s="213">
        <v>0</v>
      </c>
      <c r="U8" s="213">
        <v>656001</v>
      </c>
      <c r="V8" s="213">
        <v>11923</v>
      </c>
      <c r="W8" s="278" t="str">
        <f>"{"&amp;"'coin':"&amp;表1_86121822242638[[#This Row],[补偿Coin]]&amp;",'"&amp;配置!$A$2&amp;"':"&amp;表1_86121822242638[[#This Row],[补偿辎重]]&amp;"},"</f>
        <v>{'coin':1000,'item036':10},</v>
      </c>
      <c r="X8" s="278" t="str">
        <f>"      '"&amp;表1_86121822242638[[#This Row],[区服]]&amp;"':{"</f>
        <v>      '5006':{</v>
      </c>
    </row>
    <row r="9" s="354" customFormat="1" ht="14.25" customHeight="1" spans="1:24">
      <c r="A9" s="259">
        <v>5006</v>
      </c>
      <c r="B9" s="210">
        <f>VLOOKUP(表1_86121822242638[[#This Row],[区服]],$O$26:$P$33,2,FALSE)</f>
        <v>40</v>
      </c>
      <c r="C9" s="296" t="s">
        <v>79</v>
      </c>
      <c r="D9" s="212" t="str">
        <f>表1_86121822242638[[#This Row],[目标国家]]</f>
        <v>蜀</v>
      </c>
      <c r="E9" s="213">
        <f>(VLOOKUP(表1_86121822242638[[#This Row],[目标区服]],$Q$26:$R$29,2,FALSE)-表1_86121822242638[[#This Row],[开服天数]])*配置!$B$1</f>
        <v>1000</v>
      </c>
      <c r="F9" s="213">
        <f>表1_86121822242638[[#This Row],[补偿Coin]]*(表1_86121822242638[[#This Row],[活跃高战玩家数]]+表1_86121822242638[[#This Row],[活跃中坚玩家数]])</f>
        <v>18000</v>
      </c>
      <c r="G9" s="260">
        <f>(VLOOKUP(表1_86121822242638[[#This Row],[目标区服]],$Q$26:$R$29,2,FALSE)-表1_86121822242638[[#This Row],[开服天数]])*配置!$B$2</f>
        <v>10</v>
      </c>
      <c r="H9" s="212" t="s">
        <v>26</v>
      </c>
      <c r="I9" s="268">
        <f>IF(表1_86121822242638[[#This Row],[原国家]]="魏",0,IF(表1_86121822242638[[#This Row],[原国家]]="蜀",1,2))</f>
        <v>1</v>
      </c>
      <c r="J9" s="213">
        <v>0</v>
      </c>
      <c r="K9" s="213">
        <v>48</v>
      </c>
      <c r="L9" s="213">
        <v>0</v>
      </c>
      <c r="M9" s="213">
        <v>18</v>
      </c>
      <c r="N9" s="213">
        <v>72704</v>
      </c>
      <c r="O9" s="419">
        <v>974041</v>
      </c>
      <c r="P9" s="420">
        <v>9458683</v>
      </c>
      <c r="Q9" s="31" t="s">
        <v>26</v>
      </c>
      <c r="R9" s="212">
        <f>IF(表1_86121822242638[[#This Row],[目标国家]]="魏",0,IF(表1_86121822242638[[#This Row],[目标国家]]="蜀",1,2))</f>
        <v>1</v>
      </c>
      <c r="S9" s="213">
        <v>19970</v>
      </c>
      <c r="T9" s="213">
        <v>0</v>
      </c>
      <c r="U9" s="213">
        <v>83954</v>
      </c>
      <c r="V9" s="213">
        <v>3404</v>
      </c>
      <c r="W9" s="278" t="str">
        <f>"{"&amp;"'coin':"&amp;表1_86121822242638[[#This Row],[补偿Coin]]&amp;",'"&amp;配置!$A$2&amp;"':"&amp;表1_86121822242638[[#This Row],[补偿辎重]]&amp;"},"</f>
        <v>{'coin':1000,'item036':10},</v>
      </c>
      <c r="X9" s="278" t="str">
        <f>"            'to_zone':'"&amp;表1_86121822242638[[#This Row],[目标区服]]&amp;"',
            'reward':"&amp;表1_86121822242638[[#This Row],[辅助导出]]&amp;"
            'country':["&amp;R8&amp;","&amp;R9&amp;","&amp;R10&amp;"],"</f>
        <v>            'to_zone':'h1_503',
            'reward':{'coin':1000,'item036':10},
            'country':[0,1,2],</v>
      </c>
    </row>
    <row r="10" s="354" customFormat="1" ht="14.25" customHeight="1" spans="1:24">
      <c r="A10" s="259">
        <v>5006</v>
      </c>
      <c r="B10" s="210">
        <f>VLOOKUP(表1_86121822242638[[#This Row],[区服]],$O$26:$P$33,2,FALSE)</f>
        <v>40</v>
      </c>
      <c r="C10" s="296" t="s">
        <v>79</v>
      </c>
      <c r="D10" s="212" t="str">
        <f>表1_86121822242638[[#This Row],[目标国家]]</f>
        <v>吴</v>
      </c>
      <c r="E10" s="213">
        <f>(VLOOKUP(表1_86121822242638[[#This Row],[目标区服]],$Q$26:$R$29,2,FALSE)-表1_86121822242638[[#This Row],[开服天数]])*配置!$B$1</f>
        <v>1000</v>
      </c>
      <c r="F10" s="213">
        <f>表1_86121822242638[[#This Row],[补偿Coin]]*(表1_86121822242638[[#This Row],[活跃高战玩家数]]+表1_86121822242638[[#This Row],[活跃中坚玩家数]])</f>
        <v>20000</v>
      </c>
      <c r="G10" s="260">
        <f>(VLOOKUP(表1_86121822242638[[#This Row],[目标区服]],$Q$26:$R$29,2,FALSE)-表1_86121822242638[[#This Row],[开服天数]])*配置!$B$2</f>
        <v>10</v>
      </c>
      <c r="H10" s="212" t="s">
        <v>27</v>
      </c>
      <c r="I10" s="268">
        <f>IF(表1_86121822242638[[#This Row],[原国家]]="魏",0,IF(表1_86121822242638[[#This Row],[原国家]]="蜀",1,2))</f>
        <v>2</v>
      </c>
      <c r="J10" s="213">
        <v>0</v>
      </c>
      <c r="K10" s="213">
        <v>38</v>
      </c>
      <c r="L10" s="213">
        <v>1</v>
      </c>
      <c r="M10" s="213">
        <v>19</v>
      </c>
      <c r="N10" s="213">
        <v>77620</v>
      </c>
      <c r="O10" s="419">
        <v>1546245</v>
      </c>
      <c r="P10" s="420">
        <v>10959813</v>
      </c>
      <c r="Q10" s="31" t="s">
        <v>27</v>
      </c>
      <c r="R10" s="212">
        <f>IF(表1_86121822242638[[#This Row],[目标国家]]="魏",0,IF(表1_86121822242638[[#This Row],[目标国家]]="蜀",1,2))</f>
        <v>2</v>
      </c>
      <c r="S10" s="213">
        <v>51270</v>
      </c>
      <c r="T10" s="213">
        <v>0</v>
      </c>
      <c r="U10" s="213">
        <v>332271</v>
      </c>
      <c r="V10" s="213">
        <v>5114</v>
      </c>
      <c r="W10" s="278" t="str">
        <f>"{"&amp;"'coin':"&amp;表1_86121822242638[[#This Row],[补偿Coin]]&amp;",'"&amp;配置!$A$2&amp;"':"&amp;表1_86121822242638[[#This Row],[补偿辎重]]&amp;"},"</f>
        <v>{'coin':1000,'item036':10},</v>
      </c>
      <c r="X10" s="278" t="str">
        <f>"      },"</f>
        <v>      },</v>
      </c>
    </row>
    <row r="11" s="354" customFormat="1" ht="14.25" customHeight="1" spans="1:24">
      <c r="A11" s="259">
        <v>5007</v>
      </c>
      <c r="B11" s="210">
        <f>VLOOKUP(表1_86121822242638[[#This Row],[区服]],$O$26:$P$33,2,FALSE)</f>
        <v>40</v>
      </c>
      <c r="C11" s="296" t="s">
        <v>79</v>
      </c>
      <c r="D11" s="212" t="str">
        <f>表1_86121822242638[[#This Row],[目标国家]]</f>
        <v>魏</v>
      </c>
      <c r="E11" s="213">
        <f>(VLOOKUP(表1_86121822242638[[#This Row],[目标区服]],$Q$26:$R$29,2,FALSE)-表1_86121822242638[[#This Row],[开服天数]])*配置!$B$1</f>
        <v>1000</v>
      </c>
      <c r="F11" s="213">
        <f>表1_86121822242638[[#This Row],[补偿Coin]]*(表1_86121822242638[[#This Row],[活跃高战玩家数]]+表1_86121822242638[[#This Row],[活跃中坚玩家数]])</f>
        <v>19000</v>
      </c>
      <c r="G11" s="260">
        <f>(VLOOKUP(表1_86121822242638[[#This Row],[目标区服]],$Q$26:$R$29,2,FALSE)-表1_86121822242638[[#This Row],[开服天数]])*配置!$B$2</f>
        <v>10</v>
      </c>
      <c r="H11" s="212" t="s">
        <v>25</v>
      </c>
      <c r="I11" s="268">
        <f>IF(表1_86121822242638[[#This Row],[原国家]]="魏",0,IF(表1_86121822242638[[#This Row],[原国家]]="蜀",1,2))</f>
        <v>0</v>
      </c>
      <c r="J11" s="213">
        <v>1</v>
      </c>
      <c r="K11" s="213">
        <v>53</v>
      </c>
      <c r="L11" s="213">
        <v>2</v>
      </c>
      <c r="M11" s="213">
        <v>17</v>
      </c>
      <c r="N11" s="213">
        <v>81193</v>
      </c>
      <c r="O11" s="419">
        <v>1423771</v>
      </c>
      <c r="P11" s="420">
        <v>11868941</v>
      </c>
      <c r="Q11" s="31" t="s">
        <v>25</v>
      </c>
      <c r="R11" s="212">
        <f>IF(表1_86121822242638[[#This Row],[目标国家]]="魏",0,IF(表1_86121822242638[[#This Row],[目标国家]]="蜀",1,2))</f>
        <v>0</v>
      </c>
      <c r="S11" s="213">
        <v>29836</v>
      </c>
      <c r="T11" s="213">
        <v>0</v>
      </c>
      <c r="U11" s="213">
        <v>179308</v>
      </c>
      <c r="V11" s="213">
        <v>4631</v>
      </c>
      <c r="W11" s="278" t="str">
        <f>"{"&amp;"'coin':"&amp;表1_86121822242638[[#This Row],[补偿Coin]]&amp;",'"&amp;配置!$A$2&amp;"':"&amp;表1_86121822242638[[#This Row],[补偿辎重]]&amp;"},"</f>
        <v>{'coin':1000,'item036':10},</v>
      </c>
      <c r="X11" s="278" t="str">
        <f>"      '"&amp;表1_86121822242638[[#This Row],[区服]]&amp;"':{"</f>
        <v>      '5007':{</v>
      </c>
    </row>
    <row r="12" s="354" customFormat="1" ht="14.25" customHeight="1" spans="1:24">
      <c r="A12" s="259">
        <v>5007</v>
      </c>
      <c r="B12" s="210">
        <f>VLOOKUP(表1_86121822242638[[#This Row],[区服]],$O$26:$P$33,2,FALSE)</f>
        <v>40</v>
      </c>
      <c r="C12" s="296" t="s">
        <v>79</v>
      </c>
      <c r="D12" s="212" t="str">
        <f>表1_86121822242638[[#This Row],[目标国家]]</f>
        <v>蜀</v>
      </c>
      <c r="E12" s="213">
        <f>(VLOOKUP(表1_86121822242638[[#This Row],[目标区服]],$Q$26:$R$29,2,FALSE)-表1_86121822242638[[#This Row],[开服天数]])*配置!$B$1</f>
        <v>1000</v>
      </c>
      <c r="F12" s="213">
        <f>表1_86121822242638[[#This Row],[补偿Coin]]*(表1_86121822242638[[#This Row],[活跃高战玩家数]]+表1_86121822242638[[#This Row],[活跃中坚玩家数]])</f>
        <v>30000</v>
      </c>
      <c r="G12" s="260">
        <f>(VLOOKUP(表1_86121822242638[[#This Row],[目标区服]],$Q$26:$R$29,2,FALSE)-表1_86121822242638[[#This Row],[开服天数]])*配置!$B$2</f>
        <v>10</v>
      </c>
      <c r="H12" s="212" t="s">
        <v>26</v>
      </c>
      <c r="I12" s="268">
        <f>IF(表1_86121822242638[[#This Row],[原国家]]="魏",0,IF(表1_86121822242638[[#This Row],[原国家]]="蜀",1,2))</f>
        <v>1</v>
      </c>
      <c r="J12" s="213">
        <v>5</v>
      </c>
      <c r="K12" s="213">
        <v>229</v>
      </c>
      <c r="L12" s="213">
        <v>2</v>
      </c>
      <c r="M12" s="213">
        <v>28</v>
      </c>
      <c r="N12" s="213">
        <v>108542</v>
      </c>
      <c r="O12" s="419">
        <v>1917750</v>
      </c>
      <c r="P12" s="420">
        <v>18727291</v>
      </c>
      <c r="Q12" s="31" t="s">
        <v>26</v>
      </c>
      <c r="R12" s="212">
        <f>IF(表1_86121822242638[[#This Row],[目标国家]]="魏",0,IF(表1_86121822242638[[#This Row],[目标国家]]="蜀",1,2))</f>
        <v>1</v>
      </c>
      <c r="S12" s="213">
        <v>71634</v>
      </c>
      <c r="T12" s="213">
        <v>0</v>
      </c>
      <c r="U12" s="213">
        <v>320851</v>
      </c>
      <c r="V12" s="213">
        <v>9432</v>
      </c>
      <c r="W12" s="278" t="str">
        <f>"{"&amp;"'coin':"&amp;表1_86121822242638[[#This Row],[补偿Coin]]&amp;",'"&amp;配置!$A$2&amp;"':"&amp;表1_86121822242638[[#This Row],[补偿辎重]]&amp;"},"</f>
        <v>{'coin':1000,'item036':10},</v>
      </c>
      <c r="X12" s="278" t="str">
        <f>"            'to_zone':'"&amp;表1_86121822242638[[#This Row],[目标区服]]&amp;"',
            'reward':"&amp;表1_86121822242638[[#This Row],[辅助导出]]&amp;"
            'country':["&amp;R11&amp;","&amp;R12&amp;","&amp;R13&amp;"],"</f>
        <v>            'to_zone':'h1_503',
            'reward':{'coin':1000,'item036':10},
            'country':[0,1,2],</v>
      </c>
    </row>
    <row r="13" s="354" customFormat="1" ht="14.25" customHeight="1" spans="1:24">
      <c r="A13" s="259">
        <v>5007</v>
      </c>
      <c r="B13" s="210">
        <f>VLOOKUP(表1_86121822242638[[#This Row],[区服]],$O$26:$P$33,2,FALSE)</f>
        <v>40</v>
      </c>
      <c r="C13" s="296" t="s">
        <v>79</v>
      </c>
      <c r="D13" s="212" t="str">
        <f>表1_86121822242638[[#This Row],[目标国家]]</f>
        <v>吴</v>
      </c>
      <c r="E13" s="213">
        <f>(VLOOKUP(表1_86121822242638[[#This Row],[目标区服]],$Q$26:$R$29,2,FALSE)-表1_86121822242638[[#This Row],[开服天数]])*配置!$B$1</f>
        <v>1000</v>
      </c>
      <c r="F13" s="213">
        <f>表1_86121822242638[[#This Row],[补偿Coin]]*(表1_86121822242638[[#This Row],[活跃高战玩家数]]+表1_86121822242638[[#This Row],[活跃中坚玩家数]])</f>
        <v>26000</v>
      </c>
      <c r="G13" s="260">
        <f>(VLOOKUP(表1_86121822242638[[#This Row],[目标区服]],$Q$26:$R$29,2,FALSE)-表1_86121822242638[[#This Row],[开服天数]])*配置!$B$2</f>
        <v>10</v>
      </c>
      <c r="H13" s="212" t="s">
        <v>27</v>
      </c>
      <c r="I13" s="268">
        <f>IF(表1_86121822242638[[#This Row],[原国家]]="魏",0,IF(表1_86121822242638[[#This Row],[原国家]]="蜀",1,2))</f>
        <v>2</v>
      </c>
      <c r="J13" s="213">
        <v>3</v>
      </c>
      <c r="K13" s="213">
        <v>113</v>
      </c>
      <c r="L13" s="213">
        <v>4</v>
      </c>
      <c r="M13" s="213">
        <v>22</v>
      </c>
      <c r="N13" s="213">
        <v>102201</v>
      </c>
      <c r="O13" s="419">
        <v>1817640</v>
      </c>
      <c r="P13" s="420">
        <v>16507997</v>
      </c>
      <c r="Q13" s="31" t="s">
        <v>27</v>
      </c>
      <c r="R13" s="212">
        <f>IF(表1_86121822242638[[#This Row],[目标国家]]="魏",0,IF(表1_86121822242638[[#This Row],[目标国家]]="蜀",1,2))</f>
        <v>2</v>
      </c>
      <c r="S13" s="213">
        <v>49462</v>
      </c>
      <c r="T13" s="213">
        <v>0</v>
      </c>
      <c r="U13" s="213">
        <v>305680</v>
      </c>
      <c r="V13" s="213">
        <v>7046</v>
      </c>
      <c r="W13" s="278" t="str">
        <f>"{"&amp;"'coin':"&amp;表1_86121822242638[[#This Row],[补偿Coin]]&amp;",'"&amp;配置!$A$2&amp;"':"&amp;表1_86121822242638[[#This Row],[补偿辎重]]&amp;"},"</f>
        <v>{'coin':1000,'item036':10},</v>
      </c>
      <c r="X13" s="278" t="str">
        <f t="shared" ref="X13" si="1">"      },"</f>
        <v>      },</v>
      </c>
    </row>
    <row r="14" ht="14.25" customHeight="1" spans="1:24">
      <c r="A14" s="17"/>
      <c r="B14" s="17" t="e">
        <f>VLOOKUP(表1_86121822242638[[#This Row],[区服]],$O$26:$P$33,2,FALSE)</f>
        <v>#N/A</v>
      </c>
      <c r="C14" s="18"/>
      <c r="D14" s="19" t="str">
        <f>表1_86121822242638[[#This Row],[目标国家]]</f>
        <v>魏</v>
      </c>
      <c r="E14" s="20" t="e">
        <f>(VLOOKUP(表1_86121822242638[[#This Row],[目标区服]],$Q$26:$R$29,2,FALSE)-表1_86121822242638[[#This Row],[开服天数]])*配置!$B$1</f>
        <v>#N/A</v>
      </c>
      <c r="F14" s="20" t="e">
        <f>表1_86121822242638[[#This Row],[补偿Coin]]*(表1_86121822242638[[#This Row],[活跃高战玩家数]]+表1_86121822242638[[#This Row],[活跃中坚玩家数]])</f>
        <v>#N/A</v>
      </c>
      <c r="G14" s="20" t="e">
        <f>(VLOOKUP(表1_86121822242638[[#This Row],[目标区服]],$Q$26:$R$29,2,FALSE)-表1_86121822242638[[#This Row],[开服天数]])*配置!$B$2</f>
        <v>#N/A</v>
      </c>
      <c r="H14" s="19" t="s">
        <v>25</v>
      </c>
      <c r="I14" s="19">
        <f>IF(表1_86121822242638[[#This Row],[原国家]]="魏",0,IF(表1_86121822242638[[#This Row],[原国家]]="蜀",1,2))</f>
        <v>0</v>
      </c>
      <c r="J14" s="20"/>
      <c r="K14" s="20"/>
      <c r="L14" s="20"/>
      <c r="M14" s="20"/>
      <c r="N14" s="20"/>
      <c r="O14" s="20"/>
      <c r="P14" s="26"/>
      <c r="Q14" s="31" t="s">
        <v>25</v>
      </c>
      <c r="R14" s="19">
        <f>IF(表1_86121822242638[[#This Row],[目标国家]]="魏",0,IF(表1_86121822242638[[#This Row],[目标国家]]="蜀",1,2))</f>
        <v>0</v>
      </c>
      <c r="S14" s="20"/>
      <c r="T14" s="20"/>
      <c r="U14" s="20"/>
      <c r="V14" s="20"/>
      <c r="W14" s="33" t="e">
        <f>"{"&amp;"'coin':"&amp;表1_86121822242638[[#This Row],[补偿Coin]]&amp;",'"&amp;配置!$A$2&amp;"':"&amp;表1_86121822242638[[#This Row],[补偿辎重]]&amp;"},"</f>
        <v>#N/A</v>
      </c>
      <c r="X14" s="34" t="str">
        <f>"      '"&amp;表1_86121822242638[[#This Row],[区服]]&amp;"':{"</f>
        <v>      '':{</v>
      </c>
    </row>
    <row r="15" ht="14.25" customHeight="1" spans="1:24">
      <c r="A15" s="17"/>
      <c r="B15" s="17" t="e">
        <f>VLOOKUP(表1_86121822242638[[#This Row],[区服]],$O$26:$P$33,2,FALSE)</f>
        <v>#N/A</v>
      </c>
      <c r="C15" s="18"/>
      <c r="D15" s="19" t="str">
        <f>表1_86121822242638[[#This Row],[目标国家]]</f>
        <v>蜀</v>
      </c>
      <c r="E15" s="20" t="e">
        <f>(VLOOKUP(表1_86121822242638[[#This Row],[目标区服]],$Q$26:$R$29,2,FALSE)-表1_86121822242638[[#This Row],[开服天数]])*配置!$B$1</f>
        <v>#N/A</v>
      </c>
      <c r="F15" s="20" t="e">
        <f>表1_86121822242638[[#This Row],[补偿Coin]]*(表1_86121822242638[[#This Row],[活跃高战玩家数]]+表1_86121822242638[[#This Row],[活跃中坚玩家数]])</f>
        <v>#N/A</v>
      </c>
      <c r="G15" s="20" t="e">
        <f>(VLOOKUP(表1_86121822242638[[#This Row],[目标区服]],$Q$26:$R$29,2,FALSE)-表1_86121822242638[[#This Row],[开服天数]])*配置!$B$2</f>
        <v>#N/A</v>
      </c>
      <c r="H15" s="19" t="s">
        <v>26</v>
      </c>
      <c r="I15" s="19">
        <f>IF(表1_86121822242638[[#This Row],[原国家]]="魏",0,IF(表1_86121822242638[[#This Row],[原国家]]="蜀",1,2))</f>
        <v>1</v>
      </c>
      <c r="J15" s="20"/>
      <c r="K15" s="20"/>
      <c r="L15" s="20"/>
      <c r="M15" s="20"/>
      <c r="N15" s="20"/>
      <c r="O15" s="20"/>
      <c r="P15" s="26"/>
      <c r="Q15" s="31" t="s">
        <v>26</v>
      </c>
      <c r="R15" s="19">
        <f>IF(表1_86121822242638[[#This Row],[目标国家]]="魏",0,IF(表1_86121822242638[[#This Row],[目标国家]]="蜀",1,2))</f>
        <v>1</v>
      </c>
      <c r="S15" s="20"/>
      <c r="T15" s="20"/>
      <c r="U15" s="20"/>
      <c r="V15" s="20"/>
      <c r="W15" s="33" t="e">
        <f>"{"&amp;"'coin':"&amp;表1_86121822242638[[#This Row],[补偿Coin]]&amp;",'"&amp;配置!$A$2&amp;"':"&amp;表1_86121822242638[[#This Row],[补偿辎重]]&amp;"},"</f>
        <v>#N/A</v>
      </c>
      <c r="X15" s="34" t="e">
        <f>"            'to_zone':'"&amp;表1_86121822242638[[#This Row],[目标区服]]&amp;"',
            'reward':"&amp;表1_86121822242638[[#This Row],[辅助导出]]&amp;"
            'country':["&amp;R14&amp;","&amp;R15&amp;","&amp;R16&amp;"],"</f>
        <v>#N/A</v>
      </c>
    </row>
    <row r="16" ht="14.25" customHeight="1" spans="1:24">
      <c r="A16" s="17"/>
      <c r="B16" s="17" t="e">
        <f>VLOOKUP(表1_86121822242638[[#This Row],[区服]],$O$26:$P$33,2,FALSE)</f>
        <v>#N/A</v>
      </c>
      <c r="C16" s="18"/>
      <c r="D16" s="19" t="str">
        <f>表1_86121822242638[[#This Row],[目标国家]]</f>
        <v>吴</v>
      </c>
      <c r="E16" s="20" t="e">
        <f>(VLOOKUP(表1_86121822242638[[#This Row],[目标区服]],$Q$26:$R$29,2,FALSE)-表1_86121822242638[[#This Row],[开服天数]])*配置!$B$1</f>
        <v>#N/A</v>
      </c>
      <c r="F16" s="20" t="e">
        <f>表1_86121822242638[[#This Row],[补偿Coin]]*(表1_86121822242638[[#This Row],[活跃高战玩家数]]+表1_86121822242638[[#This Row],[活跃中坚玩家数]])</f>
        <v>#N/A</v>
      </c>
      <c r="G16" s="20" t="e">
        <f>(VLOOKUP(表1_86121822242638[[#This Row],[目标区服]],$Q$26:$R$29,2,FALSE)-表1_86121822242638[[#This Row],[开服天数]])*配置!$B$2</f>
        <v>#N/A</v>
      </c>
      <c r="H16" s="19" t="s">
        <v>27</v>
      </c>
      <c r="I16" s="19">
        <f>IF(表1_86121822242638[[#This Row],[原国家]]="魏",0,IF(表1_86121822242638[[#This Row],[原国家]]="蜀",1,2))</f>
        <v>2</v>
      </c>
      <c r="J16" s="20"/>
      <c r="K16" s="20"/>
      <c r="L16" s="20"/>
      <c r="M16" s="20"/>
      <c r="N16" s="20"/>
      <c r="O16" s="20"/>
      <c r="P16" s="26"/>
      <c r="Q16" s="31" t="s">
        <v>27</v>
      </c>
      <c r="R16" s="19">
        <f>IF(表1_86121822242638[[#This Row],[目标国家]]="魏",0,IF(表1_86121822242638[[#This Row],[目标国家]]="蜀",1,2))</f>
        <v>2</v>
      </c>
      <c r="S16" s="20"/>
      <c r="T16" s="20"/>
      <c r="U16" s="20"/>
      <c r="V16" s="20"/>
      <c r="W16" s="33" t="e">
        <f>"{"&amp;"'coin':"&amp;表1_86121822242638[[#This Row],[补偿Coin]]&amp;",'"&amp;配置!$A$2&amp;"':"&amp;表1_86121822242638[[#This Row],[补偿辎重]]&amp;"},"</f>
        <v>#N/A</v>
      </c>
      <c r="X16" s="34" t="str">
        <f t="shared" ref="X16" si="2">"      },"</f>
        <v>      },</v>
      </c>
    </row>
    <row r="17" ht="14.25" customHeight="1" spans="1:24">
      <c r="A17" s="17"/>
      <c r="B17" s="17" t="e">
        <f>VLOOKUP(表1_86121822242638[[#This Row],[区服]],$O$26:$P$33,2,FALSE)</f>
        <v>#N/A</v>
      </c>
      <c r="C17" s="18"/>
      <c r="D17" s="19" t="str">
        <f>表1_86121822242638[[#This Row],[目标国家]]</f>
        <v>魏</v>
      </c>
      <c r="E17" s="20" t="e">
        <f>(VLOOKUP(表1_86121822242638[[#This Row],[目标区服]],$Q$26:$R$29,2,FALSE)-表1_86121822242638[[#This Row],[开服天数]])*配置!$B$1</f>
        <v>#N/A</v>
      </c>
      <c r="F17" s="20" t="e">
        <f>表1_86121822242638[[#This Row],[补偿Coin]]*(表1_86121822242638[[#This Row],[活跃高战玩家数]]+表1_86121822242638[[#This Row],[活跃中坚玩家数]])</f>
        <v>#N/A</v>
      </c>
      <c r="G17" s="20" t="e">
        <f>(VLOOKUP(表1_86121822242638[[#This Row],[目标区服]],$Q$26:$R$29,2,FALSE)-表1_86121822242638[[#This Row],[开服天数]])*配置!$B$2</f>
        <v>#N/A</v>
      </c>
      <c r="H17" s="19" t="s">
        <v>25</v>
      </c>
      <c r="I17" s="19">
        <f>IF(表1_86121822242638[[#This Row],[原国家]]="魏",0,IF(表1_86121822242638[[#This Row],[原国家]]="蜀",1,2))</f>
        <v>0</v>
      </c>
      <c r="J17" s="20"/>
      <c r="K17" s="20"/>
      <c r="L17" s="20"/>
      <c r="M17" s="20"/>
      <c r="N17" s="20"/>
      <c r="O17" s="20"/>
      <c r="P17" s="26"/>
      <c r="Q17" s="31" t="s">
        <v>25</v>
      </c>
      <c r="R17" s="19">
        <f>IF(表1_86121822242638[[#This Row],[目标国家]]="魏",0,IF(表1_86121822242638[[#This Row],[目标国家]]="蜀",1,2))</f>
        <v>0</v>
      </c>
      <c r="S17" s="20"/>
      <c r="T17" s="20"/>
      <c r="U17" s="20"/>
      <c r="V17" s="20"/>
      <c r="W17" s="33" t="e">
        <f>"{"&amp;"'coin':"&amp;表1_86121822242638[[#This Row],[补偿Coin]]&amp;",'"&amp;配置!$A$2&amp;"':"&amp;表1_86121822242638[[#This Row],[补偿辎重]]&amp;"},"</f>
        <v>#N/A</v>
      </c>
      <c r="X17" s="34" t="str">
        <f>"      '"&amp;表1_86121822242638[[#This Row],[区服]]&amp;"':{"</f>
        <v>      '':{</v>
      </c>
    </row>
    <row r="18" ht="14.25" customHeight="1" spans="1:24">
      <c r="A18" s="17"/>
      <c r="B18" s="17" t="e">
        <f>VLOOKUP(表1_86121822242638[[#This Row],[区服]],$O$26:$P$33,2,FALSE)</f>
        <v>#N/A</v>
      </c>
      <c r="C18" s="18"/>
      <c r="D18" s="19" t="str">
        <f>表1_86121822242638[[#This Row],[目标国家]]</f>
        <v>蜀</v>
      </c>
      <c r="E18" s="20" t="e">
        <f>(VLOOKUP(表1_86121822242638[[#This Row],[目标区服]],$Q$26:$R$29,2,FALSE)-表1_86121822242638[[#This Row],[开服天数]])*配置!$B$1</f>
        <v>#N/A</v>
      </c>
      <c r="F18" s="20" t="e">
        <f>表1_86121822242638[[#This Row],[补偿Coin]]*(表1_86121822242638[[#This Row],[活跃高战玩家数]]+表1_86121822242638[[#This Row],[活跃中坚玩家数]])</f>
        <v>#N/A</v>
      </c>
      <c r="G18" s="20" t="e">
        <f>(VLOOKUP(表1_86121822242638[[#This Row],[目标区服]],$Q$26:$R$29,2,FALSE)-表1_86121822242638[[#This Row],[开服天数]])*配置!$B$2</f>
        <v>#N/A</v>
      </c>
      <c r="H18" s="19" t="s">
        <v>26</v>
      </c>
      <c r="I18" s="19">
        <f>IF(表1_86121822242638[[#This Row],[原国家]]="魏",0,IF(表1_86121822242638[[#This Row],[原国家]]="蜀",1,2))</f>
        <v>1</v>
      </c>
      <c r="J18" s="20"/>
      <c r="K18" s="20"/>
      <c r="L18" s="20"/>
      <c r="M18" s="20"/>
      <c r="N18" s="20"/>
      <c r="O18" s="20"/>
      <c r="P18" s="26"/>
      <c r="Q18" s="31" t="s">
        <v>26</v>
      </c>
      <c r="R18" s="19">
        <f>IF(表1_86121822242638[[#This Row],[目标国家]]="魏",0,IF(表1_86121822242638[[#This Row],[目标国家]]="蜀",1,2))</f>
        <v>1</v>
      </c>
      <c r="S18" s="20"/>
      <c r="T18" s="20"/>
      <c r="U18" s="20"/>
      <c r="V18" s="20"/>
      <c r="W18" s="33" t="e">
        <f>"{"&amp;"'coin':"&amp;表1_86121822242638[[#This Row],[补偿Coin]]&amp;",'"&amp;配置!$A$2&amp;"':"&amp;表1_86121822242638[[#This Row],[补偿辎重]]&amp;"},"</f>
        <v>#N/A</v>
      </c>
      <c r="X18" s="34" t="e">
        <f>"            'to_zone':'"&amp;表1_86121822242638[[#This Row],[目标区服]]&amp;"',
            'reward':"&amp;表1_86121822242638[[#This Row],[辅助导出]]&amp;"
            'country':["&amp;R17&amp;","&amp;R18&amp;","&amp;R19&amp;"],"</f>
        <v>#N/A</v>
      </c>
    </row>
    <row r="19" ht="14.25" customHeight="1" spans="1:24">
      <c r="A19" s="17"/>
      <c r="B19" s="17" t="e">
        <f>VLOOKUP(表1_86121822242638[[#This Row],[区服]],$O$26:$P$33,2,FALSE)</f>
        <v>#N/A</v>
      </c>
      <c r="C19" s="18"/>
      <c r="D19" s="19" t="str">
        <f>表1_86121822242638[[#This Row],[目标国家]]</f>
        <v>吴</v>
      </c>
      <c r="E19" s="20" t="e">
        <f>(VLOOKUP(表1_86121822242638[[#This Row],[目标区服]],$Q$26:$R$29,2,FALSE)-表1_86121822242638[[#This Row],[开服天数]])*配置!$B$1</f>
        <v>#N/A</v>
      </c>
      <c r="F19" s="20" t="e">
        <f>表1_86121822242638[[#This Row],[补偿Coin]]*(表1_86121822242638[[#This Row],[活跃高战玩家数]]+表1_86121822242638[[#This Row],[活跃中坚玩家数]])</f>
        <v>#N/A</v>
      </c>
      <c r="G19" s="20" t="e">
        <f>(VLOOKUP(表1_86121822242638[[#This Row],[目标区服]],$Q$26:$R$29,2,FALSE)-表1_86121822242638[[#This Row],[开服天数]])*配置!$B$2</f>
        <v>#N/A</v>
      </c>
      <c r="H19" s="19" t="s">
        <v>27</v>
      </c>
      <c r="I19" s="19">
        <f>IF(表1_86121822242638[[#This Row],[原国家]]="魏",0,IF(表1_86121822242638[[#This Row],[原国家]]="蜀",1,2))</f>
        <v>2</v>
      </c>
      <c r="J19" s="20"/>
      <c r="K19" s="20"/>
      <c r="L19" s="20"/>
      <c r="M19" s="20"/>
      <c r="N19" s="20"/>
      <c r="O19" s="20"/>
      <c r="P19" s="26"/>
      <c r="Q19" s="31" t="s">
        <v>27</v>
      </c>
      <c r="R19" s="19">
        <f>IF(表1_86121822242638[[#This Row],[目标国家]]="魏",0,IF(表1_86121822242638[[#This Row],[目标国家]]="蜀",1,2))</f>
        <v>2</v>
      </c>
      <c r="S19" s="20"/>
      <c r="T19" s="20"/>
      <c r="U19" s="20"/>
      <c r="V19" s="20"/>
      <c r="W19" s="33" t="e">
        <f>"{"&amp;"'coin':"&amp;表1_86121822242638[[#This Row],[补偿Coin]]&amp;",'"&amp;配置!$A$2&amp;"':"&amp;表1_86121822242638[[#This Row],[补偿辎重]]&amp;"},"</f>
        <v>#N/A</v>
      </c>
      <c r="X19" s="34" t="str">
        <f t="shared" ref="X19" si="3">"      },"</f>
        <v>      },</v>
      </c>
    </row>
    <row r="20" ht="14.25" customHeight="1" spans="1:24">
      <c r="A20" s="17"/>
      <c r="B20" s="17" t="e">
        <f>VLOOKUP(表1_86121822242638[[#This Row],[区服]],$O$26:$P$33,2,FALSE)</f>
        <v>#N/A</v>
      </c>
      <c r="C20" s="18"/>
      <c r="D20" s="19" t="str">
        <f>表1_86121822242638[[#This Row],[目标国家]]</f>
        <v>魏</v>
      </c>
      <c r="E20" s="20" t="e">
        <f>(VLOOKUP(表1_86121822242638[[#This Row],[目标区服]],$Q$26:$R$29,2,FALSE)-表1_86121822242638[[#This Row],[开服天数]])*配置!$B$1</f>
        <v>#N/A</v>
      </c>
      <c r="F20" s="20" t="e">
        <f>表1_86121822242638[[#This Row],[补偿Coin]]*(表1_86121822242638[[#This Row],[活跃高战玩家数]]+表1_86121822242638[[#This Row],[活跃中坚玩家数]])</f>
        <v>#N/A</v>
      </c>
      <c r="G20" s="20" t="e">
        <f>(VLOOKUP(表1_86121822242638[[#This Row],[目标区服]],$Q$26:$R$29,2,FALSE)-表1_86121822242638[[#This Row],[开服天数]])*配置!$B$2</f>
        <v>#N/A</v>
      </c>
      <c r="H20" s="19" t="s">
        <v>25</v>
      </c>
      <c r="I20" s="19">
        <f>IF(表1_86121822242638[[#This Row],[原国家]]="魏",0,IF(表1_86121822242638[[#This Row],[原国家]]="蜀",1,2))</f>
        <v>0</v>
      </c>
      <c r="J20" s="20"/>
      <c r="K20" s="20"/>
      <c r="L20" s="20"/>
      <c r="M20" s="20"/>
      <c r="N20" s="20"/>
      <c r="O20" s="20"/>
      <c r="P20" s="26"/>
      <c r="Q20" s="31" t="s">
        <v>25</v>
      </c>
      <c r="R20" s="19">
        <f>IF(表1_86121822242638[[#This Row],[目标国家]]="魏",0,IF(表1_86121822242638[[#This Row],[目标国家]]="蜀",1,2))</f>
        <v>0</v>
      </c>
      <c r="S20" s="20"/>
      <c r="T20" s="20"/>
      <c r="U20" s="20"/>
      <c r="V20" s="20"/>
      <c r="W20" s="33" t="e">
        <f>"{"&amp;"'coin':"&amp;表1_86121822242638[[#This Row],[补偿Coin]]&amp;",'"&amp;配置!$A$2&amp;"':"&amp;表1_86121822242638[[#This Row],[补偿辎重]]&amp;"},"</f>
        <v>#N/A</v>
      </c>
      <c r="X20" s="34" t="str">
        <f>"      '"&amp;表1_86121822242638[[#This Row],[区服]]&amp;"':{"</f>
        <v>      '':{</v>
      </c>
    </row>
    <row r="21" ht="14.25" customHeight="1" spans="1:24">
      <c r="A21" s="17"/>
      <c r="B21" s="17" t="e">
        <f>VLOOKUP(表1_86121822242638[[#This Row],[区服]],$O$26:$P$33,2,FALSE)</f>
        <v>#N/A</v>
      </c>
      <c r="C21" s="18"/>
      <c r="D21" s="19" t="str">
        <f>表1_86121822242638[[#This Row],[目标国家]]</f>
        <v>蜀</v>
      </c>
      <c r="E21" s="20" t="e">
        <f>(VLOOKUP(表1_86121822242638[[#This Row],[目标区服]],$Q$26:$R$29,2,FALSE)-表1_86121822242638[[#This Row],[开服天数]])*配置!$B$1</f>
        <v>#N/A</v>
      </c>
      <c r="F21" s="20" t="e">
        <f>表1_86121822242638[[#This Row],[补偿Coin]]*(表1_86121822242638[[#This Row],[活跃高战玩家数]]+表1_86121822242638[[#This Row],[活跃中坚玩家数]])</f>
        <v>#N/A</v>
      </c>
      <c r="G21" s="20" t="e">
        <f>(VLOOKUP(表1_86121822242638[[#This Row],[目标区服]],$Q$26:$R$29,2,FALSE)-表1_86121822242638[[#This Row],[开服天数]])*配置!$B$2</f>
        <v>#N/A</v>
      </c>
      <c r="H21" s="19" t="s">
        <v>26</v>
      </c>
      <c r="I21" s="19">
        <f>IF(表1_86121822242638[[#This Row],[原国家]]="魏",0,IF(表1_86121822242638[[#This Row],[原国家]]="蜀",1,2))</f>
        <v>1</v>
      </c>
      <c r="J21" s="20"/>
      <c r="K21" s="20"/>
      <c r="L21" s="20"/>
      <c r="M21" s="20"/>
      <c r="N21" s="20"/>
      <c r="O21" s="20"/>
      <c r="P21" s="26"/>
      <c r="Q21" s="31" t="s">
        <v>26</v>
      </c>
      <c r="R21" s="19">
        <f>IF(表1_86121822242638[[#This Row],[目标国家]]="魏",0,IF(表1_86121822242638[[#This Row],[目标国家]]="蜀",1,2))</f>
        <v>1</v>
      </c>
      <c r="S21" s="20"/>
      <c r="T21" s="20"/>
      <c r="U21" s="20"/>
      <c r="V21" s="20"/>
      <c r="W21" s="33" t="e">
        <f>"{"&amp;"'coin':"&amp;表1_86121822242638[[#This Row],[补偿Coin]]&amp;",'"&amp;配置!$A$2&amp;"':"&amp;表1_86121822242638[[#This Row],[补偿辎重]]&amp;"},"</f>
        <v>#N/A</v>
      </c>
      <c r="X21" s="34" t="e">
        <f>"            'to_zone':'"&amp;表1_86121822242638[[#This Row],[目标区服]]&amp;"',
            'reward':"&amp;表1_86121822242638[[#This Row],[辅助导出]]&amp;"
            'country':["&amp;R20&amp;","&amp;R21&amp;","&amp;R22&amp;"],"</f>
        <v>#N/A</v>
      </c>
    </row>
    <row r="22" ht="14.25" customHeight="1" spans="1:24">
      <c r="A22" s="17"/>
      <c r="B22" s="17" t="e">
        <f>VLOOKUP(表1_86121822242638[[#This Row],[区服]],$O$26:$P$33,2,FALSE)</f>
        <v>#N/A</v>
      </c>
      <c r="C22" s="18"/>
      <c r="D22" s="19" t="str">
        <f>表1_86121822242638[[#This Row],[目标国家]]</f>
        <v>吴</v>
      </c>
      <c r="E22" s="20" t="e">
        <f>(VLOOKUP(表1_86121822242638[[#This Row],[目标区服]],$Q$26:$R$29,2,FALSE)-表1_86121822242638[[#This Row],[开服天数]])*配置!$B$1</f>
        <v>#N/A</v>
      </c>
      <c r="F22" s="20" t="e">
        <f>表1_86121822242638[[#This Row],[补偿Coin]]*(表1_86121822242638[[#This Row],[活跃高战玩家数]]+表1_86121822242638[[#This Row],[活跃中坚玩家数]])</f>
        <v>#N/A</v>
      </c>
      <c r="G22" s="20" t="e">
        <f>(VLOOKUP(表1_86121822242638[[#This Row],[目标区服]],$Q$26:$R$29,2,FALSE)-表1_86121822242638[[#This Row],[开服天数]])*配置!$B$2</f>
        <v>#N/A</v>
      </c>
      <c r="H22" s="19" t="s">
        <v>27</v>
      </c>
      <c r="I22" s="19">
        <f>IF(表1_86121822242638[[#This Row],[原国家]]="魏",0,IF(表1_86121822242638[[#This Row],[原国家]]="蜀",1,2))</f>
        <v>2</v>
      </c>
      <c r="J22" s="20"/>
      <c r="K22" s="20"/>
      <c r="L22" s="20"/>
      <c r="M22" s="20"/>
      <c r="N22" s="20"/>
      <c r="O22" s="20"/>
      <c r="P22" s="26"/>
      <c r="Q22" s="31" t="s">
        <v>27</v>
      </c>
      <c r="R22" s="19">
        <f>IF(表1_86121822242638[[#This Row],[目标国家]]="魏",0,IF(表1_86121822242638[[#This Row],[目标国家]]="蜀",1,2))</f>
        <v>2</v>
      </c>
      <c r="S22" s="20"/>
      <c r="T22" s="20"/>
      <c r="U22" s="20"/>
      <c r="V22" s="20"/>
      <c r="W22" s="33" t="e">
        <f>"{"&amp;"'coin':"&amp;表1_86121822242638[[#This Row],[补偿Coin]]&amp;",'"&amp;配置!$A$2&amp;"':"&amp;表1_86121822242638[[#This Row],[补偿辎重]]&amp;"},"</f>
        <v>#N/A</v>
      </c>
      <c r="X22" s="34" t="str">
        <f t="shared" ref="X22" si="4">"      },"</f>
        <v>      },</v>
      </c>
    </row>
    <row r="25" ht="37.5" customHeight="1" spans="1:18">
      <c r="A25" s="36" t="s">
        <v>28</v>
      </c>
      <c r="B25" s="37" t="s">
        <v>29</v>
      </c>
      <c r="C25" s="38" t="s">
        <v>30</v>
      </c>
      <c r="D25" s="38" t="s">
        <v>31</v>
      </c>
      <c r="E25" s="38" t="s">
        <v>32</v>
      </c>
      <c r="F25" s="38" t="s">
        <v>33</v>
      </c>
      <c r="G25" s="38" t="s">
        <v>15</v>
      </c>
      <c r="H25" s="37" t="s">
        <v>18</v>
      </c>
      <c r="I25" s="37" t="s">
        <v>19</v>
      </c>
      <c r="J25" s="37" t="s">
        <v>34</v>
      </c>
      <c r="K25" s="38" t="s">
        <v>35</v>
      </c>
      <c r="L25" s="38" t="s">
        <v>36</v>
      </c>
      <c r="M25" s="38" t="s">
        <v>37</v>
      </c>
      <c r="O25" s="51" t="s">
        <v>0</v>
      </c>
      <c r="P25" s="51" t="s">
        <v>1</v>
      </c>
      <c r="Q25" s="51"/>
      <c r="R25" s="51" t="s">
        <v>38</v>
      </c>
    </row>
    <row r="26" ht="15" spans="1:18">
      <c r="A26" s="39" t="s">
        <v>78</v>
      </c>
      <c r="B26" s="39" t="s">
        <v>25</v>
      </c>
      <c r="C26" s="39">
        <f>COUNTIFS(表1_86121822242638[目标区服],表2_97131923252739[[#This Row],[合区区服]],表1_86121822242638[目标国家（映射）],表2_97131923252739[[#This Row],[国家]])</f>
        <v>1</v>
      </c>
      <c r="D26" s="39">
        <f>SUMIFS(表1_86121822242638[活跃高战玩家数],表1_86121822242638[目标区服],表2_97131923252739[[#This Row],[合区区服]],表1_86121822242638[目标国家（映射）],表2_97131923252739[[#This Row],[国家]])</f>
        <v>8</v>
      </c>
      <c r="E26" s="39">
        <f>SUMIFS(表1_86121822242638[活跃中坚玩家数],表1_86121822242638[目标区服],表2_97131923252739[[#This Row],[合区区服]],表1_86121822242638[目标国家（映射）],表2_97131923252739[[#This Row],[国家]])</f>
        <v>30</v>
      </c>
      <c r="F26" s="39">
        <f t="array" ref="F26">MAX((表1_86121822242638[目标区服]=表2_97131923252739[[#This Row],[合区区服]])*(表1_86121822242638[目标国家（映射）]=表2_97131923252739[[#This Row],[国家]])*表1_86121822242638[活跃尖端战力])</f>
        <v>2331949</v>
      </c>
      <c r="G26" s="40">
        <f>SUMIFS(表1_86121822242638[活跃总战力],表1_86121822242638[目标区服],表2_97131923252739[[#This Row],[合区区服]],表1_86121822242638[目标国家（映射）],表2_97131923252739[[#This Row],[国家]])</f>
        <v>30007476</v>
      </c>
      <c r="H26" s="39">
        <f>SUMIFS(表1_86121822242638[活跃实际充值],表1_86121822242638[目标区服],表2_97131923252739[[#This Row],[合区区服]],表1_86121822242638[目标国家（映射）],表2_97131923252739[[#This Row],[国家]])</f>
        <v>76526</v>
      </c>
      <c r="I26" s="39">
        <f>SUMIFS(表1_86121822242638[活跃虚拟充值],表1_86121822242638[目标区服],表2_97131923252739[[#This Row],[合区区服]],表1_86121822242638[目标国家（映射）],表2_97131923252739[[#This Row],[国家]])</f>
        <v>0</v>
      </c>
      <c r="J26" s="39">
        <f>SUMIFS(表1_86121822242638[活跃Coin],表1_86121822242638[目标区服],表2_97131923252739[[#This Row],[合区区服]],表1_86121822242638[目标国家（映射）],表2_97131923252739[[#This Row],[国家]])</f>
        <v>474092</v>
      </c>
      <c r="K26" s="39">
        <f>SUMIFS(表1_86121822242638[共计补偿Coin],表1_86121822242638[目标区服],表2_97131923252739[[#This Row],[合区区服]],表1_86121822242638[目标国家（映射）],表2_97131923252739[[#This Row],[国家]])</f>
        <v>38000</v>
      </c>
      <c r="L26" s="39">
        <f>表2_97131923252739[[#This Row],[活跃Coin]]+表2_97131923252739[[#This Row],[共计补偿Coin]]</f>
        <v>512092</v>
      </c>
      <c r="M26" s="39">
        <f>SUMIFS(表1_86121822242638[综合国力],表1_86121822242638[目标区服],表2_97131923252739[[#This Row],[合区区服]],表1_86121822242638[目标国家（映射）],表2_97131923252739[[#This Row],[国家]])</f>
        <v>11461</v>
      </c>
      <c r="O26" s="51">
        <v>5004</v>
      </c>
      <c r="P26" s="51">
        <v>41</v>
      </c>
      <c r="Q26" s="51" t="s">
        <v>78</v>
      </c>
      <c r="R26" s="51">
        <v>43</v>
      </c>
    </row>
    <row r="27" ht="15" spans="1:18">
      <c r="A27" s="39" t="s">
        <v>78</v>
      </c>
      <c r="B27" s="39" t="s">
        <v>26</v>
      </c>
      <c r="C27" s="39">
        <f>COUNTIFS(表1_86121822242638[目标区服],表2_97131923252739[[#This Row],[合区区服]],表1_86121822242638[目标国家（映射）],表2_97131923252739[[#This Row],[国家]])</f>
        <v>2</v>
      </c>
      <c r="D27" s="39">
        <f>SUMIFS(表1_86121822242638[活跃高战玩家数],表1_86121822242638[目标区服],表2_97131923252739[[#This Row],[合区区服]],表1_86121822242638[目标国家（映射）],表2_97131923252739[[#This Row],[国家]])</f>
        <v>6</v>
      </c>
      <c r="E27" s="39">
        <f>SUMIFS(表1_86121822242638[活跃中坚玩家数],表1_86121822242638[目标区服],表2_97131923252739[[#This Row],[合区区服]],表1_86121822242638[目标国家（映射）],表2_97131923252739[[#This Row],[国家]])</f>
        <v>41</v>
      </c>
      <c r="F27" s="39">
        <f t="array" ref="F27">MAX((表1_86121822242638[目标区服]=表2_97131923252739[[#This Row],[合区区服]])*(表1_86121822242638[目标国家（映射）]=表2_97131923252739[[#This Row],[国家]])*表1_86121822242638[活跃尖端战力])</f>
        <v>2301826</v>
      </c>
      <c r="G27" s="40">
        <f>SUMIFS(表1_86121822242638[活跃总战力],表1_86121822242638[目标区服],表2_97131923252739[[#This Row],[合区区服]],表1_86121822242638[目标国家（映射）],表2_97131923252739[[#This Row],[国家]])</f>
        <v>32264644</v>
      </c>
      <c r="H27" s="39">
        <f>SUMIFS(表1_86121822242638[活跃实际充值],表1_86121822242638[目标区服],表2_97131923252739[[#This Row],[合区区服]],表1_86121822242638[目标国家（映射）],表2_97131923252739[[#This Row],[国家]])</f>
        <v>79986</v>
      </c>
      <c r="I27" s="39">
        <f>SUMIFS(表1_86121822242638[活跃虚拟充值],表1_86121822242638[目标区服],表2_97131923252739[[#This Row],[合区区服]],表1_86121822242638[目标国家（映射）],表2_97131923252739[[#This Row],[国家]])</f>
        <v>0</v>
      </c>
      <c r="J27" s="39">
        <f>SUMIFS(表1_86121822242638[活跃Coin],表1_86121822242638[目标区服],表2_97131923252739[[#This Row],[合区区服]],表1_86121822242638[目标国家（映射）],表2_97131923252739[[#This Row],[国家]])</f>
        <v>661220</v>
      </c>
      <c r="K27" s="39">
        <f>SUMIFS(表1_86121822242638[共计补偿Coin],表1_86121822242638[目标区服],表2_97131923252739[[#This Row],[合区区服]],表1_86121822242638[目标国家（映射）],表2_97131923252739[[#This Row],[国家]])</f>
        <v>47000</v>
      </c>
      <c r="L27" s="39">
        <f>表2_97131923252739[[#This Row],[活跃Coin]]+表2_97131923252739[[#This Row],[共计补偿Coin]]</f>
        <v>708220</v>
      </c>
      <c r="M27" s="39">
        <f>SUMIFS(表1_86121822242638[综合国力],表1_86121822242638[目标区服],表2_97131923252739[[#This Row],[合区区服]],表1_86121822242638[目标国家（映射）],表2_97131923252739[[#This Row],[国家]])</f>
        <v>14483</v>
      </c>
      <c r="O27" s="51">
        <v>5005</v>
      </c>
      <c r="P27" s="51">
        <v>41</v>
      </c>
      <c r="Q27" s="51" t="s">
        <v>79</v>
      </c>
      <c r="R27" s="51">
        <v>42</v>
      </c>
    </row>
    <row r="28" ht="15" spans="1:18">
      <c r="A28" s="39" t="s">
        <v>78</v>
      </c>
      <c r="B28" s="39" t="s">
        <v>27</v>
      </c>
      <c r="C28" s="39">
        <f>COUNTIFS(表1_86121822242638[目标区服],表2_97131923252739[[#This Row],[合区区服]],表1_86121822242638[目标国家（映射）],表2_97131923252739[[#This Row],[国家]])</f>
        <v>3</v>
      </c>
      <c r="D28" s="39">
        <f>SUMIFS(表1_86121822242638[活跃高战玩家数],表1_86121822242638[目标区服],表2_97131923252739[[#This Row],[合区区服]],表1_86121822242638[目标国家（映射）],表2_97131923252739[[#This Row],[国家]])</f>
        <v>6</v>
      </c>
      <c r="E28" s="39">
        <f>SUMIFS(表1_86121822242638[活跃中坚玩家数],表1_86121822242638[目标区服],表2_97131923252739[[#This Row],[合区区服]],表1_86121822242638[目标国家（映射）],表2_97131923252739[[#This Row],[国家]])</f>
        <v>55</v>
      </c>
      <c r="F28" s="39">
        <f t="array" ref="F28">MAX((表1_86121822242638[目标区服]=表2_97131923252739[[#This Row],[合区区服]])*(表1_86121822242638[目标国家（映射）]=表2_97131923252739[[#This Row],[国家]])*表1_86121822242638[活跃尖端战力])</f>
        <v>1663632</v>
      </c>
      <c r="G28" s="40">
        <f>SUMIFS(表1_86121822242638[活跃总战力],表1_86121822242638[目标区服],表2_97131923252739[[#This Row],[合区区服]],表1_86121822242638[目标国家（映射）],表2_97131923252739[[#This Row],[国家]])</f>
        <v>37386308</v>
      </c>
      <c r="H28" s="39">
        <f>SUMIFS(表1_86121822242638[活跃实际充值],表1_86121822242638[目标区服],表2_97131923252739[[#This Row],[合区区服]],表1_86121822242638[目标国家（映射）],表2_97131923252739[[#This Row],[国家]])</f>
        <v>56538</v>
      </c>
      <c r="I28" s="39">
        <f>SUMIFS(表1_86121822242638[活跃虚拟充值],表1_86121822242638[目标区服],表2_97131923252739[[#This Row],[合区区服]],表1_86121822242638[目标国家（映射）],表2_97131923252739[[#This Row],[国家]])</f>
        <v>11044</v>
      </c>
      <c r="J28" s="39">
        <f>SUMIFS(表1_86121822242638[活跃Coin],表1_86121822242638[目标区服],表2_97131923252739[[#This Row],[合区区服]],表1_86121822242638[目标国家（映射）],表2_97131923252739[[#This Row],[国家]])</f>
        <v>448605</v>
      </c>
      <c r="K28" s="39">
        <f>SUMIFS(表1_86121822242638[共计补偿Coin],表1_86121822242638[目标区服],表2_97131923252739[[#This Row],[合区区服]],表1_86121822242638[目标国家（映射）],表2_97131923252739[[#This Row],[国家]])</f>
        <v>61000</v>
      </c>
      <c r="L28" s="39">
        <f>表2_97131923252739[[#This Row],[活跃Coin]]+表2_97131923252739[[#This Row],[共计补偿Coin]]</f>
        <v>509605</v>
      </c>
      <c r="M28" s="39">
        <f>SUMIFS(表1_86121822242638[综合国力],表1_86121822242638[目标区服],表2_97131923252739[[#This Row],[合区区服]],表1_86121822242638[目标国家（映射）],表2_97131923252739[[#This Row],[国家]])</f>
        <v>13901</v>
      </c>
      <c r="O28" s="51">
        <v>5006</v>
      </c>
      <c r="P28" s="51">
        <v>40</v>
      </c>
      <c r="Q28" s="51"/>
      <c r="R28" s="51"/>
    </row>
    <row r="29" ht="15" spans="1:18">
      <c r="A29" s="41" t="s">
        <v>79</v>
      </c>
      <c r="B29" s="41" t="s">
        <v>25</v>
      </c>
      <c r="C29" s="41">
        <f>COUNTIFS(表1_86121822242638[目标区服],表2_97131923252739[[#This Row],[合区区服]],表1_86121822242638[目标国家（映射）],表2_97131923252739[[#This Row],[国家]])</f>
        <v>2</v>
      </c>
      <c r="D29" s="41">
        <f>SUMIFS(表1_86121822242638[活跃高战玩家数],表1_86121822242638[目标区服],表2_97131923252739[[#This Row],[合区区服]],表1_86121822242638[目标国家（映射）],表2_97131923252739[[#This Row],[国家]])</f>
        <v>9</v>
      </c>
      <c r="E29" s="41">
        <f>SUMIFS(表1_86121822242638[活跃中坚玩家数],表1_86121822242638[目标区服],表2_97131923252739[[#This Row],[合区区服]],表1_86121822242638[目标国家（映射）],表2_97131923252739[[#This Row],[国家]])</f>
        <v>36</v>
      </c>
      <c r="F29" s="41">
        <f t="array" ref="F29">MAX((表1_86121822242638[目标区服]=表2_97131923252739[[#This Row],[合区区服]])*(表1_86121822242638[目标国家（映射）]=表2_97131923252739[[#This Row],[国家]])*表1_86121822242638[活跃尖端战力])</f>
        <v>2538680</v>
      </c>
      <c r="G29" s="42">
        <f>SUMIFS(表1_86121822242638[活跃总战力],表1_86121822242638[目标区服],表2_97131923252739[[#This Row],[合区区服]],表1_86121822242638[目标国家（映射）],表2_97131923252739[[#This Row],[国家]])</f>
        <v>32133818</v>
      </c>
      <c r="H29" s="41">
        <f>SUMIFS(表1_86121822242638[活跃实际充值],表1_86121822242638[目标区服],表2_97131923252739[[#This Row],[合区区服]],表1_86121822242638[目标国家（映射）],表2_97131923252739[[#This Row],[国家]])</f>
        <v>108270</v>
      </c>
      <c r="I29" s="41">
        <f>SUMIFS(表1_86121822242638[活跃虚拟充值],表1_86121822242638[目标区服],表2_97131923252739[[#This Row],[合区区服]],表1_86121822242638[目标国家（映射）],表2_97131923252739[[#This Row],[国家]])</f>
        <v>0</v>
      </c>
      <c r="J29" s="41">
        <f>SUMIFS(表1_86121822242638[活跃Coin],表1_86121822242638[目标区服],表2_97131923252739[[#This Row],[合区区服]],表1_86121822242638[目标国家（映射）],表2_97131923252739[[#This Row],[国家]])</f>
        <v>835309</v>
      </c>
      <c r="K29" s="41">
        <f>SUMIFS(表1_86121822242638[共计补偿Coin],表1_86121822242638[目标区服],表2_97131923252739[[#This Row],[合区区服]],表1_86121822242638[目标国家（映射）],表2_97131923252739[[#This Row],[国家]])</f>
        <v>45000</v>
      </c>
      <c r="L29" s="41">
        <f>表2_97131923252739[[#This Row],[活跃Coin]]+表2_97131923252739[[#This Row],[共计补偿Coin]]</f>
        <v>880309</v>
      </c>
      <c r="M29" s="41">
        <f>SUMIFS(表1_86121822242638[综合国力],表1_86121822242638[目标区服],表2_97131923252739[[#This Row],[合区区服]],表1_86121822242638[目标国家（映射）],表2_97131923252739[[#This Row],[国家]])</f>
        <v>16554</v>
      </c>
      <c r="O29" s="51">
        <v>5007</v>
      </c>
      <c r="P29" s="51">
        <v>40</v>
      </c>
      <c r="Q29" s="51"/>
      <c r="R29" s="51"/>
    </row>
    <row r="30" ht="15" spans="1:16">
      <c r="A30" s="41" t="s">
        <v>79</v>
      </c>
      <c r="B30" s="41" t="s">
        <v>26</v>
      </c>
      <c r="C30" s="41">
        <f>COUNTIFS(表1_86121822242638[目标区服],表2_97131923252739[[#This Row],[合区区服]],表1_86121822242638[目标国家（映射）],表2_97131923252739[[#This Row],[国家]])</f>
        <v>2</v>
      </c>
      <c r="D30" s="41">
        <f>SUMIFS(表1_86121822242638[活跃高战玩家数],表1_86121822242638[目标区服],表2_97131923252739[[#This Row],[合区区服]],表1_86121822242638[目标国家（映射）],表2_97131923252739[[#This Row],[国家]])</f>
        <v>2</v>
      </c>
      <c r="E30" s="41">
        <f>SUMIFS(表1_86121822242638[活跃中坚玩家数],表1_86121822242638[目标区服],表2_97131923252739[[#This Row],[合区区服]],表1_86121822242638[目标国家（映射）],表2_97131923252739[[#This Row],[国家]])</f>
        <v>46</v>
      </c>
      <c r="F30" s="41">
        <f t="array" ref="F30">MAX((表1_86121822242638[目标区服]=表2_97131923252739[[#This Row],[合区区服]])*(表1_86121822242638[目标国家（映射）]=表2_97131923252739[[#This Row],[国家]])*表1_86121822242638[活跃尖端战力])</f>
        <v>1917750</v>
      </c>
      <c r="G30" s="42">
        <f>SUMIFS(表1_86121822242638[活跃总战力],表1_86121822242638[目标区服],表2_97131923252739[[#This Row],[合区区服]],表1_86121822242638[目标国家（映射）],表2_97131923252739[[#This Row],[国家]])</f>
        <v>28185974</v>
      </c>
      <c r="H30" s="41">
        <f>SUMIFS(表1_86121822242638[活跃实际充值],表1_86121822242638[目标区服],表2_97131923252739[[#This Row],[合区区服]],表1_86121822242638[目标国家（映射）],表2_97131923252739[[#This Row],[国家]])</f>
        <v>91604</v>
      </c>
      <c r="I30" s="41">
        <f>SUMIFS(表1_86121822242638[活跃虚拟充值],表1_86121822242638[目标区服],表2_97131923252739[[#This Row],[合区区服]],表1_86121822242638[目标国家（映射）],表2_97131923252739[[#This Row],[国家]])</f>
        <v>0</v>
      </c>
      <c r="J30" s="41">
        <f>SUMIFS(表1_86121822242638[活跃Coin],表1_86121822242638[目标区服],表2_97131923252739[[#This Row],[合区区服]],表1_86121822242638[目标国家（映射）],表2_97131923252739[[#This Row],[国家]])</f>
        <v>404805</v>
      </c>
      <c r="K30" s="41">
        <f>SUMIFS(表1_86121822242638[共计补偿Coin],表1_86121822242638[目标区服],表2_97131923252739[[#This Row],[合区区服]],表1_86121822242638[目标国家（映射）],表2_97131923252739[[#This Row],[国家]])</f>
        <v>48000</v>
      </c>
      <c r="L30" s="41">
        <f>表2_97131923252739[[#This Row],[活跃Coin]]+表2_97131923252739[[#This Row],[共计补偿Coin]]</f>
        <v>452805</v>
      </c>
      <c r="M30" s="41">
        <f>SUMIFS(表1_86121822242638[综合国力],表1_86121822242638[目标区服],表2_97131923252739[[#This Row],[合区区服]],表1_86121822242638[目标国家（映射）],表2_97131923252739[[#This Row],[国家]])</f>
        <v>12836</v>
      </c>
      <c r="O30" s="51"/>
      <c r="P30" s="51"/>
    </row>
    <row r="31" ht="15" spans="1:16">
      <c r="A31" s="41" t="s">
        <v>79</v>
      </c>
      <c r="B31" s="43" t="s">
        <v>27</v>
      </c>
      <c r="C31" s="43">
        <f>COUNTIFS(表1_86121822242638[目标区服],表2_97131923252739[[#This Row],[合区区服]],表1_86121822242638[目标国家（映射）],表2_97131923252739[[#This Row],[国家]])</f>
        <v>2</v>
      </c>
      <c r="D31" s="43">
        <f>SUMIFS(表1_86121822242638[活跃高战玩家数],表1_86121822242638[目标区服],表2_97131923252739[[#This Row],[合区区服]],表1_86121822242638[目标国家（映射）],表2_97131923252739[[#This Row],[国家]])</f>
        <v>5</v>
      </c>
      <c r="E31" s="43">
        <f>SUMIFS(表1_86121822242638[活跃中坚玩家数],表1_86121822242638[目标区服],表2_97131923252739[[#This Row],[合区区服]],表1_86121822242638[目标国家（映射）],表2_97131923252739[[#This Row],[国家]])</f>
        <v>41</v>
      </c>
      <c r="F31" s="43">
        <f t="array" ref="F31">MAX((表1_86121822242638[目标区服]=表2_97131923252739[[#This Row],[合区区服]])*(表1_86121822242638[目标国家（映射）]=表2_97131923252739[[#This Row],[国家]])*表1_86121822242638[活跃尖端战力])</f>
        <v>1817640</v>
      </c>
      <c r="G31" s="44">
        <f>SUMIFS(表1_86121822242638[活跃总战力],表1_86121822242638[目标区服],表2_97131923252739[[#This Row],[合区区服]],表1_86121822242638[目标国家（映射）],表2_97131923252739[[#This Row],[国家]])</f>
        <v>27467810</v>
      </c>
      <c r="H31" s="43">
        <f>SUMIFS(表1_86121822242638[活跃实际充值],表1_86121822242638[目标区服],表2_97131923252739[[#This Row],[合区区服]],表1_86121822242638[目标国家（映射）],表2_97131923252739[[#This Row],[国家]])</f>
        <v>100732</v>
      </c>
      <c r="I31" s="43">
        <f>SUMIFS(表1_86121822242638[活跃虚拟充值],表1_86121822242638[目标区服],表2_97131923252739[[#This Row],[合区区服]],表1_86121822242638[目标国家（映射）],表2_97131923252739[[#This Row],[国家]])</f>
        <v>0</v>
      </c>
      <c r="J31" s="43">
        <f>SUMIFS(表1_86121822242638[活跃Coin],表1_86121822242638[目标区服],表2_97131923252739[[#This Row],[合区区服]],表1_86121822242638[目标国家（映射）],表2_97131923252739[[#This Row],[国家]])</f>
        <v>637951</v>
      </c>
      <c r="K31" s="43">
        <f>SUMIFS(表1_86121822242638[共计补偿Coin],表1_86121822242638[目标区服],表2_97131923252739[[#This Row],[合区区服]],表1_86121822242638[目标国家（映射）],表2_97131923252739[[#This Row],[国家]])</f>
        <v>46000</v>
      </c>
      <c r="L31" s="43">
        <f>表2_97131923252739[[#This Row],[活跃Coin]]+表2_97131923252739[[#This Row],[共计补偿Coin]]</f>
        <v>683951</v>
      </c>
      <c r="M31" s="43">
        <f>SUMIFS(表1_86121822242638[综合国力],表1_86121822242638[目标区服],表2_97131923252739[[#This Row],[合区区服]],表1_86121822242638[目标国家（映射）],表2_97131923252739[[#This Row],[国家]])</f>
        <v>12160</v>
      </c>
      <c r="O31" s="51"/>
      <c r="P31" s="51"/>
    </row>
    <row r="32" ht="15" spans="1:16">
      <c r="A32" s="45"/>
      <c r="B32" s="46" t="s">
        <v>25</v>
      </c>
      <c r="C32" s="46">
        <f>COUNTIFS(表1_86121822242638[目标区服],表2_97131923252739[[#This Row],[合区区服]],表1_86121822242638[目标国家（映射）],表2_97131923252739[[#This Row],[国家]])</f>
        <v>0</v>
      </c>
      <c r="D32" s="46">
        <f>SUMIFS(表1_86121822242638[活跃高战玩家数],表1_86121822242638[目标区服],表2_97131923252739[[#This Row],[合区区服]],表1_86121822242638[目标国家（映射）],表2_97131923252739[[#This Row],[国家]])</f>
        <v>0</v>
      </c>
      <c r="E32" s="46">
        <f>SUMIFS(表1_86121822242638[活跃中坚玩家数],表1_86121822242638[目标区服],表2_97131923252739[[#This Row],[合区区服]],表1_86121822242638[目标国家（映射）],表2_97131923252739[[#This Row],[国家]])</f>
        <v>0</v>
      </c>
      <c r="F32" s="46">
        <f t="array" ref="F32">MAX((表1_86121822242638[目标区服]=表2_97131923252739[[#This Row],[合区区服]])*(表1_86121822242638[目标国家（映射）]=表2_97131923252739[[#This Row],[国家]])*表1_86121822242638[活跃尖端战力])</f>
        <v>0</v>
      </c>
      <c r="G32" s="47">
        <f>SUMIFS(表1_86121822242638[活跃总战力],表1_86121822242638[目标区服],表2_97131923252739[[#This Row],[合区区服]],表1_86121822242638[目标国家（映射）],表2_97131923252739[[#This Row],[国家]])</f>
        <v>0</v>
      </c>
      <c r="H32" s="46">
        <f>SUMIFS(表1_86121822242638[活跃实际充值],表1_86121822242638[目标区服],表2_97131923252739[[#This Row],[合区区服]],表1_86121822242638[目标国家（映射）],表2_97131923252739[[#This Row],[国家]])</f>
        <v>0</v>
      </c>
      <c r="I32" s="46">
        <f>SUMIFS(表1_86121822242638[活跃虚拟充值],表1_86121822242638[目标区服],表2_97131923252739[[#This Row],[合区区服]],表1_86121822242638[目标国家（映射）],表2_97131923252739[[#This Row],[国家]])</f>
        <v>0</v>
      </c>
      <c r="J32" s="46">
        <f>SUMIFS(表1_86121822242638[活跃Coin],表1_86121822242638[目标区服],表2_97131923252739[[#This Row],[合区区服]],表1_86121822242638[目标国家（映射）],表2_97131923252739[[#This Row],[国家]])</f>
        <v>0</v>
      </c>
      <c r="K32" s="46">
        <f>SUMIFS(表1_86121822242638[共计补偿Coin],表1_86121822242638[目标区服],表2_97131923252739[[#This Row],[合区区服]],表1_86121822242638[目标国家（映射）],表2_97131923252739[[#This Row],[国家]])</f>
        <v>0</v>
      </c>
      <c r="L32" s="46">
        <f>表2_97131923252739[[#This Row],[活跃Coin]]+表2_97131923252739[[#This Row],[共计补偿Coin]]</f>
        <v>0</v>
      </c>
      <c r="M32" s="46">
        <f>SUMIFS(表1_86121822242638[综合国力],表1_86121822242638[目标区服],表2_97131923252739[[#This Row],[合区区服]],表1_86121822242638[目标国家（映射）],表2_97131923252739[[#This Row],[国家]])</f>
        <v>0</v>
      </c>
      <c r="O32" s="51"/>
      <c r="P32" s="51"/>
    </row>
    <row r="33" ht="15" spans="1:16">
      <c r="A33" s="45"/>
      <c r="B33" s="46" t="s">
        <v>26</v>
      </c>
      <c r="C33" s="46">
        <f>COUNTIFS(表1_86121822242638[目标区服],表2_97131923252739[[#This Row],[合区区服]],表1_86121822242638[目标国家（映射）],表2_97131923252739[[#This Row],[国家]])</f>
        <v>0</v>
      </c>
      <c r="D33" s="46">
        <f>SUMIFS(表1_86121822242638[活跃高战玩家数],表1_86121822242638[目标区服],表2_97131923252739[[#This Row],[合区区服]],表1_86121822242638[目标国家（映射）],表2_97131923252739[[#This Row],[国家]])</f>
        <v>0</v>
      </c>
      <c r="E33" s="46">
        <f>SUMIFS(表1_86121822242638[活跃中坚玩家数],表1_86121822242638[目标区服],表2_97131923252739[[#This Row],[合区区服]],表1_86121822242638[目标国家（映射）],表2_97131923252739[[#This Row],[国家]])</f>
        <v>0</v>
      </c>
      <c r="F33" s="46">
        <f t="array" ref="F33">MAX((表1_86121822242638[目标区服]=表2_97131923252739[[#This Row],[合区区服]])*(表1_86121822242638[目标国家（映射）]=表2_97131923252739[[#This Row],[国家]])*表1_86121822242638[活跃尖端战力])</f>
        <v>0</v>
      </c>
      <c r="G33" s="47">
        <f>SUMIFS(表1_86121822242638[活跃总战力],表1_86121822242638[目标区服],表2_97131923252739[[#This Row],[合区区服]],表1_86121822242638[目标国家（映射）],表2_97131923252739[[#This Row],[国家]])</f>
        <v>0</v>
      </c>
      <c r="H33" s="46">
        <f>SUMIFS(表1_86121822242638[活跃实际充值],表1_86121822242638[目标区服],表2_97131923252739[[#This Row],[合区区服]],表1_86121822242638[目标国家（映射）],表2_97131923252739[[#This Row],[国家]])</f>
        <v>0</v>
      </c>
      <c r="I33" s="46">
        <f>SUMIFS(表1_86121822242638[活跃虚拟充值],表1_86121822242638[目标区服],表2_97131923252739[[#This Row],[合区区服]],表1_86121822242638[目标国家（映射）],表2_97131923252739[[#This Row],[国家]])</f>
        <v>0</v>
      </c>
      <c r="J33" s="46">
        <f>SUMIFS(表1_86121822242638[活跃Coin],表1_86121822242638[目标区服],表2_97131923252739[[#This Row],[合区区服]],表1_86121822242638[目标国家（映射）],表2_97131923252739[[#This Row],[国家]])</f>
        <v>0</v>
      </c>
      <c r="K33" s="46">
        <f>SUMIFS(表1_86121822242638[共计补偿Coin],表1_86121822242638[目标区服],表2_97131923252739[[#This Row],[合区区服]],表1_86121822242638[目标国家（映射）],表2_97131923252739[[#This Row],[国家]])</f>
        <v>0</v>
      </c>
      <c r="L33" s="46">
        <f>表2_97131923252739[[#This Row],[活跃Coin]]+表2_97131923252739[[#This Row],[共计补偿Coin]]</f>
        <v>0</v>
      </c>
      <c r="M33" s="46">
        <f>SUMIFS(表1_86121822242638[综合国力],表1_86121822242638[目标区服],表2_97131923252739[[#This Row],[合区区服]],表1_86121822242638[目标国家（映射）],表2_97131923252739[[#This Row],[国家]])</f>
        <v>0</v>
      </c>
      <c r="O33" s="51"/>
      <c r="P33" s="51"/>
    </row>
    <row r="34" ht="15" spans="1:13">
      <c r="A34" s="45"/>
      <c r="B34" s="48" t="s">
        <v>27</v>
      </c>
      <c r="C34" s="48">
        <f>COUNTIFS(表1_86121822242638[目标区服],表2_97131923252739[[#This Row],[合区区服]],表1_86121822242638[目标国家（映射）],表2_97131923252739[[#This Row],[国家]])</f>
        <v>0</v>
      </c>
      <c r="D34" s="48">
        <f>SUMIFS(表1_86121822242638[活跃高战玩家数],表1_86121822242638[目标区服],表2_97131923252739[[#This Row],[合区区服]],表1_86121822242638[目标国家（映射）],表2_97131923252739[[#This Row],[国家]])</f>
        <v>0</v>
      </c>
      <c r="E34" s="48">
        <f>SUMIFS(表1_86121822242638[活跃中坚玩家数],表1_86121822242638[目标区服],表2_97131923252739[[#This Row],[合区区服]],表1_86121822242638[目标国家（映射）],表2_97131923252739[[#This Row],[国家]])</f>
        <v>0</v>
      </c>
      <c r="F34" s="48">
        <f t="array" ref="F34">MAX((表1_86121822242638[目标区服]=表2_97131923252739[[#This Row],[合区区服]])*(表1_86121822242638[目标国家（映射）]=表2_97131923252739[[#This Row],[国家]])*表1_86121822242638[活跃尖端战力])</f>
        <v>0</v>
      </c>
      <c r="G34" s="458">
        <f>SUMIFS(表1_86121822242638[活跃总战力],表1_86121822242638[目标区服],表2_97131923252739[[#This Row],[合区区服]],表1_86121822242638[目标国家（映射）],表2_97131923252739[[#This Row],[国家]])</f>
        <v>0</v>
      </c>
      <c r="H34" s="48">
        <f>SUMIFS(表1_86121822242638[活跃实际充值],表1_86121822242638[目标区服],表2_97131923252739[[#This Row],[合区区服]],表1_86121822242638[目标国家（映射）],表2_97131923252739[[#This Row],[国家]])</f>
        <v>0</v>
      </c>
      <c r="I34" s="48">
        <f>SUMIFS(表1_86121822242638[活跃虚拟充值],表1_86121822242638[目标区服],表2_97131923252739[[#This Row],[合区区服]],表1_86121822242638[目标国家（映射）],表2_97131923252739[[#This Row],[国家]])</f>
        <v>0</v>
      </c>
      <c r="J34" s="48">
        <f>SUMIFS(表1_86121822242638[活跃Coin],表1_86121822242638[目标区服],表2_97131923252739[[#This Row],[合区区服]],表1_86121822242638[目标国家（映射）],表2_97131923252739[[#This Row],[国家]])</f>
        <v>0</v>
      </c>
      <c r="K34" s="48">
        <f>SUMIFS(表1_86121822242638[共计补偿Coin],表1_86121822242638[目标区服],表2_97131923252739[[#This Row],[合区区服]],表1_86121822242638[目标国家（映射）],表2_97131923252739[[#This Row],[国家]])</f>
        <v>0</v>
      </c>
      <c r="L34" s="48">
        <f>表2_97131923252739[[#This Row],[活跃Coin]]+表2_97131923252739[[#This Row],[共计补偿Coin]]</f>
        <v>0</v>
      </c>
      <c r="M34" s="48">
        <f>SUMIFS(表1_86121822242638[综合国力],表1_86121822242638[目标区服],表2_97131923252739[[#This Row],[合区区服]],表1_86121822242638[目标国家（映射）],表2_97131923252739[[#This Row],[国家]])</f>
        <v>0</v>
      </c>
    </row>
    <row r="40" ht="27" spans="1:12">
      <c r="A40" s="49"/>
      <c r="B40" s="50" t="s">
        <v>9</v>
      </c>
      <c r="C40" s="50" t="s">
        <v>10</v>
      </c>
      <c r="D40" s="50" t="s">
        <v>11</v>
      </c>
      <c r="E40" s="50" t="s">
        <v>12</v>
      </c>
      <c r="F40" s="50" t="s">
        <v>13</v>
      </c>
      <c r="G40" s="50" t="s">
        <v>14</v>
      </c>
      <c r="H40" s="50" t="s">
        <v>15</v>
      </c>
      <c r="I40" s="50" t="s">
        <v>18</v>
      </c>
      <c r="J40" s="50" t="s">
        <v>19</v>
      </c>
      <c r="K40" s="50" t="s">
        <v>20</v>
      </c>
      <c r="L40" s="50" t="s">
        <v>21</v>
      </c>
    </row>
    <row r="41" spans="1:12">
      <c r="A41" s="50" t="s">
        <v>25</v>
      </c>
      <c r="B41" s="50">
        <v>0</v>
      </c>
      <c r="C41" s="50">
        <v>76</v>
      </c>
      <c r="D41" s="50">
        <v>3</v>
      </c>
      <c r="E41" s="50">
        <v>19</v>
      </c>
      <c r="F41" s="50">
        <v>107225</v>
      </c>
      <c r="G41" s="50">
        <v>1663632</v>
      </c>
      <c r="H41" s="50">
        <v>14581584</v>
      </c>
      <c r="I41" s="50">
        <v>22924</v>
      </c>
      <c r="J41" s="50">
        <v>0</v>
      </c>
      <c r="K41" s="50">
        <v>172697</v>
      </c>
      <c r="L41" s="50">
        <v>5191</v>
      </c>
    </row>
    <row r="42" spans="1:12">
      <c r="A42" s="50" t="s">
        <v>26</v>
      </c>
      <c r="B42" s="50">
        <v>6</v>
      </c>
      <c r="C42" s="50">
        <v>245</v>
      </c>
      <c r="D42" s="50">
        <v>6</v>
      </c>
      <c r="E42" s="50">
        <v>18</v>
      </c>
      <c r="F42" s="50">
        <v>135695</v>
      </c>
      <c r="G42" s="50">
        <v>2301826</v>
      </c>
      <c r="H42" s="50">
        <v>19871956</v>
      </c>
      <c r="I42" s="50">
        <v>62144</v>
      </c>
      <c r="J42" s="50">
        <v>0</v>
      </c>
      <c r="K42" s="50">
        <v>524305</v>
      </c>
      <c r="L42" s="50">
        <v>10143</v>
      </c>
    </row>
    <row r="43" spans="1:12">
      <c r="A43" s="50" t="s">
        <v>27</v>
      </c>
      <c r="B43" s="50">
        <v>3</v>
      </c>
      <c r="C43" s="50">
        <v>74</v>
      </c>
      <c r="D43" s="50">
        <v>1</v>
      </c>
      <c r="E43" s="50">
        <v>15</v>
      </c>
      <c r="F43" s="50">
        <v>60983</v>
      </c>
      <c r="G43" s="50">
        <v>1137156</v>
      </c>
      <c r="H43" s="50">
        <v>8759788</v>
      </c>
      <c r="I43" s="50">
        <v>5016</v>
      </c>
      <c r="J43" s="50">
        <v>0</v>
      </c>
      <c r="K43" s="50">
        <v>80230</v>
      </c>
      <c r="L43" s="50">
        <v>3548</v>
      </c>
    </row>
    <row r="44" spans="1:12">
      <c r="A44" s="50" t="s">
        <v>25</v>
      </c>
      <c r="B44" s="50">
        <v>5</v>
      </c>
      <c r="C44" s="50">
        <v>220</v>
      </c>
      <c r="D44" s="50">
        <v>8</v>
      </c>
      <c r="E44" s="50">
        <v>30</v>
      </c>
      <c r="F44" s="50">
        <v>179212</v>
      </c>
      <c r="G44" s="50">
        <v>2331949</v>
      </c>
      <c r="H44" s="50">
        <v>30007476</v>
      </c>
      <c r="I44" s="50">
        <v>76526</v>
      </c>
      <c r="J44" s="50">
        <v>0</v>
      </c>
      <c r="K44" s="50">
        <v>474092</v>
      </c>
      <c r="L44" s="50">
        <v>11461</v>
      </c>
    </row>
    <row r="45" spans="1:12">
      <c r="A45" s="50" t="s">
        <v>26</v>
      </c>
      <c r="B45" s="50">
        <v>2</v>
      </c>
      <c r="C45" s="50">
        <v>89</v>
      </c>
      <c r="D45" s="50">
        <v>0</v>
      </c>
      <c r="E45" s="50">
        <v>23</v>
      </c>
      <c r="F45" s="50">
        <v>59998</v>
      </c>
      <c r="G45" s="50">
        <v>1107603</v>
      </c>
      <c r="H45" s="50">
        <v>12392688</v>
      </c>
      <c r="I45" s="50">
        <v>17842</v>
      </c>
      <c r="J45" s="50">
        <v>0</v>
      </c>
      <c r="K45" s="50">
        <v>136915</v>
      </c>
      <c r="L45" s="50">
        <v>4340</v>
      </c>
    </row>
    <row r="46" spans="1:12">
      <c r="A46" s="50" t="s">
        <v>27</v>
      </c>
      <c r="B46" s="50">
        <v>2</v>
      </c>
      <c r="C46" s="50">
        <v>86</v>
      </c>
      <c r="D46" s="50">
        <v>2</v>
      </c>
      <c r="E46" s="50">
        <v>21</v>
      </c>
      <c r="F46" s="50">
        <v>78610</v>
      </c>
      <c r="G46" s="50">
        <v>1239080</v>
      </c>
      <c r="H46" s="50">
        <v>14044936</v>
      </c>
      <c r="I46" s="50">
        <v>28598</v>
      </c>
      <c r="J46" s="50">
        <v>11044</v>
      </c>
      <c r="K46" s="50">
        <v>195678</v>
      </c>
      <c r="L46" s="50">
        <v>5162</v>
      </c>
    </row>
    <row r="47" spans="1:12">
      <c r="A47" s="50" t="s">
        <v>25</v>
      </c>
      <c r="B47" s="50">
        <v>9</v>
      </c>
      <c r="C47" s="50">
        <v>309</v>
      </c>
      <c r="D47" s="50">
        <v>7</v>
      </c>
      <c r="E47" s="50">
        <v>19</v>
      </c>
      <c r="F47" s="50">
        <v>137494</v>
      </c>
      <c r="G47" s="50">
        <v>2538680</v>
      </c>
      <c r="H47" s="50">
        <v>20264877</v>
      </c>
      <c r="I47" s="50">
        <v>78434</v>
      </c>
      <c r="J47" s="50">
        <v>0</v>
      </c>
      <c r="K47" s="50">
        <v>656001</v>
      </c>
      <c r="L47" s="50">
        <v>11923</v>
      </c>
    </row>
    <row r="48" spans="1:12">
      <c r="A48" s="50" t="s">
        <v>26</v>
      </c>
      <c r="B48" s="50">
        <v>0</v>
      </c>
      <c r="C48" s="50">
        <v>48</v>
      </c>
      <c r="D48" s="50">
        <v>0</v>
      </c>
      <c r="E48" s="50">
        <v>18</v>
      </c>
      <c r="F48" s="50">
        <v>72704</v>
      </c>
      <c r="G48" s="50">
        <v>974041</v>
      </c>
      <c r="H48" s="50">
        <v>9458683</v>
      </c>
      <c r="I48" s="50">
        <v>19970</v>
      </c>
      <c r="J48" s="50">
        <v>0</v>
      </c>
      <c r="K48" s="50">
        <v>83954</v>
      </c>
      <c r="L48" s="50">
        <v>3404</v>
      </c>
    </row>
    <row r="49" spans="1:12">
      <c r="A49" s="50" t="s">
        <v>27</v>
      </c>
      <c r="B49" s="50">
        <v>0</v>
      </c>
      <c r="C49" s="50">
        <v>38</v>
      </c>
      <c r="D49" s="50">
        <v>1</v>
      </c>
      <c r="E49" s="50">
        <v>19</v>
      </c>
      <c r="F49" s="50">
        <v>77620</v>
      </c>
      <c r="G49" s="50">
        <v>1546245</v>
      </c>
      <c r="H49" s="50">
        <v>10959813</v>
      </c>
      <c r="I49" s="50">
        <v>51270</v>
      </c>
      <c r="J49" s="50">
        <v>0</v>
      </c>
      <c r="K49" s="50">
        <v>332271</v>
      </c>
      <c r="L49" s="50">
        <v>5114</v>
      </c>
    </row>
    <row r="50" spans="1:12">
      <c r="A50" s="50" t="s">
        <v>25</v>
      </c>
      <c r="B50" s="50">
        <v>1</v>
      </c>
      <c r="C50" s="50">
        <v>53</v>
      </c>
      <c r="D50" s="50">
        <v>2</v>
      </c>
      <c r="E50" s="50">
        <v>17</v>
      </c>
      <c r="F50" s="50">
        <v>81193</v>
      </c>
      <c r="G50" s="50">
        <v>1423771</v>
      </c>
      <c r="H50" s="50">
        <v>11868941</v>
      </c>
      <c r="I50" s="50">
        <v>29836</v>
      </c>
      <c r="J50" s="50">
        <v>0</v>
      </c>
      <c r="K50" s="50">
        <v>179308</v>
      </c>
      <c r="L50" s="50">
        <v>4631</v>
      </c>
    </row>
    <row r="51" spans="1:12">
      <c r="A51" s="50" t="s">
        <v>26</v>
      </c>
      <c r="B51" s="50">
        <v>5</v>
      </c>
      <c r="C51" s="50">
        <v>229</v>
      </c>
      <c r="D51" s="50">
        <v>2</v>
      </c>
      <c r="E51" s="50">
        <v>28</v>
      </c>
      <c r="F51" s="50">
        <v>108542</v>
      </c>
      <c r="G51" s="50">
        <v>1917750</v>
      </c>
      <c r="H51" s="50">
        <v>18727291</v>
      </c>
      <c r="I51" s="50">
        <v>71634</v>
      </c>
      <c r="J51" s="50">
        <v>0</v>
      </c>
      <c r="K51" s="50">
        <v>320851</v>
      </c>
      <c r="L51" s="50">
        <v>9432</v>
      </c>
    </row>
    <row r="52" spans="1:12">
      <c r="A52" s="50" t="s">
        <v>27</v>
      </c>
      <c r="B52" s="50">
        <v>3</v>
      </c>
      <c r="C52" s="50">
        <v>113</v>
      </c>
      <c r="D52" s="50">
        <v>4</v>
      </c>
      <c r="E52" s="50">
        <v>22</v>
      </c>
      <c r="F52" s="50">
        <v>102201</v>
      </c>
      <c r="G52" s="50">
        <v>1817640</v>
      </c>
      <c r="H52" s="50">
        <v>16507997</v>
      </c>
      <c r="I52" s="50">
        <v>49462</v>
      </c>
      <c r="J52" s="50">
        <v>0</v>
      </c>
      <c r="K52" s="50">
        <v>305680</v>
      </c>
      <c r="L52" s="50">
        <v>7046</v>
      </c>
    </row>
    <row r="53" spans="1:12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</row>
    <row r="54" spans="1:12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</row>
    <row r="55" spans="1:12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</row>
    <row r="56" spans="1:12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</row>
    <row r="57" spans="1:12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</row>
    <row r="58" spans="1:12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</row>
    <row r="59" spans="1:12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</row>
    <row r="60" spans="1:12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</row>
    <row r="61" spans="1:13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t="s">
        <v>66</v>
      </c>
    </row>
  </sheetData>
  <conditionalFormatting sqref="F26:F28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{a7aa5171-8ac5-4280-9f48-bedf49916ac5}</x14:id>
        </ext>
      </extLst>
    </cfRule>
  </conditionalFormatting>
  <conditionalFormatting sqref="F29:F3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{3b0a4552-2e43-424f-972a-a990b290e785}</x14:id>
        </ext>
      </extLst>
    </cfRule>
  </conditionalFormatting>
  <conditionalFormatting sqref="F32:F34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{a407983c-8c7c-4df9-8b49-3ace092da5a5}</x14:id>
        </ext>
      </extLst>
    </cfRule>
  </conditionalFormatting>
  <conditionalFormatting sqref="G26:G28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{53987660-b9b2-4a4a-9eb7-faaaeb53f4b3}</x14:id>
        </ext>
      </extLst>
    </cfRule>
  </conditionalFormatting>
  <conditionalFormatting sqref="G29:G31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{dee4f869-2085-4560-9f33-ec938e03b03f}</x14:id>
        </ext>
      </extLst>
    </cfRule>
  </conditionalFormatting>
  <conditionalFormatting sqref="G32:G34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{9cafa2c0-778d-4b14-a40e-67017195e5b1}</x14:id>
        </ext>
      </extLst>
    </cfRule>
  </conditionalFormatting>
  <conditionalFormatting sqref="O2:O19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{5c5d244a-1968-44e9-8bd1-8b84f2c51657}</x14:id>
        </ext>
      </extLst>
    </cfRule>
  </conditionalFormatting>
  <conditionalFormatting sqref="O20:O2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{576ae785-2ff0-4200-bda4-d505f53d767d}</x14:id>
        </ext>
      </extLst>
    </cfRule>
  </conditionalFormatting>
  <conditionalFormatting sqref="O26:O33">
    <cfRule type="cellIs" dxfId="37" priority="8" operator="equal">
      <formula>$S$26</formula>
    </cfRule>
  </conditionalFormatting>
  <conditionalFormatting sqref="P2:P19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{f3b8e574-26bf-45f3-ac7a-6b0d7ef3c48f}</x14:id>
        </ext>
      </extLst>
    </cfRule>
  </conditionalFormatting>
  <conditionalFormatting sqref="P20:P2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{ec1826c5-5443-44bb-8275-e25a8e65dd9c}</x14:id>
        </ext>
      </extLst>
    </cfRule>
  </conditionalFormatting>
  <conditionalFormatting sqref="Q2:Q22">
    <cfRule type="cellIs" dxfId="38" priority="5" operator="equal">
      <formula>配置!$D$4</formula>
    </cfRule>
    <cfRule type="cellIs" dxfId="39" priority="6" operator="equal">
      <formula>配置!$D$3</formula>
    </cfRule>
    <cfRule type="cellIs" dxfId="37" priority="7" operator="equal">
      <formula>配置!$D$2</formula>
    </cfRule>
  </conditionalFormatting>
  <conditionalFormatting sqref="Q26:Q29">
    <cfRule type="cellIs" dxfId="37" priority="9" operator="equal">
      <formula>$S$26</formula>
    </cfRule>
  </conditionalFormatting>
  <conditionalFormatting sqref="O23:O24 Q1:R1 Q2 Q4:Q5 Q7:Q8 Q10:Q11 Q13:Q14 Q16:Q17 Q19:Q20 Q22">
    <cfRule type="cellIs" dxfId="37" priority="17" operator="equal">
      <formula>配置!$D$2</formula>
    </cfRule>
  </conditionalFormatting>
  <conditionalFormatting sqref="Q2 Q4:Q5 Q7:Q8 Q10:Q11 Q13:Q14 Q16:Q17 Q19:Q20 Q22">
    <cfRule type="cellIs" dxfId="38" priority="16" operator="equal">
      <formula>配置!$D$4</formula>
    </cfRule>
  </conditionalFormatting>
  <dataValidations count="1">
    <dataValidation type="list" allowBlank="1" showInputMessage="1" showErrorMessage="1" sqref="Q2:Q22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7aa5171-8ac5-4280-9f48-bedf49916a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3b0a4552-2e43-424f-972a-a990b290e7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a407983c-8c7c-4df9-8b49-3ace092da5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53987660-b9b2-4a4a-9eb7-faaaeb53f4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dee4f869-2085-4560-9f33-ec938e03b0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9cafa2c0-778d-4b14-a40e-67017195e5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5c5d244a-1968-44e9-8bd1-8b84f2c516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576ae785-2ff0-4200-bda4-d505f53d76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f3b8e574-26bf-45f3-ac7a-6b0d7ef3c4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ec1826c5-5443-44bb-8275-e25a8e65dd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1"/>
  <sheetViews>
    <sheetView topLeftCell="A7" workbookViewId="0">
      <selection activeCell="H29" sqref="H29:H31"/>
    </sheetView>
  </sheetViews>
  <sheetFormatPr defaultColWidth="9" defaultRowHeight="13.5"/>
  <sheetData>
    <row r="1" s="1" customFormat="1" ht="27.75" spans="1:24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22</v>
      </c>
      <c r="X1" s="22" t="s">
        <v>23</v>
      </c>
    </row>
    <row r="2" s="354" customFormat="1" ht="14.25" customHeight="1" spans="1:24">
      <c r="A2" s="371">
        <v>97</v>
      </c>
      <c r="B2" s="371">
        <f>VLOOKUP(表1_86121822242640[[#This Row],[区服]],$O$26:$P$33,2,FALSE)</f>
        <v>54</v>
      </c>
      <c r="C2" s="371" t="s">
        <v>80</v>
      </c>
      <c r="D2" s="373" t="str">
        <f>表1_86121822242640[[#This Row],[目标国家]]</f>
        <v>吴</v>
      </c>
      <c r="E2" s="374">
        <f>(VLOOKUP(表1_86121822242640[[#This Row],[目标区服]],$Q$26:$R$29,2,FALSE)-表1_86121822242640[[#This Row],[开服天数]])*配置!$B$1</f>
        <v>1000</v>
      </c>
      <c r="F2" s="374">
        <f>表1_86121822242640[[#This Row],[补偿Coin]]*(表1_86121822242640[[#This Row],[活跃高战玩家数]]+表1_86121822242640[[#This Row],[活跃中坚玩家数]])</f>
        <v>4000</v>
      </c>
      <c r="G2" s="374">
        <f>(VLOOKUP(表1_86121822242640[[#This Row],[目标区服]],$Q$26:$R$29,2,FALSE)-表1_86121822242640[[#This Row],[开服天数]])*配置!$B$2</f>
        <v>10</v>
      </c>
      <c r="H2" s="376" t="s">
        <v>25</v>
      </c>
      <c r="I2" s="376">
        <f>IF(表1_86121822242640[[#This Row],[原国家]]="魏",0,IF(表1_86121822242640[[#This Row],[原国家]]="蜀",1,2))</f>
        <v>0</v>
      </c>
      <c r="J2" s="380">
        <v>0</v>
      </c>
      <c r="K2" s="380">
        <v>12</v>
      </c>
      <c r="L2" s="380">
        <v>0</v>
      </c>
      <c r="M2" s="380">
        <v>4</v>
      </c>
      <c r="N2" s="380">
        <v>12609</v>
      </c>
      <c r="O2" s="380">
        <v>877408</v>
      </c>
      <c r="P2" s="381">
        <v>2161375</v>
      </c>
      <c r="Q2" s="31" t="s">
        <v>27</v>
      </c>
      <c r="R2" s="376">
        <f>IF(表1_86121822242640[[#This Row],[目标国家]]="魏",0,IF(表1_86121822242640[[#This Row],[目标国家]]="蜀",1,2))</f>
        <v>2</v>
      </c>
      <c r="S2" s="380">
        <v>84</v>
      </c>
      <c r="T2" s="380">
        <v>0</v>
      </c>
      <c r="U2" s="380">
        <v>46227</v>
      </c>
      <c r="V2" s="380">
        <v>1302</v>
      </c>
      <c r="W2" s="387" t="str">
        <f>"{"&amp;"'coin':"&amp;表1_86121822242640[[#This Row],[补偿Coin]]&amp;",'"&amp;配置!$A$2&amp;"':"&amp;表1_86121822242640[[#This Row],[补偿辎重]]&amp;"},"</f>
        <v>{'coin':1000,'item036':10},</v>
      </c>
      <c r="X2" s="388" t="str">
        <f>"      '"&amp;表1_86121822242640[[#This Row],[区服]]&amp;"':{"</f>
        <v>      '97':{</v>
      </c>
    </row>
    <row r="3" s="354" customFormat="1" ht="14.25" customHeight="1" spans="1:24">
      <c r="A3" s="371">
        <v>97</v>
      </c>
      <c r="B3" s="371">
        <f>VLOOKUP(表1_86121822242640[[#This Row],[区服]],$O$26:$P$33,2,FALSE)</f>
        <v>54</v>
      </c>
      <c r="C3" s="371" t="s">
        <v>80</v>
      </c>
      <c r="D3" s="376" t="str">
        <f>表1_86121822242640[[#This Row],[目标国家]]</f>
        <v>蜀</v>
      </c>
      <c r="E3" s="380">
        <f>(VLOOKUP(表1_86121822242640[[#This Row],[目标区服]],$Q$26:$R$29,2,FALSE)-表1_86121822242640[[#This Row],[开服天数]])*配置!$B$1</f>
        <v>1000</v>
      </c>
      <c r="F3" s="380">
        <f>表1_86121822242640[[#This Row],[补偿Coin]]*(表1_86121822242640[[#This Row],[活跃高战玩家数]]+表1_86121822242640[[#This Row],[活跃中坚玩家数]])</f>
        <v>16000</v>
      </c>
      <c r="G3" s="380">
        <f>(VLOOKUP(表1_86121822242640[[#This Row],[目标区服]],$Q$26:$R$29,2,FALSE)-表1_86121822242640[[#This Row],[开服天数]])*配置!$B$2</f>
        <v>10</v>
      </c>
      <c r="H3" s="376" t="s">
        <v>26</v>
      </c>
      <c r="I3" s="376">
        <f>IF(表1_86121822242640[[#This Row],[原国家]]="魏",0,IF(表1_86121822242640[[#This Row],[原国家]]="蜀",1,2))</f>
        <v>1</v>
      </c>
      <c r="J3" s="380">
        <v>2</v>
      </c>
      <c r="K3" s="380">
        <v>88</v>
      </c>
      <c r="L3" s="380">
        <v>2</v>
      </c>
      <c r="M3" s="380">
        <v>14</v>
      </c>
      <c r="N3" s="380">
        <v>82841</v>
      </c>
      <c r="O3" s="380">
        <v>2743440</v>
      </c>
      <c r="P3" s="381">
        <v>15391065</v>
      </c>
      <c r="Q3" s="31" t="s">
        <v>26</v>
      </c>
      <c r="R3" s="376">
        <f>IF(表1_86121822242640[[#This Row],[目标国家]]="魏",0,IF(表1_86121822242640[[#This Row],[目标国家]]="蜀",1,2))</f>
        <v>1</v>
      </c>
      <c r="S3" s="380">
        <v>33690</v>
      </c>
      <c r="T3" s="380">
        <v>0</v>
      </c>
      <c r="U3" s="380">
        <v>358497</v>
      </c>
      <c r="V3" s="380">
        <v>6966</v>
      </c>
      <c r="W3" s="387" t="str">
        <f>"{"&amp;"'coin':"&amp;表1_86121822242640[[#This Row],[补偿Coin]]&amp;",'"&amp;配置!$A$2&amp;"':"&amp;表1_86121822242640[[#This Row],[补偿辎重]]&amp;"},"</f>
        <v>{'coin':1000,'item036':10},</v>
      </c>
      <c r="X3" s="388" t="str">
        <f>"            'to_zone':'"&amp;表1_86121822242640[[#This Row],[目标区服]]&amp;"',
            'reward':"&amp;表1_86121822242640[[#This Row],[辅助导出]]&amp;"
            'country':["&amp;R2&amp;","&amp;R3&amp;","&amp;R4&amp;"],"</f>
        <v>            'to_zone':'h1_39',
            'reward':{'coin':1000,'item036':10},
            'country':[2,1,2],</v>
      </c>
    </row>
    <row r="4" s="354" customFormat="1" ht="14.25" customHeight="1" spans="1:24">
      <c r="A4" s="371">
        <v>97</v>
      </c>
      <c r="B4" s="371">
        <f>VLOOKUP(表1_86121822242640[[#This Row],[区服]],$O$26:$P$33,2,FALSE)</f>
        <v>54</v>
      </c>
      <c r="C4" s="371" t="s">
        <v>80</v>
      </c>
      <c r="D4" s="376" t="str">
        <f>表1_86121822242640[[#This Row],[目标国家]]</f>
        <v>吴</v>
      </c>
      <c r="E4" s="380">
        <f>(VLOOKUP(表1_86121822242640[[#This Row],[目标区服]],$Q$26:$R$29,2,FALSE)-表1_86121822242640[[#This Row],[开服天数]])*配置!$B$1</f>
        <v>1000</v>
      </c>
      <c r="F4" s="380">
        <f>表1_86121822242640[[#This Row],[补偿Coin]]*(表1_86121822242640[[#This Row],[活跃高战玩家数]]+表1_86121822242640[[#This Row],[活跃中坚玩家数]])</f>
        <v>28000</v>
      </c>
      <c r="G4" s="380">
        <f>(VLOOKUP(表1_86121822242640[[#This Row],[目标区服]],$Q$26:$R$29,2,FALSE)-表1_86121822242640[[#This Row],[开服天数]])*配置!$B$2</f>
        <v>10</v>
      </c>
      <c r="H4" s="376" t="s">
        <v>27</v>
      </c>
      <c r="I4" s="376">
        <f>IF(表1_86121822242640[[#This Row],[原国家]]="魏",0,IF(表1_86121822242640[[#This Row],[原国家]]="蜀",1,2))</f>
        <v>2</v>
      </c>
      <c r="J4" s="380">
        <v>7</v>
      </c>
      <c r="K4" s="380">
        <v>295</v>
      </c>
      <c r="L4" s="380">
        <v>8</v>
      </c>
      <c r="M4" s="380">
        <v>20</v>
      </c>
      <c r="N4" s="380">
        <v>182365</v>
      </c>
      <c r="O4" s="380">
        <v>2859771</v>
      </c>
      <c r="P4" s="381">
        <v>33294577</v>
      </c>
      <c r="Q4" s="31" t="s">
        <v>27</v>
      </c>
      <c r="R4" s="376">
        <f>IF(表1_86121822242640[[#This Row],[目标国家]]="魏",0,IF(表1_86121822242640[[#This Row],[目标国家]]="蜀",1,2))</f>
        <v>2</v>
      </c>
      <c r="S4" s="380">
        <v>64718</v>
      </c>
      <c r="T4" s="380">
        <v>0</v>
      </c>
      <c r="U4" s="380">
        <v>1332245</v>
      </c>
      <c r="V4" s="380">
        <v>13358</v>
      </c>
      <c r="W4" s="387" t="str">
        <f>"{"&amp;"'coin':"&amp;表1_86121822242640[[#This Row],[补偿Coin]]&amp;",'"&amp;配置!$A$2&amp;"':"&amp;表1_86121822242640[[#This Row],[补偿辎重]]&amp;"},"</f>
        <v>{'coin':1000,'item036':10},</v>
      </c>
      <c r="X4" s="388" t="str">
        <f>"      },"</f>
        <v>      },</v>
      </c>
    </row>
    <row r="5" s="354" customFormat="1" ht="14.25" customHeight="1" spans="1:24">
      <c r="A5" s="371">
        <v>98</v>
      </c>
      <c r="B5" s="371">
        <f>VLOOKUP(表1_86121822242640[[#This Row],[区服]],$O$26:$P$33,2,FALSE)</f>
        <v>53</v>
      </c>
      <c r="C5" s="371" t="s">
        <v>80</v>
      </c>
      <c r="D5" s="376" t="str">
        <f>表1_86121822242640[[#This Row],[目标国家]]</f>
        <v>魏</v>
      </c>
      <c r="E5" s="380">
        <f>(VLOOKUP(表1_86121822242640[[#This Row],[目标区服]],$Q$26:$R$29,2,FALSE)-表1_86121822242640[[#This Row],[开服天数]])*配置!$B$1</f>
        <v>1500</v>
      </c>
      <c r="F5" s="380">
        <f>表1_86121822242640[[#This Row],[补偿Coin]]*(表1_86121822242640[[#This Row],[活跃高战玩家数]]+表1_86121822242640[[#This Row],[活跃中坚玩家数]])</f>
        <v>31500</v>
      </c>
      <c r="G5" s="380">
        <f>(VLOOKUP(表1_86121822242640[[#This Row],[目标区服]],$Q$26:$R$29,2,FALSE)-表1_86121822242640[[#This Row],[开服天数]])*配置!$B$2</f>
        <v>15</v>
      </c>
      <c r="H5" s="376" t="s">
        <v>25</v>
      </c>
      <c r="I5" s="376">
        <f>IF(表1_86121822242640[[#This Row],[原国家]]="魏",0,IF(表1_86121822242640[[#This Row],[原国家]]="蜀",1,2))</f>
        <v>0</v>
      </c>
      <c r="J5" s="380">
        <v>3</v>
      </c>
      <c r="K5" s="380">
        <v>128</v>
      </c>
      <c r="L5" s="380">
        <v>4</v>
      </c>
      <c r="M5" s="380">
        <v>17</v>
      </c>
      <c r="N5" s="380">
        <v>110797</v>
      </c>
      <c r="O5" s="380">
        <v>2576414</v>
      </c>
      <c r="P5" s="381">
        <v>20564863</v>
      </c>
      <c r="Q5" s="31" t="s">
        <v>25</v>
      </c>
      <c r="R5" s="376">
        <f>IF(表1_86121822242640[[#This Row],[目标国家]]="魏",0,IF(表1_86121822242640[[#This Row],[目标国家]]="蜀",1,2))</f>
        <v>0</v>
      </c>
      <c r="S5" s="380">
        <v>17454</v>
      </c>
      <c r="T5" s="380">
        <v>0</v>
      </c>
      <c r="U5" s="380">
        <v>368496</v>
      </c>
      <c r="V5" s="380">
        <v>7474</v>
      </c>
      <c r="W5" s="387" t="str">
        <f>"{"&amp;"'coin':"&amp;表1_86121822242640[[#This Row],[补偿Coin]]&amp;",'"&amp;配置!$A$2&amp;"':"&amp;表1_86121822242640[[#This Row],[补偿辎重]]&amp;"},"</f>
        <v>{'coin':1500,'item036':15},</v>
      </c>
      <c r="X5" s="388" t="str">
        <f>"      '"&amp;表1_86121822242640[[#This Row],[区服]]&amp;"':{"</f>
        <v>      '98':{</v>
      </c>
    </row>
    <row r="6" s="354" customFormat="1" ht="14.25" customHeight="1" spans="1:24">
      <c r="A6" s="371">
        <v>98</v>
      </c>
      <c r="B6" s="371">
        <f>VLOOKUP(表1_86121822242640[[#This Row],[区服]],$O$26:$P$33,2,FALSE)</f>
        <v>53</v>
      </c>
      <c r="C6" s="371" t="s">
        <v>80</v>
      </c>
      <c r="D6" s="376" t="str">
        <f>表1_86121822242640[[#This Row],[目标国家]]</f>
        <v>蜀</v>
      </c>
      <c r="E6" s="380">
        <f>(VLOOKUP(表1_86121822242640[[#This Row],[目标区服]],$Q$26:$R$29,2,FALSE)-表1_86121822242640[[#This Row],[开服天数]])*配置!$B$1</f>
        <v>1500</v>
      </c>
      <c r="F6" s="380">
        <f>表1_86121822242640[[#This Row],[补偿Coin]]*(表1_86121822242640[[#This Row],[活跃高战玩家数]]+表1_86121822242640[[#This Row],[活跃中坚玩家数]])</f>
        <v>33000</v>
      </c>
      <c r="G6" s="380">
        <f>(VLOOKUP(表1_86121822242640[[#This Row],[目标区服]],$Q$26:$R$29,2,FALSE)-表1_86121822242640[[#This Row],[开服天数]])*配置!$B$2</f>
        <v>15</v>
      </c>
      <c r="H6" s="376" t="s">
        <v>26</v>
      </c>
      <c r="I6" s="376">
        <f>IF(表1_86121822242640[[#This Row],[原国家]]="魏",0,IF(表1_86121822242640[[#This Row],[原国家]]="蜀",1,2))</f>
        <v>1</v>
      </c>
      <c r="J6" s="380">
        <v>3</v>
      </c>
      <c r="K6" s="380">
        <v>151</v>
      </c>
      <c r="L6" s="380">
        <v>2</v>
      </c>
      <c r="M6" s="380">
        <v>20</v>
      </c>
      <c r="N6" s="380">
        <v>93514</v>
      </c>
      <c r="O6" s="380">
        <v>2017403</v>
      </c>
      <c r="P6" s="381">
        <v>18085380</v>
      </c>
      <c r="Q6" s="31" t="s">
        <v>26</v>
      </c>
      <c r="R6" s="376">
        <f>IF(表1_86121822242640[[#This Row],[目标国家]]="魏",0,IF(表1_86121822242640[[#This Row],[目标国家]]="蜀",1,2))</f>
        <v>1</v>
      </c>
      <c r="S6" s="380">
        <v>14728</v>
      </c>
      <c r="T6" s="380">
        <v>0</v>
      </c>
      <c r="U6" s="380">
        <v>444604</v>
      </c>
      <c r="V6" s="380">
        <v>6767</v>
      </c>
      <c r="W6" s="387" t="str">
        <f>"{"&amp;"'coin':"&amp;表1_86121822242640[[#This Row],[补偿Coin]]&amp;",'"&amp;配置!$A$2&amp;"':"&amp;表1_86121822242640[[#This Row],[补偿辎重]]&amp;"},"</f>
        <v>{'coin':1500,'item036':15},</v>
      </c>
      <c r="X6" s="388" t="str">
        <f>"            'to_zone':'"&amp;表1_86121822242640[[#This Row],[目标区服]]&amp;"',
            'reward':"&amp;表1_86121822242640[[#This Row],[辅助导出]]&amp;"
            'country':["&amp;R5&amp;","&amp;R6&amp;","&amp;R7&amp;"],"</f>
        <v>            'to_zone':'h1_39',
            'reward':{'coin':1500,'item036':15},
            'country':[0,1,0],</v>
      </c>
    </row>
    <row r="7" s="354" customFormat="1" ht="14.25" customHeight="1" spans="1:24">
      <c r="A7" s="371">
        <v>98</v>
      </c>
      <c r="B7" s="371">
        <f>VLOOKUP(表1_86121822242640[[#This Row],[区服]],$O$26:$P$33,2,FALSE)</f>
        <v>53</v>
      </c>
      <c r="C7" s="371" t="s">
        <v>80</v>
      </c>
      <c r="D7" s="376" t="str">
        <f>表1_86121822242640[[#This Row],[目标国家]]</f>
        <v>魏</v>
      </c>
      <c r="E7" s="380">
        <f>(VLOOKUP(表1_86121822242640[[#This Row],[目标区服]],$Q$26:$R$29,2,FALSE)-表1_86121822242640[[#This Row],[开服天数]])*配置!$B$1</f>
        <v>1500</v>
      </c>
      <c r="F7" s="380">
        <f>表1_86121822242640[[#This Row],[补偿Coin]]*(表1_86121822242640[[#This Row],[活跃高战玩家数]]+表1_86121822242640[[#This Row],[活跃中坚玩家数]])</f>
        <v>36000</v>
      </c>
      <c r="G7" s="380">
        <f>(VLOOKUP(表1_86121822242640[[#This Row],[目标区服]],$Q$26:$R$29,2,FALSE)-表1_86121822242640[[#This Row],[开服天数]])*配置!$B$2</f>
        <v>15</v>
      </c>
      <c r="H7" s="376" t="s">
        <v>27</v>
      </c>
      <c r="I7" s="376">
        <f>IF(表1_86121822242640[[#This Row],[原国家]]="魏",0,IF(表1_86121822242640[[#This Row],[原国家]]="蜀",1,2))</f>
        <v>2</v>
      </c>
      <c r="J7" s="380">
        <v>3</v>
      </c>
      <c r="K7" s="380">
        <v>116</v>
      </c>
      <c r="L7" s="380">
        <v>4</v>
      </c>
      <c r="M7" s="380">
        <v>20</v>
      </c>
      <c r="N7" s="380">
        <v>81412</v>
      </c>
      <c r="O7" s="380">
        <v>2480175</v>
      </c>
      <c r="P7" s="381">
        <v>17895235</v>
      </c>
      <c r="Q7" s="31" t="s">
        <v>25</v>
      </c>
      <c r="R7" s="376">
        <f>IF(表1_86121822242640[[#This Row],[目标国家]]="魏",0,IF(表1_86121822242640[[#This Row],[目标国家]]="蜀",1,2))</f>
        <v>0</v>
      </c>
      <c r="S7" s="380">
        <v>14436</v>
      </c>
      <c r="T7" s="380">
        <v>68</v>
      </c>
      <c r="U7" s="380">
        <v>452009</v>
      </c>
      <c r="V7" s="380">
        <v>6796</v>
      </c>
      <c r="W7" s="387" t="str">
        <f>"{"&amp;"'coin':"&amp;表1_86121822242640[[#This Row],[补偿Coin]]&amp;",'"&amp;配置!$A$2&amp;"':"&amp;表1_86121822242640[[#This Row],[补偿辎重]]&amp;"},"</f>
        <v>{'coin':1500,'item036':15},</v>
      </c>
      <c r="X7" s="388" t="str">
        <f t="shared" ref="X7" si="0">"      },"</f>
        <v>      },</v>
      </c>
    </row>
    <row r="8" s="354" customFormat="1" ht="14.25" customHeight="1" spans="1:24">
      <c r="A8" s="259">
        <v>99</v>
      </c>
      <c r="B8" s="210">
        <f>VLOOKUP(表1_86121822242640[[#This Row],[区服]],$O$26:$P$33,2,FALSE)</f>
        <v>52</v>
      </c>
      <c r="C8" s="296" t="s">
        <v>81</v>
      </c>
      <c r="D8" s="212" t="str">
        <f>表1_86121822242640[[#This Row],[目标国家]]</f>
        <v>魏</v>
      </c>
      <c r="E8" s="213">
        <f>(VLOOKUP(表1_86121822242640[[#This Row],[目标区服]],$Q$26:$R$29,2,FALSE)-表1_86121822242640[[#This Row],[开服天数]])*配置!$B$1</f>
        <v>1000</v>
      </c>
      <c r="F8" s="213">
        <f>表1_86121822242640[[#This Row],[补偿Coin]]*(表1_86121822242640[[#This Row],[活跃高战玩家数]]+表1_86121822242640[[#This Row],[活跃中坚玩家数]])</f>
        <v>28000</v>
      </c>
      <c r="G8" s="260">
        <f>(VLOOKUP(表1_86121822242640[[#This Row],[目标区服]],$Q$26:$R$29,2,FALSE)-表1_86121822242640[[#This Row],[开服天数]])*配置!$B$2</f>
        <v>10</v>
      </c>
      <c r="H8" s="212" t="s">
        <v>25</v>
      </c>
      <c r="I8" s="268">
        <f>IF(表1_86121822242640[[#This Row],[原国家]]="魏",0,IF(表1_86121822242640[[#This Row],[原国家]]="蜀",1,2))</f>
        <v>0</v>
      </c>
      <c r="J8" s="213">
        <v>5</v>
      </c>
      <c r="K8" s="213">
        <v>212</v>
      </c>
      <c r="L8" s="213">
        <v>7</v>
      </c>
      <c r="M8" s="213">
        <v>21</v>
      </c>
      <c r="N8" s="213">
        <v>138894</v>
      </c>
      <c r="O8" s="419">
        <v>3207207</v>
      </c>
      <c r="P8" s="420">
        <v>24861864</v>
      </c>
      <c r="Q8" s="31" t="s">
        <v>25</v>
      </c>
      <c r="R8" s="212">
        <f>IF(表1_86121822242640[[#This Row],[目标国家]]="魏",0,IF(表1_86121822242640[[#This Row],[目标国家]]="蜀",1,2))</f>
        <v>0</v>
      </c>
      <c r="S8" s="213">
        <v>35044</v>
      </c>
      <c r="T8" s="213">
        <v>0</v>
      </c>
      <c r="U8" s="213">
        <v>580223</v>
      </c>
      <c r="V8" s="213">
        <v>10349</v>
      </c>
      <c r="W8" s="278" t="str">
        <f>"{"&amp;"'coin':"&amp;表1_86121822242640[[#This Row],[补偿Coin]]&amp;",'"&amp;配置!$A$2&amp;"':"&amp;表1_86121822242640[[#This Row],[补偿辎重]]&amp;"},"</f>
        <v>{'coin':1000,'item036':10},</v>
      </c>
      <c r="X8" s="278" t="str">
        <f>"      '"&amp;表1_86121822242640[[#This Row],[区服]]&amp;"':{"</f>
        <v>      '99':{</v>
      </c>
    </row>
    <row r="9" s="354" customFormat="1" ht="14.25" customHeight="1" spans="1:24">
      <c r="A9" s="259">
        <v>99</v>
      </c>
      <c r="B9" s="210">
        <f>VLOOKUP(表1_86121822242640[[#This Row],[区服]],$O$26:$P$33,2,FALSE)</f>
        <v>52</v>
      </c>
      <c r="C9" s="296" t="s">
        <v>81</v>
      </c>
      <c r="D9" s="212" t="str">
        <f>表1_86121822242640[[#This Row],[目标国家]]</f>
        <v>魏</v>
      </c>
      <c r="E9" s="213">
        <f>(VLOOKUP(表1_86121822242640[[#This Row],[目标区服]],$Q$26:$R$29,2,FALSE)-表1_86121822242640[[#This Row],[开服天数]])*配置!$B$1</f>
        <v>1000</v>
      </c>
      <c r="F9" s="213">
        <f>表1_86121822242640[[#This Row],[补偿Coin]]*(表1_86121822242640[[#This Row],[活跃高战玩家数]]+表1_86121822242640[[#This Row],[活跃中坚玩家数]])</f>
        <v>21000</v>
      </c>
      <c r="G9" s="260">
        <f>(VLOOKUP(表1_86121822242640[[#This Row],[目标区服]],$Q$26:$R$29,2,FALSE)-表1_86121822242640[[#This Row],[开服天数]])*配置!$B$2</f>
        <v>10</v>
      </c>
      <c r="H9" s="212" t="s">
        <v>26</v>
      </c>
      <c r="I9" s="268">
        <f>IF(表1_86121822242640[[#This Row],[原国家]]="魏",0,IF(表1_86121822242640[[#This Row],[原国家]]="蜀",1,2))</f>
        <v>1</v>
      </c>
      <c r="J9" s="213">
        <v>2</v>
      </c>
      <c r="K9" s="213">
        <v>101</v>
      </c>
      <c r="L9" s="213">
        <v>1</v>
      </c>
      <c r="M9" s="213">
        <v>20</v>
      </c>
      <c r="N9" s="213">
        <v>91559</v>
      </c>
      <c r="O9" s="419">
        <v>1669533</v>
      </c>
      <c r="P9" s="420">
        <v>15504103</v>
      </c>
      <c r="Q9" s="31" t="s">
        <v>25</v>
      </c>
      <c r="R9" s="212">
        <f>IF(表1_86121822242640[[#This Row],[目标国家]]="魏",0,IF(表1_86121822242640[[#This Row],[目标国家]]="蜀",1,2))</f>
        <v>0</v>
      </c>
      <c r="S9" s="213">
        <v>9320</v>
      </c>
      <c r="T9" s="213">
        <v>0</v>
      </c>
      <c r="U9" s="213">
        <v>258547</v>
      </c>
      <c r="V9" s="213">
        <v>5296</v>
      </c>
      <c r="W9" s="278" t="str">
        <f>"{"&amp;"'coin':"&amp;表1_86121822242640[[#This Row],[补偿Coin]]&amp;",'"&amp;配置!$A$2&amp;"':"&amp;表1_86121822242640[[#This Row],[补偿辎重]]&amp;"},"</f>
        <v>{'coin':1000,'item036':10},</v>
      </c>
      <c r="X9" s="278" t="str">
        <f>"            'to_zone':'"&amp;表1_86121822242640[[#This Row],[目标区服]]&amp;"',
            'reward':"&amp;表1_86121822242640[[#This Row],[辅助导出]]&amp;"
            'country':["&amp;R8&amp;","&amp;R9&amp;","&amp;R10&amp;"],"</f>
        <v>            'to_zone':'h1_40',
            'reward':{'coin':1000,'item036':10},
            'country':[0,0,2],</v>
      </c>
    </row>
    <row r="10" s="354" customFormat="1" ht="14.25" customHeight="1" spans="1:24">
      <c r="A10" s="259">
        <v>99</v>
      </c>
      <c r="B10" s="210">
        <f>VLOOKUP(表1_86121822242640[[#This Row],[区服]],$O$26:$P$33,2,FALSE)</f>
        <v>52</v>
      </c>
      <c r="C10" s="296" t="s">
        <v>81</v>
      </c>
      <c r="D10" s="212" t="str">
        <f>表1_86121822242640[[#This Row],[目标国家]]</f>
        <v>吴</v>
      </c>
      <c r="E10" s="213">
        <f>(VLOOKUP(表1_86121822242640[[#This Row],[目标区服]],$Q$26:$R$29,2,FALSE)-表1_86121822242640[[#This Row],[开服天数]])*配置!$B$1</f>
        <v>1000</v>
      </c>
      <c r="F10" s="213">
        <f>表1_86121822242640[[#This Row],[补偿Coin]]*(表1_86121822242640[[#This Row],[活跃高战玩家数]]+表1_86121822242640[[#This Row],[活跃中坚玩家数]])</f>
        <v>18000</v>
      </c>
      <c r="G10" s="260">
        <f>(VLOOKUP(表1_86121822242640[[#This Row],[目标区服]],$Q$26:$R$29,2,FALSE)-表1_86121822242640[[#This Row],[开服天数]])*配置!$B$2</f>
        <v>10</v>
      </c>
      <c r="H10" s="212" t="s">
        <v>27</v>
      </c>
      <c r="I10" s="268">
        <f>IF(表1_86121822242640[[#This Row],[原国家]]="魏",0,IF(表1_86121822242640[[#This Row],[原国家]]="蜀",1,2))</f>
        <v>2</v>
      </c>
      <c r="J10" s="213">
        <v>2</v>
      </c>
      <c r="K10" s="213">
        <v>82</v>
      </c>
      <c r="L10" s="213">
        <v>2</v>
      </c>
      <c r="M10" s="213">
        <v>16</v>
      </c>
      <c r="N10" s="213">
        <v>83252</v>
      </c>
      <c r="O10" s="419">
        <v>2138016</v>
      </c>
      <c r="P10" s="420">
        <v>14414201</v>
      </c>
      <c r="Q10" s="31" t="s">
        <v>27</v>
      </c>
      <c r="R10" s="212">
        <f>IF(表1_86121822242640[[#This Row],[目标国家]]="魏",0,IF(表1_86121822242640[[#This Row],[目标国家]]="蜀",1,2))</f>
        <v>2</v>
      </c>
      <c r="S10" s="213">
        <v>31782</v>
      </c>
      <c r="T10" s="213">
        <v>0</v>
      </c>
      <c r="U10" s="213">
        <v>198409</v>
      </c>
      <c r="V10" s="213">
        <v>6068</v>
      </c>
      <c r="W10" s="278" t="str">
        <f>"{"&amp;"'coin':"&amp;表1_86121822242640[[#This Row],[补偿Coin]]&amp;",'"&amp;配置!$A$2&amp;"':"&amp;表1_86121822242640[[#This Row],[补偿辎重]]&amp;"},"</f>
        <v>{'coin':1000,'item036':10},</v>
      </c>
      <c r="X10" s="278" t="str">
        <f>"      },"</f>
        <v>      },</v>
      </c>
    </row>
    <row r="11" s="354" customFormat="1" ht="14.25" customHeight="1" spans="1:24">
      <c r="A11" s="259">
        <v>100</v>
      </c>
      <c r="B11" s="210">
        <f>VLOOKUP(表1_86121822242640[[#This Row],[区服]],$O$26:$P$33,2,FALSE)</f>
        <v>51</v>
      </c>
      <c r="C11" s="296" t="s">
        <v>81</v>
      </c>
      <c r="D11" s="212" t="str">
        <f>表1_86121822242640[[#This Row],[目标国家]]</f>
        <v>吴</v>
      </c>
      <c r="E11" s="213">
        <f>(VLOOKUP(表1_86121822242640[[#This Row],[目标区服]],$Q$26:$R$29,2,FALSE)-表1_86121822242640[[#This Row],[开服天数]])*配置!$B$1</f>
        <v>1500</v>
      </c>
      <c r="F11" s="213">
        <f>表1_86121822242640[[#This Row],[补偿Coin]]*(表1_86121822242640[[#This Row],[活跃高战玩家数]]+表1_86121822242640[[#This Row],[活跃中坚玩家数]])</f>
        <v>18000</v>
      </c>
      <c r="G11" s="260">
        <f>(VLOOKUP(表1_86121822242640[[#This Row],[目标区服]],$Q$26:$R$29,2,FALSE)-表1_86121822242640[[#This Row],[开服天数]])*配置!$B$2</f>
        <v>15</v>
      </c>
      <c r="H11" s="212" t="s">
        <v>25</v>
      </c>
      <c r="I11" s="268">
        <f>IF(表1_86121822242640[[#This Row],[原国家]]="魏",0,IF(表1_86121822242640[[#This Row],[原国家]]="蜀",1,2))</f>
        <v>0</v>
      </c>
      <c r="J11" s="213">
        <v>2</v>
      </c>
      <c r="K11" s="213">
        <v>52</v>
      </c>
      <c r="L11" s="213">
        <v>1</v>
      </c>
      <c r="M11" s="213">
        <v>11</v>
      </c>
      <c r="N11" s="213">
        <v>39196</v>
      </c>
      <c r="O11" s="419">
        <v>1565064</v>
      </c>
      <c r="P11" s="420">
        <v>7817418</v>
      </c>
      <c r="Q11" s="31" t="s">
        <v>27</v>
      </c>
      <c r="R11" s="212">
        <f>IF(表1_86121822242640[[#This Row],[目标国家]]="魏",0,IF(表1_86121822242640[[#This Row],[目标国家]]="蜀",1,2))</f>
        <v>2</v>
      </c>
      <c r="S11" s="213">
        <v>14946</v>
      </c>
      <c r="T11" s="213">
        <v>0</v>
      </c>
      <c r="U11" s="213">
        <v>199515</v>
      </c>
      <c r="V11" s="213">
        <v>3810</v>
      </c>
      <c r="W11" s="278" t="str">
        <f>"{"&amp;"'coin':"&amp;表1_86121822242640[[#This Row],[补偿Coin]]&amp;",'"&amp;配置!$A$2&amp;"':"&amp;表1_86121822242640[[#This Row],[补偿辎重]]&amp;"},"</f>
        <v>{'coin':1500,'item036':15},</v>
      </c>
      <c r="X11" s="278" t="str">
        <f>"      '"&amp;表1_86121822242640[[#This Row],[区服]]&amp;"':{"</f>
        <v>      '100':{</v>
      </c>
    </row>
    <row r="12" s="354" customFormat="1" ht="14.25" customHeight="1" spans="1:24">
      <c r="A12" s="259">
        <v>100</v>
      </c>
      <c r="B12" s="210">
        <f>VLOOKUP(表1_86121822242640[[#This Row],[区服]],$O$26:$P$33,2,FALSE)</f>
        <v>51</v>
      </c>
      <c r="C12" s="296" t="s">
        <v>81</v>
      </c>
      <c r="D12" s="212" t="str">
        <f>表1_86121822242640[[#This Row],[目标国家]]</f>
        <v>蜀</v>
      </c>
      <c r="E12" s="213">
        <f>(VLOOKUP(表1_86121822242640[[#This Row],[目标区服]],$Q$26:$R$29,2,FALSE)-表1_86121822242640[[#This Row],[开服天数]])*配置!$B$1</f>
        <v>1500</v>
      </c>
      <c r="F12" s="213">
        <f>表1_86121822242640[[#This Row],[补偿Coin]]*(表1_86121822242640[[#This Row],[活跃高战玩家数]]+表1_86121822242640[[#This Row],[活跃中坚玩家数]])</f>
        <v>69000</v>
      </c>
      <c r="G12" s="260">
        <f>(VLOOKUP(表1_86121822242640[[#This Row],[目标区服]],$Q$26:$R$29,2,FALSE)-表1_86121822242640[[#This Row],[开服天数]])*配置!$B$2</f>
        <v>15</v>
      </c>
      <c r="H12" s="212" t="s">
        <v>26</v>
      </c>
      <c r="I12" s="268">
        <f>IF(表1_86121822242640[[#This Row],[原国家]]="魏",0,IF(表1_86121822242640[[#This Row],[原国家]]="蜀",1,2))</f>
        <v>1</v>
      </c>
      <c r="J12" s="213">
        <v>7</v>
      </c>
      <c r="K12" s="213">
        <v>320</v>
      </c>
      <c r="L12" s="213">
        <v>5</v>
      </c>
      <c r="M12" s="213">
        <v>41</v>
      </c>
      <c r="N12" s="213">
        <v>204673</v>
      </c>
      <c r="O12" s="419">
        <v>3022427</v>
      </c>
      <c r="P12" s="420">
        <v>39147943</v>
      </c>
      <c r="Q12" s="31" t="s">
        <v>26</v>
      </c>
      <c r="R12" s="212">
        <f>IF(表1_86121822242640[[#This Row],[目标国家]]="魏",0,IF(表1_86121822242640[[#This Row],[目标国家]]="蜀",1,2))</f>
        <v>1</v>
      </c>
      <c r="S12" s="213">
        <v>87110</v>
      </c>
      <c r="T12" s="213">
        <v>6</v>
      </c>
      <c r="U12" s="213">
        <v>748209</v>
      </c>
      <c r="V12" s="213">
        <v>14848</v>
      </c>
      <c r="W12" s="278" t="str">
        <f>"{"&amp;"'coin':"&amp;表1_86121822242640[[#This Row],[补偿Coin]]&amp;",'"&amp;配置!$A$2&amp;"':"&amp;表1_86121822242640[[#This Row],[补偿辎重]]&amp;"},"</f>
        <v>{'coin':1500,'item036':15},</v>
      </c>
      <c r="X12" s="278" t="str">
        <f>"            'to_zone':'"&amp;表1_86121822242640[[#This Row],[目标区服]]&amp;"',
            'reward':"&amp;表1_86121822242640[[#This Row],[辅助导出]]&amp;"
            'country':["&amp;R11&amp;","&amp;R12&amp;","&amp;R13&amp;"],"</f>
        <v>            'to_zone':'h1_40',
            'reward':{'coin':1500,'item036':15},
            'country':[2,1,2],</v>
      </c>
    </row>
    <row r="13" s="354" customFormat="1" ht="14.25" customHeight="1" spans="1:24">
      <c r="A13" s="259">
        <v>100</v>
      </c>
      <c r="B13" s="210">
        <f>VLOOKUP(表1_86121822242640[[#This Row],[区服]],$O$26:$P$33,2,FALSE)</f>
        <v>51</v>
      </c>
      <c r="C13" s="296" t="s">
        <v>81</v>
      </c>
      <c r="D13" s="212" t="str">
        <f>表1_86121822242640[[#This Row],[目标国家]]</f>
        <v>吴</v>
      </c>
      <c r="E13" s="213">
        <f>(VLOOKUP(表1_86121822242640[[#This Row],[目标区服]],$Q$26:$R$29,2,FALSE)-表1_86121822242640[[#This Row],[开服天数]])*配置!$B$1</f>
        <v>1500</v>
      </c>
      <c r="F13" s="213">
        <f>表1_86121822242640[[#This Row],[补偿Coin]]*(表1_86121822242640[[#This Row],[活跃高战玩家数]]+表1_86121822242640[[#This Row],[活跃中坚玩家数]])</f>
        <v>19500</v>
      </c>
      <c r="G13" s="260">
        <f>(VLOOKUP(表1_86121822242640[[#This Row],[目标区服]],$Q$26:$R$29,2,FALSE)-表1_86121822242640[[#This Row],[开服天数]])*配置!$B$2</f>
        <v>15</v>
      </c>
      <c r="H13" s="212" t="s">
        <v>27</v>
      </c>
      <c r="I13" s="268">
        <f>IF(表1_86121822242640[[#This Row],[原国家]]="魏",0,IF(表1_86121822242640[[#This Row],[原国家]]="蜀",1,2))</f>
        <v>2</v>
      </c>
      <c r="J13" s="213">
        <v>0</v>
      </c>
      <c r="K13" s="213">
        <v>23</v>
      </c>
      <c r="L13" s="213">
        <v>3</v>
      </c>
      <c r="M13" s="213">
        <v>10</v>
      </c>
      <c r="N13" s="213">
        <v>61019</v>
      </c>
      <c r="O13" s="419">
        <v>2321205</v>
      </c>
      <c r="P13" s="420">
        <v>11547624</v>
      </c>
      <c r="Q13" s="31" t="s">
        <v>27</v>
      </c>
      <c r="R13" s="212">
        <f>IF(表1_86121822242640[[#This Row],[目标国家]]="魏",0,IF(表1_86121822242640[[#This Row],[目标国家]]="蜀",1,2))</f>
        <v>2</v>
      </c>
      <c r="S13" s="213">
        <v>47082</v>
      </c>
      <c r="T13" s="213">
        <v>0</v>
      </c>
      <c r="U13" s="213">
        <v>86600</v>
      </c>
      <c r="V13" s="213">
        <v>5466</v>
      </c>
      <c r="W13" s="278" t="str">
        <f>"{"&amp;"'coin':"&amp;表1_86121822242640[[#This Row],[补偿Coin]]&amp;",'"&amp;配置!$A$2&amp;"':"&amp;表1_86121822242640[[#This Row],[补偿辎重]]&amp;"},"</f>
        <v>{'coin':1500,'item036':15},</v>
      </c>
      <c r="X13" s="278" t="str">
        <f t="shared" ref="X13" si="1">"      },"</f>
        <v>      },</v>
      </c>
    </row>
    <row r="14" ht="14.25" customHeight="1" spans="1:24">
      <c r="A14" s="17"/>
      <c r="B14" s="17" t="e">
        <f>VLOOKUP(表1_86121822242640[[#This Row],[区服]],$O$26:$P$33,2,FALSE)</f>
        <v>#N/A</v>
      </c>
      <c r="C14" s="18"/>
      <c r="D14" s="19" t="str">
        <f>表1_86121822242640[[#This Row],[目标国家]]</f>
        <v>魏</v>
      </c>
      <c r="E14" s="20" t="e">
        <f>(VLOOKUP(表1_86121822242640[[#This Row],[目标区服]],$Q$26:$R$29,2,FALSE)-表1_86121822242640[[#This Row],[开服天数]])*配置!$B$1</f>
        <v>#N/A</v>
      </c>
      <c r="F14" s="20" t="e">
        <f>表1_86121822242640[[#This Row],[补偿Coin]]*(表1_86121822242640[[#This Row],[活跃高战玩家数]]+表1_86121822242640[[#This Row],[活跃中坚玩家数]])</f>
        <v>#N/A</v>
      </c>
      <c r="G14" s="20" t="e">
        <f>(VLOOKUP(表1_86121822242640[[#This Row],[目标区服]],$Q$26:$R$29,2,FALSE)-表1_86121822242640[[#This Row],[开服天数]])*配置!$B$2</f>
        <v>#N/A</v>
      </c>
      <c r="H14" s="19" t="s">
        <v>25</v>
      </c>
      <c r="I14" s="19">
        <f>IF(表1_86121822242640[[#This Row],[原国家]]="魏",0,IF(表1_86121822242640[[#This Row],[原国家]]="蜀",1,2))</f>
        <v>0</v>
      </c>
      <c r="J14" s="20"/>
      <c r="K14" s="20"/>
      <c r="L14" s="20"/>
      <c r="M14" s="20"/>
      <c r="N14" s="20"/>
      <c r="O14" s="20"/>
      <c r="P14" s="26"/>
      <c r="Q14" s="31" t="s">
        <v>25</v>
      </c>
      <c r="R14" s="19">
        <f>IF(表1_86121822242640[[#This Row],[目标国家]]="魏",0,IF(表1_86121822242640[[#This Row],[目标国家]]="蜀",1,2))</f>
        <v>0</v>
      </c>
      <c r="S14" s="20"/>
      <c r="T14" s="20"/>
      <c r="U14" s="20"/>
      <c r="V14" s="20"/>
      <c r="W14" s="33" t="e">
        <f>"{"&amp;"'coin':"&amp;表1_86121822242640[[#This Row],[补偿Coin]]&amp;",'"&amp;配置!$A$2&amp;"':"&amp;表1_86121822242640[[#This Row],[补偿辎重]]&amp;"},"</f>
        <v>#N/A</v>
      </c>
      <c r="X14" s="34" t="str">
        <f>"      '"&amp;表1_86121822242640[[#This Row],[区服]]&amp;"':{"</f>
        <v>      '':{</v>
      </c>
    </row>
    <row r="15" ht="14.25" customHeight="1" spans="1:24">
      <c r="A15" s="17"/>
      <c r="B15" s="17" t="e">
        <f>VLOOKUP(表1_86121822242640[[#This Row],[区服]],$O$26:$P$33,2,FALSE)</f>
        <v>#N/A</v>
      </c>
      <c r="C15" s="18"/>
      <c r="D15" s="19" t="str">
        <f>表1_86121822242640[[#This Row],[目标国家]]</f>
        <v>蜀</v>
      </c>
      <c r="E15" s="20" t="e">
        <f>(VLOOKUP(表1_86121822242640[[#This Row],[目标区服]],$Q$26:$R$29,2,FALSE)-表1_86121822242640[[#This Row],[开服天数]])*配置!$B$1</f>
        <v>#N/A</v>
      </c>
      <c r="F15" s="20" t="e">
        <f>表1_86121822242640[[#This Row],[补偿Coin]]*(表1_86121822242640[[#This Row],[活跃高战玩家数]]+表1_86121822242640[[#This Row],[活跃中坚玩家数]])</f>
        <v>#N/A</v>
      </c>
      <c r="G15" s="20" t="e">
        <f>(VLOOKUP(表1_86121822242640[[#This Row],[目标区服]],$Q$26:$R$29,2,FALSE)-表1_86121822242640[[#This Row],[开服天数]])*配置!$B$2</f>
        <v>#N/A</v>
      </c>
      <c r="H15" s="19" t="s">
        <v>26</v>
      </c>
      <c r="I15" s="19">
        <f>IF(表1_86121822242640[[#This Row],[原国家]]="魏",0,IF(表1_86121822242640[[#This Row],[原国家]]="蜀",1,2))</f>
        <v>1</v>
      </c>
      <c r="J15" s="20"/>
      <c r="K15" s="20"/>
      <c r="L15" s="20"/>
      <c r="M15" s="20"/>
      <c r="N15" s="20"/>
      <c r="O15" s="20"/>
      <c r="P15" s="26"/>
      <c r="Q15" s="31" t="s">
        <v>26</v>
      </c>
      <c r="R15" s="19">
        <f>IF(表1_86121822242640[[#This Row],[目标国家]]="魏",0,IF(表1_86121822242640[[#This Row],[目标国家]]="蜀",1,2))</f>
        <v>1</v>
      </c>
      <c r="S15" s="20"/>
      <c r="T15" s="20"/>
      <c r="U15" s="20"/>
      <c r="V15" s="20"/>
      <c r="W15" s="33" t="e">
        <f>"{"&amp;"'coin':"&amp;表1_86121822242640[[#This Row],[补偿Coin]]&amp;",'"&amp;配置!$A$2&amp;"':"&amp;表1_86121822242640[[#This Row],[补偿辎重]]&amp;"},"</f>
        <v>#N/A</v>
      </c>
      <c r="X15" s="34" t="e">
        <f>"            'to_zone':'"&amp;表1_86121822242640[[#This Row],[目标区服]]&amp;"',
            'reward':"&amp;表1_86121822242640[[#This Row],[辅助导出]]&amp;"
            'country':["&amp;R14&amp;","&amp;R15&amp;","&amp;R16&amp;"],"</f>
        <v>#N/A</v>
      </c>
    </row>
    <row r="16" ht="14.25" customHeight="1" spans="1:24">
      <c r="A16" s="17"/>
      <c r="B16" s="17" t="e">
        <f>VLOOKUP(表1_86121822242640[[#This Row],[区服]],$O$26:$P$33,2,FALSE)</f>
        <v>#N/A</v>
      </c>
      <c r="C16" s="18"/>
      <c r="D16" s="19" t="str">
        <f>表1_86121822242640[[#This Row],[目标国家]]</f>
        <v>吴</v>
      </c>
      <c r="E16" s="20" t="e">
        <f>(VLOOKUP(表1_86121822242640[[#This Row],[目标区服]],$Q$26:$R$29,2,FALSE)-表1_86121822242640[[#This Row],[开服天数]])*配置!$B$1</f>
        <v>#N/A</v>
      </c>
      <c r="F16" s="20" t="e">
        <f>表1_86121822242640[[#This Row],[补偿Coin]]*(表1_86121822242640[[#This Row],[活跃高战玩家数]]+表1_86121822242640[[#This Row],[活跃中坚玩家数]])</f>
        <v>#N/A</v>
      </c>
      <c r="G16" s="20" t="e">
        <f>(VLOOKUP(表1_86121822242640[[#This Row],[目标区服]],$Q$26:$R$29,2,FALSE)-表1_86121822242640[[#This Row],[开服天数]])*配置!$B$2</f>
        <v>#N/A</v>
      </c>
      <c r="H16" s="19" t="s">
        <v>27</v>
      </c>
      <c r="I16" s="19">
        <f>IF(表1_86121822242640[[#This Row],[原国家]]="魏",0,IF(表1_86121822242640[[#This Row],[原国家]]="蜀",1,2))</f>
        <v>2</v>
      </c>
      <c r="J16" s="20"/>
      <c r="K16" s="20"/>
      <c r="L16" s="20"/>
      <c r="M16" s="20"/>
      <c r="N16" s="20"/>
      <c r="O16" s="20"/>
      <c r="P16" s="26"/>
      <c r="Q16" s="31" t="s">
        <v>27</v>
      </c>
      <c r="R16" s="19">
        <f>IF(表1_86121822242640[[#This Row],[目标国家]]="魏",0,IF(表1_86121822242640[[#This Row],[目标国家]]="蜀",1,2))</f>
        <v>2</v>
      </c>
      <c r="S16" s="20"/>
      <c r="T16" s="20"/>
      <c r="U16" s="20"/>
      <c r="V16" s="20"/>
      <c r="W16" s="33" t="e">
        <f>"{"&amp;"'coin':"&amp;表1_86121822242640[[#This Row],[补偿Coin]]&amp;",'"&amp;配置!$A$2&amp;"':"&amp;表1_86121822242640[[#This Row],[补偿辎重]]&amp;"},"</f>
        <v>#N/A</v>
      </c>
      <c r="X16" s="34" t="str">
        <f t="shared" ref="X16" si="2">"      },"</f>
        <v>      },</v>
      </c>
    </row>
    <row r="17" ht="14.25" customHeight="1" spans="1:24">
      <c r="A17" s="17"/>
      <c r="B17" s="17" t="e">
        <f>VLOOKUP(表1_86121822242640[[#This Row],[区服]],$O$26:$P$33,2,FALSE)</f>
        <v>#N/A</v>
      </c>
      <c r="C17" s="18"/>
      <c r="D17" s="19" t="str">
        <f>表1_86121822242640[[#This Row],[目标国家]]</f>
        <v>魏</v>
      </c>
      <c r="E17" s="20" t="e">
        <f>(VLOOKUP(表1_86121822242640[[#This Row],[目标区服]],$Q$26:$R$29,2,FALSE)-表1_86121822242640[[#This Row],[开服天数]])*配置!$B$1</f>
        <v>#N/A</v>
      </c>
      <c r="F17" s="20" t="e">
        <f>表1_86121822242640[[#This Row],[补偿Coin]]*(表1_86121822242640[[#This Row],[活跃高战玩家数]]+表1_86121822242640[[#This Row],[活跃中坚玩家数]])</f>
        <v>#N/A</v>
      </c>
      <c r="G17" s="20" t="e">
        <f>(VLOOKUP(表1_86121822242640[[#This Row],[目标区服]],$Q$26:$R$29,2,FALSE)-表1_86121822242640[[#This Row],[开服天数]])*配置!$B$2</f>
        <v>#N/A</v>
      </c>
      <c r="H17" s="19" t="s">
        <v>25</v>
      </c>
      <c r="I17" s="19">
        <f>IF(表1_86121822242640[[#This Row],[原国家]]="魏",0,IF(表1_86121822242640[[#This Row],[原国家]]="蜀",1,2))</f>
        <v>0</v>
      </c>
      <c r="J17" s="20"/>
      <c r="K17" s="20"/>
      <c r="L17" s="20"/>
      <c r="M17" s="20"/>
      <c r="N17" s="20"/>
      <c r="O17" s="20"/>
      <c r="P17" s="26"/>
      <c r="Q17" s="31" t="s">
        <v>25</v>
      </c>
      <c r="R17" s="19">
        <f>IF(表1_86121822242640[[#This Row],[目标国家]]="魏",0,IF(表1_86121822242640[[#This Row],[目标国家]]="蜀",1,2))</f>
        <v>0</v>
      </c>
      <c r="S17" s="20"/>
      <c r="T17" s="20"/>
      <c r="U17" s="20"/>
      <c r="V17" s="20"/>
      <c r="W17" s="33" t="e">
        <f>"{"&amp;"'coin':"&amp;表1_86121822242640[[#This Row],[补偿Coin]]&amp;",'"&amp;配置!$A$2&amp;"':"&amp;表1_86121822242640[[#This Row],[补偿辎重]]&amp;"},"</f>
        <v>#N/A</v>
      </c>
      <c r="X17" s="34" t="str">
        <f>"      '"&amp;表1_86121822242640[[#This Row],[区服]]&amp;"':{"</f>
        <v>      '':{</v>
      </c>
    </row>
    <row r="18" ht="14.25" customHeight="1" spans="1:24">
      <c r="A18" s="17"/>
      <c r="B18" s="17" t="e">
        <f>VLOOKUP(表1_86121822242640[[#This Row],[区服]],$O$26:$P$33,2,FALSE)</f>
        <v>#N/A</v>
      </c>
      <c r="C18" s="18"/>
      <c r="D18" s="19" t="str">
        <f>表1_86121822242640[[#This Row],[目标国家]]</f>
        <v>蜀</v>
      </c>
      <c r="E18" s="20" t="e">
        <f>(VLOOKUP(表1_86121822242640[[#This Row],[目标区服]],$Q$26:$R$29,2,FALSE)-表1_86121822242640[[#This Row],[开服天数]])*配置!$B$1</f>
        <v>#N/A</v>
      </c>
      <c r="F18" s="20" t="e">
        <f>表1_86121822242640[[#This Row],[补偿Coin]]*(表1_86121822242640[[#This Row],[活跃高战玩家数]]+表1_86121822242640[[#This Row],[活跃中坚玩家数]])</f>
        <v>#N/A</v>
      </c>
      <c r="G18" s="20" t="e">
        <f>(VLOOKUP(表1_86121822242640[[#This Row],[目标区服]],$Q$26:$R$29,2,FALSE)-表1_86121822242640[[#This Row],[开服天数]])*配置!$B$2</f>
        <v>#N/A</v>
      </c>
      <c r="H18" s="19" t="s">
        <v>26</v>
      </c>
      <c r="I18" s="19">
        <f>IF(表1_86121822242640[[#This Row],[原国家]]="魏",0,IF(表1_86121822242640[[#This Row],[原国家]]="蜀",1,2))</f>
        <v>1</v>
      </c>
      <c r="J18" s="20"/>
      <c r="K18" s="20"/>
      <c r="L18" s="20"/>
      <c r="M18" s="20"/>
      <c r="N18" s="20"/>
      <c r="O18" s="20"/>
      <c r="P18" s="26"/>
      <c r="Q18" s="31" t="s">
        <v>26</v>
      </c>
      <c r="R18" s="19">
        <f>IF(表1_86121822242640[[#This Row],[目标国家]]="魏",0,IF(表1_86121822242640[[#This Row],[目标国家]]="蜀",1,2))</f>
        <v>1</v>
      </c>
      <c r="S18" s="20"/>
      <c r="T18" s="20"/>
      <c r="U18" s="20"/>
      <c r="V18" s="20"/>
      <c r="W18" s="33" t="e">
        <f>"{"&amp;"'coin':"&amp;表1_86121822242640[[#This Row],[补偿Coin]]&amp;",'"&amp;配置!$A$2&amp;"':"&amp;表1_86121822242640[[#This Row],[补偿辎重]]&amp;"},"</f>
        <v>#N/A</v>
      </c>
      <c r="X18" s="34" t="e">
        <f>"            'to_zone':'"&amp;表1_86121822242640[[#This Row],[目标区服]]&amp;"',
            'reward':"&amp;表1_86121822242640[[#This Row],[辅助导出]]&amp;"
            'country':["&amp;R17&amp;","&amp;R18&amp;","&amp;R19&amp;"],"</f>
        <v>#N/A</v>
      </c>
    </row>
    <row r="19" ht="14.25" customHeight="1" spans="1:24">
      <c r="A19" s="17"/>
      <c r="B19" s="17" t="e">
        <f>VLOOKUP(表1_86121822242640[[#This Row],[区服]],$O$26:$P$33,2,FALSE)</f>
        <v>#N/A</v>
      </c>
      <c r="C19" s="18"/>
      <c r="D19" s="19" t="str">
        <f>表1_86121822242640[[#This Row],[目标国家]]</f>
        <v>吴</v>
      </c>
      <c r="E19" s="20" t="e">
        <f>(VLOOKUP(表1_86121822242640[[#This Row],[目标区服]],$Q$26:$R$29,2,FALSE)-表1_86121822242640[[#This Row],[开服天数]])*配置!$B$1</f>
        <v>#N/A</v>
      </c>
      <c r="F19" s="20" t="e">
        <f>表1_86121822242640[[#This Row],[补偿Coin]]*(表1_86121822242640[[#This Row],[活跃高战玩家数]]+表1_86121822242640[[#This Row],[活跃中坚玩家数]])</f>
        <v>#N/A</v>
      </c>
      <c r="G19" s="20" t="e">
        <f>(VLOOKUP(表1_86121822242640[[#This Row],[目标区服]],$Q$26:$R$29,2,FALSE)-表1_86121822242640[[#This Row],[开服天数]])*配置!$B$2</f>
        <v>#N/A</v>
      </c>
      <c r="H19" s="19" t="s">
        <v>27</v>
      </c>
      <c r="I19" s="19">
        <f>IF(表1_86121822242640[[#This Row],[原国家]]="魏",0,IF(表1_86121822242640[[#This Row],[原国家]]="蜀",1,2))</f>
        <v>2</v>
      </c>
      <c r="J19" s="20"/>
      <c r="K19" s="20"/>
      <c r="L19" s="20"/>
      <c r="M19" s="20"/>
      <c r="N19" s="20"/>
      <c r="O19" s="20"/>
      <c r="P19" s="26"/>
      <c r="Q19" s="31" t="s">
        <v>27</v>
      </c>
      <c r="R19" s="19">
        <f>IF(表1_86121822242640[[#This Row],[目标国家]]="魏",0,IF(表1_86121822242640[[#This Row],[目标国家]]="蜀",1,2))</f>
        <v>2</v>
      </c>
      <c r="S19" s="20"/>
      <c r="T19" s="20"/>
      <c r="U19" s="20"/>
      <c r="V19" s="20"/>
      <c r="W19" s="33" t="e">
        <f>"{"&amp;"'coin':"&amp;表1_86121822242640[[#This Row],[补偿Coin]]&amp;",'"&amp;配置!$A$2&amp;"':"&amp;表1_86121822242640[[#This Row],[补偿辎重]]&amp;"},"</f>
        <v>#N/A</v>
      </c>
      <c r="X19" s="34" t="str">
        <f t="shared" ref="X19" si="3">"      },"</f>
        <v>      },</v>
      </c>
    </row>
    <row r="20" ht="14.25" customHeight="1" spans="1:24">
      <c r="A20" s="17"/>
      <c r="B20" s="17" t="e">
        <f>VLOOKUP(表1_86121822242640[[#This Row],[区服]],$O$26:$P$33,2,FALSE)</f>
        <v>#N/A</v>
      </c>
      <c r="C20" s="18"/>
      <c r="D20" s="19" t="str">
        <f>表1_86121822242640[[#This Row],[目标国家]]</f>
        <v>魏</v>
      </c>
      <c r="E20" s="20" t="e">
        <f>(VLOOKUP(表1_86121822242640[[#This Row],[目标区服]],$Q$26:$R$29,2,FALSE)-表1_86121822242640[[#This Row],[开服天数]])*配置!$B$1</f>
        <v>#N/A</v>
      </c>
      <c r="F20" s="20" t="e">
        <f>表1_86121822242640[[#This Row],[补偿Coin]]*(表1_86121822242640[[#This Row],[活跃高战玩家数]]+表1_86121822242640[[#This Row],[活跃中坚玩家数]])</f>
        <v>#N/A</v>
      </c>
      <c r="G20" s="20" t="e">
        <f>(VLOOKUP(表1_86121822242640[[#This Row],[目标区服]],$Q$26:$R$29,2,FALSE)-表1_86121822242640[[#This Row],[开服天数]])*配置!$B$2</f>
        <v>#N/A</v>
      </c>
      <c r="H20" s="19" t="s">
        <v>25</v>
      </c>
      <c r="I20" s="19">
        <f>IF(表1_86121822242640[[#This Row],[原国家]]="魏",0,IF(表1_86121822242640[[#This Row],[原国家]]="蜀",1,2))</f>
        <v>0</v>
      </c>
      <c r="J20" s="20"/>
      <c r="K20" s="20"/>
      <c r="L20" s="20"/>
      <c r="M20" s="20"/>
      <c r="N20" s="20"/>
      <c r="O20" s="20"/>
      <c r="P20" s="26"/>
      <c r="Q20" s="31" t="s">
        <v>25</v>
      </c>
      <c r="R20" s="19">
        <f>IF(表1_86121822242640[[#This Row],[目标国家]]="魏",0,IF(表1_86121822242640[[#This Row],[目标国家]]="蜀",1,2))</f>
        <v>0</v>
      </c>
      <c r="S20" s="20"/>
      <c r="T20" s="20"/>
      <c r="U20" s="20"/>
      <c r="V20" s="20"/>
      <c r="W20" s="33" t="e">
        <f>"{"&amp;"'coin':"&amp;表1_86121822242640[[#This Row],[补偿Coin]]&amp;",'"&amp;配置!$A$2&amp;"':"&amp;表1_86121822242640[[#This Row],[补偿辎重]]&amp;"},"</f>
        <v>#N/A</v>
      </c>
      <c r="X20" s="34" t="str">
        <f>"      '"&amp;表1_86121822242640[[#This Row],[区服]]&amp;"':{"</f>
        <v>      '':{</v>
      </c>
    </row>
    <row r="21" ht="14.25" customHeight="1" spans="1:24">
      <c r="A21" s="17"/>
      <c r="B21" s="17" t="e">
        <f>VLOOKUP(表1_86121822242640[[#This Row],[区服]],$O$26:$P$33,2,FALSE)</f>
        <v>#N/A</v>
      </c>
      <c r="C21" s="18"/>
      <c r="D21" s="19" t="str">
        <f>表1_86121822242640[[#This Row],[目标国家]]</f>
        <v>蜀</v>
      </c>
      <c r="E21" s="20" t="e">
        <f>(VLOOKUP(表1_86121822242640[[#This Row],[目标区服]],$Q$26:$R$29,2,FALSE)-表1_86121822242640[[#This Row],[开服天数]])*配置!$B$1</f>
        <v>#N/A</v>
      </c>
      <c r="F21" s="20" t="e">
        <f>表1_86121822242640[[#This Row],[补偿Coin]]*(表1_86121822242640[[#This Row],[活跃高战玩家数]]+表1_86121822242640[[#This Row],[活跃中坚玩家数]])</f>
        <v>#N/A</v>
      </c>
      <c r="G21" s="20" t="e">
        <f>(VLOOKUP(表1_86121822242640[[#This Row],[目标区服]],$Q$26:$R$29,2,FALSE)-表1_86121822242640[[#This Row],[开服天数]])*配置!$B$2</f>
        <v>#N/A</v>
      </c>
      <c r="H21" s="19" t="s">
        <v>26</v>
      </c>
      <c r="I21" s="19">
        <f>IF(表1_86121822242640[[#This Row],[原国家]]="魏",0,IF(表1_86121822242640[[#This Row],[原国家]]="蜀",1,2))</f>
        <v>1</v>
      </c>
      <c r="J21" s="20"/>
      <c r="K21" s="20"/>
      <c r="L21" s="20"/>
      <c r="M21" s="20"/>
      <c r="N21" s="20"/>
      <c r="O21" s="20"/>
      <c r="P21" s="26"/>
      <c r="Q21" s="31" t="s">
        <v>26</v>
      </c>
      <c r="R21" s="19">
        <f>IF(表1_86121822242640[[#This Row],[目标国家]]="魏",0,IF(表1_86121822242640[[#This Row],[目标国家]]="蜀",1,2))</f>
        <v>1</v>
      </c>
      <c r="S21" s="20"/>
      <c r="T21" s="20"/>
      <c r="U21" s="20"/>
      <c r="V21" s="20"/>
      <c r="W21" s="33" t="e">
        <f>"{"&amp;"'coin':"&amp;表1_86121822242640[[#This Row],[补偿Coin]]&amp;",'"&amp;配置!$A$2&amp;"':"&amp;表1_86121822242640[[#This Row],[补偿辎重]]&amp;"},"</f>
        <v>#N/A</v>
      </c>
      <c r="X21" s="34" t="e">
        <f>"            'to_zone':'"&amp;表1_86121822242640[[#This Row],[目标区服]]&amp;"',
            'reward':"&amp;表1_86121822242640[[#This Row],[辅助导出]]&amp;"
            'country':["&amp;R20&amp;","&amp;R21&amp;","&amp;R22&amp;"],"</f>
        <v>#N/A</v>
      </c>
    </row>
    <row r="22" ht="14.25" customHeight="1" spans="1:24">
      <c r="A22" s="17"/>
      <c r="B22" s="17" t="e">
        <f>VLOOKUP(表1_86121822242640[[#This Row],[区服]],$O$26:$P$33,2,FALSE)</f>
        <v>#N/A</v>
      </c>
      <c r="C22" s="18"/>
      <c r="D22" s="19" t="str">
        <f>表1_86121822242640[[#This Row],[目标国家]]</f>
        <v>吴</v>
      </c>
      <c r="E22" s="20" t="e">
        <f>(VLOOKUP(表1_86121822242640[[#This Row],[目标区服]],$Q$26:$R$29,2,FALSE)-表1_86121822242640[[#This Row],[开服天数]])*配置!$B$1</f>
        <v>#N/A</v>
      </c>
      <c r="F22" s="20" t="e">
        <f>表1_86121822242640[[#This Row],[补偿Coin]]*(表1_86121822242640[[#This Row],[活跃高战玩家数]]+表1_86121822242640[[#This Row],[活跃中坚玩家数]])</f>
        <v>#N/A</v>
      </c>
      <c r="G22" s="20" t="e">
        <f>(VLOOKUP(表1_86121822242640[[#This Row],[目标区服]],$Q$26:$R$29,2,FALSE)-表1_86121822242640[[#This Row],[开服天数]])*配置!$B$2</f>
        <v>#N/A</v>
      </c>
      <c r="H22" s="19" t="s">
        <v>27</v>
      </c>
      <c r="I22" s="19">
        <f>IF(表1_86121822242640[[#This Row],[原国家]]="魏",0,IF(表1_86121822242640[[#This Row],[原国家]]="蜀",1,2))</f>
        <v>2</v>
      </c>
      <c r="J22" s="20"/>
      <c r="K22" s="20"/>
      <c r="L22" s="20"/>
      <c r="M22" s="20"/>
      <c r="N22" s="20"/>
      <c r="O22" s="20"/>
      <c r="P22" s="26"/>
      <c r="Q22" s="31" t="s">
        <v>27</v>
      </c>
      <c r="R22" s="19">
        <f>IF(表1_86121822242640[[#This Row],[目标国家]]="魏",0,IF(表1_86121822242640[[#This Row],[目标国家]]="蜀",1,2))</f>
        <v>2</v>
      </c>
      <c r="S22" s="20"/>
      <c r="T22" s="20"/>
      <c r="U22" s="20"/>
      <c r="V22" s="20"/>
      <c r="W22" s="33" t="e">
        <f>"{"&amp;"'coin':"&amp;表1_86121822242640[[#This Row],[补偿Coin]]&amp;",'"&amp;配置!$A$2&amp;"':"&amp;表1_86121822242640[[#This Row],[补偿辎重]]&amp;"},"</f>
        <v>#N/A</v>
      </c>
      <c r="X22" s="34" t="str">
        <f t="shared" ref="X22" si="4">"      },"</f>
        <v>      },</v>
      </c>
    </row>
    <row r="25" ht="37.5" customHeight="1" spans="1:18">
      <c r="A25" s="36" t="s">
        <v>28</v>
      </c>
      <c r="B25" s="37" t="s">
        <v>29</v>
      </c>
      <c r="C25" s="38" t="s">
        <v>30</v>
      </c>
      <c r="D25" s="38" t="s">
        <v>31</v>
      </c>
      <c r="E25" s="38" t="s">
        <v>32</v>
      </c>
      <c r="F25" s="38" t="s">
        <v>33</v>
      </c>
      <c r="G25" s="38" t="s">
        <v>15</v>
      </c>
      <c r="H25" s="37" t="s">
        <v>18</v>
      </c>
      <c r="I25" s="37" t="s">
        <v>19</v>
      </c>
      <c r="J25" s="37" t="s">
        <v>34</v>
      </c>
      <c r="K25" s="38" t="s">
        <v>35</v>
      </c>
      <c r="L25" s="38" t="s">
        <v>36</v>
      </c>
      <c r="M25" s="38" t="s">
        <v>37</v>
      </c>
      <c r="O25" s="51" t="s">
        <v>0</v>
      </c>
      <c r="P25" s="51" t="s">
        <v>1</v>
      </c>
      <c r="Q25" s="51"/>
      <c r="R25" s="51" t="s">
        <v>38</v>
      </c>
    </row>
    <row r="26" ht="15" spans="1:18">
      <c r="A26" s="371" t="s">
        <v>80</v>
      </c>
      <c r="B26" s="39" t="s">
        <v>25</v>
      </c>
      <c r="C26" s="39">
        <f>COUNTIFS(表1_86121822242640[目标区服],表2_97131923252741[[#This Row],[合区区服]],表1_86121822242640[目标国家（映射）],表2_97131923252741[[#This Row],[国家]])</f>
        <v>2</v>
      </c>
      <c r="D26" s="39">
        <f>SUMIFS(表1_86121822242640[活跃高战玩家数],表1_86121822242640[目标区服],表2_97131923252741[[#This Row],[合区区服]],表1_86121822242640[目标国家（映射）],表2_97131923252741[[#This Row],[国家]])</f>
        <v>8</v>
      </c>
      <c r="E26" s="39">
        <f>SUMIFS(表1_86121822242640[活跃中坚玩家数],表1_86121822242640[目标区服],表2_97131923252741[[#This Row],[合区区服]],表1_86121822242640[目标国家（映射）],表2_97131923252741[[#This Row],[国家]])</f>
        <v>37</v>
      </c>
      <c r="F26" s="39">
        <f t="array" ref="F26">MAX((表1_86121822242640[目标区服]=表2_97131923252741[[#This Row],[合区区服]])*(表1_86121822242640[目标国家（映射）]=表2_97131923252741[[#This Row],[国家]])*表1_86121822242640[活跃尖端战力])</f>
        <v>2576414</v>
      </c>
      <c r="G26" s="40">
        <f>SUMIFS(表1_86121822242640[活跃总战力],表1_86121822242640[目标区服],表2_97131923252741[[#This Row],[合区区服]],表1_86121822242640[目标国家（映射）],表2_97131923252741[[#This Row],[国家]])</f>
        <v>38460098</v>
      </c>
      <c r="H26" s="39">
        <f>SUMIFS(表1_86121822242640[活跃实际充值],表1_86121822242640[目标区服],表2_97131923252741[[#This Row],[合区区服]],表1_86121822242640[目标国家（映射）],表2_97131923252741[[#This Row],[国家]])</f>
        <v>31890</v>
      </c>
      <c r="I26" s="39">
        <f>SUMIFS(表1_86121822242640[活跃虚拟充值],表1_86121822242640[目标区服],表2_97131923252741[[#This Row],[合区区服]],表1_86121822242640[目标国家（映射）],表2_97131923252741[[#This Row],[国家]])</f>
        <v>68</v>
      </c>
      <c r="J26" s="39">
        <f>SUMIFS(表1_86121822242640[活跃Coin],表1_86121822242640[目标区服],表2_97131923252741[[#This Row],[合区区服]],表1_86121822242640[目标国家（映射）],表2_97131923252741[[#This Row],[国家]])</f>
        <v>820505</v>
      </c>
      <c r="K26" s="39">
        <f>SUMIFS(表1_86121822242640[共计补偿Coin],表1_86121822242640[目标区服],表2_97131923252741[[#This Row],[合区区服]],表1_86121822242640[目标国家（映射）],表2_97131923252741[[#This Row],[国家]])</f>
        <v>67500</v>
      </c>
      <c r="L26" s="39">
        <f>表2_97131923252741[[#This Row],[活跃Coin]]+表2_97131923252741[[#This Row],[共计补偿Coin]]</f>
        <v>888005</v>
      </c>
      <c r="M26" s="39">
        <f>SUMIFS(表1_86121822242640[综合国力],表1_86121822242640[目标区服],表2_97131923252741[[#This Row],[合区区服]],表1_86121822242640[目标国家（映射）],表2_97131923252741[[#This Row],[国家]])</f>
        <v>14270</v>
      </c>
      <c r="O26" s="51">
        <v>97</v>
      </c>
      <c r="P26" s="51">
        <v>54</v>
      </c>
      <c r="Q26" s="51" t="s">
        <v>80</v>
      </c>
      <c r="R26" s="51">
        <v>56</v>
      </c>
    </row>
    <row r="27" ht="15" spans="1:18">
      <c r="A27" s="371" t="s">
        <v>80</v>
      </c>
      <c r="B27" s="39" t="s">
        <v>26</v>
      </c>
      <c r="C27" s="39">
        <f>COUNTIFS(表1_86121822242640[目标区服],表2_97131923252741[[#This Row],[合区区服]],表1_86121822242640[目标国家（映射）],表2_97131923252741[[#This Row],[国家]])</f>
        <v>2</v>
      </c>
      <c r="D27" s="39">
        <f>SUMIFS(表1_86121822242640[活跃高战玩家数],表1_86121822242640[目标区服],表2_97131923252741[[#This Row],[合区区服]],表1_86121822242640[目标国家（映射）],表2_97131923252741[[#This Row],[国家]])</f>
        <v>4</v>
      </c>
      <c r="E27" s="39">
        <f>SUMIFS(表1_86121822242640[活跃中坚玩家数],表1_86121822242640[目标区服],表2_97131923252741[[#This Row],[合区区服]],表1_86121822242640[目标国家（映射）],表2_97131923252741[[#This Row],[国家]])</f>
        <v>34</v>
      </c>
      <c r="F27" s="39">
        <f t="array" ref="F27">MAX((表1_86121822242640[目标区服]=表2_97131923252741[[#This Row],[合区区服]])*(表1_86121822242640[目标国家（映射）]=表2_97131923252741[[#This Row],[国家]])*表1_86121822242640[活跃尖端战力])</f>
        <v>2743440</v>
      </c>
      <c r="G27" s="40">
        <f>SUMIFS(表1_86121822242640[活跃总战力],表1_86121822242640[目标区服],表2_97131923252741[[#This Row],[合区区服]],表1_86121822242640[目标国家（映射）],表2_97131923252741[[#This Row],[国家]])</f>
        <v>33476445</v>
      </c>
      <c r="H27" s="39">
        <f>SUMIFS(表1_86121822242640[活跃实际充值],表1_86121822242640[目标区服],表2_97131923252741[[#This Row],[合区区服]],表1_86121822242640[目标国家（映射）],表2_97131923252741[[#This Row],[国家]])</f>
        <v>48418</v>
      </c>
      <c r="I27" s="39">
        <f>SUMIFS(表1_86121822242640[活跃虚拟充值],表1_86121822242640[目标区服],表2_97131923252741[[#This Row],[合区区服]],表1_86121822242640[目标国家（映射）],表2_97131923252741[[#This Row],[国家]])</f>
        <v>0</v>
      </c>
      <c r="J27" s="39">
        <f>SUMIFS(表1_86121822242640[活跃Coin],表1_86121822242640[目标区服],表2_97131923252741[[#This Row],[合区区服]],表1_86121822242640[目标国家（映射）],表2_97131923252741[[#This Row],[国家]])</f>
        <v>803101</v>
      </c>
      <c r="K27" s="39">
        <f>SUMIFS(表1_86121822242640[共计补偿Coin],表1_86121822242640[目标区服],表2_97131923252741[[#This Row],[合区区服]],表1_86121822242640[目标国家（映射）],表2_97131923252741[[#This Row],[国家]])</f>
        <v>49000</v>
      </c>
      <c r="L27" s="39">
        <f>表2_97131923252741[[#This Row],[活跃Coin]]+表2_97131923252741[[#This Row],[共计补偿Coin]]</f>
        <v>852101</v>
      </c>
      <c r="M27" s="39">
        <f>SUMIFS(表1_86121822242640[综合国力],表1_86121822242640[目标区服],表2_97131923252741[[#This Row],[合区区服]],表1_86121822242640[目标国家（映射）],表2_97131923252741[[#This Row],[国家]])</f>
        <v>13733</v>
      </c>
      <c r="O27" s="51">
        <v>98</v>
      </c>
      <c r="P27" s="51">
        <v>53</v>
      </c>
      <c r="Q27" s="51" t="s">
        <v>81</v>
      </c>
      <c r="R27" s="51">
        <v>54</v>
      </c>
    </row>
    <row r="28" ht="15" spans="1:18">
      <c r="A28" s="371" t="s">
        <v>80</v>
      </c>
      <c r="B28" s="39" t="s">
        <v>27</v>
      </c>
      <c r="C28" s="39">
        <f>COUNTIFS(表1_86121822242640[目标区服],表2_97131923252741[[#This Row],[合区区服]],表1_86121822242640[目标国家（映射）],表2_97131923252741[[#This Row],[国家]])</f>
        <v>2</v>
      </c>
      <c r="D28" s="39">
        <f>SUMIFS(表1_86121822242640[活跃高战玩家数],表1_86121822242640[目标区服],表2_97131923252741[[#This Row],[合区区服]],表1_86121822242640[目标国家（映射）],表2_97131923252741[[#This Row],[国家]])</f>
        <v>8</v>
      </c>
      <c r="E28" s="39">
        <f>SUMIFS(表1_86121822242640[活跃中坚玩家数],表1_86121822242640[目标区服],表2_97131923252741[[#This Row],[合区区服]],表1_86121822242640[目标国家（映射）],表2_97131923252741[[#This Row],[国家]])</f>
        <v>24</v>
      </c>
      <c r="F28" s="39">
        <f t="array" ref="F28">MAX((表1_86121822242640[目标区服]=表2_97131923252741[[#This Row],[合区区服]])*(表1_86121822242640[目标国家（映射）]=表2_97131923252741[[#This Row],[国家]])*表1_86121822242640[活跃尖端战力])</f>
        <v>2859771</v>
      </c>
      <c r="G28" s="40">
        <f>SUMIFS(表1_86121822242640[活跃总战力],表1_86121822242640[目标区服],表2_97131923252741[[#This Row],[合区区服]],表1_86121822242640[目标国家（映射）],表2_97131923252741[[#This Row],[国家]])</f>
        <v>35455952</v>
      </c>
      <c r="H28" s="39">
        <f>SUMIFS(表1_86121822242640[活跃实际充值],表1_86121822242640[目标区服],表2_97131923252741[[#This Row],[合区区服]],表1_86121822242640[目标国家（映射）],表2_97131923252741[[#This Row],[国家]])</f>
        <v>64802</v>
      </c>
      <c r="I28" s="39">
        <f>SUMIFS(表1_86121822242640[活跃虚拟充值],表1_86121822242640[目标区服],表2_97131923252741[[#This Row],[合区区服]],表1_86121822242640[目标国家（映射）],表2_97131923252741[[#This Row],[国家]])</f>
        <v>0</v>
      </c>
      <c r="J28" s="39">
        <f>SUMIFS(表1_86121822242640[活跃Coin],表1_86121822242640[目标区服],表2_97131923252741[[#This Row],[合区区服]],表1_86121822242640[目标国家（映射）],表2_97131923252741[[#This Row],[国家]])</f>
        <v>1378472</v>
      </c>
      <c r="K28" s="39">
        <f>SUMIFS(表1_86121822242640[共计补偿Coin],表1_86121822242640[目标区服],表2_97131923252741[[#This Row],[合区区服]],表1_86121822242640[目标国家（映射）],表2_97131923252741[[#This Row],[国家]])</f>
        <v>32000</v>
      </c>
      <c r="L28" s="39">
        <f>表2_97131923252741[[#This Row],[活跃Coin]]+表2_97131923252741[[#This Row],[共计补偿Coin]]</f>
        <v>1410472</v>
      </c>
      <c r="M28" s="39">
        <f>SUMIFS(表1_86121822242640[综合国力],表1_86121822242640[目标区服],表2_97131923252741[[#This Row],[合区区服]],表1_86121822242640[目标国家（映射）],表2_97131923252741[[#This Row],[国家]])</f>
        <v>14660</v>
      </c>
      <c r="O28" s="51">
        <v>99</v>
      </c>
      <c r="P28" s="51">
        <v>52</v>
      </c>
      <c r="Q28" s="51"/>
      <c r="R28" s="51"/>
    </row>
    <row r="29" ht="15" spans="1:18">
      <c r="A29" s="296" t="s">
        <v>81</v>
      </c>
      <c r="B29" s="41" t="s">
        <v>25</v>
      </c>
      <c r="C29" s="41">
        <f>COUNTIFS(表1_86121822242640[目标区服],表2_97131923252741[[#This Row],[合区区服]],表1_86121822242640[目标国家（映射）],表2_97131923252741[[#This Row],[国家]])</f>
        <v>2</v>
      </c>
      <c r="D29" s="41">
        <f>SUMIFS(表1_86121822242640[活跃高战玩家数],表1_86121822242640[目标区服],表2_97131923252741[[#This Row],[合区区服]],表1_86121822242640[目标国家（映射）],表2_97131923252741[[#This Row],[国家]])</f>
        <v>8</v>
      </c>
      <c r="E29" s="41">
        <f>SUMIFS(表1_86121822242640[活跃中坚玩家数],表1_86121822242640[目标区服],表2_97131923252741[[#This Row],[合区区服]],表1_86121822242640[目标国家（映射）],表2_97131923252741[[#This Row],[国家]])</f>
        <v>41</v>
      </c>
      <c r="F29" s="41">
        <f t="array" ref="F29">MAX((表1_86121822242640[目标区服]=表2_97131923252741[[#This Row],[合区区服]])*(表1_86121822242640[目标国家（映射）]=表2_97131923252741[[#This Row],[国家]])*表1_86121822242640[活跃尖端战力])</f>
        <v>3207207</v>
      </c>
      <c r="G29" s="42">
        <f>SUMIFS(表1_86121822242640[活跃总战力],表1_86121822242640[目标区服],表2_97131923252741[[#This Row],[合区区服]],表1_86121822242640[目标国家（映射）],表2_97131923252741[[#This Row],[国家]])</f>
        <v>40365967</v>
      </c>
      <c r="H29" s="41">
        <f>SUMIFS(表1_86121822242640[活跃实际充值],表1_86121822242640[目标区服],表2_97131923252741[[#This Row],[合区区服]],表1_86121822242640[目标国家（映射）],表2_97131923252741[[#This Row],[国家]])</f>
        <v>44364</v>
      </c>
      <c r="I29" s="41">
        <f>SUMIFS(表1_86121822242640[活跃虚拟充值],表1_86121822242640[目标区服],表2_97131923252741[[#This Row],[合区区服]],表1_86121822242640[目标国家（映射）],表2_97131923252741[[#This Row],[国家]])</f>
        <v>0</v>
      </c>
      <c r="J29" s="41">
        <f>SUMIFS(表1_86121822242640[活跃Coin],表1_86121822242640[目标区服],表2_97131923252741[[#This Row],[合区区服]],表1_86121822242640[目标国家（映射）],表2_97131923252741[[#This Row],[国家]])</f>
        <v>838770</v>
      </c>
      <c r="K29" s="41">
        <f>SUMIFS(表1_86121822242640[共计补偿Coin],表1_86121822242640[目标区服],表2_97131923252741[[#This Row],[合区区服]],表1_86121822242640[目标国家（映射）],表2_97131923252741[[#This Row],[国家]])</f>
        <v>49000</v>
      </c>
      <c r="L29" s="41">
        <f>表2_97131923252741[[#This Row],[活跃Coin]]+表2_97131923252741[[#This Row],[共计补偿Coin]]</f>
        <v>887770</v>
      </c>
      <c r="M29" s="41">
        <f>SUMIFS(表1_86121822242640[综合国力],表1_86121822242640[目标区服],表2_97131923252741[[#This Row],[合区区服]],表1_86121822242640[目标国家（映射）],表2_97131923252741[[#This Row],[国家]])</f>
        <v>15645</v>
      </c>
      <c r="O29" s="51">
        <v>100</v>
      </c>
      <c r="P29" s="51">
        <v>51</v>
      </c>
      <c r="Q29" s="51"/>
      <c r="R29" s="51"/>
    </row>
    <row r="30" ht="15" spans="1:16">
      <c r="A30" s="296" t="s">
        <v>81</v>
      </c>
      <c r="B30" s="41" t="s">
        <v>26</v>
      </c>
      <c r="C30" s="41">
        <f>COUNTIFS(表1_86121822242640[目标区服],表2_97131923252741[[#This Row],[合区区服]],表1_86121822242640[目标国家（映射）],表2_97131923252741[[#This Row],[国家]])</f>
        <v>1</v>
      </c>
      <c r="D30" s="41">
        <f>SUMIFS(表1_86121822242640[活跃高战玩家数],表1_86121822242640[目标区服],表2_97131923252741[[#This Row],[合区区服]],表1_86121822242640[目标国家（映射）],表2_97131923252741[[#This Row],[国家]])</f>
        <v>5</v>
      </c>
      <c r="E30" s="41">
        <f>SUMIFS(表1_86121822242640[活跃中坚玩家数],表1_86121822242640[目标区服],表2_97131923252741[[#This Row],[合区区服]],表1_86121822242640[目标国家（映射）],表2_97131923252741[[#This Row],[国家]])</f>
        <v>41</v>
      </c>
      <c r="F30" s="41">
        <f t="array" ref="F30">MAX((表1_86121822242640[目标区服]=表2_97131923252741[[#This Row],[合区区服]])*(表1_86121822242640[目标国家（映射）]=表2_97131923252741[[#This Row],[国家]])*表1_86121822242640[活跃尖端战力])</f>
        <v>3022427</v>
      </c>
      <c r="G30" s="42">
        <f>SUMIFS(表1_86121822242640[活跃总战力],表1_86121822242640[目标区服],表2_97131923252741[[#This Row],[合区区服]],表1_86121822242640[目标国家（映射）],表2_97131923252741[[#This Row],[国家]])</f>
        <v>39147943</v>
      </c>
      <c r="H30" s="41">
        <f>SUMIFS(表1_86121822242640[活跃实际充值],表1_86121822242640[目标区服],表2_97131923252741[[#This Row],[合区区服]],表1_86121822242640[目标国家（映射）],表2_97131923252741[[#This Row],[国家]])</f>
        <v>87110</v>
      </c>
      <c r="I30" s="41">
        <f>SUMIFS(表1_86121822242640[活跃虚拟充值],表1_86121822242640[目标区服],表2_97131923252741[[#This Row],[合区区服]],表1_86121822242640[目标国家（映射）],表2_97131923252741[[#This Row],[国家]])</f>
        <v>6</v>
      </c>
      <c r="J30" s="41">
        <f>SUMIFS(表1_86121822242640[活跃Coin],表1_86121822242640[目标区服],表2_97131923252741[[#This Row],[合区区服]],表1_86121822242640[目标国家（映射）],表2_97131923252741[[#This Row],[国家]])</f>
        <v>748209</v>
      </c>
      <c r="K30" s="41">
        <f>SUMIFS(表1_86121822242640[共计补偿Coin],表1_86121822242640[目标区服],表2_97131923252741[[#This Row],[合区区服]],表1_86121822242640[目标国家（映射）],表2_97131923252741[[#This Row],[国家]])</f>
        <v>69000</v>
      </c>
      <c r="L30" s="41">
        <f>表2_97131923252741[[#This Row],[活跃Coin]]+表2_97131923252741[[#This Row],[共计补偿Coin]]</f>
        <v>817209</v>
      </c>
      <c r="M30" s="41">
        <f>SUMIFS(表1_86121822242640[综合国力],表1_86121822242640[目标区服],表2_97131923252741[[#This Row],[合区区服]],表1_86121822242640[目标国家（映射）],表2_97131923252741[[#This Row],[国家]])</f>
        <v>14848</v>
      </c>
      <c r="O30" s="51"/>
      <c r="P30" s="51"/>
    </row>
    <row r="31" ht="15" spans="1:16">
      <c r="A31" s="296" t="s">
        <v>81</v>
      </c>
      <c r="B31" s="43" t="s">
        <v>27</v>
      </c>
      <c r="C31" s="43">
        <f>COUNTIFS(表1_86121822242640[目标区服],表2_97131923252741[[#This Row],[合区区服]],表1_86121822242640[目标国家（映射）],表2_97131923252741[[#This Row],[国家]])</f>
        <v>3</v>
      </c>
      <c r="D31" s="43">
        <f>SUMIFS(表1_86121822242640[活跃高战玩家数],表1_86121822242640[目标区服],表2_97131923252741[[#This Row],[合区区服]],表1_86121822242640[目标国家（映射）],表2_97131923252741[[#This Row],[国家]])</f>
        <v>6</v>
      </c>
      <c r="E31" s="43">
        <f>SUMIFS(表1_86121822242640[活跃中坚玩家数],表1_86121822242640[目标区服],表2_97131923252741[[#This Row],[合区区服]],表1_86121822242640[目标国家（映射）],表2_97131923252741[[#This Row],[国家]])</f>
        <v>37</v>
      </c>
      <c r="F31" s="43">
        <f t="array" ref="F31">MAX((表1_86121822242640[目标区服]=表2_97131923252741[[#This Row],[合区区服]])*(表1_86121822242640[目标国家（映射）]=表2_97131923252741[[#This Row],[国家]])*表1_86121822242640[活跃尖端战力])</f>
        <v>2321205</v>
      </c>
      <c r="G31" s="44">
        <f>SUMIFS(表1_86121822242640[活跃总战力],表1_86121822242640[目标区服],表2_97131923252741[[#This Row],[合区区服]],表1_86121822242640[目标国家（映射）],表2_97131923252741[[#This Row],[国家]])</f>
        <v>33779243</v>
      </c>
      <c r="H31" s="43">
        <f>SUMIFS(表1_86121822242640[活跃实际充值],表1_86121822242640[目标区服],表2_97131923252741[[#This Row],[合区区服]],表1_86121822242640[目标国家（映射）],表2_97131923252741[[#This Row],[国家]])</f>
        <v>93810</v>
      </c>
      <c r="I31" s="43">
        <f>SUMIFS(表1_86121822242640[活跃虚拟充值],表1_86121822242640[目标区服],表2_97131923252741[[#This Row],[合区区服]],表1_86121822242640[目标国家（映射）],表2_97131923252741[[#This Row],[国家]])</f>
        <v>0</v>
      </c>
      <c r="J31" s="43">
        <f>SUMIFS(表1_86121822242640[活跃Coin],表1_86121822242640[目标区服],表2_97131923252741[[#This Row],[合区区服]],表1_86121822242640[目标国家（映射）],表2_97131923252741[[#This Row],[国家]])</f>
        <v>484524</v>
      </c>
      <c r="K31" s="43">
        <f>SUMIFS(表1_86121822242640[共计补偿Coin],表1_86121822242640[目标区服],表2_97131923252741[[#This Row],[合区区服]],表1_86121822242640[目标国家（映射）],表2_97131923252741[[#This Row],[国家]])</f>
        <v>55500</v>
      </c>
      <c r="L31" s="43">
        <f>表2_97131923252741[[#This Row],[活跃Coin]]+表2_97131923252741[[#This Row],[共计补偿Coin]]</f>
        <v>540024</v>
      </c>
      <c r="M31" s="43">
        <f>SUMIFS(表1_86121822242640[综合国力],表1_86121822242640[目标区服],表2_97131923252741[[#This Row],[合区区服]],表1_86121822242640[目标国家（映射）],表2_97131923252741[[#This Row],[国家]])</f>
        <v>15344</v>
      </c>
      <c r="O31" s="51"/>
      <c r="P31" s="51"/>
    </row>
    <row r="32" ht="15" spans="1:16">
      <c r="A32" s="45"/>
      <c r="B32" s="46" t="s">
        <v>25</v>
      </c>
      <c r="C32" s="46">
        <f>COUNTIFS(表1_86121822242640[目标区服],表2_97131923252741[[#This Row],[合区区服]],表1_86121822242640[目标国家（映射）],表2_97131923252741[[#This Row],[国家]])</f>
        <v>0</v>
      </c>
      <c r="D32" s="46">
        <f>SUMIFS(表1_86121822242640[活跃高战玩家数],表1_86121822242640[目标区服],表2_97131923252741[[#This Row],[合区区服]],表1_86121822242640[目标国家（映射）],表2_97131923252741[[#This Row],[国家]])</f>
        <v>0</v>
      </c>
      <c r="E32" s="46">
        <f>SUMIFS(表1_86121822242640[活跃中坚玩家数],表1_86121822242640[目标区服],表2_97131923252741[[#This Row],[合区区服]],表1_86121822242640[目标国家（映射）],表2_97131923252741[[#This Row],[国家]])</f>
        <v>0</v>
      </c>
      <c r="F32" s="46">
        <f t="array" ref="F32">MAX((表1_86121822242640[目标区服]=表2_97131923252741[[#This Row],[合区区服]])*(表1_86121822242640[目标国家（映射）]=表2_97131923252741[[#This Row],[国家]])*表1_86121822242640[活跃尖端战力])</f>
        <v>0</v>
      </c>
      <c r="G32" s="47">
        <f>SUMIFS(表1_86121822242640[活跃总战力],表1_86121822242640[目标区服],表2_97131923252741[[#This Row],[合区区服]],表1_86121822242640[目标国家（映射）],表2_97131923252741[[#This Row],[国家]])</f>
        <v>0</v>
      </c>
      <c r="H32" s="46">
        <f>SUMIFS(表1_86121822242640[活跃实际充值],表1_86121822242640[目标区服],表2_97131923252741[[#This Row],[合区区服]],表1_86121822242640[目标国家（映射）],表2_97131923252741[[#This Row],[国家]])</f>
        <v>0</v>
      </c>
      <c r="I32" s="46">
        <f>SUMIFS(表1_86121822242640[活跃虚拟充值],表1_86121822242640[目标区服],表2_97131923252741[[#This Row],[合区区服]],表1_86121822242640[目标国家（映射）],表2_97131923252741[[#This Row],[国家]])</f>
        <v>0</v>
      </c>
      <c r="J32" s="46">
        <f>SUMIFS(表1_86121822242640[活跃Coin],表1_86121822242640[目标区服],表2_97131923252741[[#This Row],[合区区服]],表1_86121822242640[目标国家（映射）],表2_97131923252741[[#This Row],[国家]])</f>
        <v>0</v>
      </c>
      <c r="K32" s="46">
        <f>SUMIFS(表1_86121822242640[共计补偿Coin],表1_86121822242640[目标区服],表2_97131923252741[[#This Row],[合区区服]],表1_86121822242640[目标国家（映射）],表2_97131923252741[[#This Row],[国家]])</f>
        <v>0</v>
      </c>
      <c r="L32" s="46">
        <f>表2_97131923252741[[#This Row],[活跃Coin]]+表2_97131923252741[[#This Row],[共计补偿Coin]]</f>
        <v>0</v>
      </c>
      <c r="M32" s="46">
        <f>SUMIFS(表1_86121822242640[综合国力],表1_86121822242640[目标区服],表2_97131923252741[[#This Row],[合区区服]],表1_86121822242640[目标国家（映射）],表2_97131923252741[[#This Row],[国家]])</f>
        <v>0</v>
      </c>
      <c r="O32" s="51"/>
      <c r="P32" s="51"/>
    </row>
    <row r="33" ht="15" spans="1:16">
      <c r="A33" s="45"/>
      <c r="B33" s="46" t="s">
        <v>26</v>
      </c>
      <c r="C33" s="46">
        <f>COUNTIFS(表1_86121822242640[目标区服],表2_97131923252741[[#This Row],[合区区服]],表1_86121822242640[目标国家（映射）],表2_97131923252741[[#This Row],[国家]])</f>
        <v>0</v>
      </c>
      <c r="D33" s="46">
        <f>SUMIFS(表1_86121822242640[活跃高战玩家数],表1_86121822242640[目标区服],表2_97131923252741[[#This Row],[合区区服]],表1_86121822242640[目标国家（映射）],表2_97131923252741[[#This Row],[国家]])</f>
        <v>0</v>
      </c>
      <c r="E33" s="46">
        <f>SUMIFS(表1_86121822242640[活跃中坚玩家数],表1_86121822242640[目标区服],表2_97131923252741[[#This Row],[合区区服]],表1_86121822242640[目标国家（映射）],表2_97131923252741[[#This Row],[国家]])</f>
        <v>0</v>
      </c>
      <c r="F33" s="46">
        <f t="array" ref="F33">MAX((表1_86121822242640[目标区服]=表2_97131923252741[[#This Row],[合区区服]])*(表1_86121822242640[目标国家（映射）]=表2_97131923252741[[#This Row],[国家]])*表1_86121822242640[活跃尖端战力])</f>
        <v>0</v>
      </c>
      <c r="G33" s="47">
        <f>SUMIFS(表1_86121822242640[活跃总战力],表1_86121822242640[目标区服],表2_97131923252741[[#This Row],[合区区服]],表1_86121822242640[目标国家（映射）],表2_97131923252741[[#This Row],[国家]])</f>
        <v>0</v>
      </c>
      <c r="H33" s="46">
        <f>SUMIFS(表1_86121822242640[活跃实际充值],表1_86121822242640[目标区服],表2_97131923252741[[#This Row],[合区区服]],表1_86121822242640[目标国家（映射）],表2_97131923252741[[#This Row],[国家]])</f>
        <v>0</v>
      </c>
      <c r="I33" s="46">
        <f>SUMIFS(表1_86121822242640[活跃虚拟充值],表1_86121822242640[目标区服],表2_97131923252741[[#This Row],[合区区服]],表1_86121822242640[目标国家（映射）],表2_97131923252741[[#This Row],[国家]])</f>
        <v>0</v>
      </c>
      <c r="J33" s="46">
        <f>SUMIFS(表1_86121822242640[活跃Coin],表1_86121822242640[目标区服],表2_97131923252741[[#This Row],[合区区服]],表1_86121822242640[目标国家（映射）],表2_97131923252741[[#This Row],[国家]])</f>
        <v>0</v>
      </c>
      <c r="K33" s="46">
        <f>SUMIFS(表1_86121822242640[共计补偿Coin],表1_86121822242640[目标区服],表2_97131923252741[[#This Row],[合区区服]],表1_86121822242640[目标国家（映射）],表2_97131923252741[[#This Row],[国家]])</f>
        <v>0</v>
      </c>
      <c r="L33" s="46">
        <f>表2_97131923252741[[#This Row],[活跃Coin]]+表2_97131923252741[[#This Row],[共计补偿Coin]]</f>
        <v>0</v>
      </c>
      <c r="M33" s="46">
        <f>SUMIFS(表1_86121822242640[综合国力],表1_86121822242640[目标区服],表2_97131923252741[[#This Row],[合区区服]],表1_86121822242640[目标国家（映射）],表2_97131923252741[[#This Row],[国家]])</f>
        <v>0</v>
      </c>
      <c r="O33" s="51"/>
      <c r="P33" s="51"/>
    </row>
    <row r="34" ht="15" spans="1:13">
      <c r="A34" s="45"/>
      <c r="B34" s="48" t="s">
        <v>27</v>
      </c>
      <c r="C34" s="48">
        <f>COUNTIFS(表1_86121822242640[目标区服],表2_97131923252741[[#This Row],[合区区服]],表1_86121822242640[目标国家（映射）],表2_97131923252741[[#This Row],[国家]])</f>
        <v>0</v>
      </c>
      <c r="D34" s="48">
        <f>SUMIFS(表1_86121822242640[活跃高战玩家数],表1_86121822242640[目标区服],表2_97131923252741[[#This Row],[合区区服]],表1_86121822242640[目标国家（映射）],表2_97131923252741[[#This Row],[国家]])</f>
        <v>0</v>
      </c>
      <c r="E34" s="48">
        <f>SUMIFS(表1_86121822242640[活跃中坚玩家数],表1_86121822242640[目标区服],表2_97131923252741[[#This Row],[合区区服]],表1_86121822242640[目标国家（映射）],表2_97131923252741[[#This Row],[国家]])</f>
        <v>0</v>
      </c>
      <c r="F34" s="48">
        <f t="array" ref="F34">MAX((表1_86121822242640[目标区服]=表2_97131923252741[[#This Row],[合区区服]])*(表1_86121822242640[目标国家（映射）]=表2_97131923252741[[#This Row],[国家]])*表1_86121822242640[活跃尖端战力])</f>
        <v>0</v>
      </c>
      <c r="G34" s="458">
        <f>SUMIFS(表1_86121822242640[活跃总战力],表1_86121822242640[目标区服],表2_97131923252741[[#This Row],[合区区服]],表1_86121822242640[目标国家（映射）],表2_97131923252741[[#This Row],[国家]])</f>
        <v>0</v>
      </c>
      <c r="H34" s="48">
        <f>SUMIFS(表1_86121822242640[活跃实际充值],表1_86121822242640[目标区服],表2_97131923252741[[#This Row],[合区区服]],表1_86121822242640[目标国家（映射）],表2_97131923252741[[#This Row],[国家]])</f>
        <v>0</v>
      </c>
      <c r="I34" s="48">
        <f>SUMIFS(表1_86121822242640[活跃虚拟充值],表1_86121822242640[目标区服],表2_97131923252741[[#This Row],[合区区服]],表1_86121822242640[目标国家（映射）],表2_97131923252741[[#This Row],[国家]])</f>
        <v>0</v>
      </c>
      <c r="J34" s="48">
        <f>SUMIFS(表1_86121822242640[活跃Coin],表1_86121822242640[目标区服],表2_97131923252741[[#This Row],[合区区服]],表1_86121822242640[目标国家（映射）],表2_97131923252741[[#This Row],[国家]])</f>
        <v>0</v>
      </c>
      <c r="K34" s="48">
        <f>SUMIFS(表1_86121822242640[共计补偿Coin],表1_86121822242640[目标区服],表2_97131923252741[[#This Row],[合区区服]],表1_86121822242640[目标国家（映射）],表2_97131923252741[[#This Row],[国家]])</f>
        <v>0</v>
      </c>
      <c r="L34" s="48">
        <f>表2_97131923252741[[#This Row],[活跃Coin]]+表2_97131923252741[[#This Row],[共计补偿Coin]]</f>
        <v>0</v>
      </c>
      <c r="M34" s="48">
        <f>SUMIFS(表1_86121822242640[综合国力],表1_86121822242640[目标区服],表2_97131923252741[[#This Row],[合区区服]],表1_86121822242640[目标国家（映射）],表2_97131923252741[[#This Row],[国家]])</f>
        <v>0</v>
      </c>
    </row>
    <row r="40" ht="27" spans="1:13">
      <c r="A40" s="49"/>
      <c r="B40" s="50" t="s">
        <v>9</v>
      </c>
      <c r="C40" s="50" t="s">
        <v>10</v>
      </c>
      <c r="D40" s="50" t="s">
        <v>11</v>
      </c>
      <c r="E40" s="50" t="s">
        <v>12</v>
      </c>
      <c r="F40" s="50" t="s">
        <v>13</v>
      </c>
      <c r="G40" s="50" t="s">
        <v>14</v>
      </c>
      <c r="H40" s="50" t="s">
        <v>15</v>
      </c>
      <c r="I40" s="50" t="s">
        <v>18</v>
      </c>
      <c r="J40" s="50" t="s">
        <v>19</v>
      </c>
      <c r="K40" s="50" t="s">
        <v>20</v>
      </c>
      <c r="L40" s="50" t="s">
        <v>21</v>
      </c>
      <c r="M40" s="50" t="s">
        <v>82</v>
      </c>
    </row>
    <row r="41" spans="1:13">
      <c r="A41" s="50" t="s">
        <v>25</v>
      </c>
      <c r="B41" s="50">
        <v>0</v>
      </c>
      <c r="C41" s="50">
        <v>12</v>
      </c>
      <c r="D41" s="50">
        <v>0</v>
      </c>
      <c r="E41" s="50">
        <v>4</v>
      </c>
      <c r="F41" s="50">
        <v>12609</v>
      </c>
      <c r="G41" s="50">
        <v>877408</v>
      </c>
      <c r="H41" s="50">
        <v>2161375</v>
      </c>
      <c r="I41" s="50">
        <v>84</v>
      </c>
      <c r="J41" s="50">
        <v>0</v>
      </c>
      <c r="K41" s="50">
        <v>46227</v>
      </c>
      <c r="L41" s="50">
        <v>1302</v>
      </c>
      <c r="M41" s="50">
        <v>356148</v>
      </c>
    </row>
    <row r="42" spans="1:13">
      <c r="A42" s="50" t="s">
        <v>26</v>
      </c>
      <c r="B42" s="50">
        <v>2</v>
      </c>
      <c r="C42" s="50">
        <v>88</v>
      </c>
      <c r="D42" s="50">
        <v>2</v>
      </c>
      <c r="E42" s="50">
        <v>14</v>
      </c>
      <c r="F42" s="50">
        <v>82841</v>
      </c>
      <c r="G42" s="50">
        <v>2743440</v>
      </c>
      <c r="H42" s="50">
        <v>15391065</v>
      </c>
      <c r="I42" s="50">
        <v>33690</v>
      </c>
      <c r="J42" s="50">
        <v>0</v>
      </c>
      <c r="K42" s="50">
        <v>358497</v>
      </c>
      <c r="L42" s="50">
        <v>6966</v>
      </c>
      <c r="M42" s="50">
        <v>761755</v>
      </c>
    </row>
    <row r="43" spans="1:13">
      <c r="A43" s="50" t="s">
        <v>27</v>
      </c>
      <c r="B43" s="50">
        <v>7</v>
      </c>
      <c r="C43" s="50">
        <v>295</v>
      </c>
      <c r="D43" s="50">
        <v>8</v>
      </c>
      <c r="E43" s="50">
        <v>20</v>
      </c>
      <c r="F43" s="50">
        <v>182365</v>
      </c>
      <c r="G43" s="50">
        <v>2859771</v>
      </c>
      <c r="H43" s="50">
        <v>33294577</v>
      </c>
      <c r="I43" s="50">
        <v>64718</v>
      </c>
      <c r="J43" s="50">
        <v>0</v>
      </c>
      <c r="K43" s="50">
        <v>1332245</v>
      </c>
      <c r="L43" s="50">
        <v>13358</v>
      </c>
      <c r="M43" s="50">
        <v>748832</v>
      </c>
    </row>
    <row r="44" spans="1:13">
      <c r="A44" s="50" t="s">
        <v>25</v>
      </c>
      <c r="B44" s="50">
        <v>3</v>
      </c>
      <c r="C44" s="50">
        <v>128</v>
      </c>
      <c r="D44" s="50">
        <v>4</v>
      </c>
      <c r="E44" s="50">
        <v>17</v>
      </c>
      <c r="F44" s="50">
        <v>110797</v>
      </c>
      <c r="G44" s="50">
        <v>2576414</v>
      </c>
      <c r="H44" s="50">
        <v>20564863</v>
      </c>
      <c r="I44" s="50">
        <v>17454</v>
      </c>
      <c r="J44" s="50">
        <v>0</v>
      </c>
      <c r="K44" s="50">
        <v>368496</v>
      </c>
      <c r="L44" s="50">
        <v>7474</v>
      </c>
      <c r="M44" s="50">
        <v>691219</v>
      </c>
    </row>
    <row r="45" spans="1:13">
      <c r="A45" s="50" t="s">
        <v>26</v>
      </c>
      <c r="B45" s="50">
        <v>3</v>
      </c>
      <c r="C45" s="50">
        <v>151</v>
      </c>
      <c r="D45" s="50">
        <v>2</v>
      </c>
      <c r="E45" s="50">
        <v>20</v>
      </c>
      <c r="F45" s="50">
        <v>93514</v>
      </c>
      <c r="G45" s="50">
        <v>2017403</v>
      </c>
      <c r="H45" s="50">
        <v>18085380</v>
      </c>
      <c r="I45" s="50">
        <v>14728</v>
      </c>
      <c r="J45" s="50">
        <v>0</v>
      </c>
      <c r="K45" s="50">
        <v>444604</v>
      </c>
      <c r="L45" s="50">
        <v>6767</v>
      </c>
      <c r="M45" s="50">
        <v>615673</v>
      </c>
    </row>
    <row r="46" spans="1:13">
      <c r="A46" s="50" t="s">
        <v>27</v>
      </c>
      <c r="B46" s="50">
        <v>3</v>
      </c>
      <c r="C46" s="50">
        <v>116</v>
      </c>
      <c r="D46" s="50">
        <v>4</v>
      </c>
      <c r="E46" s="50">
        <v>20</v>
      </c>
      <c r="F46" s="50">
        <v>81412</v>
      </c>
      <c r="G46" s="50">
        <v>2480175</v>
      </c>
      <c r="H46" s="50">
        <v>17895235</v>
      </c>
      <c r="I46" s="50">
        <v>14436</v>
      </c>
      <c r="J46" s="50">
        <v>68</v>
      </c>
      <c r="K46" s="50">
        <v>452009</v>
      </c>
      <c r="L46" s="50">
        <v>6796</v>
      </c>
      <c r="M46" s="50">
        <v>815977</v>
      </c>
    </row>
    <row r="47" spans="1:13">
      <c r="A47" s="50" t="s">
        <v>25</v>
      </c>
      <c r="B47" s="50">
        <v>5</v>
      </c>
      <c r="C47" s="50">
        <v>212</v>
      </c>
      <c r="D47" s="50">
        <v>7</v>
      </c>
      <c r="E47" s="50">
        <v>21</v>
      </c>
      <c r="F47" s="50">
        <v>138894</v>
      </c>
      <c r="G47" s="50">
        <v>3207207</v>
      </c>
      <c r="H47" s="50">
        <v>24861864</v>
      </c>
      <c r="I47" s="50">
        <v>35044</v>
      </c>
      <c r="J47" s="50">
        <v>0</v>
      </c>
      <c r="K47" s="50">
        <v>580223</v>
      </c>
      <c r="L47" s="50">
        <v>10349</v>
      </c>
      <c r="M47" s="50">
        <v>1047148</v>
      </c>
    </row>
    <row r="48" spans="1:13">
      <c r="A48" s="50" t="s">
        <v>26</v>
      </c>
      <c r="B48" s="50">
        <v>2</v>
      </c>
      <c r="C48" s="50">
        <v>101</v>
      </c>
      <c r="D48" s="50">
        <v>1</v>
      </c>
      <c r="E48" s="50">
        <v>20</v>
      </c>
      <c r="F48" s="50">
        <v>91559</v>
      </c>
      <c r="G48" s="50">
        <v>1669533</v>
      </c>
      <c r="H48" s="50">
        <v>15504103</v>
      </c>
      <c r="I48" s="50">
        <v>9320</v>
      </c>
      <c r="J48" s="50">
        <v>0</v>
      </c>
      <c r="K48" s="50">
        <v>258547</v>
      </c>
      <c r="L48" s="50">
        <v>5296</v>
      </c>
      <c r="M48" s="50">
        <v>591404</v>
      </c>
    </row>
    <row r="49" spans="1:13">
      <c r="A49" s="50" t="s">
        <v>27</v>
      </c>
      <c r="B49" s="50">
        <v>2</v>
      </c>
      <c r="C49" s="50">
        <v>82</v>
      </c>
      <c r="D49" s="50">
        <v>2</v>
      </c>
      <c r="E49" s="50">
        <v>16</v>
      </c>
      <c r="F49" s="50">
        <v>83252</v>
      </c>
      <c r="G49" s="50">
        <v>2138016</v>
      </c>
      <c r="H49" s="50">
        <v>14414201</v>
      </c>
      <c r="I49" s="50">
        <v>31782</v>
      </c>
      <c r="J49" s="50">
        <v>0</v>
      </c>
      <c r="K49" s="50">
        <v>198409</v>
      </c>
      <c r="L49" s="50">
        <v>6068</v>
      </c>
      <c r="M49" s="50">
        <v>873284</v>
      </c>
    </row>
    <row r="50" spans="1:13">
      <c r="A50" s="50" t="s">
        <v>25</v>
      </c>
      <c r="B50" s="50">
        <v>2</v>
      </c>
      <c r="C50" s="50">
        <v>52</v>
      </c>
      <c r="D50" s="50">
        <v>1</v>
      </c>
      <c r="E50" s="50">
        <v>11</v>
      </c>
      <c r="F50" s="50">
        <v>39196</v>
      </c>
      <c r="G50" s="50">
        <v>1565064</v>
      </c>
      <c r="H50" s="50">
        <v>7817418</v>
      </c>
      <c r="I50" s="50">
        <v>14946</v>
      </c>
      <c r="J50" s="50">
        <v>0</v>
      </c>
      <c r="K50" s="50">
        <v>199515</v>
      </c>
      <c r="L50" s="50">
        <v>3810</v>
      </c>
      <c r="M50" s="50">
        <v>561381</v>
      </c>
    </row>
    <row r="51" spans="1:13">
      <c r="A51" s="50" t="s">
        <v>26</v>
      </c>
      <c r="B51" s="50">
        <v>7</v>
      </c>
      <c r="C51" s="50">
        <v>320</v>
      </c>
      <c r="D51" s="50">
        <v>5</v>
      </c>
      <c r="E51" s="50">
        <v>41</v>
      </c>
      <c r="F51" s="50">
        <v>204673</v>
      </c>
      <c r="G51" s="50">
        <v>3022427</v>
      </c>
      <c r="H51" s="50">
        <v>39147943</v>
      </c>
      <c r="I51" s="50">
        <v>87110</v>
      </c>
      <c r="J51" s="50">
        <v>6</v>
      </c>
      <c r="K51" s="50">
        <v>748209</v>
      </c>
      <c r="L51" s="50">
        <v>14848</v>
      </c>
      <c r="M51" s="50">
        <v>1026845</v>
      </c>
    </row>
    <row r="52" spans="1:13">
      <c r="A52" s="50" t="s">
        <v>27</v>
      </c>
      <c r="B52" s="50">
        <v>0</v>
      </c>
      <c r="C52" s="50">
        <v>23</v>
      </c>
      <c r="D52" s="50">
        <v>3</v>
      </c>
      <c r="E52" s="50">
        <v>10</v>
      </c>
      <c r="F52" s="50">
        <v>61019</v>
      </c>
      <c r="G52" s="50">
        <v>2321205</v>
      </c>
      <c r="H52" s="50">
        <v>11547624</v>
      </c>
      <c r="I52" s="50">
        <v>47082</v>
      </c>
      <c r="J52" s="50">
        <v>0</v>
      </c>
      <c r="K52" s="50">
        <v>86600</v>
      </c>
      <c r="L52" s="50">
        <v>5466</v>
      </c>
      <c r="M52" s="50">
        <v>1049176</v>
      </c>
    </row>
    <row r="53" spans="1:12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</row>
    <row r="54" spans="1:12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</row>
    <row r="55" spans="1:12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</row>
    <row r="56" spans="1:12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</row>
    <row r="57" spans="1:12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</row>
    <row r="58" spans="1:12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</row>
    <row r="59" spans="1:12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</row>
    <row r="60" spans="1:12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</row>
    <row r="61" spans="1:13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t="s">
        <v>66</v>
      </c>
    </row>
  </sheetData>
  <conditionalFormatting sqref="F26:F28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{ab5c6b91-2de6-4d29-8d02-962f80235c8d}</x14:id>
        </ext>
      </extLst>
    </cfRule>
  </conditionalFormatting>
  <conditionalFormatting sqref="F29:F3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{1fe2f3e4-f53a-4443-ba92-1c8c099a2a73}</x14:id>
        </ext>
      </extLst>
    </cfRule>
  </conditionalFormatting>
  <conditionalFormatting sqref="F32:F34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{8734fc42-4b54-4164-89a7-f6419b380c39}</x14:id>
        </ext>
      </extLst>
    </cfRule>
  </conditionalFormatting>
  <conditionalFormatting sqref="G26:G28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{2ffc5c6e-3d43-499c-b880-9c31510590c5}</x14:id>
        </ext>
      </extLst>
    </cfRule>
  </conditionalFormatting>
  <conditionalFormatting sqref="G29:G31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{a411d570-2a79-4107-a76a-9c309d194e57}</x14:id>
        </ext>
      </extLst>
    </cfRule>
  </conditionalFormatting>
  <conditionalFormatting sqref="G32:G34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{f9a0a608-94a8-467c-a7ae-bdcf6594c5f9}</x14:id>
        </ext>
      </extLst>
    </cfRule>
  </conditionalFormatting>
  <conditionalFormatting sqref="O2:O19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{db30c5bb-af8f-4fd7-b627-dedc185d55d2}</x14:id>
        </ext>
      </extLst>
    </cfRule>
  </conditionalFormatting>
  <conditionalFormatting sqref="O20:O2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{9219ad12-7177-487a-800d-f30ea593f49e}</x14:id>
        </ext>
      </extLst>
    </cfRule>
  </conditionalFormatting>
  <conditionalFormatting sqref="O26:O33">
    <cfRule type="cellIs" dxfId="37" priority="8" operator="equal">
      <formula>$S$26</formula>
    </cfRule>
  </conditionalFormatting>
  <conditionalFormatting sqref="P2:P19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{769a2846-b5a7-4914-86ba-af0f7894ff3b}</x14:id>
        </ext>
      </extLst>
    </cfRule>
  </conditionalFormatting>
  <conditionalFormatting sqref="P20:P2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{6548e385-8cbe-408a-b3cf-219b6c6c3886}</x14:id>
        </ext>
      </extLst>
    </cfRule>
  </conditionalFormatting>
  <conditionalFormatting sqref="Q2:Q22">
    <cfRule type="cellIs" dxfId="38" priority="5" operator="equal">
      <formula>配置!$D$4</formula>
    </cfRule>
    <cfRule type="cellIs" dxfId="39" priority="6" operator="equal">
      <formula>配置!$D$3</formula>
    </cfRule>
    <cfRule type="cellIs" dxfId="37" priority="7" operator="equal">
      <formula>配置!$D$2</formula>
    </cfRule>
  </conditionalFormatting>
  <conditionalFormatting sqref="Q26:Q29">
    <cfRule type="cellIs" dxfId="37" priority="9" operator="equal">
      <formula>$S$26</formula>
    </cfRule>
  </conditionalFormatting>
  <conditionalFormatting sqref="O23:O24 Q1:R1 Q2 Q4:Q5 Q7:Q8 Q10:Q11 Q13:Q14 Q16:Q17 Q19:Q20 Q22">
    <cfRule type="cellIs" dxfId="37" priority="17" operator="equal">
      <formula>配置!$D$2</formula>
    </cfRule>
  </conditionalFormatting>
  <conditionalFormatting sqref="Q2 Q4:Q5 Q7:Q8 Q10:Q11 Q13:Q14 Q16:Q17 Q19:Q20 Q22">
    <cfRule type="cellIs" dxfId="38" priority="16" operator="equal">
      <formula>配置!$D$4</formula>
    </cfRule>
  </conditionalFormatting>
  <dataValidations count="1">
    <dataValidation type="list" allowBlank="1" showInputMessage="1" showErrorMessage="1" sqref="Q2:Q22">
      <formula1>配置!$D$2:$D$4</formula1>
    </dataValidation>
  </dataValidations>
  <pageMargins left="0.7" right="0.7" top="0.75" bottom="0.75" header="0.3" footer="0.3"/>
  <pageSetup paperSize="9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b5c6b91-2de6-4d29-8d02-962f80235c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1fe2f3e4-f53a-4443-ba92-1c8c099a2a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8734fc42-4b54-4164-89a7-f6419b380c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2ffc5c6e-3d43-499c-b880-9c31510590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a411d570-2a79-4107-a76a-9c309d194e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f9a0a608-94a8-467c-a7ae-bdcf6594c5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db30c5bb-af8f-4fd7-b627-dedc185d55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9219ad12-7177-487a-800d-f30ea593f4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769a2846-b5a7-4914-86ba-af0f7894ff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6548e385-8cbe-408a-b3cf-219b6c6c388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1"/>
  <sheetViews>
    <sheetView topLeftCell="A22" workbookViewId="0">
      <selection activeCell="P35" sqref="P35"/>
    </sheetView>
  </sheetViews>
  <sheetFormatPr defaultColWidth="9" defaultRowHeight="13.5"/>
  <sheetData>
    <row r="1" s="1" customFormat="1" ht="27.75" spans="1:24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22</v>
      </c>
      <c r="X1" s="22" t="s">
        <v>23</v>
      </c>
    </row>
    <row r="2" s="354" customFormat="1" ht="14.25" customHeight="1" spans="1:24">
      <c r="A2" s="375">
        <v>5008</v>
      </c>
      <c r="B2" s="371">
        <f>VLOOKUP(表1_86121822242642[[#This Row],[区服]],$O$26:$P$33,2,FALSE)</f>
        <v>46</v>
      </c>
      <c r="C2" s="372" t="s">
        <v>83</v>
      </c>
      <c r="D2" s="373" t="str">
        <f>表1_86121822242642[[#This Row],[目标国家]]</f>
        <v>魏</v>
      </c>
      <c r="E2" s="374">
        <f>(VLOOKUP(表1_86121822242642[[#This Row],[目标区服]],$Q$26:$R$29,2,FALSE)-表1_86121822242642[[#This Row],[开服天数]])*配置!$B$1</f>
        <v>1000</v>
      </c>
      <c r="F2" s="374">
        <f>表1_86121822242642[[#This Row],[补偿Coin]]*(表1_86121822242642[[#This Row],[活跃高战玩家数]]+表1_86121822242642[[#This Row],[活跃中坚玩家数]])</f>
        <v>35000</v>
      </c>
      <c r="G2" s="374">
        <f>(VLOOKUP(表1_86121822242642[[#This Row],[目标区服]],$Q$26:$R$29,2,FALSE)-表1_86121822242642[[#This Row],[开服天数]])*配置!$B$2</f>
        <v>10</v>
      </c>
      <c r="H2" s="376" t="s">
        <v>25</v>
      </c>
      <c r="I2" s="376">
        <f>IF(表1_86121822242642[[#This Row],[原国家]]="魏",0,IF(表1_86121822242642[[#This Row],[原国家]]="蜀",1,2))</f>
        <v>0</v>
      </c>
      <c r="J2" s="380">
        <v>5</v>
      </c>
      <c r="K2" s="380">
        <v>138</v>
      </c>
      <c r="L2" s="380">
        <v>6</v>
      </c>
      <c r="M2" s="380">
        <v>29</v>
      </c>
      <c r="N2" s="380">
        <v>140729</v>
      </c>
      <c r="O2" s="380">
        <v>2711976</v>
      </c>
      <c r="P2" s="381">
        <v>30941676</v>
      </c>
      <c r="Q2" s="31" t="s">
        <v>25</v>
      </c>
      <c r="R2" s="376">
        <f>IF(表1_86121822242642[[#This Row],[目标国家]]="魏",0,IF(表1_86121822242642[[#This Row],[目标国家]]="蜀",1,2))</f>
        <v>0</v>
      </c>
      <c r="S2" s="380">
        <v>84032</v>
      </c>
      <c r="T2" s="380">
        <v>0</v>
      </c>
      <c r="U2" s="380">
        <v>471598</v>
      </c>
      <c r="V2" s="380">
        <v>11146</v>
      </c>
      <c r="W2" s="387" t="str">
        <f>"{"&amp;"'coin':"&amp;表1_86121822242642[[#This Row],[补偿Coin]]&amp;",'"&amp;配置!$A$2&amp;"':"&amp;表1_86121822242642[[#This Row],[补偿辎重]]&amp;"},"</f>
        <v>{'coin':1000,'item036':10},</v>
      </c>
      <c r="X2" s="388" t="str">
        <f>"      '"&amp;表1_86121822242642[[#This Row],[区服]]&amp;"':{"</f>
        <v>      '5008':{</v>
      </c>
    </row>
    <row r="3" s="354" customFormat="1" ht="14.25" customHeight="1" spans="1:24">
      <c r="A3" s="375">
        <v>5008</v>
      </c>
      <c r="B3" s="371">
        <f>VLOOKUP(表1_86121822242642[[#This Row],[区服]],$O$26:$P$33,2,FALSE)</f>
        <v>46</v>
      </c>
      <c r="C3" s="372" t="s">
        <v>83</v>
      </c>
      <c r="D3" s="376" t="str">
        <f>表1_86121822242642[[#This Row],[目标国家]]</f>
        <v>吴</v>
      </c>
      <c r="E3" s="380">
        <f>(VLOOKUP(表1_86121822242642[[#This Row],[目标区服]],$Q$26:$R$29,2,FALSE)-表1_86121822242642[[#This Row],[开服天数]])*配置!$B$1</f>
        <v>1000</v>
      </c>
      <c r="F3" s="380">
        <f>表1_86121822242642[[#This Row],[补偿Coin]]*(表1_86121822242642[[#This Row],[活跃高战玩家数]]+表1_86121822242642[[#This Row],[活跃中坚玩家数]])</f>
        <v>21000</v>
      </c>
      <c r="G3" s="380">
        <f>(VLOOKUP(表1_86121822242642[[#This Row],[目标区服]],$Q$26:$R$29,2,FALSE)-表1_86121822242642[[#This Row],[开服天数]])*配置!$B$2</f>
        <v>10</v>
      </c>
      <c r="H3" s="376" t="s">
        <v>26</v>
      </c>
      <c r="I3" s="376">
        <f>IF(表1_86121822242642[[#This Row],[原国家]]="魏",0,IF(表1_86121822242642[[#This Row],[原国家]]="蜀",1,2))</f>
        <v>1</v>
      </c>
      <c r="J3" s="380">
        <v>3</v>
      </c>
      <c r="K3" s="380">
        <v>198</v>
      </c>
      <c r="L3" s="380">
        <v>3</v>
      </c>
      <c r="M3" s="380">
        <v>18</v>
      </c>
      <c r="N3" s="380">
        <v>80245</v>
      </c>
      <c r="O3" s="380">
        <v>2577319</v>
      </c>
      <c r="P3" s="381">
        <v>19591383</v>
      </c>
      <c r="Q3" s="31" t="s">
        <v>27</v>
      </c>
      <c r="R3" s="376">
        <f>IF(表1_86121822242642[[#This Row],[目标国家]]="魏",0,IF(表1_86121822242642[[#This Row],[目标国家]]="蜀",1,2))</f>
        <v>2</v>
      </c>
      <c r="S3" s="380">
        <v>141648</v>
      </c>
      <c r="T3" s="380">
        <v>0</v>
      </c>
      <c r="U3" s="380">
        <v>815090</v>
      </c>
      <c r="V3" s="380">
        <v>11874</v>
      </c>
      <c r="W3" s="387" t="str">
        <f>"{"&amp;"'coin':"&amp;表1_86121822242642[[#This Row],[补偿Coin]]&amp;",'"&amp;配置!$A$2&amp;"':"&amp;表1_86121822242642[[#This Row],[补偿辎重]]&amp;"},"</f>
        <v>{'coin':1000,'item036':10},</v>
      </c>
      <c r="X3" s="388" t="str">
        <f>"            'to_zone':'"&amp;表1_86121822242642[[#This Row],[目标区服]]&amp;"',
            'reward':"&amp;表1_86121822242642[[#This Row],[辅助导出]]&amp;"
            'country':["&amp;R2&amp;","&amp;R3&amp;","&amp;R4&amp;"],"</f>
        <v>            'to_zone':'h1_504',
            'reward':{'coin':1000,'item036':10},
            'country':[0,2,1],</v>
      </c>
    </row>
    <row r="4" s="354" customFormat="1" ht="14.25" customHeight="1" spans="1:24">
      <c r="A4" s="375">
        <v>5008</v>
      </c>
      <c r="B4" s="371">
        <f>VLOOKUP(表1_86121822242642[[#This Row],[区服]],$O$26:$P$33,2,FALSE)</f>
        <v>46</v>
      </c>
      <c r="C4" s="372" t="s">
        <v>83</v>
      </c>
      <c r="D4" s="376" t="str">
        <f>表1_86121822242642[[#This Row],[目标国家]]</f>
        <v>蜀</v>
      </c>
      <c r="E4" s="380">
        <f>(VLOOKUP(表1_86121822242642[[#This Row],[目标区服]],$Q$26:$R$29,2,FALSE)-表1_86121822242642[[#This Row],[开服天数]])*配置!$B$1</f>
        <v>1000</v>
      </c>
      <c r="F4" s="380">
        <f>表1_86121822242642[[#This Row],[补偿Coin]]*(表1_86121822242642[[#This Row],[活跃高战玩家数]]+表1_86121822242642[[#This Row],[活跃中坚玩家数]])</f>
        <v>19000</v>
      </c>
      <c r="G4" s="380">
        <f>(VLOOKUP(表1_86121822242642[[#This Row],[目标区服]],$Q$26:$R$29,2,FALSE)-表1_86121822242642[[#This Row],[开服天数]])*配置!$B$2</f>
        <v>10</v>
      </c>
      <c r="H4" s="376" t="s">
        <v>27</v>
      </c>
      <c r="I4" s="376">
        <f>IF(表1_86121822242642[[#This Row],[原国家]]="魏",0,IF(表1_86121822242642[[#This Row],[原国家]]="蜀",1,2))</f>
        <v>2</v>
      </c>
      <c r="J4" s="380">
        <v>1</v>
      </c>
      <c r="K4" s="380">
        <v>59</v>
      </c>
      <c r="L4" s="380">
        <v>0</v>
      </c>
      <c r="M4" s="380">
        <v>19</v>
      </c>
      <c r="N4" s="380">
        <v>55268</v>
      </c>
      <c r="O4" s="380">
        <v>1321577</v>
      </c>
      <c r="P4" s="381">
        <v>13616787</v>
      </c>
      <c r="Q4" s="31" t="s">
        <v>26</v>
      </c>
      <c r="R4" s="376">
        <f>IF(表1_86121822242642[[#This Row],[目标国家]]="魏",0,IF(表1_86121822242642[[#This Row],[目标国家]]="蜀",1,2))</f>
        <v>1</v>
      </c>
      <c r="S4" s="380">
        <v>9590</v>
      </c>
      <c r="T4" s="380">
        <v>0</v>
      </c>
      <c r="U4" s="380">
        <v>70029</v>
      </c>
      <c r="V4" s="380">
        <v>3972</v>
      </c>
      <c r="W4" s="387" t="str">
        <f>"{"&amp;"'coin':"&amp;表1_86121822242642[[#This Row],[补偿Coin]]&amp;",'"&amp;配置!$A$2&amp;"':"&amp;表1_86121822242642[[#This Row],[补偿辎重]]&amp;"},"</f>
        <v>{'coin':1000,'item036':10},</v>
      </c>
      <c r="X4" s="388" t="str">
        <f>"      },"</f>
        <v>      },</v>
      </c>
    </row>
    <row r="5" s="354" customFormat="1" ht="14.25" customHeight="1" spans="1:24">
      <c r="A5" s="375">
        <v>5009</v>
      </c>
      <c r="B5" s="371">
        <f>VLOOKUP(表1_86121822242642[[#This Row],[区服]],$O$26:$P$33,2,FALSE)</f>
        <v>45</v>
      </c>
      <c r="C5" s="372" t="s">
        <v>83</v>
      </c>
      <c r="D5" s="376" t="str">
        <f>表1_86121822242642[[#This Row],[目标国家]]</f>
        <v>魏</v>
      </c>
      <c r="E5" s="380">
        <f>(VLOOKUP(表1_86121822242642[[#This Row],[目标区服]],$Q$26:$R$29,2,FALSE)-表1_86121822242642[[#This Row],[开服天数]])*配置!$B$1</f>
        <v>1500</v>
      </c>
      <c r="F5" s="380">
        <f>表1_86121822242642[[#This Row],[补偿Coin]]*(表1_86121822242642[[#This Row],[活跃高战玩家数]]+表1_86121822242642[[#This Row],[活跃中坚玩家数]])</f>
        <v>37500</v>
      </c>
      <c r="G5" s="380">
        <f>(VLOOKUP(表1_86121822242642[[#This Row],[目标区服]],$Q$26:$R$29,2,FALSE)-表1_86121822242642[[#This Row],[开服天数]])*配置!$B$2</f>
        <v>15</v>
      </c>
      <c r="H5" s="376" t="s">
        <v>25</v>
      </c>
      <c r="I5" s="376">
        <f>IF(表1_86121822242642[[#This Row],[原国家]]="魏",0,IF(表1_86121822242642[[#This Row],[原国家]]="蜀",1,2))</f>
        <v>0</v>
      </c>
      <c r="J5" s="380">
        <v>3</v>
      </c>
      <c r="K5" s="380">
        <v>126</v>
      </c>
      <c r="L5" s="380">
        <v>3</v>
      </c>
      <c r="M5" s="380">
        <v>22</v>
      </c>
      <c r="N5" s="380">
        <v>90203</v>
      </c>
      <c r="O5" s="380">
        <v>2265222</v>
      </c>
      <c r="P5" s="381">
        <v>17793767</v>
      </c>
      <c r="Q5" s="31" t="s">
        <v>25</v>
      </c>
      <c r="R5" s="376">
        <f>IF(表1_86121822242642[[#This Row],[目标国家]]="魏",0,IF(表1_86121822242642[[#This Row],[目标国家]]="蜀",1,2))</f>
        <v>0</v>
      </c>
      <c r="S5" s="380">
        <v>56708</v>
      </c>
      <c r="T5" s="380">
        <v>0</v>
      </c>
      <c r="U5" s="380">
        <v>417815</v>
      </c>
      <c r="V5" s="380">
        <v>7965</v>
      </c>
      <c r="W5" s="387" t="str">
        <f>"{"&amp;"'coin':"&amp;表1_86121822242642[[#This Row],[补偿Coin]]&amp;",'"&amp;配置!$A$2&amp;"':"&amp;表1_86121822242642[[#This Row],[补偿辎重]]&amp;"},"</f>
        <v>{'coin':1500,'item036':15},</v>
      </c>
      <c r="X5" s="388" t="str">
        <f>"      '"&amp;表1_86121822242642[[#This Row],[区服]]&amp;"':{"</f>
        <v>      '5009':{</v>
      </c>
    </row>
    <row r="6" s="354" customFormat="1" ht="14.25" customHeight="1" spans="1:24">
      <c r="A6" s="375">
        <v>5009</v>
      </c>
      <c r="B6" s="371">
        <f>VLOOKUP(表1_86121822242642[[#This Row],[区服]],$O$26:$P$33,2,FALSE)</f>
        <v>45</v>
      </c>
      <c r="C6" s="372" t="s">
        <v>83</v>
      </c>
      <c r="D6" s="376" t="str">
        <f>表1_86121822242642[[#This Row],[目标国家]]</f>
        <v>蜀</v>
      </c>
      <c r="E6" s="380">
        <f>(VLOOKUP(表1_86121822242642[[#This Row],[目标区服]],$Q$26:$R$29,2,FALSE)-表1_86121822242642[[#This Row],[开服天数]])*配置!$B$1</f>
        <v>1500</v>
      </c>
      <c r="F6" s="380">
        <f>表1_86121822242642[[#This Row],[补偿Coin]]*(表1_86121822242642[[#This Row],[活跃高战玩家数]]+表1_86121822242642[[#This Row],[活跃中坚玩家数]])</f>
        <v>43500</v>
      </c>
      <c r="G6" s="380">
        <f>(VLOOKUP(表1_86121822242642[[#This Row],[目标区服]],$Q$26:$R$29,2,FALSE)-表1_86121822242642[[#This Row],[开服天数]])*配置!$B$2</f>
        <v>15</v>
      </c>
      <c r="H6" s="376" t="s">
        <v>26</v>
      </c>
      <c r="I6" s="376">
        <f>IF(表1_86121822242642[[#This Row],[原国家]]="魏",0,IF(表1_86121822242642[[#This Row],[原国家]]="蜀",1,2))</f>
        <v>1</v>
      </c>
      <c r="J6" s="380">
        <v>4</v>
      </c>
      <c r="K6" s="380">
        <v>192</v>
      </c>
      <c r="L6" s="380">
        <v>6</v>
      </c>
      <c r="M6" s="380">
        <v>23</v>
      </c>
      <c r="N6" s="380">
        <v>140661</v>
      </c>
      <c r="O6" s="380">
        <v>2720059</v>
      </c>
      <c r="P6" s="381">
        <v>25726834</v>
      </c>
      <c r="Q6" s="31" t="s">
        <v>26</v>
      </c>
      <c r="R6" s="376">
        <f>IF(表1_86121822242642[[#This Row],[目标国家]]="魏",0,IF(表1_86121822242642[[#This Row],[目标国家]]="蜀",1,2))</f>
        <v>1</v>
      </c>
      <c r="S6" s="380">
        <v>72930</v>
      </c>
      <c r="T6" s="380">
        <v>0</v>
      </c>
      <c r="U6" s="380">
        <v>387460</v>
      </c>
      <c r="V6" s="380">
        <v>10697</v>
      </c>
      <c r="W6" s="387" t="str">
        <f>"{"&amp;"'coin':"&amp;表1_86121822242642[[#This Row],[补偿Coin]]&amp;",'"&amp;配置!$A$2&amp;"':"&amp;表1_86121822242642[[#This Row],[补偿辎重]]&amp;"},"</f>
        <v>{'coin':1500,'item036':15},</v>
      </c>
      <c r="X6" s="388" t="str">
        <f>"            'to_zone':'"&amp;表1_86121822242642[[#This Row],[目标区服]]&amp;"',
            'reward':"&amp;表1_86121822242642[[#This Row],[辅助导出]]&amp;"
            'country':["&amp;R5&amp;","&amp;R6&amp;","&amp;R7&amp;"],"</f>
        <v>            'to_zone':'h1_504',
            'reward':{'coin':1500,'item036':15},
            'country':[0,1,2],</v>
      </c>
    </row>
    <row r="7" s="354" customFormat="1" ht="14.25" customHeight="1" spans="1:24">
      <c r="A7" s="375">
        <v>5009</v>
      </c>
      <c r="B7" s="371">
        <f>VLOOKUP(表1_86121822242642[[#This Row],[区服]],$O$26:$P$33,2,FALSE)</f>
        <v>45</v>
      </c>
      <c r="C7" s="372" t="s">
        <v>83</v>
      </c>
      <c r="D7" s="376" t="str">
        <f>表1_86121822242642[[#This Row],[目标国家]]</f>
        <v>吴</v>
      </c>
      <c r="E7" s="380">
        <f>(VLOOKUP(表1_86121822242642[[#This Row],[目标区服]],$Q$26:$R$29,2,FALSE)-表1_86121822242642[[#This Row],[开服天数]])*配置!$B$1</f>
        <v>1500</v>
      </c>
      <c r="F7" s="380">
        <f>表1_86121822242642[[#This Row],[补偿Coin]]*(表1_86121822242642[[#This Row],[活跃高战玩家数]]+表1_86121822242642[[#This Row],[活跃中坚玩家数]])</f>
        <v>30000</v>
      </c>
      <c r="G7" s="380">
        <f>(VLOOKUP(表1_86121822242642[[#This Row],[目标区服]],$Q$26:$R$29,2,FALSE)-表1_86121822242642[[#This Row],[开服天数]])*配置!$B$2</f>
        <v>15</v>
      </c>
      <c r="H7" s="376" t="s">
        <v>27</v>
      </c>
      <c r="I7" s="376">
        <f>IF(表1_86121822242642[[#This Row],[原国家]]="魏",0,IF(表1_86121822242642[[#This Row],[原国家]]="蜀",1,2))</f>
        <v>2</v>
      </c>
      <c r="J7" s="380">
        <v>2</v>
      </c>
      <c r="K7" s="380">
        <v>77</v>
      </c>
      <c r="L7" s="380">
        <v>1</v>
      </c>
      <c r="M7" s="380">
        <v>19</v>
      </c>
      <c r="N7" s="380">
        <v>64457</v>
      </c>
      <c r="O7" s="380">
        <v>2336331</v>
      </c>
      <c r="P7" s="381">
        <v>13434601</v>
      </c>
      <c r="Q7" s="31" t="s">
        <v>27</v>
      </c>
      <c r="R7" s="376">
        <f>IF(表1_86121822242642[[#This Row],[目标国家]]="魏",0,IF(表1_86121822242642[[#This Row],[目标国家]]="蜀",1,2))</f>
        <v>2</v>
      </c>
      <c r="S7" s="380">
        <v>36540</v>
      </c>
      <c r="T7" s="380">
        <v>0</v>
      </c>
      <c r="U7" s="380">
        <v>179346</v>
      </c>
      <c r="V7" s="380">
        <v>6157</v>
      </c>
      <c r="W7" s="387" t="str">
        <f>"{"&amp;"'coin':"&amp;表1_86121822242642[[#This Row],[补偿Coin]]&amp;",'"&amp;配置!$A$2&amp;"':"&amp;表1_86121822242642[[#This Row],[补偿辎重]]&amp;"},"</f>
        <v>{'coin':1500,'item036':15},</v>
      </c>
      <c r="X7" s="388" t="str">
        <f t="shared" ref="X7" si="0">"      },"</f>
        <v>      },</v>
      </c>
    </row>
    <row r="8" s="354" customFormat="1" ht="14.25" customHeight="1" spans="1:24">
      <c r="A8" s="259">
        <v>5010</v>
      </c>
      <c r="B8" s="210">
        <f>VLOOKUP(表1_86121822242642[[#This Row],[区服]],$O$26:$P$33,2,FALSE)</f>
        <v>44</v>
      </c>
      <c r="C8" s="296" t="s">
        <v>84</v>
      </c>
      <c r="D8" s="212" t="str">
        <f>表1_86121822242642[[#This Row],[目标国家]]</f>
        <v>蜀</v>
      </c>
      <c r="E8" s="213">
        <f>(VLOOKUP(表1_86121822242642[[#This Row],[目标区服]],$Q$26:$R$29,2,FALSE)-表1_86121822242642[[#This Row],[开服天数]])*配置!$B$1</f>
        <v>1000</v>
      </c>
      <c r="F8" s="213">
        <f>表1_86121822242642[[#This Row],[补偿Coin]]*(表1_86121822242642[[#This Row],[活跃高战玩家数]]+表1_86121822242642[[#This Row],[活跃中坚玩家数]])</f>
        <v>14000</v>
      </c>
      <c r="G8" s="260">
        <f>(VLOOKUP(表1_86121822242642[[#This Row],[目标区服]],$Q$26:$R$29,2,FALSE)-表1_86121822242642[[#This Row],[开服天数]])*配置!$B$2</f>
        <v>10</v>
      </c>
      <c r="H8" s="212" t="s">
        <v>25</v>
      </c>
      <c r="I8" s="268">
        <f>IF(表1_86121822242642[[#This Row],[原国家]]="魏",0,IF(表1_86121822242642[[#This Row],[原国家]]="蜀",1,2))</f>
        <v>0</v>
      </c>
      <c r="J8" s="213">
        <v>1</v>
      </c>
      <c r="K8" s="213">
        <v>57</v>
      </c>
      <c r="L8" s="213">
        <v>1</v>
      </c>
      <c r="M8" s="213">
        <v>13</v>
      </c>
      <c r="N8" s="213">
        <v>48928</v>
      </c>
      <c r="O8" s="419">
        <v>1459646</v>
      </c>
      <c r="P8" s="420">
        <v>8056124</v>
      </c>
      <c r="Q8" s="31" t="s">
        <v>26</v>
      </c>
      <c r="R8" s="212">
        <f>IF(表1_86121822242642[[#This Row],[目标国家]]="魏",0,IF(表1_86121822242642[[#This Row],[目标国家]]="蜀",1,2))</f>
        <v>1</v>
      </c>
      <c r="S8" s="213">
        <v>12622</v>
      </c>
      <c r="T8" s="213">
        <v>0</v>
      </c>
      <c r="U8" s="213">
        <v>168601</v>
      </c>
      <c r="V8" s="213">
        <v>3642</v>
      </c>
      <c r="W8" s="278" t="str">
        <f>"{"&amp;"'coin':"&amp;表1_86121822242642[[#This Row],[补偿Coin]]&amp;",'"&amp;配置!$A$2&amp;"':"&amp;表1_86121822242642[[#This Row],[补偿辎重]]&amp;"},"</f>
        <v>{'coin':1000,'item036':10},</v>
      </c>
      <c r="X8" s="278" t="str">
        <f>"      '"&amp;表1_86121822242642[[#This Row],[区服]]&amp;"':{"</f>
        <v>      '5010':{</v>
      </c>
    </row>
    <row r="9" s="354" customFormat="1" ht="14.25" customHeight="1" spans="1:24">
      <c r="A9" s="259">
        <v>5010</v>
      </c>
      <c r="B9" s="210">
        <f>VLOOKUP(表1_86121822242642[[#This Row],[区服]],$O$26:$P$33,2,FALSE)</f>
        <v>44</v>
      </c>
      <c r="C9" s="296" t="s">
        <v>84</v>
      </c>
      <c r="D9" s="212" t="str">
        <f>表1_86121822242642[[#This Row],[目标国家]]</f>
        <v>蜀</v>
      </c>
      <c r="E9" s="213">
        <f>(VLOOKUP(表1_86121822242642[[#This Row],[目标区服]],$Q$26:$R$29,2,FALSE)-表1_86121822242642[[#This Row],[开服天数]])*配置!$B$1</f>
        <v>1000</v>
      </c>
      <c r="F9" s="213">
        <f>表1_86121822242642[[#This Row],[补偿Coin]]*(表1_86121822242642[[#This Row],[活跃高战玩家数]]+表1_86121822242642[[#This Row],[活跃中坚玩家数]])</f>
        <v>34000</v>
      </c>
      <c r="G9" s="260">
        <f>(VLOOKUP(表1_86121822242642[[#This Row],[目标区服]],$Q$26:$R$29,2,FALSE)-表1_86121822242642[[#This Row],[开服天数]])*配置!$B$2</f>
        <v>10</v>
      </c>
      <c r="H9" s="212" t="s">
        <v>26</v>
      </c>
      <c r="I9" s="268">
        <f>IF(表1_86121822242642[[#This Row],[原国家]]="魏",0,IF(表1_86121822242642[[#This Row],[原国家]]="蜀",1,2))</f>
        <v>1</v>
      </c>
      <c r="J9" s="213">
        <v>6</v>
      </c>
      <c r="K9" s="213">
        <v>259</v>
      </c>
      <c r="L9" s="213">
        <v>6</v>
      </c>
      <c r="M9" s="213">
        <v>28</v>
      </c>
      <c r="N9" s="213">
        <v>174234</v>
      </c>
      <c r="O9" s="419">
        <v>2340449</v>
      </c>
      <c r="P9" s="420">
        <v>26765843</v>
      </c>
      <c r="Q9" s="31" t="s">
        <v>26</v>
      </c>
      <c r="R9" s="212">
        <f>IF(表1_86121822242642[[#This Row],[目标国家]]="魏",0,IF(表1_86121822242642[[#This Row],[目标国家]]="蜀",1,2))</f>
        <v>1</v>
      </c>
      <c r="S9" s="213">
        <v>70340</v>
      </c>
      <c r="T9" s="213">
        <v>0</v>
      </c>
      <c r="U9" s="213">
        <v>580388</v>
      </c>
      <c r="V9" s="213">
        <v>11478</v>
      </c>
      <c r="W9" s="278" t="str">
        <f>"{"&amp;"'coin':"&amp;表1_86121822242642[[#This Row],[补偿Coin]]&amp;",'"&amp;配置!$A$2&amp;"':"&amp;表1_86121822242642[[#This Row],[补偿辎重]]&amp;"},"</f>
        <v>{'coin':1000,'item036':10},</v>
      </c>
      <c r="X9" s="278" t="str">
        <f>"            'to_zone':'"&amp;表1_86121822242642[[#This Row],[目标区服]]&amp;"',
            'reward':"&amp;表1_86121822242642[[#This Row],[辅助导出]]&amp;"
            'country':["&amp;R8&amp;","&amp;R9&amp;","&amp;R10&amp;"],"</f>
        <v>            'to_zone':'h1_505',
            'reward':{'coin':1000,'item036':10},
            'country':[1,1,2],</v>
      </c>
    </row>
    <row r="10" s="354" customFormat="1" ht="14.25" customHeight="1" spans="1:24">
      <c r="A10" s="259">
        <v>5010</v>
      </c>
      <c r="B10" s="210">
        <f>VLOOKUP(表1_86121822242642[[#This Row],[区服]],$O$26:$P$33,2,FALSE)</f>
        <v>44</v>
      </c>
      <c r="C10" s="296" t="s">
        <v>84</v>
      </c>
      <c r="D10" s="212" t="str">
        <f>表1_86121822242642[[#This Row],[目标国家]]</f>
        <v>吴</v>
      </c>
      <c r="E10" s="213">
        <f>(VLOOKUP(表1_86121822242642[[#This Row],[目标区服]],$Q$26:$R$29,2,FALSE)-表1_86121822242642[[#This Row],[开服天数]])*配置!$B$1</f>
        <v>1000</v>
      </c>
      <c r="F10" s="213">
        <f>表1_86121822242642[[#This Row],[补偿Coin]]*(表1_86121822242642[[#This Row],[活跃高战玩家数]]+表1_86121822242642[[#This Row],[活跃中坚玩家数]])</f>
        <v>15000</v>
      </c>
      <c r="G10" s="260">
        <f>(VLOOKUP(表1_86121822242642[[#This Row],[目标区服]],$Q$26:$R$29,2,FALSE)-表1_86121822242642[[#This Row],[开服天数]])*配置!$B$2</f>
        <v>10</v>
      </c>
      <c r="H10" s="212" t="s">
        <v>27</v>
      </c>
      <c r="I10" s="268">
        <f>IF(表1_86121822242642[[#This Row],[原国家]]="魏",0,IF(表1_86121822242642[[#This Row],[原国家]]="蜀",1,2))</f>
        <v>2</v>
      </c>
      <c r="J10" s="213">
        <v>2</v>
      </c>
      <c r="K10" s="213">
        <v>79</v>
      </c>
      <c r="L10" s="213">
        <v>2</v>
      </c>
      <c r="M10" s="213">
        <v>13</v>
      </c>
      <c r="N10" s="213">
        <v>51634</v>
      </c>
      <c r="O10" s="419">
        <v>1457943</v>
      </c>
      <c r="P10" s="420">
        <v>8913963</v>
      </c>
      <c r="Q10" s="31" t="s">
        <v>27</v>
      </c>
      <c r="R10" s="212">
        <f>IF(表1_86121822242642[[#This Row],[目标国家]]="魏",0,IF(表1_86121822242642[[#This Row],[目标国家]]="蜀",1,2))</f>
        <v>2</v>
      </c>
      <c r="S10" s="213">
        <v>14790</v>
      </c>
      <c r="T10" s="213">
        <v>0</v>
      </c>
      <c r="U10" s="213">
        <v>94805</v>
      </c>
      <c r="V10" s="213">
        <v>4088</v>
      </c>
      <c r="W10" s="278" t="str">
        <f>"{"&amp;"'coin':"&amp;表1_86121822242642[[#This Row],[补偿Coin]]&amp;",'"&amp;配置!$A$2&amp;"':"&amp;表1_86121822242642[[#This Row],[补偿辎重]]&amp;"},"</f>
        <v>{'coin':1000,'item036':10},</v>
      </c>
      <c r="X10" s="278" t="str">
        <f>"      },"</f>
        <v>      },</v>
      </c>
    </row>
    <row r="11" s="354" customFormat="1" ht="14.25" customHeight="1" spans="1:24">
      <c r="A11" s="259">
        <v>5011</v>
      </c>
      <c r="B11" s="210">
        <f>VLOOKUP(表1_86121822242642[[#This Row],[区服]],$O$26:$P$33,2,FALSE)</f>
        <v>43</v>
      </c>
      <c r="C11" s="296" t="s">
        <v>84</v>
      </c>
      <c r="D11" s="212" t="str">
        <f>表1_86121822242642[[#This Row],[目标国家]]</f>
        <v>魏</v>
      </c>
      <c r="E11" s="213">
        <f>(VLOOKUP(表1_86121822242642[[#This Row],[目标区服]],$Q$26:$R$29,2,FALSE)-表1_86121822242642[[#This Row],[开服天数]])*配置!$B$1</f>
        <v>1500</v>
      </c>
      <c r="F11" s="213">
        <f>表1_86121822242642[[#This Row],[补偿Coin]]*(表1_86121822242642[[#This Row],[活跃高战玩家数]]+表1_86121822242642[[#This Row],[活跃中坚玩家数]])</f>
        <v>36000</v>
      </c>
      <c r="G11" s="260">
        <f>(VLOOKUP(表1_86121822242642[[#This Row],[目标区服]],$Q$26:$R$29,2,FALSE)-表1_86121822242642[[#This Row],[开服天数]])*配置!$B$2</f>
        <v>15</v>
      </c>
      <c r="H11" s="212" t="s">
        <v>25</v>
      </c>
      <c r="I11" s="268">
        <f>IF(表1_86121822242642[[#This Row],[原国家]]="魏",0,IF(表1_86121822242642[[#This Row],[原国家]]="蜀",1,2))</f>
        <v>0</v>
      </c>
      <c r="J11" s="213">
        <v>2</v>
      </c>
      <c r="K11" s="213">
        <v>92</v>
      </c>
      <c r="L11" s="213">
        <v>2</v>
      </c>
      <c r="M11" s="213">
        <v>22</v>
      </c>
      <c r="N11" s="213">
        <v>79222</v>
      </c>
      <c r="O11" s="419">
        <v>2197896</v>
      </c>
      <c r="P11" s="420">
        <v>16367310</v>
      </c>
      <c r="Q11" s="31" t="s">
        <v>25</v>
      </c>
      <c r="R11" s="212">
        <f>IF(表1_86121822242642[[#This Row],[目标国家]]="魏",0,IF(表1_86121822242642[[#This Row],[目标国家]]="蜀",1,2))</f>
        <v>0</v>
      </c>
      <c r="S11" s="213">
        <v>63762</v>
      </c>
      <c r="T11" s="213">
        <v>0</v>
      </c>
      <c r="U11" s="213">
        <v>400054</v>
      </c>
      <c r="V11" s="213">
        <v>7463</v>
      </c>
      <c r="W11" s="278" t="str">
        <f>"{"&amp;"'coin':"&amp;表1_86121822242642[[#This Row],[补偿Coin]]&amp;",'"&amp;配置!$A$2&amp;"':"&amp;表1_86121822242642[[#This Row],[补偿辎重]]&amp;"},"</f>
        <v>{'coin':1500,'item036':15},</v>
      </c>
      <c r="X11" s="278" t="str">
        <f>"      '"&amp;表1_86121822242642[[#This Row],[区服]]&amp;"':{"</f>
        <v>      '5011':{</v>
      </c>
    </row>
    <row r="12" s="354" customFormat="1" ht="14.25" customHeight="1" spans="1:24">
      <c r="A12" s="259">
        <v>5011</v>
      </c>
      <c r="B12" s="210">
        <f>VLOOKUP(表1_86121822242642[[#This Row],[区服]],$O$26:$P$33,2,FALSE)</f>
        <v>43</v>
      </c>
      <c r="C12" s="296" t="s">
        <v>84</v>
      </c>
      <c r="D12" s="212" t="str">
        <f>表1_86121822242642[[#This Row],[目标国家]]</f>
        <v>吴</v>
      </c>
      <c r="E12" s="213">
        <f>(VLOOKUP(表1_86121822242642[[#This Row],[目标区服]],$Q$26:$R$29,2,FALSE)-表1_86121822242642[[#This Row],[开服天数]])*配置!$B$1</f>
        <v>1500</v>
      </c>
      <c r="F12" s="213">
        <f>表1_86121822242642[[#This Row],[补偿Coin]]*(表1_86121822242642[[#This Row],[活跃高战玩家数]]+表1_86121822242642[[#This Row],[活跃中坚玩家数]])</f>
        <v>54000</v>
      </c>
      <c r="G12" s="260">
        <f>(VLOOKUP(表1_86121822242642[[#This Row],[目标区服]],$Q$26:$R$29,2,FALSE)-表1_86121822242642[[#This Row],[开服天数]])*配置!$B$2</f>
        <v>15</v>
      </c>
      <c r="H12" s="212" t="s">
        <v>26</v>
      </c>
      <c r="I12" s="268">
        <f>IF(表1_86121822242642[[#This Row],[原国家]]="魏",0,IF(表1_86121822242642[[#This Row],[原国家]]="蜀",1,2))</f>
        <v>1</v>
      </c>
      <c r="J12" s="213">
        <v>7</v>
      </c>
      <c r="K12" s="213">
        <v>269</v>
      </c>
      <c r="L12" s="213">
        <v>7</v>
      </c>
      <c r="M12" s="213">
        <v>29</v>
      </c>
      <c r="N12" s="213">
        <v>175795</v>
      </c>
      <c r="O12" s="419">
        <v>2501655</v>
      </c>
      <c r="P12" s="420">
        <v>32288946</v>
      </c>
      <c r="Q12" s="31" t="s">
        <v>27</v>
      </c>
      <c r="R12" s="212">
        <f>IF(表1_86121822242642[[#This Row],[目标国家]]="魏",0,IF(表1_86121822242642[[#This Row],[目标国家]]="蜀",1,2))</f>
        <v>2</v>
      </c>
      <c r="S12" s="213">
        <v>76662</v>
      </c>
      <c r="T12" s="213">
        <v>28400</v>
      </c>
      <c r="U12" s="213">
        <v>767729</v>
      </c>
      <c r="V12" s="213">
        <v>12967</v>
      </c>
      <c r="W12" s="278" t="str">
        <f>"{"&amp;"'coin':"&amp;表1_86121822242642[[#This Row],[补偿Coin]]&amp;",'"&amp;配置!$A$2&amp;"':"&amp;表1_86121822242642[[#This Row],[补偿辎重]]&amp;"},"</f>
        <v>{'coin':1500,'item036':15},</v>
      </c>
      <c r="X12" s="278" t="str">
        <f>"            'to_zone':'"&amp;表1_86121822242642[[#This Row],[目标区服]]&amp;"',
            'reward':"&amp;表1_86121822242642[[#This Row],[辅助导出]]&amp;"
            'country':["&amp;R11&amp;","&amp;R12&amp;","&amp;R13&amp;"],"</f>
        <v>            'to_zone':'h1_505',
            'reward':{'coin':1500,'item036':15},
            'country':[0,2,0],</v>
      </c>
    </row>
    <row r="13" s="354" customFormat="1" ht="14.25" customHeight="1" spans="1:24">
      <c r="A13" s="259">
        <v>5011</v>
      </c>
      <c r="B13" s="210">
        <f>VLOOKUP(表1_86121822242642[[#This Row],[区服]],$O$26:$P$33,2,FALSE)</f>
        <v>43</v>
      </c>
      <c r="C13" s="296" t="s">
        <v>84</v>
      </c>
      <c r="D13" s="212" t="str">
        <f>表1_86121822242642[[#This Row],[目标国家]]</f>
        <v>魏</v>
      </c>
      <c r="E13" s="213">
        <f>(VLOOKUP(表1_86121822242642[[#This Row],[目标区服]],$Q$26:$R$29,2,FALSE)-表1_86121822242642[[#This Row],[开服天数]])*配置!$B$1</f>
        <v>1500</v>
      </c>
      <c r="F13" s="213">
        <f>表1_86121822242642[[#This Row],[补偿Coin]]*(表1_86121822242642[[#This Row],[活跃高战玩家数]]+表1_86121822242642[[#This Row],[活跃中坚玩家数]])</f>
        <v>25500</v>
      </c>
      <c r="G13" s="260">
        <f>(VLOOKUP(表1_86121822242642[[#This Row],[目标区服]],$Q$26:$R$29,2,FALSE)-表1_86121822242642[[#This Row],[开服天数]])*配置!$B$2</f>
        <v>15</v>
      </c>
      <c r="H13" s="212" t="s">
        <v>27</v>
      </c>
      <c r="I13" s="268">
        <f>IF(表1_86121822242642[[#This Row],[原国家]]="魏",0,IF(表1_86121822242642[[#This Row],[原国家]]="蜀",1,2))</f>
        <v>2</v>
      </c>
      <c r="J13" s="213">
        <v>0</v>
      </c>
      <c r="K13" s="213">
        <v>34</v>
      </c>
      <c r="L13" s="213">
        <v>1</v>
      </c>
      <c r="M13" s="213">
        <v>16</v>
      </c>
      <c r="N13" s="213">
        <v>46494</v>
      </c>
      <c r="O13" s="419">
        <v>1548239</v>
      </c>
      <c r="P13" s="420">
        <v>10139986</v>
      </c>
      <c r="Q13" s="31" t="s">
        <v>25</v>
      </c>
      <c r="R13" s="212">
        <f>IF(表1_86121822242642[[#This Row],[目标国家]]="魏",0,IF(表1_86121822242642[[#This Row],[目标国家]]="蜀",1,2))</f>
        <v>0</v>
      </c>
      <c r="S13" s="213">
        <v>37348</v>
      </c>
      <c r="T13" s="213">
        <v>0</v>
      </c>
      <c r="U13" s="213">
        <v>85788</v>
      </c>
      <c r="V13" s="213">
        <v>4298</v>
      </c>
      <c r="W13" s="278" t="str">
        <f>"{"&amp;"'coin':"&amp;表1_86121822242642[[#This Row],[补偿Coin]]&amp;",'"&amp;配置!$A$2&amp;"':"&amp;表1_86121822242642[[#This Row],[补偿辎重]]&amp;"},"</f>
        <v>{'coin':1500,'item036':15},</v>
      </c>
      <c r="X13" s="278" t="str">
        <f t="shared" ref="X13" si="1">"      },"</f>
        <v>      },</v>
      </c>
    </row>
    <row r="14" ht="14.25" customHeight="1" spans="1:24">
      <c r="A14" s="17"/>
      <c r="B14" s="17" t="e">
        <f>VLOOKUP(表1_86121822242642[[#This Row],[区服]],$O$26:$P$33,2,FALSE)</f>
        <v>#N/A</v>
      </c>
      <c r="C14" s="18"/>
      <c r="D14" s="19" t="str">
        <f>表1_86121822242642[[#This Row],[目标国家]]</f>
        <v>魏</v>
      </c>
      <c r="E14" s="20" t="e">
        <f>(VLOOKUP(表1_86121822242642[[#This Row],[目标区服]],$Q$26:$R$29,2,FALSE)-表1_86121822242642[[#This Row],[开服天数]])*配置!$B$1</f>
        <v>#N/A</v>
      </c>
      <c r="F14" s="20" t="e">
        <f>表1_86121822242642[[#This Row],[补偿Coin]]*(表1_86121822242642[[#This Row],[活跃高战玩家数]]+表1_86121822242642[[#This Row],[活跃中坚玩家数]])</f>
        <v>#N/A</v>
      </c>
      <c r="G14" s="20" t="e">
        <f>(VLOOKUP(表1_86121822242642[[#This Row],[目标区服]],$Q$26:$R$29,2,FALSE)-表1_86121822242642[[#This Row],[开服天数]])*配置!$B$2</f>
        <v>#N/A</v>
      </c>
      <c r="H14" s="19" t="s">
        <v>25</v>
      </c>
      <c r="I14" s="19">
        <f>IF(表1_86121822242642[[#This Row],[原国家]]="魏",0,IF(表1_86121822242642[[#This Row],[原国家]]="蜀",1,2))</f>
        <v>0</v>
      </c>
      <c r="J14" s="20"/>
      <c r="K14" s="20"/>
      <c r="L14" s="20"/>
      <c r="M14" s="20"/>
      <c r="N14" s="20"/>
      <c r="O14" s="20"/>
      <c r="P14" s="26"/>
      <c r="Q14" s="31" t="s">
        <v>25</v>
      </c>
      <c r="R14" s="19">
        <f>IF(表1_86121822242642[[#This Row],[目标国家]]="魏",0,IF(表1_86121822242642[[#This Row],[目标国家]]="蜀",1,2))</f>
        <v>0</v>
      </c>
      <c r="S14" s="20"/>
      <c r="T14" s="20"/>
      <c r="U14" s="20"/>
      <c r="V14" s="20"/>
      <c r="W14" s="33" t="e">
        <f>"{"&amp;"'coin':"&amp;表1_86121822242642[[#This Row],[补偿Coin]]&amp;",'"&amp;配置!$A$2&amp;"':"&amp;表1_86121822242642[[#This Row],[补偿辎重]]&amp;"},"</f>
        <v>#N/A</v>
      </c>
      <c r="X14" s="34" t="str">
        <f>"      '"&amp;表1_86121822242642[[#This Row],[区服]]&amp;"':{"</f>
        <v>      '':{</v>
      </c>
    </row>
    <row r="15" ht="14.25" customHeight="1" spans="1:24">
      <c r="A15" s="17"/>
      <c r="B15" s="17" t="e">
        <f>VLOOKUP(表1_86121822242642[[#This Row],[区服]],$O$26:$P$33,2,FALSE)</f>
        <v>#N/A</v>
      </c>
      <c r="C15" s="18"/>
      <c r="D15" s="19" t="str">
        <f>表1_86121822242642[[#This Row],[目标国家]]</f>
        <v>蜀</v>
      </c>
      <c r="E15" s="20" t="e">
        <f>(VLOOKUP(表1_86121822242642[[#This Row],[目标区服]],$Q$26:$R$29,2,FALSE)-表1_86121822242642[[#This Row],[开服天数]])*配置!$B$1</f>
        <v>#N/A</v>
      </c>
      <c r="F15" s="20" t="e">
        <f>表1_86121822242642[[#This Row],[补偿Coin]]*(表1_86121822242642[[#This Row],[活跃高战玩家数]]+表1_86121822242642[[#This Row],[活跃中坚玩家数]])</f>
        <v>#N/A</v>
      </c>
      <c r="G15" s="20" t="e">
        <f>(VLOOKUP(表1_86121822242642[[#This Row],[目标区服]],$Q$26:$R$29,2,FALSE)-表1_86121822242642[[#This Row],[开服天数]])*配置!$B$2</f>
        <v>#N/A</v>
      </c>
      <c r="H15" s="19" t="s">
        <v>26</v>
      </c>
      <c r="I15" s="19">
        <f>IF(表1_86121822242642[[#This Row],[原国家]]="魏",0,IF(表1_86121822242642[[#This Row],[原国家]]="蜀",1,2))</f>
        <v>1</v>
      </c>
      <c r="J15" s="20"/>
      <c r="K15" s="20"/>
      <c r="L15" s="20"/>
      <c r="M15" s="20"/>
      <c r="N15" s="20"/>
      <c r="O15" s="20"/>
      <c r="P15" s="26"/>
      <c r="Q15" s="31" t="s">
        <v>26</v>
      </c>
      <c r="R15" s="19">
        <f>IF(表1_86121822242642[[#This Row],[目标国家]]="魏",0,IF(表1_86121822242642[[#This Row],[目标国家]]="蜀",1,2))</f>
        <v>1</v>
      </c>
      <c r="S15" s="20"/>
      <c r="T15" s="20"/>
      <c r="U15" s="20"/>
      <c r="V15" s="20"/>
      <c r="W15" s="33" t="e">
        <f>"{"&amp;"'coin':"&amp;表1_86121822242642[[#This Row],[补偿Coin]]&amp;",'"&amp;配置!$A$2&amp;"':"&amp;表1_86121822242642[[#This Row],[补偿辎重]]&amp;"},"</f>
        <v>#N/A</v>
      </c>
      <c r="X15" s="34" t="e">
        <f>"            'to_zone':'"&amp;表1_86121822242642[[#This Row],[目标区服]]&amp;"',
            'reward':"&amp;表1_86121822242642[[#This Row],[辅助导出]]&amp;"
            'country':["&amp;R14&amp;","&amp;R15&amp;","&amp;R16&amp;"],"</f>
        <v>#N/A</v>
      </c>
    </row>
    <row r="16" ht="14.25" customHeight="1" spans="1:24">
      <c r="A16" s="17"/>
      <c r="B16" s="17" t="e">
        <f>VLOOKUP(表1_86121822242642[[#This Row],[区服]],$O$26:$P$33,2,FALSE)</f>
        <v>#N/A</v>
      </c>
      <c r="C16" s="18"/>
      <c r="D16" s="19" t="str">
        <f>表1_86121822242642[[#This Row],[目标国家]]</f>
        <v>吴</v>
      </c>
      <c r="E16" s="20" t="e">
        <f>(VLOOKUP(表1_86121822242642[[#This Row],[目标区服]],$Q$26:$R$29,2,FALSE)-表1_86121822242642[[#This Row],[开服天数]])*配置!$B$1</f>
        <v>#N/A</v>
      </c>
      <c r="F16" s="20" t="e">
        <f>表1_86121822242642[[#This Row],[补偿Coin]]*(表1_86121822242642[[#This Row],[活跃高战玩家数]]+表1_86121822242642[[#This Row],[活跃中坚玩家数]])</f>
        <v>#N/A</v>
      </c>
      <c r="G16" s="20" t="e">
        <f>(VLOOKUP(表1_86121822242642[[#This Row],[目标区服]],$Q$26:$R$29,2,FALSE)-表1_86121822242642[[#This Row],[开服天数]])*配置!$B$2</f>
        <v>#N/A</v>
      </c>
      <c r="H16" s="19" t="s">
        <v>27</v>
      </c>
      <c r="I16" s="19">
        <f>IF(表1_86121822242642[[#This Row],[原国家]]="魏",0,IF(表1_86121822242642[[#This Row],[原国家]]="蜀",1,2))</f>
        <v>2</v>
      </c>
      <c r="J16" s="20"/>
      <c r="K16" s="20"/>
      <c r="L16" s="20"/>
      <c r="M16" s="20"/>
      <c r="N16" s="20"/>
      <c r="O16" s="20"/>
      <c r="P16" s="26"/>
      <c r="Q16" s="31" t="s">
        <v>27</v>
      </c>
      <c r="R16" s="19">
        <f>IF(表1_86121822242642[[#This Row],[目标国家]]="魏",0,IF(表1_86121822242642[[#This Row],[目标国家]]="蜀",1,2))</f>
        <v>2</v>
      </c>
      <c r="S16" s="20"/>
      <c r="T16" s="20"/>
      <c r="U16" s="20"/>
      <c r="V16" s="20"/>
      <c r="W16" s="33" t="e">
        <f>"{"&amp;"'coin':"&amp;表1_86121822242642[[#This Row],[补偿Coin]]&amp;",'"&amp;配置!$A$2&amp;"':"&amp;表1_86121822242642[[#This Row],[补偿辎重]]&amp;"},"</f>
        <v>#N/A</v>
      </c>
      <c r="X16" s="34" t="str">
        <f t="shared" ref="X16" si="2">"      },"</f>
        <v>      },</v>
      </c>
    </row>
    <row r="17" ht="14.25" customHeight="1" spans="1:24">
      <c r="A17" s="17"/>
      <c r="B17" s="17" t="e">
        <f>VLOOKUP(表1_86121822242642[[#This Row],[区服]],$O$26:$P$33,2,FALSE)</f>
        <v>#N/A</v>
      </c>
      <c r="C17" s="18"/>
      <c r="D17" s="19" t="str">
        <f>表1_86121822242642[[#This Row],[目标国家]]</f>
        <v>魏</v>
      </c>
      <c r="E17" s="20" t="e">
        <f>(VLOOKUP(表1_86121822242642[[#This Row],[目标区服]],$Q$26:$R$29,2,FALSE)-表1_86121822242642[[#This Row],[开服天数]])*配置!$B$1</f>
        <v>#N/A</v>
      </c>
      <c r="F17" s="20" t="e">
        <f>表1_86121822242642[[#This Row],[补偿Coin]]*(表1_86121822242642[[#This Row],[活跃高战玩家数]]+表1_86121822242642[[#This Row],[活跃中坚玩家数]])</f>
        <v>#N/A</v>
      </c>
      <c r="G17" s="20" t="e">
        <f>(VLOOKUP(表1_86121822242642[[#This Row],[目标区服]],$Q$26:$R$29,2,FALSE)-表1_86121822242642[[#This Row],[开服天数]])*配置!$B$2</f>
        <v>#N/A</v>
      </c>
      <c r="H17" s="19" t="s">
        <v>25</v>
      </c>
      <c r="I17" s="19">
        <f>IF(表1_86121822242642[[#This Row],[原国家]]="魏",0,IF(表1_86121822242642[[#This Row],[原国家]]="蜀",1,2))</f>
        <v>0</v>
      </c>
      <c r="J17" s="20"/>
      <c r="K17" s="20"/>
      <c r="L17" s="20"/>
      <c r="M17" s="20"/>
      <c r="N17" s="20"/>
      <c r="O17" s="20"/>
      <c r="P17" s="26"/>
      <c r="Q17" s="31" t="s">
        <v>25</v>
      </c>
      <c r="R17" s="19">
        <f>IF(表1_86121822242642[[#This Row],[目标国家]]="魏",0,IF(表1_86121822242642[[#This Row],[目标国家]]="蜀",1,2))</f>
        <v>0</v>
      </c>
      <c r="S17" s="20"/>
      <c r="T17" s="20"/>
      <c r="U17" s="20"/>
      <c r="V17" s="20"/>
      <c r="W17" s="33" t="e">
        <f>"{"&amp;"'coin':"&amp;表1_86121822242642[[#This Row],[补偿Coin]]&amp;",'"&amp;配置!$A$2&amp;"':"&amp;表1_86121822242642[[#This Row],[补偿辎重]]&amp;"},"</f>
        <v>#N/A</v>
      </c>
      <c r="X17" s="34" t="str">
        <f>"      '"&amp;表1_86121822242642[[#This Row],[区服]]&amp;"':{"</f>
        <v>      '':{</v>
      </c>
    </row>
    <row r="18" ht="14.25" customHeight="1" spans="1:24">
      <c r="A18" s="17"/>
      <c r="B18" s="17" t="e">
        <f>VLOOKUP(表1_86121822242642[[#This Row],[区服]],$O$26:$P$33,2,FALSE)</f>
        <v>#N/A</v>
      </c>
      <c r="C18" s="18"/>
      <c r="D18" s="19" t="str">
        <f>表1_86121822242642[[#This Row],[目标国家]]</f>
        <v>蜀</v>
      </c>
      <c r="E18" s="20" t="e">
        <f>(VLOOKUP(表1_86121822242642[[#This Row],[目标区服]],$Q$26:$R$29,2,FALSE)-表1_86121822242642[[#This Row],[开服天数]])*配置!$B$1</f>
        <v>#N/A</v>
      </c>
      <c r="F18" s="20" t="e">
        <f>表1_86121822242642[[#This Row],[补偿Coin]]*(表1_86121822242642[[#This Row],[活跃高战玩家数]]+表1_86121822242642[[#This Row],[活跃中坚玩家数]])</f>
        <v>#N/A</v>
      </c>
      <c r="G18" s="20" t="e">
        <f>(VLOOKUP(表1_86121822242642[[#This Row],[目标区服]],$Q$26:$R$29,2,FALSE)-表1_86121822242642[[#This Row],[开服天数]])*配置!$B$2</f>
        <v>#N/A</v>
      </c>
      <c r="H18" s="19" t="s">
        <v>26</v>
      </c>
      <c r="I18" s="19">
        <f>IF(表1_86121822242642[[#This Row],[原国家]]="魏",0,IF(表1_86121822242642[[#This Row],[原国家]]="蜀",1,2))</f>
        <v>1</v>
      </c>
      <c r="J18" s="20"/>
      <c r="K18" s="20"/>
      <c r="L18" s="20"/>
      <c r="M18" s="20"/>
      <c r="N18" s="20"/>
      <c r="O18" s="20"/>
      <c r="P18" s="26"/>
      <c r="Q18" s="31" t="s">
        <v>26</v>
      </c>
      <c r="R18" s="19">
        <f>IF(表1_86121822242642[[#This Row],[目标国家]]="魏",0,IF(表1_86121822242642[[#This Row],[目标国家]]="蜀",1,2))</f>
        <v>1</v>
      </c>
      <c r="S18" s="20"/>
      <c r="T18" s="20"/>
      <c r="U18" s="20"/>
      <c r="V18" s="20"/>
      <c r="W18" s="33" t="e">
        <f>"{"&amp;"'coin':"&amp;表1_86121822242642[[#This Row],[补偿Coin]]&amp;",'"&amp;配置!$A$2&amp;"':"&amp;表1_86121822242642[[#This Row],[补偿辎重]]&amp;"},"</f>
        <v>#N/A</v>
      </c>
      <c r="X18" s="34" t="e">
        <f>"            'to_zone':'"&amp;表1_86121822242642[[#This Row],[目标区服]]&amp;"',
            'reward':"&amp;表1_86121822242642[[#This Row],[辅助导出]]&amp;"
            'country':["&amp;R17&amp;","&amp;R18&amp;","&amp;R19&amp;"],"</f>
        <v>#N/A</v>
      </c>
    </row>
    <row r="19" ht="14.25" customHeight="1" spans="1:24">
      <c r="A19" s="17"/>
      <c r="B19" s="17" t="e">
        <f>VLOOKUP(表1_86121822242642[[#This Row],[区服]],$O$26:$P$33,2,FALSE)</f>
        <v>#N/A</v>
      </c>
      <c r="C19" s="18"/>
      <c r="D19" s="19" t="str">
        <f>表1_86121822242642[[#This Row],[目标国家]]</f>
        <v>吴</v>
      </c>
      <c r="E19" s="20" t="e">
        <f>(VLOOKUP(表1_86121822242642[[#This Row],[目标区服]],$Q$26:$R$29,2,FALSE)-表1_86121822242642[[#This Row],[开服天数]])*配置!$B$1</f>
        <v>#N/A</v>
      </c>
      <c r="F19" s="20" t="e">
        <f>表1_86121822242642[[#This Row],[补偿Coin]]*(表1_86121822242642[[#This Row],[活跃高战玩家数]]+表1_86121822242642[[#This Row],[活跃中坚玩家数]])</f>
        <v>#N/A</v>
      </c>
      <c r="G19" s="20" t="e">
        <f>(VLOOKUP(表1_86121822242642[[#This Row],[目标区服]],$Q$26:$R$29,2,FALSE)-表1_86121822242642[[#This Row],[开服天数]])*配置!$B$2</f>
        <v>#N/A</v>
      </c>
      <c r="H19" s="19" t="s">
        <v>27</v>
      </c>
      <c r="I19" s="19">
        <f>IF(表1_86121822242642[[#This Row],[原国家]]="魏",0,IF(表1_86121822242642[[#This Row],[原国家]]="蜀",1,2))</f>
        <v>2</v>
      </c>
      <c r="J19" s="20"/>
      <c r="K19" s="20"/>
      <c r="L19" s="20"/>
      <c r="M19" s="20"/>
      <c r="N19" s="20"/>
      <c r="O19" s="20"/>
      <c r="P19" s="26"/>
      <c r="Q19" s="31" t="s">
        <v>27</v>
      </c>
      <c r="R19" s="19">
        <f>IF(表1_86121822242642[[#This Row],[目标国家]]="魏",0,IF(表1_86121822242642[[#This Row],[目标国家]]="蜀",1,2))</f>
        <v>2</v>
      </c>
      <c r="S19" s="20"/>
      <c r="T19" s="20"/>
      <c r="U19" s="20"/>
      <c r="V19" s="20"/>
      <c r="W19" s="33" t="e">
        <f>"{"&amp;"'coin':"&amp;表1_86121822242642[[#This Row],[补偿Coin]]&amp;",'"&amp;配置!$A$2&amp;"':"&amp;表1_86121822242642[[#This Row],[补偿辎重]]&amp;"},"</f>
        <v>#N/A</v>
      </c>
      <c r="X19" s="34" t="str">
        <f t="shared" ref="X19" si="3">"      },"</f>
        <v>      },</v>
      </c>
    </row>
    <row r="20" ht="14.25" customHeight="1" spans="1:24">
      <c r="A20" s="17"/>
      <c r="B20" s="17" t="e">
        <f>VLOOKUP(表1_86121822242642[[#This Row],[区服]],$O$26:$P$33,2,FALSE)</f>
        <v>#N/A</v>
      </c>
      <c r="C20" s="18"/>
      <c r="D20" s="19" t="str">
        <f>表1_86121822242642[[#This Row],[目标国家]]</f>
        <v>魏</v>
      </c>
      <c r="E20" s="20" t="e">
        <f>(VLOOKUP(表1_86121822242642[[#This Row],[目标区服]],$Q$26:$R$29,2,FALSE)-表1_86121822242642[[#This Row],[开服天数]])*配置!$B$1</f>
        <v>#N/A</v>
      </c>
      <c r="F20" s="20" t="e">
        <f>表1_86121822242642[[#This Row],[补偿Coin]]*(表1_86121822242642[[#This Row],[活跃高战玩家数]]+表1_86121822242642[[#This Row],[活跃中坚玩家数]])</f>
        <v>#N/A</v>
      </c>
      <c r="G20" s="20" t="e">
        <f>(VLOOKUP(表1_86121822242642[[#This Row],[目标区服]],$Q$26:$R$29,2,FALSE)-表1_86121822242642[[#This Row],[开服天数]])*配置!$B$2</f>
        <v>#N/A</v>
      </c>
      <c r="H20" s="19" t="s">
        <v>25</v>
      </c>
      <c r="I20" s="19">
        <f>IF(表1_86121822242642[[#This Row],[原国家]]="魏",0,IF(表1_86121822242642[[#This Row],[原国家]]="蜀",1,2))</f>
        <v>0</v>
      </c>
      <c r="J20" s="20"/>
      <c r="K20" s="20"/>
      <c r="L20" s="20"/>
      <c r="M20" s="20"/>
      <c r="N20" s="20"/>
      <c r="O20" s="20"/>
      <c r="P20" s="26"/>
      <c r="Q20" s="31" t="s">
        <v>25</v>
      </c>
      <c r="R20" s="19">
        <f>IF(表1_86121822242642[[#This Row],[目标国家]]="魏",0,IF(表1_86121822242642[[#This Row],[目标国家]]="蜀",1,2))</f>
        <v>0</v>
      </c>
      <c r="S20" s="20"/>
      <c r="T20" s="20"/>
      <c r="U20" s="20"/>
      <c r="V20" s="20"/>
      <c r="W20" s="33" t="e">
        <f>"{"&amp;"'coin':"&amp;表1_86121822242642[[#This Row],[补偿Coin]]&amp;",'"&amp;配置!$A$2&amp;"':"&amp;表1_86121822242642[[#This Row],[补偿辎重]]&amp;"},"</f>
        <v>#N/A</v>
      </c>
      <c r="X20" s="34" t="str">
        <f>"      '"&amp;表1_86121822242642[[#This Row],[区服]]&amp;"':{"</f>
        <v>      '':{</v>
      </c>
    </row>
    <row r="21" ht="14.25" customHeight="1" spans="1:24">
      <c r="A21" s="17"/>
      <c r="B21" s="17" t="e">
        <f>VLOOKUP(表1_86121822242642[[#This Row],[区服]],$O$26:$P$33,2,FALSE)</f>
        <v>#N/A</v>
      </c>
      <c r="C21" s="18"/>
      <c r="D21" s="19" t="str">
        <f>表1_86121822242642[[#This Row],[目标国家]]</f>
        <v>蜀</v>
      </c>
      <c r="E21" s="20" t="e">
        <f>(VLOOKUP(表1_86121822242642[[#This Row],[目标区服]],$Q$26:$R$29,2,FALSE)-表1_86121822242642[[#This Row],[开服天数]])*配置!$B$1</f>
        <v>#N/A</v>
      </c>
      <c r="F21" s="20" t="e">
        <f>表1_86121822242642[[#This Row],[补偿Coin]]*(表1_86121822242642[[#This Row],[活跃高战玩家数]]+表1_86121822242642[[#This Row],[活跃中坚玩家数]])</f>
        <v>#N/A</v>
      </c>
      <c r="G21" s="20" t="e">
        <f>(VLOOKUP(表1_86121822242642[[#This Row],[目标区服]],$Q$26:$R$29,2,FALSE)-表1_86121822242642[[#This Row],[开服天数]])*配置!$B$2</f>
        <v>#N/A</v>
      </c>
      <c r="H21" s="19" t="s">
        <v>26</v>
      </c>
      <c r="I21" s="19">
        <f>IF(表1_86121822242642[[#This Row],[原国家]]="魏",0,IF(表1_86121822242642[[#This Row],[原国家]]="蜀",1,2))</f>
        <v>1</v>
      </c>
      <c r="J21" s="20"/>
      <c r="K21" s="20"/>
      <c r="L21" s="20"/>
      <c r="M21" s="20"/>
      <c r="N21" s="20"/>
      <c r="O21" s="20"/>
      <c r="P21" s="26"/>
      <c r="Q21" s="31" t="s">
        <v>26</v>
      </c>
      <c r="R21" s="19">
        <f>IF(表1_86121822242642[[#This Row],[目标国家]]="魏",0,IF(表1_86121822242642[[#This Row],[目标国家]]="蜀",1,2))</f>
        <v>1</v>
      </c>
      <c r="S21" s="20"/>
      <c r="T21" s="20"/>
      <c r="U21" s="20"/>
      <c r="V21" s="20"/>
      <c r="W21" s="33" t="e">
        <f>"{"&amp;"'coin':"&amp;表1_86121822242642[[#This Row],[补偿Coin]]&amp;",'"&amp;配置!$A$2&amp;"':"&amp;表1_86121822242642[[#This Row],[补偿辎重]]&amp;"},"</f>
        <v>#N/A</v>
      </c>
      <c r="X21" s="34" t="e">
        <f>"            'to_zone':'"&amp;表1_86121822242642[[#This Row],[目标区服]]&amp;"',
            'reward':"&amp;表1_86121822242642[[#This Row],[辅助导出]]&amp;"
            'country':["&amp;R20&amp;","&amp;R21&amp;","&amp;R22&amp;"],"</f>
        <v>#N/A</v>
      </c>
    </row>
    <row r="22" ht="14.25" customHeight="1" spans="1:24">
      <c r="A22" s="17"/>
      <c r="B22" s="17" t="e">
        <f>VLOOKUP(表1_86121822242642[[#This Row],[区服]],$O$26:$P$33,2,FALSE)</f>
        <v>#N/A</v>
      </c>
      <c r="C22" s="18"/>
      <c r="D22" s="19" t="str">
        <f>表1_86121822242642[[#This Row],[目标国家]]</f>
        <v>吴</v>
      </c>
      <c r="E22" s="20" t="e">
        <f>(VLOOKUP(表1_86121822242642[[#This Row],[目标区服]],$Q$26:$R$29,2,FALSE)-表1_86121822242642[[#This Row],[开服天数]])*配置!$B$1</f>
        <v>#N/A</v>
      </c>
      <c r="F22" s="20" t="e">
        <f>表1_86121822242642[[#This Row],[补偿Coin]]*(表1_86121822242642[[#This Row],[活跃高战玩家数]]+表1_86121822242642[[#This Row],[活跃中坚玩家数]])</f>
        <v>#N/A</v>
      </c>
      <c r="G22" s="20" t="e">
        <f>(VLOOKUP(表1_86121822242642[[#This Row],[目标区服]],$Q$26:$R$29,2,FALSE)-表1_86121822242642[[#This Row],[开服天数]])*配置!$B$2</f>
        <v>#N/A</v>
      </c>
      <c r="H22" s="19" t="s">
        <v>27</v>
      </c>
      <c r="I22" s="19">
        <f>IF(表1_86121822242642[[#This Row],[原国家]]="魏",0,IF(表1_86121822242642[[#This Row],[原国家]]="蜀",1,2))</f>
        <v>2</v>
      </c>
      <c r="J22" s="20"/>
      <c r="K22" s="20"/>
      <c r="L22" s="20"/>
      <c r="M22" s="20"/>
      <c r="N22" s="20"/>
      <c r="O22" s="20"/>
      <c r="P22" s="26"/>
      <c r="Q22" s="31" t="s">
        <v>27</v>
      </c>
      <c r="R22" s="19">
        <f>IF(表1_86121822242642[[#This Row],[目标国家]]="魏",0,IF(表1_86121822242642[[#This Row],[目标国家]]="蜀",1,2))</f>
        <v>2</v>
      </c>
      <c r="S22" s="20"/>
      <c r="T22" s="20"/>
      <c r="U22" s="20"/>
      <c r="V22" s="20"/>
      <c r="W22" s="33" t="e">
        <f>"{"&amp;"'coin':"&amp;表1_86121822242642[[#This Row],[补偿Coin]]&amp;",'"&amp;配置!$A$2&amp;"':"&amp;表1_86121822242642[[#This Row],[补偿辎重]]&amp;"},"</f>
        <v>#N/A</v>
      </c>
      <c r="X22" s="34" t="str">
        <f t="shared" ref="X22" si="4">"      },"</f>
        <v>      },</v>
      </c>
    </row>
    <row r="25" ht="37.5" customHeight="1" spans="1:18">
      <c r="A25" s="36" t="s">
        <v>28</v>
      </c>
      <c r="B25" s="37" t="s">
        <v>29</v>
      </c>
      <c r="C25" s="38" t="s">
        <v>30</v>
      </c>
      <c r="D25" s="38" t="s">
        <v>31</v>
      </c>
      <c r="E25" s="38" t="s">
        <v>32</v>
      </c>
      <c r="F25" s="38" t="s">
        <v>33</v>
      </c>
      <c r="G25" s="38" t="s">
        <v>15</v>
      </c>
      <c r="H25" s="37" t="s">
        <v>18</v>
      </c>
      <c r="I25" s="37" t="s">
        <v>19</v>
      </c>
      <c r="J25" s="37" t="s">
        <v>34</v>
      </c>
      <c r="K25" s="38" t="s">
        <v>35</v>
      </c>
      <c r="L25" s="38" t="s">
        <v>36</v>
      </c>
      <c r="M25" s="38" t="s">
        <v>37</v>
      </c>
      <c r="O25" s="51" t="s">
        <v>0</v>
      </c>
      <c r="P25" s="51" t="s">
        <v>1</v>
      </c>
      <c r="Q25" s="51"/>
      <c r="R25" s="51" t="s">
        <v>38</v>
      </c>
    </row>
    <row r="26" ht="15" spans="1:18">
      <c r="A26" s="39" t="s">
        <v>83</v>
      </c>
      <c r="B26" s="39" t="s">
        <v>25</v>
      </c>
      <c r="C26" s="39">
        <f>COUNTIFS(表1_86121822242642[目标区服],表2_97131923252743[[#This Row],[合区区服]],表1_86121822242642[目标国家（映射）],表2_97131923252743[[#This Row],[国家]])</f>
        <v>2</v>
      </c>
      <c r="D26" s="39">
        <f>SUMIFS(表1_86121822242642[活跃高战玩家数],表1_86121822242642[目标区服],表2_97131923252743[[#This Row],[合区区服]],表1_86121822242642[目标国家（映射）],表2_97131923252743[[#This Row],[国家]])</f>
        <v>9</v>
      </c>
      <c r="E26" s="39">
        <f>SUMIFS(表1_86121822242642[活跃中坚玩家数],表1_86121822242642[目标区服],表2_97131923252743[[#This Row],[合区区服]],表1_86121822242642[目标国家（映射）],表2_97131923252743[[#This Row],[国家]])</f>
        <v>51</v>
      </c>
      <c r="F26" s="39">
        <f t="array" ref="F26">MAX((表1_86121822242642[目标区服]=表2_97131923252743[[#This Row],[合区区服]])*(表1_86121822242642[目标国家（映射）]=表2_97131923252743[[#This Row],[国家]])*表1_86121822242642[活跃尖端战力])</f>
        <v>2711976</v>
      </c>
      <c r="G26" s="40">
        <f>SUMIFS(表1_86121822242642[活跃总战力],表1_86121822242642[目标区服],表2_97131923252743[[#This Row],[合区区服]],表1_86121822242642[目标国家（映射）],表2_97131923252743[[#This Row],[国家]])</f>
        <v>48735443</v>
      </c>
      <c r="H26" s="39">
        <f>SUMIFS(表1_86121822242642[活跃实际充值],表1_86121822242642[目标区服],表2_97131923252743[[#This Row],[合区区服]],表1_86121822242642[目标国家（映射）],表2_97131923252743[[#This Row],[国家]])</f>
        <v>140740</v>
      </c>
      <c r="I26" s="39">
        <f>SUMIFS(表1_86121822242642[活跃虚拟充值],表1_86121822242642[目标区服],表2_97131923252743[[#This Row],[合区区服]],表1_86121822242642[目标国家（映射）],表2_97131923252743[[#This Row],[国家]])</f>
        <v>0</v>
      </c>
      <c r="J26" s="39">
        <f>SUMIFS(表1_86121822242642[活跃Coin],表1_86121822242642[目标区服],表2_97131923252743[[#This Row],[合区区服]],表1_86121822242642[目标国家（映射）],表2_97131923252743[[#This Row],[国家]])</f>
        <v>889413</v>
      </c>
      <c r="K26" s="39">
        <f>SUMIFS(表1_86121822242642[共计补偿Coin],表1_86121822242642[目标区服],表2_97131923252743[[#This Row],[合区区服]],表1_86121822242642[目标国家（映射）],表2_97131923252743[[#This Row],[国家]])</f>
        <v>72500</v>
      </c>
      <c r="L26" s="39">
        <f>表2_97131923252743[[#This Row],[活跃Coin]]+表2_97131923252743[[#This Row],[共计补偿Coin]]</f>
        <v>961913</v>
      </c>
      <c r="M26" s="39">
        <f>SUMIFS(表1_86121822242642[综合国力],表1_86121822242642[目标区服],表2_97131923252743[[#This Row],[合区区服]],表1_86121822242642[目标国家（映射）],表2_97131923252743[[#This Row],[国家]])</f>
        <v>19111</v>
      </c>
      <c r="O26" s="51">
        <v>5008</v>
      </c>
      <c r="P26" s="51">
        <v>46</v>
      </c>
      <c r="Q26" s="51" t="s">
        <v>83</v>
      </c>
      <c r="R26" s="51">
        <v>48</v>
      </c>
    </row>
    <row r="27" ht="15" spans="1:18">
      <c r="A27" s="39" t="s">
        <v>83</v>
      </c>
      <c r="B27" s="39" t="s">
        <v>26</v>
      </c>
      <c r="C27" s="39">
        <f>COUNTIFS(表1_86121822242642[目标区服],表2_97131923252743[[#This Row],[合区区服]],表1_86121822242642[目标国家（映射）],表2_97131923252743[[#This Row],[国家]])</f>
        <v>2</v>
      </c>
      <c r="D27" s="39">
        <f>SUMIFS(表1_86121822242642[活跃高战玩家数],表1_86121822242642[目标区服],表2_97131923252743[[#This Row],[合区区服]],表1_86121822242642[目标国家（映射）],表2_97131923252743[[#This Row],[国家]])</f>
        <v>6</v>
      </c>
      <c r="E27" s="39">
        <f>SUMIFS(表1_86121822242642[活跃中坚玩家数],表1_86121822242642[目标区服],表2_97131923252743[[#This Row],[合区区服]],表1_86121822242642[目标国家（映射）],表2_97131923252743[[#This Row],[国家]])</f>
        <v>42</v>
      </c>
      <c r="F27" s="39">
        <f t="array" ref="F27">MAX((表1_86121822242642[目标区服]=表2_97131923252743[[#This Row],[合区区服]])*(表1_86121822242642[目标国家（映射）]=表2_97131923252743[[#This Row],[国家]])*表1_86121822242642[活跃尖端战力])</f>
        <v>2720059</v>
      </c>
      <c r="G27" s="40">
        <f>SUMIFS(表1_86121822242642[活跃总战力],表1_86121822242642[目标区服],表2_97131923252743[[#This Row],[合区区服]],表1_86121822242642[目标国家（映射）],表2_97131923252743[[#This Row],[国家]])</f>
        <v>39343621</v>
      </c>
      <c r="H27" s="39">
        <f>SUMIFS(表1_86121822242642[活跃实际充值],表1_86121822242642[目标区服],表2_97131923252743[[#This Row],[合区区服]],表1_86121822242642[目标国家（映射）],表2_97131923252743[[#This Row],[国家]])</f>
        <v>82520</v>
      </c>
      <c r="I27" s="39">
        <f>SUMIFS(表1_86121822242642[活跃虚拟充值],表1_86121822242642[目标区服],表2_97131923252743[[#This Row],[合区区服]],表1_86121822242642[目标国家（映射）],表2_97131923252743[[#This Row],[国家]])</f>
        <v>0</v>
      </c>
      <c r="J27" s="39">
        <f>SUMIFS(表1_86121822242642[活跃Coin],表1_86121822242642[目标区服],表2_97131923252743[[#This Row],[合区区服]],表1_86121822242642[目标国家（映射）],表2_97131923252743[[#This Row],[国家]])</f>
        <v>457489</v>
      </c>
      <c r="K27" s="39">
        <f>SUMIFS(表1_86121822242642[共计补偿Coin],表1_86121822242642[目标区服],表2_97131923252743[[#This Row],[合区区服]],表1_86121822242642[目标国家（映射）],表2_97131923252743[[#This Row],[国家]])</f>
        <v>62500</v>
      </c>
      <c r="L27" s="39">
        <f>表2_97131923252743[[#This Row],[活跃Coin]]+表2_97131923252743[[#This Row],[共计补偿Coin]]</f>
        <v>519989</v>
      </c>
      <c r="M27" s="39">
        <f>SUMIFS(表1_86121822242642[综合国力],表1_86121822242642[目标区服],表2_97131923252743[[#This Row],[合区区服]],表1_86121822242642[目标国家（映射）],表2_97131923252743[[#This Row],[国家]])</f>
        <v>14669</v>
      </c>
      <c r="O27" s="51">
        <v>5009</v>
      </c>
      <c r="P27" s="51">
        <v>45</v>
      </c>
      <c r="Q27" s="51" t="s">
        <v>84</v>
      </c>
      <c r="R27" s="51">
        <v>46</v>
      </c>
    </row>
    <row r="28" ht="15" spans="1:18">
      <c r="A28" s="39" t="s">
        <v>83</v>
      </c>
      <c r="B28" s="39" t="s">
        <v>27</v>
      </c>
      <c r="C28" s="39">
        <f>COUNTIFS(表1_86121822242642[目标区服],表2_97131923252743[[#This Row],[合区区服]],表1_86121822242642[目标国家（映射）],表2_97131923252743[[#This Row],[国家]])</f>
        <v>2</v>
      </c>
      <c r="D28" s="39">
        <f>SUMIFS(表1_86121822242642[活跃高战玩家数],表1_86121822242642[目标区服],表2_97131923252743[[#This Row],[合区区服]],表1_86121822242642[目标国家（映射）],表2_97131923252743[[#This Row],[国家]])</f>
        <v>4</v>
      </c>
      <c r="E28" s="39">
        <f>SUMIFS(表1_86121822242642[活跃中坚玩家数],表1_86121822242642[目标区服],表2_97131923252743[[#This Row],[合区区服]],表1_86121822242642[目标国家（映射）],表2_97131923252743[[#This Row],[国家]])</f>
        <v>37</v>
      </c>
      <c r="F28" s="39">
        <f t="array" ref="F28">MAX((表1_86121822242642[目标区服]=表2_97131923252743[[#This Row],[合区区服]])*(表1_86121822242642[目标国家（映射）]=表2_97131923252743[[#This Row],[国家]])*表1_86121822242642[活跃尖端战力])</f>
        <v>2577319</v>
      </c>
      <c r="G28" s="40">
        <f>SUMIFS(表1_86121822242642[活跃总战力],表1_86121822242642[目标区服],表2_97131923252743[[#This Row],[合区区服]],表1_86121822242642[目标国家（映射）],表2_97131923252743[[#This Row],[国家]])</f>
        <v>33025984</v>
      </c>
      <c r="H28" s="39">
        <f>SUMIFS(表1_86121822242642[活跃实际充值],表1_86121822242642[目标区服],表2_97131923252743[[#This Row],[合区区服]],表1_86121822242642[目标国家（映射）],表2_97131923252743[[#This Row],[国家]])</f>
        <v>178188</v>
      </c>
      <c r="I28" s="39">
        <f>SUMIFS(表1_86121822242642[活跃虚拟充值],表1_86121822242642[目标区服],表2_97131923252743[[#This Row],[合区区服]],表1_86121822242642[目标国家（映射）],表2_97131923252743[[#This Row],[国家]])</f>
        <v>0</v>
      </c>
      <c r="J28" s="39">
        <f>SUMIFS(表1_86121822242642[活跃Coin],表1_86121822242642[目标区服],表2_97131923252743[[#This Row],[合区区服]],表1_86121822242642[目标国家（映射）],表2_97131923252743[[#This Row],[国家]])</f>
        <v>994436</v>
      </c>
      <c r="K28" s="39">
        <f>SUMIFS(表1_86121822242642[共计补偿Coin],表1_86121822242642[目标区服],表2_97131923252743[[#This Row],[合区区服]],表1_86121822242642[目标国家（映射）],表2_97131923252743[[#This Row],[国家]])</f>
        <v>51000</v>
      </c>
      <c r="L28" s="39">
        <f>表2_97131923252743[[#This Row],[活跃Coin]]+表2_97131923252743[[#This Row],[共计补偿Coin]]</f>
        <v>1045436</v>
      </c>
      <c r="M28" s="39">
        <f>SUMIFS(表1_86121822242642[综合国力],表1_86121822242642[目标区服],表2_97131923252743[[#This Row],[合区区服]],表1_86121822242642[目标国家（映射）],表2_97131923252743[[#This Row],[国家]])</f>
        <v>18031</v>
      </c>
      <c r="O28" s="51">
        <v>5010</v>
      </c>
      <c r="P28" s="51">
        <v>44</v>
      </c>
      <c r="Q28" s="51"/>
      <c r="R28" s="51"/>
    </row>
    <row r="29" ht="15" spans="1:18">
      <c r="A29" s="41" t="s">
        <v>84</v>
      </c>
      <c r="B29" s="41" t="s">
        <v>25</v>
      </c>
      <c r="C29" s="41">
        <f>COUNTIFS(表1_86121822242642[目标区服],表2_97131923252743[[#This Row],[合区区服]],表1_86121822242642[目标国家（映射）],表2_97131923252743[[#This Row],[国家]])</f>
        <v>2</v>
      </c>
      <c r="D29" s="41">
        <f>SUMIFS(表1_86121822242642[活跃高战玩家数],表1_86121822242642[目标区服],表2_97131923252743[[#This Row],[合区区服]],表1_86121822242642[目标国家（映射）],表2_97131923252743[[#This Row],[国家]])</f>
        <v>3</v>
      </c>
      <c r="E29" s="41">
        <f>SUMIFS(表1_86121822242642[活跃中坚玩家数],表1_86121822242642[目标区服],表2_97131923252743[[#This Row],[合区区服]],表1_86121822242642[目标国家（映射）],表2_97131923252743[[#This Row],[国家]])</f>
        <v>38</v>
      </c>
      <c r="F29" s="41">
        <f t="array" ref="F29">MAX((表1_86121822242642[目标区服]=表2_97131923252743[[#This Row],[合区区服]])*(表1_86121822242642[目标国家（映射）]=表2_97131923252743[[#This Row],[国家]])*表1_86121822242642[活跃尖端战力])</f>
        <v>2197896</v>
      </c>
      <c r="G29" s="42">
        <f>SUMIFS(表1_86121822242642[活跃总战力],表1_86121822242642[目标区服],表2_97131923252743[[#This Row],[合区区服]],表1_86121822242642[目标国家（映射）],表2_97131923252743[[#This Row],[国家]])</f>
        <v>26507296</v>
      </c>
      <c r="H29" s="41">
        <f>SUMIFS(表1_86121822242642[活跃实际充值],表1_86121822242642[目标区服],表2_97131923252743[[#This Row],[合区区服]],表1_86121822242642[目标国家（映射）],表2_97131923252743[[#This Row],[国家]])</f>
        <v>101110</v>
      </c>
      <c r="I29" s="41">
        <f>SUMIFS(表1_86121822242642[活跃虚拟充值],表1_86121822242642[目标区服],表2_97131923252743[[#This Row],[合区区服]],表1_86121822242642[目标国家（映射）],表2_97131923252743[[#This Row],[国家]])</f>
        <v>0</v>
      </c>
      <c r="J29" s="41">
        <f>SUMIFS(表1_86121822242642[活跃Coin],表1_86121822242642[目标区服],表2_97131923252743[[#This Row],[合区区服]],表1_86121822242642[目标国家（映射）],表2_97131923252743[[#This Row],[国家]])</f>
        <v>485842</v>
      </c>
      <c r="K29" s="41">
        <f>SUMIFS(表1_86121822242642[共计补偿Coin],表1_86121822242642[目标区服],表2_97131923252743[[#This Row],[合区区服]],表1_86121822242642[目标国家（映射）],表2_97131923252743[[#This Row],[国家]])</f>
        <v>61500</v>
      </c>
      <c r="L29" s="41">
        <f>表2_97131923252743[[#This Row],[活跃Coin]]+表2_97131923252743[[#This Row],[共计补偿Coin]]</f>
        <v>547342</v>
      </c>
      <c r="M29" s="41">
        <f>SUMIFS(表1_86121822242642[综合国力],表1_86121822242642[目标区服],表2_97131923252743[[#This Row],[合区区服]],表1_86121822242642[目标国家（映射）],表2_97131923252743[[#This Row],[国家]])</f>
        <v>11761</v>
      </c>
      <c r="O29" s="51">
        <v>5011</v>
      </c>
      <c r="P29" s="51">
        <v>43</v>
      </c>
      <c r="Q29" s="51"/>
      <c r="R29" s="51"/>
    </row>
    <row r="30" ht="15" spans="1:16">
      <c r="A30" s="41" t="s">
        <v>84</v>
      </c>
      <c r="B30" s="41" t="s">
        <v>26</v>
      </c>
      <c r="C30" s="41">
        <f>COUNTIFS(表1_86121822242642[目标区服],表2_97131923252743[[#This Row],[合区区服]],表1_86121822242642[目标国家（映射）],表2_97131923252743[[#This Row],[国家]])</f>
        <v>2</v>
      </c>
      <c r="D30" s="41">
        <f>SUMIFS(表1_86121822242642[活跃高战玩家数],表1_86121822242642[目标区服],表2_97131923252743[[#This Row],[合区区服]],表1_86121822242642[目标国家（映射）],表2_97131923252743[[#This Row],[国家]])</f>
        <v>7</v>
      </c>
      <c r="E30" s="41">
        <f>SUMIFS(表1_86121822242642[活跃中坚玩家数],表1_86121822242642[目标区服],表2_97131923252743[[#This Row],[合区区服]],表1_86121822242642[目标国家（映射）],表2_97131923252743[[#This Row],[国家]])</f>
        <v>41</v>
      </c>
      <c r="F30" s="41">
        <f t="array" ref="F30">MAX((表1_86121822242642[目标区服]=表2_97131923252743[[#This Row],[合区区服]])*(表1_86121822242642[目标国家（映射）]=表2_97131923252743[[#This Row],[国家]])*表1_86121822242642[活跃尖端战力])</f>
        <v>2340449</v>
      </c>
      <c r="G30" s="42">
        <f>SUMIFS(表1_86121822242642[活跃总战力],表1_86121822242642[目标区服],表2_97131923252743[[#This Row],[合区区服]],表1_86121822242642[目标国家（映射）],表2_97131923252743[[#This Row],[国家]])</f>
        <v>34821967</v>
      </c>
      <c r="H30" s="41">
        <f>SUMIFS(表1_86121822242642[活跃实际充值],表1_86121822242642[目标区服],表2_97131923252743[[#This Row],[合区区服]],表1_86121822242642[目标国家（映射）],表2_97131923252743[[#This Row],[国家]])</f>
        <v>82962</v>
      </c>
      <c r="I30" s="41">
        <f>SUMIFS(表1_86121822242642[活跃虚拟充值],表1_86121822242642[目标区服],表2_97131923252743[[#This Row],[合区区服]],表1_86121822242642[目标国家（映射）],表2_97131923252743[[#This Row],[国家]])</f>
        <v>0</v>
      </c>
      <c r="J30" s="41">
        <f>SUMIFS(表1_86121822242642[活跃Coin],表1_86121822242642[目标区服],表2_97131923252743[[#This Row],[合区区服]],表1_86121822242642[目标国家（映射）],表2_97131923252743[[#This Row],[国家]])</f>
        <v>748989</v>
      </c>
      <c r="K30" s="41">
        <f>SUMIFS(表1_86121822242642[共计补偿Coin],表1_86121822242642[目标区服],表2_97131923252743[[#This Row],[合区区服]],表1_86121822242642[目标国家（映射）],表2_97131923252743[[#This Row],[国家]])</f>
        <v>48000</v>
      </c>
      <c r="L30" s="41">
        <f>表2_97131923252743[[#This Row],[活跃Coin]]+表2_97131923252743[[#This Row],[共计补偿Coin]]</f>
        <v>796989</v>
      </c>
      <c r="M30" s="41">
        <f>SUMIFS(表1_86121822242642[综合国力],表1_86121822242642[目标区服],表2_97131923252743[[#This Row],[合区区服]],表1_86121822242642[目标国家（映射）],表2_97131923252743[[#This Row],[国家]])</f>
        <v>15120</v>
      </c>
      <c r="O30" s="51"/>
      <c r="P30" s="51"/>
    </row>
    <row r="31" ht="15" spans="1:16">
      <c r="A31" s="41" t="s">
        <v>84</v>
      </c>
      <c r="B31" s="43" t="s">
        <v>27</v>
      </c>
      <c r="C31" s="43">
        <f>COUNTIFS(表1_86121822242642[目标区服],表2_97131923252743[[#This Row],[合区区服]],表1_86121822242642[目标国家（映射）],表2_97131923252743[[#This Row],[国家]])</f>
        <v>2</v>
      </c>
      <c r="D31" s="43">
        <f>SUMIFS(表1_86121822242642[活跃高战玩家数],表1_86121822242642[目标区服],表2_97131923252743[[#This Row],[合区区服]],表1_86121822242642[目标国家（映射）],表2_97131923252743[[#This Row],[国家]])</f>
        <v>9</v>
      </c>
      <c r="E31" s="43">
        <f>SUMIFS(表1_86121822242642[活跃中坚玩家数],表1_86121822242642[目标区服],表2_97131923252743[[#This Row],[合区区服]],表1_86121822242642[目标国家（映射）],表2_97131923252743[[#This Row],[国家]])</f>
        <v>42</v>
      </c>
      <c r="F31" s="43">
        <f t="array" ref="F31">MAX((表1_86121822242642[目标区服]=表2_97131923252743[[#This Row],[合区区服]])*(表1_86121822242642[目标国家（映射）]=表2_97131923252743[[#This Row],[国家]])*表1_86121822242642[活跃尖端战力])</f>
        <v>2501655</v>
      </c>
      <c r="G31" s="44">
        <f>SUMIFS(表1_86121822242642[活跃总战力],表1_86121822242642[目标区服],表2_97131923252743[[#This Row],[合区区服]],表1_86121822242642[目标国家（映射）],表2_97131923252743[[#This Row],[国家]])</f>
        <v>41202909</v>
      </c>
      <c r="H31" s="43">
        <f>SUMIFS(表1_86121822242642[活跃实际充值],表1_86121822242642[目标区服],表2_97131923252743[[#This Row],[合区区服]],表1_86121822242642[目标国家（映射）],表2_97131923252743[[#This Row],[国家]])</f>
        <v>91452</v>
      </c>
      <c r="I31" s="43">
        <f>SUMIFS(表1_86121822242642[活跃虚拟充值],表1_86121822242642[目标区服],表2_97131923252743[[#This Row],[合区区服]],表1_86121822242642[目标国家（映射）],表2_97131923252743[[#This Row],[国家]])</f>
        <v>28400</v>
      </c>
      <c r="J31" s="43">
        <f>SUMIFS(表1_86121822242642[活跃Coin],表1_86121822242642[目标区服],表2_97131923252743[[#This Row],[合区区服]],表1_86121822242642[目标国家（映射）],表2_97131923252743[[#This Row],[国家]])</f>
        <v>862534</v>
      </c>
      <c r="K31" s="43">
        <f>SUMIFS(表1_86121822242642[共计补偿Coin],表1_86121822242642[目标区服],表2_97131923252743[[#This Row],[合区区服]],表1_86121822242642[目标国家（映射）],表2_97131923252743[[#This Row],[国家]])</f>
        <v>69000</v>
      </c>
      <c r="L31" s="43">
        <f>表2_97131923252743[[#This Row],[活跃Coin]]+表2_97131923252743[[#This Row],[共计补偿Coin]]</f>
        <v>931534</v>
      </c>
      <c r="M31" s="43">
        <f>SUMIFS(表1_86121822242642[综合国力],表1_86121822242642[目标区服],表2_97131923252743[[#This Row],[合区区服]],表1_86121822242642[目标国家（映射）],表2_97131923252743[[#This Row],[国家]])</f>
        <v>17055</v>
      </c>
      <c r="O31" s="51"/>
      <c r="P31" s="51"/>
    </row>
    <row r="32" ht="15" spans="1:16">
      <c r="A32" s="45"/>
      <c r="B32" s="46" t="s">
        <v>25</v>
      </c>
      <c r="C32" s="46">
        <f>COUNTIFS(表1_86121822242642[目标区服],表2_97131923252743[[#This Row],[合区区服]],表1_86121822242642[目标国家（映射）],表2_97131923252743[[#This Row],[国家]])</f>
        <v>0</v>
      </c>
      <c r="D32" s="46">
        <f>SUMIFS(表1_86121822242642[活跃高战玩家数],表1_86121822242642[目标区服],表2_97131923252743[[#This Row],[合区区服]],表1_86121822242642[目标国家（映射）],表2_97131923252743[[#This Row],[国家]])</f>
        <v>0</v>
      </c>
      <c r="E32" s="46">
        <f>SUMIFS(表1_86121822242642[活跃中坚玩家数],表1_86121822242642[目标区服],表2_97131923252743[[#This Row],[合区区服]],表1_86121822242642[目标国家（映射）],表2_97131923252743[[#This Row],[国家]])</f>
        <v>0</v>
      </c>
      <c r="F32" s="46">
        <f t="array" ref="F32">MAX((表1_86121822242642[目标区服]=表2_97131923252743[[#This Row],[合区区服]])*(表1_86121822242642[目标国家（映射）]=表2_97131923252743[[#This Row],[国家]])*表1_86121822242642[活跃尖端战力])</f>
        <v>0</v>
      </c>
      <c r="G32" s="47">
        <f>SUMIFS(表1_86121822242642[活跃总战力],表1_86121822242642[目标区服],表2_97131923252743[[#This Row],[合区区服]],表1_86121822242642[目标国家（映射）],表2_97131923252743[[#This Row],[国家]])</f>
        <v>0</v>
      </c>
      <c r="H32" s="46">
        <f>SUMIFS(表1_86121822242642[活跃实际充值],表1_86121822242642[目标区服],表2_97131923252743[[#This Row],[合区区服]],表1_86121822242642[目标国家（映射）],表2_97131923252743[[#This Row],[国家]])</f>
        <v>0</v>
      </c>
      <c r="I32" s="46">
        <f>SUMIFS(表1_86121822242642[活跃虚拟充值],表1_86121822242642[目标区服],表2_97131923252743[[#This Row],[合区区服]],表1_86121822242642[目标国家（映射）],表2_97131923252743[[#This Row],[国家]])</f>
        <v>0</v>
      </c>
      <c r="J32" s="46">
        <f>SUMIFS(表1_86121822242642[活跃Coin],表1_86121822242642[目标区服],表2_97131923252743[[#This Row],[合区区服]],表1_86121822242642[目标国家（映射）],表2_97131923252743[[#This Row],[国家]])</f>
        <v>0</v>
      </c>
      <c r="K32" s="46">
        <f>SUMIFS(表1_86121822242642[共计补偿Coin],表1_86121822242642[目标区服],表2_97131923252743[[#This Row],[合区区服]],表1_86121822242642[目标国家（映射）],表2_97131923252743[[#This Row],[国家]])</f>
        <v>0</v>
      </c>
      <c r="L32" s="46">
        <f>表2_97131923252743[[#This Row],[活跃Coin]]+表2_97131923252743[[#This Row],[共计补偿Coin]]</f>
        <v>0</v>
      </c>
      <c r="M32" s="46">
        <f>SUMIFS(表1_86121822242642[综合国力],表1_86121822242642[目标区服],表2_97131923252743[[#This Row],[合区区服]],表1_86121822242642[目标国家（映射）],表2_97131923252743[[#This Row],[国家]])</f>
        <v>0</v>
      </c>
      <c r="O32" s="51"/>
      <c r="P32" s="51"/>
    </row>
    <row r="33" ht="15" spans="1:16">
      <c r="A33" s="45"/>
      <c r="B33" s="46" t="s">
        <v>26</v>
      </c>
      <c r="C33" s="46">
        <f>COUNTIFS(表1_86121822242642[目标区服],表2_97131923252743[[#This Row],[合区区服]],表1_86121822242642[目标国家（映射）],表2_97131923252743[[#This Row],[国家]])</f>
        <v>0</v>
      </c>
      <c r="D33" s="46">
        <f>SUMIFS(表1_86121822242642[活跃高战玩家数],表1_86121822242642[目标区服],表2_97131923252743[[#This Row],[合区区服]],表1_86121822242642[目标国家（映射）],表2_97131923252743[[#This Row],[国家]])</f>
        <v>0</v>
      </c>
      <c r="E33" s="46">
        <f>SUMIFS(表1_86121822242642[活跃中坚玩家数],表1_86121822242642[目标区服],表2_97131923252743[[#This Row],[合区区服]],表1_86121822242642[目标国家（映射）],表2_97131923252743[[#This Row],[国家]])</f>
        <v>0</v>
      </c>
      <c r="F33" s="46">
        <f t="array" ref="F33">MAX((表1_86121822242642[目标区服]=表2_97131923252743[[#This Row],[合区区服]])*(表1_86121822242642[目标国家（映射）]=表2_97131923252743[[#This Row],[国家]])*表1_86121822242642[活跃尖端战力])</f>
        <v>0</v>
      </c>
      <c r="G33" s="47">
        <f>SUMIFS(表1_86121822242642[活跃总战力],表1_86121822242642[目标区服],表2_97131923252743[[#This Row],[合区区服]],表1_86121822242642[目标国家（映射）],表2_97131923252743[[#This Row],[国家]])</f>
        <v>0</v>
      </c>
      <c r="H33" s="46">
        <f>SUMIFS(表1_86121822242642[活跃实际充值],表1_86121822242642[目标区服],表2_97131923252743[[#This Row],[合区区服]],表1_86121822242642[目标国家（映射）],表2_97131923252743[[#This Row],[国家]])</f>
        <v>0</v>
      </c>
      <c r="I33" s="46">
        <f>SUMIFS(表1_86121822242642[活跃虚拟充值],表1_86121822242642[目标区服],表2_97131923252743[[#This Row],[合区区服]],表1_86121822242642[目标国家（映射）],表2_97131923252743[[#This Row],[国家]])</f>
        <v>0</v>
      </c>
      <c r="J33" s="46">
        <f>SUMIFS(表1_86121822242642[活跃Coin],表1_86121822242642[目标区服],表2_97131923252743[[#This Row],[合区区服]],表1_86121822242642[目标国家（映射）],表2_97131923252743[[#This Row],[国家]])</f>
        <v>0</v>
      </c>
      <c r="K33" s="46">
        <f>SUMIFS(表1_86121822242642[共计补偿Coin],表1_86121822242642[目标区服],表2_97131923252743[[#This Row],[合区区服]],表1_86121822242642[目标国家（映射）],表2_97131923252743[[#This Row],[国家]])</f>
        <v>0</v>
      </c>
      <c r="L33" s="46">
        <f>表2_97131923252743[[#This Row],[活跃Coin]]+表2_97131923252743[[#This Row],[共计补偿Coin]]</f>
        <v>0</v>
      </c>
      <c r="M33" s="46">
        <f>SUMIFS(表1_86121822242642[综合国力],表1_86121822242642[目标区服],表2_97131923252743[[#This Row],[合区区服]],表1_86121822242642[目标国家（映射）],表2_97131923252743[[#This Row],[国家]])</f>
        <v>0</v>
      </c>
      <c r="O33" s="51"/>
      <c r="P33" s="51"/>
    </row>
    <row r="34" ht="15" spans="1:13">
      <c r="A34" s="45"/>
      <c r="B34" s="48" t="s">
        <v>27</v>
      </c>
      <c r="C34" s="48">
        <f>COUNTIFS(表1_86121822242642[目标区服],表2_97131923252743[[#This Row],[合区区服]],表1_86121822242642[目标国家（映射）],表2_97131923252743[[#This Row],[国家]])</f>
        <v>0</v>
      </c>
      <c r="D34" s="48">
        <f>SUMIFS(表1_86121822242642[活跃高战玩家数],表1_86121822242642[目标区服],表2_97131923252743[[#This Row],[合区区服]],表1_86121822242642[目标国家（映射）],表2_97131923252743[[#This Row],[国家]])</f>
        <v>0</v>
      </c>
      <c r="E34" s="48">
        <f>SUMIFS(表1_86121822242642[活跃中坚玩家数],表1_86121822242642[目标区服],表2_97131923252743[[#This Row],[合区区服]],表1_86121822242642[目标国家（映射）],表2_97131923252743[[#This Row],[国家]])</f>
        <v>0</v>
      </c>
      <c r="F34" s="48">
        <f t="array" ref="F34">MAX((表1_86121822242642[目标区服]=表2_97131923252743[[#This Row],[合区区服]])*(表1_86121822242642[目标国家（映射）]=表2_97131923252743[[#This Row],[国家]])*表1_86121822242642[活跃尖端战力])</f>
        <v>0</v>
      </c>
      <c r="G34" s="458">
        <f>SUMIFS(表1_86121822242642[活跃总战力],表1_86121822242642[目标区服],表2_97131923252743[[#This Row],[合区区服]],表1_86121822242642[目标国家（映射）],表2_97131923252743[[#This Row],[国家]])</f>
        <v>0</v>
      </c>
      <c r="H34" s="48">
        <f>SUMIFS(表1_86121822242642[活跃实际充值],表1_86121822242642[目标区服],表2_97131923252743[[#This Row],[合区区服]],表1_86121822242642[目标国家（映射）],表2_97131923252743[[#This Row],[国家]])</f>
        <v>0</v>
      </c>
      <c r="I34" s="48">
        <f>SUMIFS(表1_86121822242642[活跃虚拟充值],表1_86121822242642[目标区服],表2_97131923252743[[#This Row],[合区区服]],表1_86121822242642[目标国家（映射）],表2_97131923252743[[#This Row],[国家]])</f>
        <v>0</v>
      </c>
      <c r="J34" s="48">
        <f>SUMIFS(表1_86121822242642[活跃Coin],表1_86121822242642[目标区服],表2_97131923252743[[#This Row],[合区区服]],表1_86121822242642[目标国家（映射）],表2_97131923252743[[#This Row],[国家]])</f>
        <v>0</v>
      </c>
      <c r="K34" s="48">
        <f>SUMIFS(表1_86121822242642[共计补偿Coin],表1_86121822242642[目标区服],表2_97131923252743[[#This Row],[合区区服]],表1_86121822242642[目标国家（映射）],表2_97131923252743[[#This Row],[国家]])</f>
        <v>0</v>
      </c>
      <c r="L34" s="48">
        <f>表2_97131923252743[[#This Row],[活跃Coin]]+表2_97131923252743[[#This Row],[共计补偿Coin]]</f>
        <v>0</v>
      </c>
      <c r="M34" s="48">
        <f>SUMIFS(表1_86121822242642[综合国力],表1_86121822242642[目标区服],表2_97131923252743[[#This Row],[合区区服]],表1_86121822242642[目标国家（映射）],表2_97131923252743[[#This Row],[国家]])</f>
        <v>0</v>
      </c>
    </row>
    <row r="40" ht="27" spans="1:13">
      <c r="A40" s="49"/>
      <c r="B40" s="50" t="s">
        <v>9</v>
      </c>
      <c r="C40" s="50" t="s">
        <v>10</v>
      </c>
      <c r="D40" s="50" t="s">
        <v>11</v>
      </c>
      <c r="E40" s="50" t="s">
        <v>12</v>
      </c>
      <c r="F40" s="50" t="s">
        <v>13</v>
      </c>
      <c r="G40" s="50" t="s">
        <v>14</v>
      </c>
      <c r="H40" s="50" t="s">
        <v>15</v>
      </c>
      <c r="I40" s="50" t="s">
        <v>18</v>
      </c>
      <c r="J40" s="50" t="s">
        <v>19</v>
      </c>
      <c r="K40" s="50" t="s">
        <v>20</v>
      </c>
      <c r="L40" s="50" t="s">
        <v>21</v>
      </c>
      <c r="M40" s="50" t="s">
        <v>82</v>
      </c>
    </row>
    <row r="41" spans="1:13">
      <c r="A41" s="50" t="s">
        <v>25</v>
      </c>
      <c r="B41" s="50">
        <v>5</v>
      </c>
      <c r="C41" s="50">
        <v>138</v>
      </c>
      <c r="D41" s="50">
        <v>6</v>
      </c>
      <c r="E41" s="50">
        <v>29</v>
      </c>
      <c r="F41" s="50">
        <v>140729</v>
      </c>
      <c r="G41" s="50">
        <v>2711976</v>
      </c>
      <c r="H41" s="50">
        <v>30941676</v>
      </c>
      <c r="I41" s="50">
        <v>84032</v>
      </c>
      <c r="J41" s="50">
        <v>0</v>
      </c>
      <c r="K41" s="50">
        <v>471598</v>
      </c>
      <c r="L41" s="50">
        <v>11146</v>
      </c>
      <c r="M41" s="50">
        <v>757577</v>
      </c>
    </row>
    <row r="42" spans="1:13">
      <c r="A42" s="50" t="s">
        <v>26</v>
      </c>
      <c r="B42" s="50">
        <v>3</v>
      </c>
      <c r="C42" s="50">
        <v>198</v>
      </c>
      <c r="D42" s="50">
        <v>3</v>
      </c>
      <c r="E42" s="50">
        <v>18</v>
      </c>
      <c r="F42" s="50">
        <v>80245</v>
      </c>
      <c r="G42" s="50">
        <v>2577319</v>
      </c>
      <c r="H42" s="50">
        <v>19591383</v>
      </c>
      <c r="I42" s="50">
        <v>141648</v>
      </c>
      <c r="J42" s="50">
        <v>0</v>
      </c>
      <c r="K42" s="50">
        <v>815090</v>
      </c>
      <c r="L42" s="50">
        <v>11874</v>
      </c>
      <c r="M42" s="50">
        <v>919208</v>
      </c>
    </row>
    <row r="43" spans="1:13">
      <c r="A43" s="50" t="s">
        <v>27</v>
      </c>
      <c r="B43" s="50">
        <v>1</v>
      </c>
      <c r="C43" s="50">
        <v>59</v>
      </c>
      <c r="D43" s="50">
        <v>0</v>
      </c>
      <c r="E43" s="50">
        <v>19</v>
      </c>
      <c r="F43" s="50">
        <v>55268</v>
      </c>
      <c r="G43" s="50">
        <v>1321577</v>
      </c>
      <c r="H43" s="50">
        <v>13616787</v>
      </c>
      <c r="I43" s="50">
        <v>9590</v>
      </c>
      <c r="J43" s="50">
        <v>0</v>
      </c>
      <c r="K43" s="50">
        <v>70029</v>
      </c>
      <c r="L43" s="50">
        <v>3972</v>
      </c>
      <c r="M43" s="50">
        <v>637665</v>
      </c>
    </row>
    <row r="44" spans="1:13">
      <c r="A44" s="50" t="s">
        <v>25</v>
      </c>
      <c r="B44" s="50">
        <v>3</v>
      </c>
      <c r="C44" s="50">
        <v>126</v>
      </c>
      <c r="D44" s="50">
        <v>3</v>
      </c>
      <c r="E44" s="50">
        <v>22</v>
      </c>
      <c r="F44" s="50">
        <v>90203</v>
      </c>
      <c r="G44" s="50">
        <v>2265222</v>
      </c>
      <c r="H44" s="50">
        <v>17793767</v>
      </c>
      <c r="I44" s="50">
        <v>56708</v>
      </c>
      <c r="J44" s="50">
        <v>0</v>
      </c>
      <c r="K44" s="50">
        <v>417815</v>
      </c>
      <c r="L44" s="50">
        <v>7965</v>
      </c>
      <c r="M44" s="50">
        <v>963546</v>
      </c>
    </row>
    <row r="45" spans="1:13">
      <c r="A45" s="50" t="s">
        <v>26</v>
      </c>
      <c r="B45" s="50">
        <v>4</v>
      </c>
      <c r="C45" s="50">
        <v>192</v>
      </c>
      <c r="D45" s="50">
        <v>6</v>
      </c>
      <c r="E45" s="50">
        <v>23</v>
      </c>
      <c r="F45" s="50">
        <v>140661</v>
      </c>
      <c r="G45" s="50">
        <v>2720059</v>
      </c>
      <c r="H45" s="50">
        <v>25726834</v>
      </c>
      <c r="I45" s="50">
        <v>72930</v>
      </c>
      <c r="J45" s="50">
        <v>0</v>
      </c>
      <c r="K45" s="50">
        <v>387460</v>
      </c>
      <c r="L45" s="50">
        <v>10697</v>
      </c>
      <c r="M45" s="50">
        <v>748771</v>
      </c>
    </row>
    <row r="46" spans="1:13">
      <c r="A46" s="50" t="s">
        <v>27</v>
      </c>
      <c r="B46" s="50">
        <v>2</v>
      </c>
      <c r="C46" s="50">
        <v>77</v>
      </c>
      <c r="D46" s="50">
        <v>1</v>
      </c>
      <c r="E46" s="50">
        <v>19</v>
      </c>
      <c r="F46" s="50">
        <v>64457</v>
      </c>
      <c r="G46" s="50">
        <v>2336331</v>
      </c>
      <c r="H46" s="50">
        <v>13434601</v>
      </c>
      <c r="I46" s="50">
        <v>36540</v>
      </c>
      <c r="J46" s="50">
        <v>0</v>
      </c>
      <c r="K46" s="50">
        <v>179346</v>
      </c>
      <c r="L46" s="50">
        <v>6157</v>
      </c>
      <c r="M46" s="50">
        <v>846094</v>
      </c>
    </row>
    <row r="47" spans="1:13">
      <c r="A47" s="50" t="s">
        <v>25</v>
      </c>
      <c r="B47" s="50">
        <v>1</v>
      </c>
      <c r="C47" s="50">
        <v>57</v>
      </c>
      <c r="D47" s="50">
        <v>1</v>
      </c>
      <c r="E47" s="50">
        <v>13</v>
      </c>
      <c r="F47" s="50">
        <v>48928</v>
      </c>
      <c r="G47" s="50">
        <v>1459646</v>
      </c>
      <c r="H47" s="50">
        <v>8056124</v>
      </c>
      <c r="I47" s="50">
        <v>12622</v>
      </c>
      <c r="J47" s="50">
        <v>0</v>
      </c>
      <c r="K47" s="50">
        <v>168601</v>
      </c>
      <c r="L47" s="50">
        <v>3642</v>
      </c>
      <c r="M47" s="50">
        <v>446990</v>
      </c>
    </row>
    <row r="48" spans="1:13">
      <c r="A48" s="50" t="s">
        <v>26</v>
      </c>
      <c r="B48" s="50">
        <v>6</v>
      </c>
      <c r="C48" s="50">
        <v>259</v>
      </c>
      <c r="D48" s="50">
        <v>6</v>
      </c>
      <c r="E48" s="50">
        <v>28</v>
      </c>
      <c r="F48" s="50">
        <v>174234</v>
      </c>
      <c r="G48" s="50">
        <v>2340449</v>
      </c>
      <c r="H48" s="50">
        <v>26765843</v>
      </c>
      <c r="I48" s="50">
        <v>70340</v>
      </c>
      <c r="J48" s="50">
        <v>0</v>
      </c>
      <c r="K48" s="50">
        <v>580388</v>
      </c>
      <c r="L48" s="50">
        <v>11478</v>
      </c>
      <c r="M48" s="50">
        <v>663806</v>
      </c>
    </row>
    <row r="49" spans="1:13">
      <c r="A49" s="50" t="s">
        <v>27</v>
      </c>
      <c r="B49" s="50">
        <v>2</v>
      </c>
      <c r="C49" s="50">
        <v>79</v>
      </c>
      <c r="D49" s="50">
        <v>2</v>
      </c>
      <c r="E49" s="50">
        <v>13</v>
      </c>
      <c r="F49" s="50">
        <v>51634</v>
      </c>
      <c r="G49" s="50">
        <v>1457943</v>
      </c>
      <c r="H49" s="50">
        <v>8913963</v>
      </c>
      <c r="I49" s="50">
        <v>14790</v>
      </c>
      <c r="J49" s="50">
        <v>0</v>
      </c>
      <c r="K49" s="50">
        <v>94805</v>
      </c>
      <c r="L49" s="50">
        <v>4088</v>
      </c>
      <c r="M49" s="50">
        <v>385469</v>
      </c>
    </row>
    <row r="50" spans="1:13">
      <c r="A50" s="50" t="s">
        <v>25</v>
      </c>
      <c r="B50" s="50">
        <v>2</v>
      </c>
      <c r="C50" s="50">
        <v>92</v>
      </c>
      <c r="D50" s="50">
        <v>2</v>
      </c>
      <c r="E50" s="50">
        <v>22</v>
      </c>
      <c r="F50" s="50">
        <v>79222</v>
      </c>
      <c r="G50" s="50">
        <v>2197896</v>
      </c>
      <c r="H50" s="50">
        <v>16367310</v>
      </c>
      <c r="I50" s="50">
        <v>63762</v>
      </c>
      <c r="J50" s="50">
        <v>0</v>
      </c>
      <c r="K50" s="50">
        <v>400054</v>
      </c>
      <c r="L50" s="50">
        <v>7463</v>
      </c>
      <c r="M50" s="50">
        <v>639414</v>
      </c>
    </row>
    <row r="51" spans="1:13">
      <c r="A51" s="50" t="s">
        <v>26</v>
      </c>
      <c r="B51" s="50">
        <v>7</v>
      </c>
      <c r="C51" s="50">
        <v>269</v>
      </c>
      <c r="D51" s="50">
        <v>7</v>
      </c>
      <c r="E51" s="50">
        <v>29</v>
      </c>
      <c r="F51" s="50">
        <v>175795</v>
      </c>
      <c r="G51" s="50">
        <v>2501655</v>
      </c>
      <c r="H51" s="50">
        <v>32288946</v>
      </c>
      <c r="I51" s="50">
        <v>76662</v>
      </c>
      <c r="J51" s="50">
        <v>28400</v>
      </c>
      <c r="K51" s="50">
        <v>767729</v>
      </c>
      <c r="L51" s="50">
        <v>12967</v>
      </c>
      <c r="M51" s="50">
        <v>636119</v>
      </c>
    </row>
    <row r="52" spans="1:13">
      <c r="A52" s="50" t="s">
        <v>27</v>
      </c>
      <c r="B52" s="50">
        <v>0</v>
      </c>
      <c r="C52" s="50">
        <v>34</v>
      </c>
      <c r="D52" s="50">
        <v>1</v>
      </c>
      <c r="E52" s="50">
        <v>16</v>
      </c>
      <c r="F52" s="50">
        <v>46494</v>
      </c>
      <c r="G52" s="50">
        <v>1548239</v>
      </c>
      <c r="H52" s="50">
        <v>10139986</v>
      </c>
      <c r="I52" s="50">
        <v>37348</v>
      </c>
      <c r="J52" s="50">
        <v>0</v>
      </c>
      <c r="K52" s="50">
        <v>85788</v>
      </c>
      <c r="L52" s="50">
        <v>4298</v>
      </c>
      <c r="M52" s="50">
        <v>530362</v>
      </c>
    </row>
    <row r="53" spans="1:12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</row>
    <row r="54" spans="1:12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</row>
    <row r="55" spans="1:12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</row>
    <row r="56" spans="1:12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</row>
    <row r="57" spans="1:12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</row>
    <row r="58" spans="1:12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</row>
    <row r="59" spans="1:12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</row>
    <row r="60" spans="1:12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</row>
    <row r="61" spans="1:13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t="s">
        <v>66</v>
      </c>
    </row>
  </sheetData>
  <conditionalFormatting sqref="F26:F28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{62b7c3a2-ad26-4caa-9230-bbdc3b39889c}</x14:id>
        </ext>
      </extLst>
    </cfRule>
  </conditionalFormatting>
  <conditionalFormatting sqref="F29:F3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{59a5d27d-47a0-4806-b31b-fd8e1c413e0a}</x14:id>
        </ext>
      </extLst>
    </cfRule>
  </conditionalFormatting>
  <conditionalFormatting sqref="F32:F34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{be84084e-aa9c-4b34-a44c-9520877422fc}</x14:id>
        </ext>
      </extLst>
    </cfRule>
  </conditionalFormatting>
  <conditionalFormatting sqref="G26:G28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{2ea38bf4-1f69-4027-b50a-70a94338cfdc}</x14:id>
        </ext>
      </extLst>
    </cfRule>
  </conditionalFormatting>
  <conditionalFormatting sqref="G29:G31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{30428cf8-c55f-410e-ba91-79fd86fd3ff9}</x14:id>
        </ext>
      </extLst>
    </cfRule>
  </conditionalFormatting>
  <conditionalFormatting sqref="G32:G34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{17a8e22d-f711-4554-bffb-8fcf4e5bcef4}</x14:id>
        </ext>
      </extLst>
    </cfRule>
  </conditionalFormatting>
  <conditionalFormatting sqref="O2:O19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{5f2f225c-bbb4-49df-af5d-24e29fc9a9bb}</x14:id>
        </ext>
      </extLst>
    </cfRule>
  </conditionalFormatting>
  <conditionalFormatting sqref="O20:O2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{3692090c-af0f-4bc2-9d1a-708c702a7192}</x14:id>
        </ext>
      </extLst>
    </cfRule>
  </conditionalFormatting>
  <conditionalFormatting sqref="O26:O33">
    <cfRule type="cellIs" dxfId="37" priority="8" operator="equal">
      <formula>$S$26</formula>
    </cfRule>
  </conditionalFormatting>
  <conditionalFormatting sqref="P2:P19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{450bd4e4-6870-45e4-8de4-fa2b1a041d45}</x14:id>
        </ext>
      </extLst>
    </cfRule>
  </conditionalFormatting>
  <conditionalFormatting sqref="P20:P2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{e296ddf7-198f-4459-9f74-4de75dc01b0e}</x14:id>
        </ext>
      </extLst>
    </cfRule>
  </conditionalFormatting>
  <conditionalFormatting sqref="Q2:Q22">
    <cfRule type="cellIs" dxfId="38" priority="5" operator="equal">
      <formula>配置!$D$4</formula>
    </cfRule>
    <cfRule type="cellIs" dxfId="39" priority="6" operator="equal">
      <formula>配置!$D$3</formula>
    </cfRule>
    <cfRule type="cellIs" dxfId="37" priority="7" operator="equal">
      <formula>配置!$D$2</formula>
    </cfRule>
  </conditionalFormatting>
  <conditionalFormatting sqref="Q26:Q29">
    <cfRule type="cellIs" dxfId="37" priority="9" operator="equal">
      <formula>$S$26</formula>
    </cfRule>
  </conditionalFormatting>
  <conditionalFormatting sqref="O23:O24 Q1:R1 Q2 Q4:Q5 Q7:Q8 Q10:Q11 Q13:Q14 Q16:Q17 Q19:Q20 Q22">
    <cfRule type="cellIs" dxfId="37" priority="17" operator="equal">
      <formula>配置!$D$2</formula>
    </cfRule>
  </conditionalFormatting>
  <conditionalFormatting sqref="Q2 Q4:Q5 Q7:Q8 Q10:Q11 Q13:Q14 Q16:Q17 Q19:Q20 Q22">
    <cfRule type="cellIs" dxfId="38" priority="16" operator="equal">
      <formula>配置!$D$4</formula>
    </cfRule>
  </conditionalFormatting>
  <dataValidations count="1">
    <dataValidation type="list" allowBlank="1" showInputMessage="1" showErrorMessage="1" sqref="Q2:Q22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2b7c3a2-ad26-4caa-9230-bbdc3b3988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59a5d27d-47a0-4806-b31b-fd8e1c413e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be84084e-aa9c-4b34-a44c-9520877422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2ea38bf4-1f69-4027-b50a-70a94338cf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30428cf8-c55f-410e-ba91-79fd86fd3f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17a8e22d-f711-4554-bffb-8fcf4e5bce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5f2f225c-bbb4-49df-af5d-24e29fc9a9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3692090c-af0f-4bc2-9d1a-708c702a71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450bd4e4-6870-45e4-8de4-fa2b1a041d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e296ddf7-198f-4459-9f74-4de75dc01b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1"/>
  <sheetViews>
    <sheetView workbookViewId="0">
      <selection activeCell="S10" sqref="S10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1">
        <v>101</v>
      </c>
      <c r="B2" s="371">
        <f>VLOOKUP(表1_86121822242644[[#This Row],[区服]],$P$26:$Q$33,2,FALSE)</f>
        <v>56</v>
      </c>
      <c r="C2" s="372" t="s">
        <v>85</v>
      </c>
      <c r="D2" s="373" t="str">
        <f>表1_86121822242644[[#This Row],[目标国家]]</f>
        <v>魏</v>
      </c>
      <c r="E2" s="374">
        <f>(VLOOKUP(表1_86121822242644[[#This Row],[目标区服]],$R$26:$S$29,2,FALSE)-表1_86121822242644[[#This Row],[开服天数]])*配置!$B$1</f>
        <v>1000</v>
      </c>
      <c r="F2" s="374">
        <f>表1_86121822242644[[#This Row],[补偿Coin]]*(表1_86121822242644[[#This Row],[活跃高战玩家数]]+表1_86121822242644[[#This Row],[活跃中坚玩家数]])</f>
        <v>22000</v>
      </c>
      <c r="G2" s="374">
        <f>(VLOOKUP(表1_86121822242644[[#This Row],[目标区服]],$R$26:$S$29,2,FALSE)-表1_86121822242644[[#This Row],[开服天数]])*配置!$B$2</f>
        <v>10</v>
      </c>
      <c r="H2" s="376" t="s">
        <v>25</v>
      </c>
      <c r="I2" s="376">
        <f>IF(表1_86121822242644[[#This Row],[原国家]]="魏",0,IF(表1_86121822242644[[#This Row],[原国家]]="蜀",1,2))</f>
        <v>0</v>
      </c>
      <c r="J2" s="380">
        <v>4</v>
      </c>
      <c r="K2" s="380">
        <v>162</v>
      </c>
      <c r="L2" s="380">
        <v>4</v>
      </c>
      <c r="M2" s="380">
        <v>18</v>
      </c>
      <c r="N2" s="380">
        <v>100449</v>
      </c>
      <c r="O2" s="380">
        <v>4137084</v>
      </c>
      <c r="P2" s="381">
        <v>25182950</v>
      </c>
      <c r="Q2" s="31" t="s">
        <v>25</v>
      </c>
      <c r="R2" s="376">
        <f>IF(表1_86121822242644[[#This Row],[目标国家]]="魏",0,IF(表1_86121822242644[[#This Row],[目标国家]]="蜀",1,2))</f>
        <v>0</v>
      </c>
      <c r="S2" s="380">
        <v>117196</v>
      </c>
      <c r="T2" s="380">
        <v>0</v>
      </c>
      <c r="U2" s="380">
        <v>372229</v>
      </c>
      <c r="V2" s="380">
        <v>12879</v>
      </c>
      <c r="W2" s="374">
        <v>1379138</v>
      </c>
      <c r="X2" s="387" t="str">
        <f>"{"&amp;"'coin':"&amp;表1_86121822242644[[#This Row],[补偿Coin]]&amp;",'"&amp;配置!$A$2&amp;"':"&amp;表1_86121822242644[[#This Row],[补偿辎重]]&amp;"},"</f>
        <v>{'coin':1000,'item036':10},</v>
      </c>
      <c r="Y2" s="388" t="str">
        <f>"      '"&amp;表1_86121822242644[[#This Row],[区服]]&amp;"':{"</f>
        <v>      '101':{</v>
      </c>
    </row>
    <row r="3" s="354" customFormat="1" ht="14.25" customHeight="1" spans="1:25">
      <c r="A3" s="375">
        <v>101</v>
      </c>
      <c r="B3" s="371">
        <f>VLOOKUP(表1_86121822242644[[#This Row],[区服]],$P$26:$Q$33,2,FALSE)</f>
        <v>56</v>
      </c>
      <c r="C3" s="372" t="s">
        <v>85</v>
      </c>
      <c r="D3" s="376" t="str">
        <f>表1_86121822242644[[#This Row],[目标国家]]</f>
        <v>蜀</v>
      </c>
      <c r="E3" s="380">
        <f>(VLOOKUP(表1_86121822242644[[#This Row],[目标区服]],$R$26:$S$29,2,FALSE)-表1_86121822242644[[#This Row],[开服天数]])*配置!$B$1</f>
        <v>1000</v>
      </c>
      <c r="F3" s="380">
        <f>表1_86121822242644[[#This Row],[补偿Coin]]*(表1_86121822242644[[#This Row],[活跃高战玩家数]]+表1_86121822242644[[#This Row],[活跃中坚玩家数]])</f>
        <v>24000</v>
      </c>
      <c r="G3" s="380">
        <f>(VLOOKUP(表1_86121822242644[[#This Row],[目标区服]],$R$26:$S$29,2,FALSE)-表1_86121822242644[[#This Row],[开服天数]])*配置!$B$2</f>
        <v>10</v>
      </c>
      <c r="H3" s="376" t="s">
        <v>26</v>
      </c>
      <c r="I3" s="376">
        <f>IF(表1_86121822242644[[#This Row],[原国家]]="魏",0,IF(表1_86121822242644[[#This Row],[原国家]]="蜀",1,2))</f>
        <v>1</v>
      </c>
      <c r="J3" s="380">
        <v>3</v>
      </c>
      <c r="K3" s="380">
        <v>154</v>
      </c>
      <c r="L3" s="380">
        <v>4</v>
      </c>
      <c r="M3" s="380">
        <v>20</v>
      </c>
      <c r="N3" s="380">
        <v>135607</v>
      </c>
      <c r="O3" s="380">
        <v>4640663</v>
      </c>
      <c r="P3" s="381">
        <v>32651921</v>
      </c>
      <c r="Q3" s="31" t="s">
        <v>26</v>
      </c>
      <c r="R3" s="376">
        <f>IF(表1_86121822242644[[#This Row],[目标国家]]="魏",0,IF(表1_86121822242644[[#This Row],[目标国家]]="蜀",1,2))</f>
        <v>1</v>
      </c>
      <c r="S3" s="380">
        <v>222994</v>
      </c>
      <c r="T3" s="380">
        <v>0</v>
      </c>
      <c r="U3" s="380">
        <v>462621</v>
      </c>
      <c r="V3" s="380">
        <v>17345</v>
      </c>
      <c r="W3" s="374">
        <v>1246036</v>
      </c>
      <c r="X3" s="387" t="str">
        <f>"{"&amp;"'coin':"&amp;表1_86121822242644[[#This Row],[补偿Coin]]&amp;",'"&amp;配置!$A$2&amp;"':"&amp;表1_86121822242644[[#This Row],[补偿辎重]]&amp;"},"</f>
        <v>{'coin':1000,'item036':10},</v>
      </c>
      <c r="Y3" s="388" t="str">
        <f>"            'to_zone':'"&amp;表1_86121822242644[[#This Row],[目标区服]]&amp;"',
            'reward':"&amp;表1_86121822242644[[#This Row],[辅助导出]]&amp;"
            'country':["&amp;R2&amp;","&amp;R3&amp;","&amp;R4&amp;"],"</f>
        <v>            'to_zone':'h1_41',
            'reward':{'coin':1000,'item036':10},
            'country':[0,1,2],</v>
      </c>
    </row>
    <row r="4" s="354" customFormat="1" ht="14.25" customHeight="1" spans="1:25">
      <c r="A4" s="375">
        <v>101</v>
      </c>
      <c r="B4" s="371">
        <f>VLOOKUP(表1_86121822242644[[#This Row],[区服]],$P$26:$Q$33,2,FALSE)</f>
        <v>56</v>
      </c>
      <c r="C4" s="372" t="s">
        <v>85</v>
      </c>
      <c r="D4" s="376" t="str">
        <f>表1_86121822242644[[#This Row],[目标国家]]</f>
        <v>吴</v>
      </c>
      <c r="E4" s="380">
        <f>(VLOOKUP(表1_86121822242644[[#This Row],[目标区服]],$R$26:$S$29,2,FALSE)-表1_86121822242644[[#This Row],[开服天数]])*配置!$B$1</f>
        <v>1000</v>
      </c>
      <c r="F4" s="380">
        <f>表1_86121822242644[[#This Row],[补偿Coin]]*(表1_86121822242644[[#This Row],[活跃高战玩家数]]+表1_86121822242644[[#This Row],[活跃中坚玩家数]])</f>
        <v>19000</v>
      </c>
      <c r="G4" s="380">
        <f>(VLOOKUP(表1_86121822242644[[#This Row],[目标区服]],$R$26:$S$29,2,FALSE)-表1_86121822242644[[#This Row],[开服天数]])*配置!$B$2</f>
        <v>10</v>
      </c>
      <c r="H4" s="376" t="s">
        <v>27</v>
      </c>
      <c r="I4" s="376">
        <f>IF(表1_86121822242644[[#This Row],[原国家]]="魏",0,IF(表1_86121822242644[[#This Row],[原国家]]="蜀",1,2))</f>
        <v>2</v>
      </c>
      <c r="J4" s="380">
        <v>2</v>
      </c>
      <c r="K4" s="380">
        <v>79</v>
      </c>
      <c r="L4" s="380">
        <v>2</v>
      </c>
      <c r="M4" s="380">
        <v>17</v>
      </c>
      <c r="N4" s="380">
        <v>66050</v>
      </c>
      <c r="O4" s="380">
        <v>2499484</v>
      </c>
      <c r="P4" s="381">
        <v>16722971</v>
      </c>
      <c r="Q4" s="31" t="s">
        <v>27</v>
      </c>
      <c r="R4" s="376">
        <f>IF(表1_86121822242644[[#This Row],[目标国家]]="魏",0,IF(表1_86121822242644[[#This Row],[目标国家]]="蜀",1,2))</f>
        <v>2</v>
      </c>
      <c r="S4" s="380">
        <v>36624</v>
      </c>
      <c r="T4" s="380">
        <v>0</v>
      </c>
      <c r="U4" s="380">
        <v>277378</v>
      </c>
      <c r="V4" s="380">
        <v>6729</v>
      </c>
      <c r="W4" s="374">
        <v>673328</v>
      </c>
      <c r="X4" s="387" t="str">
        <f>"{"&amp;"'coin':"&amp;表1_86121822242644[[#This Row],[补偿Coin]]&amp;",'"&amp;配置!$A$2&amp;"':"&amp;表1_86121822242644[[#This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5">
        <v>102</v>
      </c>
      <c r="B5" s="371">
        <f>VLOOKUP(表1_86121822242644[[#This Row],[区服]],$P$26:$Q$33,2,FALSE)</f>
        <v>55</v>
      </c>
      <c r="C5" s="372" t="s">
        <v>85</v>
      </c>
      <c r="D5" s="376" t="str">
        <f>表1_86121822242644[[#This Row],[目标国家]]</f>
        <v>吴</v>
      </c>
      <c r="E5" s="380">
        <f>(VLOOKUP(表1_86121822242644[[#This Row],[目标区服]],$R$26:$S$29,2,FALSE)-表1_86121822242644[[#This Row],[开服天数]])*配置!$B$1</f>
        <v>1500</v>
      </c>
      <c r="F5" s="380">
        <f>表1_86121822242644[[#This Row],[补偿Coin]]*(表1_86121822242644[[#This Row],[活跃高战玩家数]]+表1_86121822242644[[#This Row],[活跃中坚玩家数]])</f>
        <v>34500</v>
      </c>
      <c r="G5" s="380">
        <f>(VLOOKUP(表1_86121822242644[[#This Row],[目标区服]],$R$26:$S$29,2,FALSE)-表1_86121822242644[[#This Row],[开服天数]])*配置!$B$2</f>
        <v>15</v>
      </c>
      <c r="H5" s="376" t="s">
        <v>25</v>
      </c>
      <c r="I5" s="376">
        <f>IF(表1_86121822242644[[#This Row],[原国家]]="魏",0,IF(表1_86121822242644[[#This Row],[原国家]]="蜀",1,2))</f>
        <v>0</v>
      </c>
      <c r="J5" s="380">
        <v>7</v>
      </c>
      <c r="K5" s="380">
        <v>280</v>
      </c>
      <c r="L5" s="380">
        <v>7</v>
      </c>
      <c r="M5" s="380">
        <v>16</v>
      </c>
      <c r="N5" s="380">
        <v>141121</v>
      </c>
      <c r="O5" s="380">
        <v>3380131</v>
      </c>
      <c r="P5" s="381">
        <v>25845215</v>
      </c>
      <c r="Q5" s="31" t="s">
        <v>27</v>
      </c>
      <c r="R5" s="376">
        <f>IF(表1_86121822242644[[#This Row],[目标国家]]="魏",0,IF(表1_86121822242644[[#This Row],[目标国家]]="蜀",1,2))</f>
        <v>2</v>
      </c>
      <c r="S5" s="380">
        <v>86000</v>
      </c>
      <c r="T5" s="380">
        <v>36</v>
      </c>
      <c r="U5" s="380">
        <v>1025648</v>
      </c>
      <c r="V5" s="380">
        <v>13263</v>
      </c>
      <c r="W5" s="374">
        <v>1112438</v>
      </c>
      <c r="X5" s="387" t="str">
        <f>"{"&amp;"'coin':"&amp;表1_86121822242644[[#This Row],[补偿Coin]]&amp;",'"&amp;配置!$A$2&amp;"':"&amp;表1_86121822242644[[#This Row],[补偿辎重]]&amp;"},"</f>
        <v>{'coin':1500,'item036':15},</v>
      </c>
      <c r="Y5" s="388" t="str">
        <f>"      '"&amp;表1_86121822242644[[#This Row],[区服]]&amp;"':{"</f>
        <v>      '102':{</v>
      </c>
    </row>
    <row r="6" s="354" customFormat="1" ht="14.25" customHeight="1" spans="1:25">
      <c r="A6" s="371">
        <v>102</v>
      </c>
      <c r="B6" s="371">
        <f>VLOOKUP(表1_86121822242644[[#This Row],[区服]],$P$26:$Q$33,2,FALSE)</f>
        <v>55</v>
      </c>
      <c r="C6" s="372" t="s">
        <v>85</v>
      </c>
      <c r="D6" s="376" t="str">
        <f>表1_86121822242644[[#This Row],[目标国家]]</f>
        <v>蜀</v>
      </c>
      <c r="E6" s="380">
        <f>(VLOOKUP(表1_86121822242644[[#This Row],[目标区服]],$R$26:$S$29,2,FALSE)-表1_86121822242644[[#This Row],[开服天数]])*配置!$B$1</f>
        <v>1500</v>
      </c>
      <c r="F6" s="380">
        <f>表1_86121822242644[[#This Row],[补偿Coin]]*(表1_86121822242644[[#This Row],[活跃高战玩家数]]+表1_86121822242644[[#This Row],[活跃中坚玩家数]])</f>
        <v>18000</v>
      </c>
      <c r="G6" s="380">
        <f>(VLOOKUP(表1_86121822242644[[#This Row],[目标区服]],$R$26:$S$29,2,FALSE)-表1_86121822242644[[#This Row],[开服天数]])*配置!$B$2</f>
        <v>15</v>
      </c>
      <c r="H6" s="376" t="s">
        <v>26</v>
      </c>
      <c r="I6" s="376">
        <f>IF(表1_86121822242644[[#This Row],[原国家]]="魏",0,IF(表1_86121822242644[[#This Row],[原国家]]="蜀",1,2))</f>
        <v>1</v>
      </c>
      <c r="J6" s="380">
        <v>0</v>
      </c>
      <c r="K6" s="380">
        <v>35</v>
      </c>
      <c r="L6" s="380">
        <v>0</v>
      </c>
      <c r="M6" s="380">
        <v>12</v>
      </c>
      <c r="N6" s="380">
        <v>17194</v>
      </c>
      <c r="O6" s="380">
        <v>580391</v>
      </c>
      <c r="P6" s="381">
        <v>3608233</v>
      </c>
      <c r="Q6" s="31" t="s">
        <v>26</v>
      </c>
      <c r="R6" s="376">
        <f>IF(表1_86121822242644[[#This Row],[目标国家]]="魏",0,IF(表1_86121822242644[[#This Row],[目标国家]]="蜀",1,2))</f>
        <v>1</v>
      </c>
      <c r="S6" s="380">
        <v>138</v>
      </c>
      <c r="T6" s="380">
        <v>0</v>
      </c>
      <c r="U6" s="380">
        <v>112106</v>
      </c>
      <c r="V6" s="380">
        <v>1437</v>
      </c>
      <c r="W6" s="374">
        <v>340999</v>
      </c>
      <c r="X6" s="387" t="str">
        <f>"{"&amp;"'coin':"&amp;表1_86121822242644[[#This Row],[补偿Coin]]&amp;",'"&amp;配置!$A$2&amp;"':"&amp;表1_86121822242644[[#This Row],[补偿辎重]]&amp;"},"</f>
        <v>{'coin':1500,'item036':15},</v>
      </c>
      <c r="Y6" s="388" t="str">
        <f>"            'to_zone':'"&amp;表1_86121822242644[[#This Row],[目标区服]]&amp;"',
            'reward':"&amp;表1_86121822242644[[#This Row],[辅助导出]]&amp;"
            'country':["&amp;R5&amp;","&amp;R6&amp;","&amp;R7&amp;"],"</f>
        <v>            'to_zone':'h1_41',
            'reward':{'coin':1500,'item036':15},
            'country':[2,1,0],</v>
      </c>
    </row>
    <row r="7" s="354" customFormat="1" ht="14.25" customHeight="1" spans="1:25">
      <c r="A7" s="371">
        <v>102</v>
      </c>
      <c r="B7" s="371">
        <f>VLOOKUP(表1_86121822242644[[#This Row],[区服]],$P$26:$Q$33,2,FALSE)</f>
        <v>55</v>
      </c>
      <c r="C7" s="372" t="s">
        <v>85</v>
      </c>
      <c r="D7" s="376" t="str">
        <f>表1_86121822242644[[#This Row],[目标国家]]</f>
        <v>魏</v>
      </c>
      <c r="E7" s="380">
        <f>(VLOOKUP(表1_86121822242644[[#This Row],[目标区服]],$R$26:$S$29,2,FALSE)-表1_86121822242644[[#This Row],[开服天数]])*配置!$B$1</f>
        <v>1500</v>
      </c>
      <c r="F7" s="380">
        <f>表1_86121822242644[[#This Row],[补偿Coin]]*(表1_86121822242644[[#This Row],[活跃高战玩家数]]+表1_86121822242644[[#This Row],[活跃中坚玩家数]])</f>
        <v>19500</v>
      </c>
      <c r="G7" s="380">
        <f>(VLOOKUP(表1_86121822242644[[#This Row],[目标区服]],$R$26:$S$29,2,FALSE)-表1_86121822242644[[#This Row],[开服天数]])*配置!$B$2</f>
        <v>15</v>
      </c>
      <c r="H7" s="376" t="s">
        <v>27</v>
      </c>
      <c r="I7" s="376">
        <f>IF(表1_86121822242644[[#This Row],[原国家]]="魏",0,IF(表1_86121822242644[[#This Row],[原国家]]="蜀",1,2))</f>
        <v>2</v>
      </c>
      <c r="J7" s="380">
        <v>2</v>
      </c>
      <c r="K7" s="380">
        <v>80</v>
      </c>
      <c r="L7" s="380">
        <v>3</v>
      </c>
      <c r="M7" s="380">
        <v>10</v>
      </c>
      <c r="N7" s="380">
        <v>74814</v>
      </c>
      <c r="O7" s="380">
        <v>1947737</v>
      </c>
      <c r="P7" s="381">
        <v>11530672</v>
      </c>
      <c r="Q7" s="31" t="s">
        <v>25</v>
      </c>
      <c r="R7" s="376">
        <f>IF(表1_86121822242644[[#This Row],[目标国家]]="魏",0,IF(表1_86121822242644[[#This Row],[目标国家]]="蜀",1,2))</f>
        <v>0</v>
      </c>
      <c r="S7" s="380">
        <v>11210</v>
      </c>
      <c r="T7" s="380">
        <v>0</v>
      </c>
      <c r="U7" s="380">
        <v>361998</v>
      </c>
      <c r="V7" s="380">
        <v>4992</v>
      </c>
      <c r="W7" s="374">
        <v>670347</v>
      </c>
      <c r="X7" s="387" t="str">
        <f>"{"&amp;"'coin':"&amp;表1_86121822242644[[#This Row],[补偿Coin]]&amp;",'"&amp;配置!$A$2&amp;"':"&amp;表1_86121822242644[[#This Row],[补偿辎重]]&amp;"},"</f>
        <v>{'coin':1500,'item036':15},</v>
      </c>
      <c r="Y7" s="388" t="str">
        <f t="shared" ref="Y7" si="0">"      },"</f>
        <v>      },</v>
      </c>
    </row>
    <row r="8" s="354" customFormat="1" ht="14.25" customHeight="1" spans="1:25">
      <c r="A8" s="259">
        <v>103</v>
      </c>
      <c r="B8" s="210">
        <f>VLOOKUP(表1_86121822242644[[#This Row],[区服]],$P$26:$Q$33,2,FALSE)</f>
        <v>54</v>
      </c>
      <c r="C8" s="296" t="s">
        <v>86</v>
      </c>
      <c r="D8" s="212" t="str">
        <f>表1_86121822242644[[#This Row],[目标国家]]</f>
        <v>魏</v>
      </c>
      <c r="E8" s="213">
        <f>(VLOOKUP(表1_86121822242644[[#This Row],[目标区服]],$R$26:$S$29,2,FALSE)-表1_86121822242644[[#This Row],[开服天数]])*配置!$B$1</f>
        <v>1000</v>
      </c>
      <c r="F8" s="213">
        <f>表1_86121822242644[[#This Row],[补偿Coin]]*(表1_86121822242644[[#This Row],[活跃高战玩家数]]+表1_86121822242644[[#This Row],[活跃中坚玩家数]])</f>
        <v>19000</v>
      </c>
      <c r="G8" s="260">
        <f>(VLOOKUP(表1_86121822242644[[#This Row],[目标区服]],$R$26:$S$29,2,FALSE)-表1_86121822242644[[#This Row],[开服天数]])*配置!$B$2</f>
        <v>10</v>
      </c>
      <c r="H8" s="212" t="s">
        <v>25</v>
      </c>
      <c r="I8" s="268">
        <f>IF(表1_86121822242644[[#This Row],[原国家]]="魏",0,IF(表1_86121822242644[[#This Row],[原国家]]="蜀",1,2))</f>
        <v>0</v>
      </c>
      <c r="J8" s="213">
        <v>4</v>
      </c>
      <c r="K8" s="213">
        <v>124</v>
      </c>
      <c r="L8" s="213">
        <v>2</v>
      </c>
      <c r="M8" s="213">
        <v>17</v>
      </c>
      <c r="N8" s="213">
        <v>80768</v>
      </c>
      <c r="O8" s="419">
        <v>2547618</v>
      </c>
      <c r="P8" s="420">
        <v>15601088</v>
      </c>
      <c r="Q8" s="31" t="s">
        <v>25</v>
      </c>
      <c r="R8" s="212">
        <f>IF(表1_86121822242644[[#This Row],[目标国家]]="魏",0,IF(表1_86121822242644[[#This Row],[目标国家]]="蜀",1,2))</f>
        <v>0</v>
      </c>
      <c r="S8" s="213">
        <v>18360</v>
      </c>
      <c r="T8" s="213">
        <v>0</v>
      </c>
      <c r="U8" s="213">
        <v>329264</v>
      </c>
      <c r="V8" s="213">
        <v>6866</v>
      </c>
      <c r="W8" s="213">
        <v>742776</v>
      </c>
      <c r="X8" s="278" t="str">
        <f>"{"&amp;"'coin':"&amp;表1_86121822242644[[#This Row],[补偿Coin]]&amp;",'"&amp;配置!$A$2&amp;"':"&amp;表1_86121822242644[[#This Row],[补偿辎重]]&amp;"},"</f>
        <v>{'coin':1000,'item036':10},</v>
      </c>
      <c r="Y8" s="278" t="str">
        <f>"      '"&amp;表1_86121822242644[[#This Row],[区服]]&amp;"':{"</f>
        <v>      '103':{</v>
      </c>
    </row>
    <row r="9" s="354" customFormat="1" ht="14.25" customHeight="1" spans="1:25">
      <c r="A9" s="259">
        <v>103</v>
      </c>
      <c r="B9" s="210">
        <f>VLOOKUP(表1_86121822242644[[#This Row],[区服]],$P$26:$Q$33,2,FALSE)</f>
        <v>54</v>
      </c>
      <c r="C9" s="296" t="s">
        <v>86</v>
      </c>
      <c r="D9" s="212" t="str">
        <f>表1_86121822242644[[#This Row],[目标国家]]</f>
        <v>蜀</v>
      </c>
      <c r="E9" s="213">
        <f>(VLOOKUP(表1_86121822242644[[#This Row],[目标区服]],$R$26:$S$29,2,FALSE)-表1_86121822242644[[#This Row],[开服天数]])*配置!$B$1</f>
        <v>1000</v>
      </c>
      <c r="F9" s="213">
        <f>表1_86121822242644[[#This Row],[补偿Coin]]*(表1_86121822242644[[#This Row],[活跃高战玩家数]]+表1_86121822242644[[#This Row],[活跃中坚玩家数]])</f>
        <v>18000</v>
      </c>
      <c r="G9" s="260">
        <f>(VLOOKUP(表1_86121822242644[[#This Row],[目标区服]],$R$26:$S$29,2,FALSE)-表1_86121822242644[[#This Row],[开服天数]])*配置!$B$2</f>
        <v>10</v>
      </c>
      <c r="H9" s="212" t="s">
        <v>26</v>
      </c>
      <c r="I9" s="268">
        <f>IF(表1_86121822242644[[#This Row],[原国家]]="魏",0,IF(表1_86121822242644[[#This Row],[原国家]]="蜀",1,2))</f>
        <v>1</v>
      </c>
      <c r="J9" s="213">
        <v>3</v>
      </c>
      <c r="K9" s="213">
        <v>187</v>
      </c>
      <c r="L9" s="213">
        <v>5</v>
      </c>
      <c r="M9" s="213">
        <v>13</v>
      </c>
      <c r="N9" s="213">
        <v>94531</v>
      </c>
      <c r="O9" s="419">
        <v>2508919</v>
      </c>
      <c r="P9" s="420">
        <v>17189408</v>
      </c>
      <c r="Q9" s="31" t="s">
        <v>26</v>
      </c>
      <c r="R9" s="212">
        <f>IF(表1_86121822242644[[#This Row],[目标国家]]="魏",0,IF(表1_86121822242644[[#This Row],[目标国家]]="蜀",1,2))</f>
        <v>1</v>
      </c>
      <c r="S9" s="213">
        <v>20208</v>
      </c>
      <c r="T9" s="213">
        <v>328</v>
      </c>
      <c r="U9" s="213">
        <v>435279</v>
      </c>
      <c r="V9" s="213">
        <v>7697</v>
      </c>
      <c r="W9" s="213">
        <v>712624</v>
      </c>
      <c r="X9" s="278" t="str">
        <f>"{"&amp;"'coin':"&amp;表1_86121822242644[[#This Row],[补偿Coin]]&amp;",'"&amp;配置!$A$2&amp;"':"&amp;表1_86121822242644[[#This Row],[补偿辎重]]&amp;"},"</f>
        <v>{'coin':1000,'item036':10},</v>
      </c>
      <c r="Y9" s="278" t="str">
        <f>"            'to_zone':'"&amp;表1_86121822242644[[#This Row],[目标区服]]&amp;"',
            'reward':"&amp;表1_86121822242644[[#This Row],[辅助导出]]&amp;"
            'country':["&amp;R8&amp;","&amp;R9&amp;","&amp;R10&amp;"],"</f>
        <v>            'to_zone':'h1_42',
            'reward':{'coin':1000,'item036':10},
            'country':[0,1,2],</v>
      </c>
    </row>
    <row r="10" s="354" customFormat="1" ht="14.25" customHeight="1" spans="1:25">
      <c r="A10" s="259">
        <v>103</v>
      </c>
      <c r="B10" s="210">
        <f>VLOOKUP(表1_86121822242644[[#This Row],[区服]],$P$26:$Q$33,2,FALSE)</f>
        <v>54</v>
      </c>
      <c r="C10" s="296" t="s">
        <v>86</v>
      </c>
      <c r="D10" s="212" t="str">
        <f>表1_86121822242644[[#This Row],[目标国家]]</f>
        <v>吴</v>
      </c>
      <c r="E10" s="213">
        <f>(VLOOKUP(表1_86121822242644[[#This Row],[目标区服]],$R$26:$S$29,2,FALSE)-表1_86121822242644[[#This Row],[开服天数]])*配置!$B$1</f>
        <v>1000</v>
      </c>
      <c r="F10" s="213">
        <f>表1_86121822242644[[#This Row],[补偿Coin]]*(表1_86121822242644[[#This Row],[活跃高战玩家数]]+表1_86121822242644[[#This Row],[活跃中坚玩家数]])</f>
        <v>20000</v>
      </c>
      <c r="G10" s="260">
        <f>(VLOOKUP(表1_86121822242644[[#This Row],[目标区服]],$R$26:$S$29,2,FALSE)-表1_86121822242644[[#This Row],[开服天数]])*配置!$B$2</f>
        <v>10</v>
      </c>
      <c r="H10" s="212" t="s">
        <v>27</v>
      </c>
      <c r="I10" s="268">
        <f>IF(表1_86121822242644[[#This Row],[原国家]]="魏",0,IF(表1_86121822242644[[#This Row],[原国家]]="蜀",1,2))</f>
        <v>2</v>
      </c>
      <c r="J10" s="213">
        <v>2</v>
      </c>
      <c r="K10" s="213">
        <v>84</v>
      </c>
      <c r="L10" s="213">
        <v>2</v>
      </c>
      <c r="M10" s="213">
        <v>18</v>
      </c>
      <c r="N10" s="213">
        <v>91245</v>
      </c>
      <c r="O10" s="419">
        <v>1848306</v>
      </c>
      <c r="P10" s="420">
        <v>15908597</v>
      </c>
      <c r="Q10" s="31" t="s">
        <v>27</v>
      </c>
      <c r="R10" s="212">
        <f>IF(表1_86121822242644[[#This Row],[目标国家]]="魏",0,IF(表1_86121822242644[[#This Row],[目标国家]]="蜀",1,2))</f>
        <v>2</v>
      </c>
      <c r="S10" s="213">
        <v>19642</v>
      </c>
      <c r="T10" s="213">
        <v>0</v>
      </c>
      <c r="U10" s="213">
        <v>351300</v>
      </c>
      <c r="V10" s="213">
        <v>5700</v>
      </c>
      <c r="W10" s="213">
        <v>583087</v>
      </c>
      <c r="X10" s="278" t="str">
        <f>"{"&amp;"'coin':"&amp;表1_86121822242644[[#This Row],[补偿Coin]]&amp;",'"&amp;配置!$A$2&amp;"':"&amp;表1_86121822242644[[#This Row],[补偿辎重]]&amp;"},"</f>
        <v>{'coin':1000,'item036':10},</v>
      </c>
      <c r="Y10" s="278" t="str">
        <f>"      },"</f>
        <v>      },</v>
      </c>
    </row>
    <row r="11" s="354" customFormat="1" ht="14.25" customHeight="1" spans="1:25">
      <c r="A11" s="259">
        <v>104</v>
      </c>
      <c r="B11" s="210">
        <f>VLOOKUP(表1_86121822242644[[#This Row],[区服]],$P$26:$Q$33,2,FALSE)</f>
        <v>53</v>
      </c>
      <c r="C11" s="296" t="s">
        <v>86</v>
      </c>
      <c r="D11" s="212" t="str">
        <f>表1_86121822242644[[#This Row],[目标国家]]</f>
        <v>魏</v>
      </c>
      <c r="E11" s="213">
        <f>(VLOOKUP(表1_86121822242644[[#This Row],[目标区服]],$R$26:$S$29,2,FALSE)-表1_86121822242644[[#This Row],[开服天数]])*配置!$B$1</f>
        <v>1500</v>
      </c>
      <c r="F11" s="213">
        <f>表1_86121822242644[[#This Row],[补偿Coin]]*(表1_86121822242644[[#This Row],[活跃高战玩家数]]+表1_86121822242644[[#This Row],[活跃中坚玩家数]])</f>
        <v>36000</v>
      </c>
      <c r="G11" s="260">
        <f>(VLOOKUP(表1_86121822242644[[#This Row],[目标区服]],$R$26:$S$29,2,FALSE)-表1_86121822242644[[#This Row],[开服天数]])*配置!$B$2</f>
        <v>15</v>
      </c>
      <c r="H11" s="212" t="s">
        <v>25</v>
      </c>
      <c r="I11" s="268">
        <f>IF(表1_86121822242644[[#This Row],[原国家]]="魏",0,IF(表1_86121822242644[[#This Row],[原国家]]="蜀",1,2))</f>
        <v>0</v>
      </c>
      <c r="J11" s="213">
        <v>3</v>
      </c>
      <c r="K11" s="213">
        <v>120</v>
      </c>
      <c r="L11" s="213">
        <v>7</v>
      </c>
      <c r="M11" s="213">
        <v>17</v>
      </c>
      <c r="N11" s="213">
        <v>125655</v>
      </c>
      <c r="O11" s="419">
        <v>2788609</v>
      </c>
      <c r="P11" s="420">
        <v>25702688</v>
      </c>
      <c r="Q11" s="31" t="s">
        <v>25</v>
      </c>
      <c r="R11" s="212">
        <f>IF(表1_86121822242644[[#This Row],[目标国家]]="魏",0,IF(表1_86121822242644[[#This Row],[目标国家]]="蜀",1,2))</f>
        <v>0</v>
      </c>
      <c r="S11" s="213">
        <v>52950</v>
      </c>
      <c r="T11" s="213">
        <v>0</v>
      </c>
      <c r="U11" s="213">
        <v>634856</v>
      </c>
      <c r="V11" s="213">
        <v>9393</v>
      </c>
      <c r="W11" s="213">
        <v>755216</v>
      </c>
      <c r="X11" s="278" t="str">
        <f>"{"&amp;"'coin':"&amp;表1_86121822242644[[#This Row],[补偿Coin]]&amp;",'"&amp;配置!$A$2&amp;"':"&amp;表1_86121822242644[[#This Row],[补偿辎重]]&amp;"},"</f>
        <v>{'coin':1500,'item036':15},</v>
      </c>
      <c r="Y11" s="278" t="str">
        <f>"      '"&amp;表1_86121822242644[[#This Row],[区服]]&amp;"':{"</f>
        <v>      '104':{</v>
      </c>
    </row>
    <row r="12" s="354" customFormat="1" ht="14.25" customHeight="1" spans="1:25">
      <c r="A12" s="259">
        <v>104</v>
      </c>
      <c r="B12" s="210">
        <f>VLOOKUP(表1_86121822242644[[#This Row],[区服]],$P$26:$Q$33,2,FALSE)</f>
        <v>53</v>
      </c>
      <c r="C12" s="296" t="s">
        <v>86</v>
      </c>
      <c r="D12" s="212" t="str">
        <f>表1_86121822242644[[#This Row],[目标国家]]</f>
        <v>蜀</v>
      </c>
      <c r="E12" s="213">
        <f>(VLOOKUP(表1_86121822242644[[#This Row],[目标区服]],$R$26:$S$29,2,FALSE)-表1_86121822242644[[#This Row],[开服天数]])*配置!$B$1</f>
        <v>1500</v>
      </c>
      <c r="F12" s="213">
        <f>表1_86121822242644[[#This Row],[补偿Coin]]*(表1_86121822242644[[#This Row],[活跃高战玩家数]]+表1_86121822242644[[#This Row],[活跃中坚玩家数]])</f>
        <v>25500</v>
      </c>
      <c r="G12" s="260">
        <f>(VLOOKUP(表1_86121822242644[[#This Row],[目标区服]],$R$26:$S$29,2,FALSE)-表1_86121822242644[[#This Row],[开服天数]])*配置!$B$2</f>
        <v>15</v>
      </c>
      <c r="H12" s="212" t="s">
        <v>26</v>
      </c>
      <c r="I12" s="268">
        <f>IF(表1_86121822242644[[#This Row],[原国家]]="魏",0,IF(表1_86121822242644[[#This Row],[原国家]]="蜀",1,2))</f>
        <v>1</v>
      </c>
      <c r="J12" s="213">
        <v>3</v>
      </c>
      <c r="K12" s="213">
        <v>151</v>
      </c>
      <c r="L12" s="213">
        <v>0</v>
      </c>
      <c r="M12" s="213">
        <v>17</v>
      </c>
      <c r="N12" s="213">
        <v>57224</v>
      </c>
      <c r="O12" s="419">
        <v>2129823</v>
      </c>
      <c r="P12" s="420">
        <v>11349338</v>
      </c>
      <c r="Q12" s="31" t="s">
        <v>26</v>
      </c>
      <c r="R12" s="212">
        <f>IF(表1_86121822242644[[#This Row],[目标国家]]="魏",0,IF(表1_86121822242644[[#This Row],[目标国家]]="蜀",1,2))</f>
        <v>1</v>
      </c>
      <c r="S12" s="213">
        <v>16680</v>
      </c>
      <c r="T12" s="213">
        <v>0</v>
      </c>
      <c r="U12" s="213">
        <v>248656</v>
      </c>
      <c r="V12" s="213">
        <v>5985</v>
      </c>
      <c r="W12" s="213">
        <v>567778</v>
      </c>
      <c r="X12" s="278" t="str">
        <f>"{"&amp;"'coin':"&amp;表1_86121822242644[[#This Row],[补偿Coin]]&amp;",'"&amp;配置!$A$2&amp;"':"&amp;表1_86121822242644[[#This Row],[补偿辎重]]&amp;"},"</f>
        <v>{'coin':1500,'item036':15},</v>
      </c>
      <c r="Y12" s="278" t="str">
        <f>"            'to_zone':'"&amp;表1_86121822242644[[#This Row],[目标区服]]&amp;"',
            'reward':"&amp;表1_86121822242644[[#This Row],[辅助导出]]&amp;"
            'country':["&amp;R11&amp;","&amp;R12&amp;","&amp;R13&amp;"],"</f>
        <v>            'to_zone':'h1_42',
            'reward':{'coin':1500,'item036':15},
            'country':[0,1,2],</v>
      </c>
    </row>
    <row r="13" s="354" customFormat="1" ht="14.25" customHeight="1" spans="1:25">
      <c r="A13" s="259">
        <v>104</v>
      </c>
      <c r="B13" s="210">
        <f>VLOOKUP(表1_86121822242644[[#This Row],[区服]],$P$26:$Q$33,2,FALSE)</f>
        <v>53</v>
      </c>
      <c r="C13" s="296" t="s">
        <v>86</v>
      </c>
      <c r="D13" s="212" t="str">
        <f>表1_86121822242644[[#This Row],[目标国家]]</f>
        <v>吴</v>
      </c>
      <c r="E13" s="213">
        <f>(VLOOKUP(表1_86121822242644[[#This Row],[目标区服]],$R$26:$S$29,2,FALSE)-表1_86121822242644[[#This Row],[开服天数]])*配置!$B$1</f>
        <v>1500</v>
      </c>
      <c r="F13" s="213">
        <f>表1_86121822242644[[#This Row],[补偿Coin]]*(表1_86121822242644[[#This Row],[活跃高战玩家数]]+表1_86121822242644[[#This Row],[活跃中坚玩家数]])</f>
        <v>28500</v>
      </c>
      <c r="G13" s="260">
        <f>(VLOOKUP(表1_86121822242644[[#This Row],[目标区服]],$R$26:$S$29,2,FALSE)-表1_86121822242644[[#This Row],[开服天数]])*配置!$B$2</f>
        <v>15</v>
      </c>
      <c r="H13" s="212" t="s">
        <v>27</v>
      </c>
      <c r="I13" s="268">
        <f>IF(表1_86121822242644[[#This Row],[原国家]]="魏",0,IF(表1_86121822242644[[#This Row],[原国家]]="蜀",1,2))</f>
        <v>2</v>
      </c>
      <c r="J13" s="213">
        <v>3</v>
      </c>
      <c r="K13" s="213">
        <v>124</v>
      </c>
      <c r="L13" s="213">
        <v>3</v>
      </c>
      <c r="M13" s="213">
        <v>16</v>
      </c>
      <c r="N13" s="213">
        <v>95055</v>
      </c>
      <c r="O13" s="419">
        <v>2815739</v>
      </c>
      <c r="P13" s="420">
        <v>19195675</v>
      </c>
      <c r="Q13" s="31" t="s">
        <v>27</v>
      </c>
      <c r="R13" s="212">
        <f>IF(表1_86121822242644[[#This Row],[目标国家]]="魏",0,IF(表1_86121822242644[[#This Row],[目标国家]]="蜀",1,2))</f>
        <v>2</v>
      </c>
      <c r="S13" s="213">
        <v>58902</v>
      </c>
      <c r="T13" s="213">
        <v>0</v>
      </c>
      <c r="U13" s="213">
        <v>431257</v>
      </c>
      <c r="V13" s="213">
        <v>8733</v>
      </c>
      <c r="W13" s="213">
        <v>784432</v>
      </c>
      <c r="X13" s="278" t="str">
        <f>"{"&amp;"'coin':"&amp;表1_86121822242644[[#This Row],[补偿Coin]]&amp;",'"&amp;配置!$A$2&amp;"':"&amp;表1_86121822242644[[#This Row],[补偿辎重]]&amp;"},"</f>
        <v>{'coin':1500,'item036':15},</v>
      </c>
      <c r="Y13" s="278" t="str">
        <f t="shared" ref="Y13" si="1">"      },"</f>
        <v>      },</v>
      </c>
    </row>
    <row r="14" ht="14.25" customHeight="1" spans="1:25">
      <c r="A14" s="17">
        <v>105</v>
      </c>
      <c r="B14" s="17">
        <f>VLOOKUP(表1_86121822242644[[#This Row],[区服]],$P$26:$Q$33,2,FALSE)</f>
        <v>52</v>
      </c>
      <c r="C14" s="18" t="s">
        <v>87</v>
      </c>
      <c r="D14" s="19" t="str">
        <f>表1_86121822242644[[#This Row],[目标国家]]</f>
        <v>魏</v>
      </c>
      <c r="E14" s="20">
        <f>(VLOOKUP(表1_86121822242644[[#This Row],[目标区服]],$R$26:$S$29,2,FALSE)-表1_86121822242644[[#This Row],[开服天数]])*配置!$B$1</f>
        <v>1000</v>
      </c>
      <c r="F14" s="20">
        <f>表1_86121822242644[[#This Row],[补偿Coin]]*(表1_86121822242644[[#This Row],[活跃高战玩家数]]+表1_86121822242644[[#This Row],[活跃中坚玩家数]])</f>
        <v>22000</v>
      </c>
      <c r="G14" s="20">
        <f>(VLOOKUP(表1_86121822242644[[#This Row],[目标区服]],$R$26:$S$29,2,FALSE)-表1_86121822242644[[#This Row],[开服天数]])*配置!$B$2</f>
        <v>10</v>
      </c>
      <c r="H14" s="19" t="s">
        <v>25</v>
      </c>
      <c r="I14" s="19">
        <f>IF(表1_86121822242644[[#This Row],[原国家]]="魏",0,IF(表1_86121822242644[[#This Row],[原国家]]="蜀",1,2))</f>
        <v>0</v>
      </c>
      <c r="J14" s="20">
        <v>7</v>
      </c>
      <c r="K14" s="20">
        <v>249</v>
      </c>
      <c r="L14" s="20">
        <v>5</v>
      </c>
      <c r="M14" s="20">
        <v>17</v>
      </c>
      <c r="N14" s="20">
        <v>100187</v>
      </c>
      <c r="O14" s="20">
        <v>3217573</v>
      </c>
      <c r="P14" s="26">
        <v>22953188</v>
      </c>
      <c r="Q14" s="31" t="s">
        <v>25</v>
      </c>
      <c r="R14" s="19">
        <f>IF(表1_86121822242644[[#This Row],[目标国家]]="魏",0,IF(表1_86121822242644[[#This Row],[目标国家]]="蜀",1,2))</f>
        <v>0</v>
      </c>
      <c r="S14" s="20">
        <v>69958</v>
      </c>
      <c r="T14" s="20">
        <v>148</v>
      </c>
      <c r="U14" s="20">
        <v>279140</v>
      </c>
      <c r="V14" s="20">
        <v>11443</v>
      </c>
      <c r="W14" s="32">
        <v>1133647</v>
      </c>
      <c r="X14" s="33" t="str">
        <f>"{"&amp;"'coin':"&amp;表1_86121822242644[[#This Row],[补偿Coin]]&amp;",'"&amp;配置!$A$2&amp;"':"&amp;表1_86121822242644[[#This Row],[补偿辎重]]&amp;"},"</f>
        <v>{'coin':1000,'item036':10},</v>
      </c>
      <c r="Y14" s="34" t="str">
        <f>"      '"&amp;表1_86121822242644[[#This Row],[区服]]&amp;"':{"</f>
        <v>      '105':{</v>
      </c>
    </row>
    <row r="15" ht="14.25" customHeight="1" spans="1:25">
      <c r="A15" s="17">
        <v>105</v>
      </c>
      <c r="B15" s="17">
        <f>VLOOKUP(表1_86121822242644[[#This Row],[区服]],$P$26:$Q$33,2,FALSE)</f>
        <v>52</v>
      </c>
      <c r="C15" s="18" t="s">
        <v>87</v>
      </c>
      <c r="D15" s="19" t="str">
        <f>表1_86121822242644[[#This Row],[目标国家]]</f>
        <v>蜀</v>
      </c>
      <c r="E15" s="20">
        <f>(VLOOKUP(表1_86121822242644[[#This Row],[目标区服]],$R$26:$S$29,2,FALSE)-表1_86121822242644[[#This Row],[开服天数]])*配置!$B$1</f>
        <v>1000</v>
      </c>
      <c r="F15" s="20">
        <f>表1_86121822242644[[#This Row],[补偿Coin]]*(表1_86121822242644[[#This Row],[活跃高战玩家数]]+表1_86121822242644[[#This Row],[活跃中坚玩家数]])</f>
        <v>34000</v>
      </c>
      <c r="G15" s="20">
        <f>(VLOOKUP(表1_86121822242644[[#This Row],[目标区服]],$R$26:$S$29,2,FALSE)-表1_86121822242644[[#This Row],[开服天数]])*配置!$B$2</f>
        <v>10</v>
      </c>
      <c r="H15" s="19" t="s">
        <v>26</v>
      </c>
      <c r="I15" s="19">
        <f>IF(表1_86121822242644[[#This Row],[原国家]]="魏",0,IF(表1_86121822242644[[#This Row],[原国家]]="蜀",1,2))</f>
        <v>1</v>
      </c>
      <c r="J15" s="20">
        <v>2</v>
      </c>
      <c r="K15" s="20">
        <v>82</v>
      </c>
      <c r="L15" s="20">
        <v>3</v>
      </c>
      <c r="M15" s="20">
        <v>31</v>
      </c>
      <c r="N15" s="20">
        <v>152992</v>
      </c>
      <c r="O15" s="20">
        <v>2675155</v>
      </c>
      <c r="P15" s="26">
        <v>31973398</v>
      </c>
      <c r="Q15" s="31" t="s">
        <v>26</v>
      </c>
      <c r="R15" s="19">
        <f>IF(表1_86121822242644[[#This Row],[目标国家]]="魏",0,IF(表1_86121822242644[[#This Row],[目标国家]]="蜀",1,2))</f>
        <v>1</v>
      </c>
      <c r="S15" s="20">
        <v>127886</v>
      </c>
      <c r="T15" s="20">
        <v>0</v>
      </c>
      <c r="U15" s="20">
        <v>1029823</v>
      </c>
      <c r="V15" s="20">
        <v>12008</v>
      </c>
      <c r="W15" s="32">
        <v>1091937</v>
      </c>
      <c r="X15" s="33" t="str">
        <f>"{"&amp;"'coin':"&amp;表1_86121822242644[[#This Row],[补偿Coin]]&amp;",'"&amp;配置!$A$2&amp;"':"&amp;表1_86121822242644[[#This Row],[补偿辎重]]&amp;"},"</f>
        <v>{'coin':1000,'item036':10},</v>
      </c>
      <c r="Y15" s="34" t="str">
        <f>"            'to_zone':'"&amp;表1_86121822242644[[#This Row],[目标区服]]&amp;"',
            'reward':"&amp;表1_86121822242644[[#This Row],[辅助导出]]&amp;"
            'country':["&amp;R14&amp;","&amp;R15&amp;","&amp;R16&amp;"],"</f>
        <v>            'to_zone':'h1_43',
            'reward':{'coin':1000,'item036':10},
            'country':[0,1,2],</v>
      </c>
    </row>
    <row r="16" ht="14.25" customHeight="1" spans="1:25">
      <c r="A16" s="17">
        <v>105</v>
      </c>
      <c r="B16" s="17">
        <f>VLOOKUP(表1_86121822242644[[#This Row],[区服]],$P$26:$Q$33,2,FALSE)</f>
        <v>52</v>
      </c>
      <c r="C16" s="18" t="s">
        <v>87</v>
      </c>
      <c r="D16" s="19" t="str">
        <f>表1_86121822242644[[#This Row],[目标国家]]</f>
        <v>吴</v>
      </c>
      <c r="E16" s="20">
        <f>(VLOOKUP(表1_86121822242644[[#This Row],[目标区服]],$R$26:$S$29,2,FALSE)-表1_86121822242644[[#This Row],[开服天数]])*配置!$B$1</f>
        <v>1000</v>
      </c>
      <c r="F16" s="20">
        <f>表1_86121822242644[[#This Row],[补偿Coin]]*(表1_86121822242644[[#This Row],[活跃高战玩家数]]+表1_86121822242644[[#This Row],[活跃中坚玩家数]])</f>
        <v>12000</v>
      </c>
      <c r="G16" s="20">
        <f>(VLOOKUP(表1_86121822242644[[#This Row],[目标区服]],$R$26:$S$29,2,FALSE)-表1_86121822242644[[#This Row],[开服天数]])*配置!$B$2</f>
        <v>10</v>
      </c>
      <c r="H16" s="19" t="s">
        <v>27</v>
      </c>
      <c r="I16" s="19">
        <f>IF(表1_86121822242644[[#This Row],[原国家]]="魏",0,IF(表1_86121822242644[[#This Row],[原国家]]="蜀",1,2))</f>
        <v>2</v>
      </c>
      <c r="J16" s="20">
        <v>0</v>
      </c>
      <c r="K16" s="20">
        <v>64</v>
      </c>
      <c r="L16" s="20">
        <v>1</v>
      </c>
      <c r="M16" s="20">
        <v>11</v>
      </c>
      <c r="N16" s="20">
        <v>33393</v>
      </c>
      <c r="O16" s="20">
        <v>1757037</v>
      </c>
      <c r="P16" s="26">
        <v>8601223</v>
      </c>
      <c r="Q16" s="31" t="s">
        <v>27</v>
      </c>
      <c r="R16" s="19">
        <f>IF(表1_86121822242644[[#This Row],[目标国家]]="魏",0,IF(表1_86121822242644[[#This Row],[目标国家]]="蜀",1,2))</f>
        <v>2</v>
      </c>
      <c r="S16" s="20">
        <v>7512</v>
      </c>
      <c r="T16" s="20">
        <v>0</v>
      </c>
      <c r="U16" s="20">
        <v>138499</v>
      </c>
      <c r="V16" s="20">
        <v>3718</v>
      </c>
      <c r="W16" s="32">
        <v>689810</v>
      </c>
      <c r="X16" s="33" t="str">
        <f>"{"&amp;"'coin':"&amp;表1_86121822242644[[#This Row],[补偿Coin]]&amp;",'"&amp;配置!$A$2&amp;"':"&amp;表1_86121822242644[[#This Row],[补偿辎重]]&amp;"},"</f>
        <v>{'coin':1000,'item036':10},</v>
      </c>
      <c r="Y16" s="34" t="str">
        <f t="shared" ref="Y16" si="2">"      },"</f>
        <v>      },</v>
      </c>
    </row>
    <row r="17" ht="14.25" customHeight="1" spans="1:25">
      <c r="A17" s="17">
        <v>106</v>
      </c>
      <c r="B17" s="17">
        <f>VLOOKUP(表1_86121822242644[[#This Row],[区服]],$P$26:$Q$33,2,FALSE)</f>
        <v>51</v>
      </c>
      <c r="C17" s="18" t="s">
        <v>87</v>
      </c>
      <c r="D17" s="19" t="str">
        <f>表1_86121822242644[[#This Row],[目标国家]]</f>
        <v>蜀</v>
      </c>
      <c r="E17" s="20">
        <f>(VLOOKUP(表1_86121822242644[[#This Row],[目标区服]],$R$26:$S$29,2,FALSE)-表1_86121822242644[[#This Row],[开服天数]])*配置!$B$1</f>
        <v>1500</v>
      </c>
      <c r="F17" s="20">
        <f>表1_86121822242644[[#This Row],[补偿Coin]]*(表1_86121822242644[[#This Row],[活跃高战玩家数]]+表1_86121822242644[[#This Row],[活跃中坚玩家数]])</f>
        <v>15000</v>
      </c>
      <c r="G17" s="20">
        <f>(VLOOKUP(表1_86121822242644[[#This Row],[目标区服]],$R$26:$S$29,2,FALSE)-表1_86121822242644[[#This Row],[开服天数]])*配置!$B$2</f>
        <v>15</v>
      </c>
      <c r="H17" s="19" t="s">
        <v>25</v>
      </c>
      <c r="I17" s="19">
        <f>IF(表1_86121822242644[[#This Row],[原国家]]="魏",0,IF(表1_86121822242644[[#This Row],[原国家]]="蜀",1,2))</f>
        <v>0</v>
      </c>
      <c r="J17" s="20">
        <v>0</v>
      </c>
      <c r="K17" s="20">
        <v>54</v>
      </c>
      <c r="L17" s="20">
        <v>0</v>
      </c>
      <c r="M17" s="20">
        <v>10</v>
      </c>
      <c r="N17" s="20">
        <v>49083</v>
      </c>
      <c r="O17" s="20">
        <v>1280457</v>
      </c>
      <c r="P17" s="26">
        <v>7496907</v>
      </c>
      <c r="Q17" s="31" t="s">
        <v>26</v>
      </c>
      <c r="R17" s="19">
        <f>IF(表1_86121822242644[[#This Row],[目标国家]]="魏",0,IF(表1_86121822242644[[#This Row],[目标国家]]="蜀",1,2))</f>
        <v>1</v>
      </c>
      <c r="S17" s="20">
        <v>17676</v>
      </c>
      <c r="T17" s="20">
        <v>426</v>
      </c>
      <c r="U17" s="20">
        <v>100118</v>
      </c>
      <c r="V17" s="20">
        <v>3400</v>
      </c>
      <c r="W17" s="32">
        <v>419784</v>
      </c>
      <c r="X17" s="33" t="str">
        <f>"{"&amp;"'coin':"&amp;表1_86121822242644[[#This Row],[补偿Coin]]&amp;",'"&amp;配置!$A$2&amp;"':"&amp;表1_86121822242644[[#This Row],[补偿辎重]]&amp;"},"</f>
        <v>{'coin':1500,'item036':15},</v>
      </c>
      <c r="Y17" s="34" t="str">
        <f>"      '"&amp;表1_86121822242644[[#This Row],[区服]]&amp;"':{"</f>
        <v>      '106':{</v>
      </c>
    </row>
    <row r="18" ht="14.25" customHeight="1" spans="1:25">
      <c r="A18" s="17">
        <v>106</v>
      </c>
      <c r="B18" s="17">
        <f>VLOOKUP(表1_86121822242644[[#This Row],[区服]],$P$26:$Q$33,2,FALSE)</f>
        <v>51</v>
      </c>
      <c r="C18" s="18" t="s">
        <v>87</v>
      </c>
      <c r="D18" s="19" t="str">
        <f>表1_86121822242644[[#This Row],[目标国家]]</f>
        <v>魏</v>
      </c>
      <c r="E18" s="20">
        <f>(VLOOKUP(表1_86121822242644[[#This Row],[目标区服]],$R$26:$S$29,2,FALSE)-表1_86121822242644[[#This Row],[开服天数]])*配置!$B$1</f>
        <v>1500</v>
      </c>
      <c r="F18" s="20">
        <f>表1_86121822242644[[#This Row],[补偿Coin]]*(表1_86121822242644[[#This Row],[活跃高战玩家数]]+表1_86121822242644[[#This Row],[活跃中坚玩家数]])</f>
        <v>22500</v>
      </c>
      <c r="G18" s="20">
        <f>(VLOOKUP(表1_86121822242644[[#This Row],[目标区服]],$R$26:$S$29,2,FALSE)-表1_86121822242644[[#This Row],[开服天数]])*配置!$B$2</f>
        <v>15</v>
      </c>
      <c r="H18" s="19" t="s">
        <v>26</v>
      </c>
      <c r="I18" s="19">
        <f>IF(表1_86121822242644[[#This Row],[原国家]]="魏",0,IF(表1_86121822242644[[#This Row],[原国家]]="蜀",1,2))</f>
        <v>1</v>
      </c>
      <c r="J18" s="20">
        <v>1</v>
      </c>
      <c r="K18" s="20">
        <v>100</v>
      </c>
      <c r="L18" s="20">
        <v>4</v>
      </c>
      <c r="M18" s="20">
        <v>11</v>
      </c>
      <c r="N18" s="20">
        <v>59008</v>
      </c>
      <c r="O18" s="20">
        <v>2260996</v>
      </c>
      <c r="P18" s="26">
        <v>11808477</v>
      </c>
      <c r="Q18" s="31" t="s">
        <v>25</v>
      </c>
      <c r="R18" s="19">
        <f>IF(表1_86121822242644[[#This Row],[目标国家]]="魏",0,IF(表1_86121822242644[[#This Row],[目标国家]]="蜀",1,2))</f>
        <v>0</v>
      </c>
      <c r="S18" s="20">
        <v>23478</v>
      </c>
      <c r="T18" s="20">
        <v>0</v>
      </c>
      <c r="U18" s="20">
        <v>333520</v>
      </c>
      <c r="V18" s="20">
        <v>5707</v>
      </c>
      <c r="W18" s="32">
        <v>683800</v>
      </c>
      <c r="X18" s="33" t="str">
        <f>"{"&amp;"'coin':"&amp;表1_86121822242644[[#This Row],[补偿Coin]]&amp;",'"&amp;配置!$A$2&amp;"':"&amp;表1_86121822242644[[#This Row],[补偿辎重]]&amp;"},"</f>
        <v>{'coin':1500,'item036':15},</v>
      </c>
      <c r="Y18" s="34" t="str">
        <f>"            'to_zone':'"&amp;表1_86121822242644[[#This Row],[目标区服]]&amp;"',
            'reward':"&amp;表1_86121822242644[[#This Row],[辅助导出]]&amp;"
            'country':["&amp;R17&amp;","&amp;R18&amp;","&amp;R19&amp;"],"</f>
        <v>            'to_zone':'h1_43',
            'reward':{'coin':1500,'item036':15},
            'country':[1,0,2],</v>
      </c>
    </row>
    <row r="19" ht="14.25" customHeight="1" spans="1:25">
      <c r="A19" s="17">
        <v>106</v>
      </c>
      <c r="B19" s="17">
        <f>VLOOKUP(表1_86121822242644[[#This Row],[区服]],$P$26:$Q$33,2,FALSE)</f>
        <v>51</v>
      </c>
      <c r="C19" s="18" t="s">
        <v>87</v>
      </c>
      <c r="D19" s="19" t="str">
        <f>表1_86121822242644[[#This Row],[目标国家]]</f>
        <v>吴</v>
      </c>
      <c r="E19" s="20">
        <f>(VLOOKUP(表1_86121822242644[[#This Row],[目标区服]],$R$26:$S$29,2,FALSE)-表1_86121822242644[[#This Row],[开服天数]])*配置!$B$1</f>
        <v>1500</v>
      </c>
      <c r="F19" s="20">
        <f>表1_86121822242644[[#This Row],[补偿Coin]]*(表1_86121822242644[[#This Row],[活跃高战玩家数]]+表1_86121822242644[[#This Row],[活跃中坚玩家数]])</f>
        <v>42000</v>
      </c>
      <c r="G19" s="20">
        <f>(VLOOKUP(表1_86121822242644[[#This Row],[目标区服]],$R$26:$S$29,2,FALSE)-表1_86121822242644[[#This Row],[开服天数]])*配置!$B$2</f>
        <v>15</v>
      </c>
      <c r="H19" s="19" t="s">
        <v>27</v>
      </c>
      <c r="I19" s="19">
        <f>IF(表1_86121822242644[[#This Row],[原国家]]="魏",0,IF(表1_86121822242644[[#This Row],[原国家]]="蜀",1,2))</f>
        <v>2</v>
      </c>
      <c r="J19" s="20">
        <v>8</v>
      </c>
      <c r="K19" s="20">
        <v>241</v>
      </c>
      <c r="L19" s="20">
        <v>6</v>
      </c>
      <c r="M19" s="20">
        <v>22</v>
      </c>
      <c r="N19" s="20">
        <v>153834</v>
      </c>
      <c r="O19" s="20">
        <v>3034963</v>
      </c>
      <c r="P19" s="26">
        <v>27161432</v>
      </c>
      <c r="Q19" s="31" t="s">
        <v>27</v>
      </c>
      <c r="R19" s="19">
        <f>IF(表1_86121822242644[[#This Row],[目标国家]]="魏",0,IF(表1_86121822242644[[#This Row],[目标国家]]="蜀",1,2))</f>
        <v>2</v>
      </c>
      <c r="S19" s="20">
        <v>73640</v>
      </c>
      <c r="T19" s="20">
        <v>0</v>
      </c>
      <c r="U19" s="20">
        <v>270651</v>
      </c>
      <c r="V19" s="20">
        <v>12074</v>
      </c>
      <c r="W19" s="32">
        <v>805060</v>
      </c>
      <c r="X19" s="33" t="str">
        <f>"{"&amp;"'coin':"&amp;表1_86121822242644[[#This Row],[补偿Coin]]&amp;",'"&amp;配置!$A$2&amp;"':"&amp;表1_86121822242644[[#This Row],[补偿辎重]]&amp;"},"</f>
        <v>{'coin':1500,'item036':15},</v>
      </c>
      <c r="Y19" s="34" t="str">
        <f t="shared" ref="Y19" si="3">"      },"</f>
        <v>      },</v>
      </c>
    </row>
    <row r="20" ht="14.25" customHeight="1" spans="1:25">
      <c r="A20" s="17"/>
      <c r="B20" s="17" t="e">
        <f>VLOOKUP(表1_86121822242644[[#This Row],[区服]],$P$26:$Q$33,2,FALSE)</f>
        <v>#N/A</v>
      </c>
      <c r="C20" s="18"/>
      <c r="D20" s="19" t="str">
        <f>表1_86121822242644[[#This Row],[目标国家]]</f>
        <v>魏</v>
      </c>
      <c r="E20" s="20" t="e">
        <f>(VLOOKUP(表1_86121822242644[[#This Row],[目标区服]],$R$26:$S$29,2,FALSE)-表1_86121822242644[[#This Row],[开服天数]])*配置!$B$1</f>
        <v>#N/A</v>
      </c>
      <c r="F20" s="20" t="e">
        <f>表1_86121822242644[[#This Row],[补偿Coin]]*(表1_86121822242644[[#This Row],[活跃高战玩家数]]+表1_86121822242644[[#This Row],[活跃中坚玩家数]])</f>
        <v>#N/A</v>
      </c>
      <c r="G20" s="20" t="e">
        <f>(VLOOKUP(表1_86121822242644[[#This Row],[目标区服]],$R$26:$S$29,2,FALSE)-表1_86121822242644[[#This Row],[开服天数]])*配置!$B$2</f>
        <v>#N/A</v>
      </c>
      <c r="H20" s="19" t="s">
        <v>25</v>
      </c>
      <c r="I20" s="19">
        <f>IF(表1_86121822242644[[#This Row],[原国家]]="魏",0,IF(表1_86121822242644[[#This Row],[原国家]]="蜀",1,2))</f>
        <v>0</v>
      </c>
      <c r="J20" s="20"/>
      <c r="K20" s="20"/>
      <c r="L20" s="20"/>
      <c r="M20" s="20"/>
      <c r="N20" s="20"/>
      <c r="O20" s="20"/>
      <c r="P20" s="26"/>
      <c r="Q20" s="31" t="s">
        <v>25</v>
      </c>
      <c r="R20" s="19">
        <f>IF(表1_86121822242644[[#This Row],[目标国家]]="魏",0,IF(表1_86121822242644[[#This Row],[目标国家]]="蜀",1,2))</f>
        <v>0</v>
      </c>
      <c r="S20" s="20"/>
      <c r="T20" s="20"/>
      <c r="U20" s="20"/>
      <c r="V20" s="20"/>
      <c r="W20" s="32"/>
      <c r="X20" s="33" t="e">
        <f>"{"&amp;"'coin':"&amp;表1_86121822242644[[#This Row],[补偿Coin]]&amp;",'"&amp;配置!$A$2&amp;"':"&amp;表1_86121822242644[[#This Row],[补偿辎重]]&amp;"},"</f>
        <v>#N/A</v>
      </c>
      <c r="Y20" s="34" t="str">
        <f>"      '"&amp;表1_86121822242644[[#This Row],[区服]]&amp;"':{"</f>
        <v>      '':{</v>
      </c>
    </row>
    <row r="21" ht="14.25" customHeight="1" spans="1:25">
      <c r="A21" s="17"/>
      <c r="B21" s="17" t="e">
        <f>VLOOKUP(表1_86121822242644[[#This Row],[区服]],$P$26:$Q$33,2,FALSE)</f>
        <v>#N/A</v>
      </c>
      <c r="C21" s="18"/>
      <c r="D21" s="19" t="str">
        <f>表1_86121822242644[[#This Row],[目标国家]]</f>
        <v>蜀</v>
      </c>
      <c r="E21" s="20" t="e">
        <f>(VLOOKUP(表1_86121822242644[[#This Row],[目标区服]],$R$26:$S$29,2,FALSE)-表1_86121822242644[[#This Row],[开服天数]])*配置!$B$1</f>
        <v>#N/A</v>
      </c>
      <c r="F21" s="20" t="e">
        <f>表1_86121822242644[[#This Row],[补偿Coin]]*(表1_86121822242644[[#This Row],[活跃高战玩家数]]+表1_86121822242644[[#This Row],[活跃中坚玩家数]])</f>
        <v>#N/A</v>
      </c>
      <c r="G21" s="20" t="e">
        <f>(VLOOKUP(表1_86121822242644[[#This Row],[目标区服]],$R$26:$S$29,2,FALSE)-表1_86121822242644[[#This Row],[开服天数]])*配置!$B$2</f>
        <v>#N/A</v>
      </c>
      <c r="H21" s="19" t="s">
        <v>26</v>
      </c>
      <c r="I21" s="19">
        <f>IF(表1_86121822242644[[#This Row],[原国家]]="魏",0,IF(表1_86121822242644[[#This Row],[原国家]]="蜀",1,2))</f>
        <v>1</v>
      </c>
      <c r="J21" s="20"/>
      <c r="K21" s="20"/>
      <c r="L21" s="20"/>
      <c r="M21" s="20"/>
      <c r="N21" s="20"/>
      <c r="O21" s="20"/>
      <c r="P21" s="26"/>
      <c r="Q21" s="31" t="s">
        <v>26</v>
      </c>
      <c r="R21" s="19">
        <f>IF(表1_86121822242644[[#This Row],[目标国家]]="魏",0,IF(表1_86121822242644[[#This Row],[目标国家]]="蜀",1,2))</f>
        <v>1</v>
      </c>
      <c r="S21" s="20"/>
      <c r="T21" s="20"/>
      <c r="U21" s="20"/>
      <c r="V21" s="20"/>
      <c r="W21" s="32"/>
      <c r="X21" s="33" t="e">
        <f>"{"&amp;"'coin':"&amp;表1_86121822242644[[#This Row],[补偿Coin]]&amp;",'"&amp;配置!$A$2&amp;"':"&amp;表1_86121822242644[[#This Row],[补偿辎重]]&amp;"},"</f>
        <v>#N/A</v>
      </c>
      <c r="Y21" s="34" t="e">
        <f>"            'to_zone':'"&amp;表1_86121822242644[[#This Row],[目标区服]]&amp;"',
            'reward':"&amp;表1_86121822242644[[#This Row],[辅助导出]]&amp;"
            'country':["&amp;R20&amp;","&amp;R21&amp;","&amp;R22&amp;"],"</f>
        <v>#N/A</v>
      </c>
    </row>
    <row r="22" ht="14.25" customHeight="1" spans="1:25">
      <c r="A22" s="17"/>
      <c r="B22" s="17" t="e">
        <f>VLOOKUP(表1_86121822242644[[#This Row],[区服]],$P$26:$Q$33,2,FALSE)</f>
        <v>#N/A</v>
      </c>
      <c r="C22" s="18"/>
      <c r="D22" s="19" t="str">
        <f>表1_86121822242644[[#This Row],[目标国家]]</f>
        <v>吴</v>
      </c>
      <c r="E22" s="20" t="e">
        <f>(VLOOKUP(表1_86121822242644[[#This Row],[目标区服]],$R$26:$S$29,2,FALSE)-表1_86121822242644[[#This Row],[开服天数]])*配置!$B$1</f>
        <v>#N/A</v>
      </c>
      <c r="F22" s="20" t="e">
        <f>表1_86121822242644[[#This Row],[补偿Coin]]*(表1_86121822242644[[#This Row],[活跃高战玩家数]]+表1_86121822242644[[#This Row],[活跃中坚玩家数]])</f>
        <v>#N/A</v>
      </c>
      <c r="G22" s="20" t="e">
        <f>(VLOOKUP(表1_86121822242644[[#This Row],[目标区服]],$R$26:$S$29,2,FALSE)-表1_86121822242644[[#This Row],[开服天数]])*配置!$B$2</f>
        <v>#N/A</v>
      </c>
      <c r="H22" s="19" t="s">
        <v>27</v>
      </c>
      <c r="I22" s="19">
        <f>IF(表1_86121822242644[[#This Row],[原国家]]="魏",0,IF(表1_86121822242644[[#This Row],[原国家]]="蜀",1,2))</f>
        <v>2</v>
      </c>
      <c r="J22" s="20"/>
      <c r="K22" s="20"/>
      <c r="L22" s="20"/>
      <c r="M22" s="20"/>
      <c r="N22" s="20"/>
      <c r="O22" s="20"/>
      <c r="P22" s="26"/>
      <c r="Q22" s="31" t="s">
        <v>27</v>
      </c>
      <c r="R22" s="19">
        <f>IF(表1_86121822242644[[#This Row],[目标国家]]="魏",0,IF(表1_86121822242644[[#This Row],[目标国家]]="蜀",1,2))</f>
        <v>2</v>
      </c>
      <c r="S22" s="20"/>
      <c r="T22" s="20"/>
      <c r="U22" s="20"/>
      <c r="V22" s="20"/>
      <c r="W22" s="32"/>
      <c r="X22" s="33" t="e">
        <f>"{"&amp;"'coin':"&amp;表1_86121822242644[[#This Row],[补偿Coin]]&amp;",'"&amp;配置!$A$2&amp;"':"&amp;表1_86121822242644[[#This Row],[补偿辎重]]&amp;"},"</f>
        <v>#N/A</v>
      </c>
      <c r="Y22" s="34" t="str">
        <f t="shared" ref="Y22" si="4">"      },"</f>
        <v>      },</v>
      </c>
    </row>
    <row r="25" ht="37.5" customHeight="1" spans="1:19">
      <c r="A25" s="36" t="s">
        <v>28</v>
      </c>
      <c r="B25" s="37" t="s">
        <v>29</v>
      </c>
      <c r="C25" s="38" t="s">
        <v>30</v>
      </c>
      <c r="D25" s="38" t="s">
        <v>31</v>
      </c>
      <c r="E25" s="38" t="s">
        <v>32</v>
      </c>
      <c r="F25" s="38" t="s">
        <v>33</v>
      </c>
      <c r="G25" s="38" t="s">
        <v>15</v>
      </c>
      <c r="H25" s="37" t="s">
        <v>18</v>
      </c>
      <c r="I25" s="37" t="s">
        <v>19</v>
      </c>
      <c r="J25" s="37" t="s">
        <v>34</v>
      </c>
      <c r="K25" s="38" t="s">
        <v>35</v>
      </c>
      <c r="L25" s="38" t="s">
        <v>36</v>
      </c>
      <c r="M25" s="38" t="s">
        <v>37</v>
      </c>
      <c r="N25" s="38" t="s">
        <v>88</v>
      </c>
      <c r="P25" s="51" t="s">
        <v>0</v>
      </c>
      <c r="Q25" s="51" t="s">
        <v>1</v>
      </c>
      <c r="R25" s="51"/>
      <c r="S25" s="51" t="s">
        <v>38</v>
      </c>
    </row>
    <row r="26" ht="15.75" customHeight="1" spans="1:19">
      <c r="A26" s="372" t="s">
        <v>85</v>
      </c>
      <c r="B26" s="39" t="s">
        <v>25</v>
      </c>
      <c r="C26" s="39">
        <f>COUNTIFS(表1_86121822242644[目标区服],表2_97131923252745[[#This Row],[合区区服]],表1_86121822242644[目标国家（映射）],表2_97131923252745[[#This Row],[国家]])</f>
        <v>2</v>
      </c>
      <c r="D26" s="39">
        <f>SUMIFS(表1_86121822242644[活跃高战玩家数],表1_86121822242644[目标区服],表2_97131923252745[[#This Row],[合区区服]],表1_86121822242644[目标国家（映射）],表2_97131923252745[[#This Row],[国家]])</f>
        <v>7</v>
      </c>
      <c r="E26" s="39">
        <f>SUMIFS(表1_86121822242644[活跃中坚玩家数],表1_86121822242644[目标区服],表2_97131923252745[[#This Row],[合区区服]],表1_86121822242644[目标国家（映射）],表2_97131923252745[[#This Row],[国家]])</f>
        <v>28</v>
      </c>
      <c r="F26" s="39">
        <f t="array" ref="F26">MAX((表1_86121822242644[目标区服]=表2_97131923252745[[#This Row],[合区区服]])*(表1_86121822242644[目标国家（映射）]=表2_97131923252745[[#This Row],[国家]])*表1_86121822242644[活跃尖端战力])</f>
        <v>4137084</v>
      </c>
      <c r="G26" s="40">
        <f>SUMIFS(表1_86121822242644[活跃总战力],表1_86121822242644[目标区服],表2_97131923252745[[#This Row],[合区区服]],表1_86121822242644[目标国家（映射）],表2_97131923252745[[#This Row],[国家]])</f>
        <v>36713622</v>
      </c>
      <c r="H26" s="39">
        <f>SUMIFS(表1_86121822242644[活跃实际充值],表1_86121822242644[目标区服],表2_97131923252745[[#This Row],[合区区服]],表1_86121822242644[目标国家（映射）],表2_97131923252745[[#This Row],[国家]])</f>
        <v>128406</v>
      </c>
      <c r="I26" s="39">
        <f>SUMIFS(表1_86121822242644[活跃虚拟充值],表1_86121822242644[目标区服],表2_97131923252745[[#This Row],[合区区服]],表1_86121822242644[目标国家（映射）],表2_97131923252745[[#This Row],[国家]])</f>
        <v>0</v>
      </c>
      <c r="J26" s="39">
        <f>SUMIFS(表1_86121822242644[活跃Coin],表1_86121822242644[目标区服],表2_97131923252745[[#This Row],[合区区服]],表1_86121822242644[目标国家（映射）],表2_97131923252745[[#This Row],[国家]])</f>
        <v>734227</v>
      </c>
      <c r="K26" s="39">
        <f>SUMIFS(表1_86121822242644[共计补偿Coin],表1_86121822242644[目标区服],表2_97131923252745[[#This Row],[合区区服]],表1_86121822242644[目标国家（映射）],表2_97131923252745[[#This Row],[国家]])</f>
        <v>41500</v>
      </c>
      <c r="L26" s="39">
        <f>表2_97131923252745[[#This Row],[活跃Coin]]+表2_97131923252745[[#This Row],[共计补偿Coin]]</f>
        <v>775727</v>
      </c>
      <c r="M26" s="39">
        <f>SUMIFS(表1_86121822242644[综合国力],表1_86121822242644[目标区服],表2_97131923252745[[#This Row],[合区区服]],表1_86121822242644[目标国家（映射）],表2_97131923252745[[#This Row],[国家]])</f>
        <v>17871</v>
      </c>
      <c r="N26" s="39">
        <f t="array" ref="N26">MAX((表1_86121822242644[目标区服]=表2_97131923252745[[#This Row],[合区区服]])*(表1_86121822242644[目标国家（映射）]=表2_97131923252745[[#This Row],[国家]])*表1_86121822242644[单将最高战力])</f>
        <v>1379138</v>
      </c>
      <c r="P26" s="51">
        <v>101</v>
      </c>
      <c r="Q26" s="51">
        <v>56</v>
      </c>
      <c r="R26" s="51" t="s">
        <v>85</v>
      </c>
      <c r="S26" s="51">
        <v>58</v>
      </c>
    </row>
    <row r="27" ht="15" spans="1:19">
      <c r="A27" s="372" t="s">
        <v>85</v>
      </c>
      <c r="B27" s="39" t="s">
        <v>26</v>
      </c>
      <c r="C27" s="39">
        <f>COUNTIFS(表1_86121822242644[目标区服],表2_97131923252745[[#This Row],[合区区服]],表1_86121822242644[目标国家（映射）],表2_97131923252745[[#This Row],[国家]])</f>
        <v>2</v>
      </c>
      <c r="D27" s="39">
        <f>SUMIFS(表1_86121822242644[活跃高战玩家数],表1_86121822242644[目标区服],表2_97131923252745[[#This Row],[合区区服]],表1_86121822242644[目标国家（映射）],表2_97131923252745[[#This Row],[国家]])</f>
        <v>4</v>
      </c>
      <c r="E27" s="39">
        <f>SUMIFS(表1_86121822242644[活跃中坚玩家数],表1_86121822242644[目标区服],表2_97131923252745[[#This Row],[合区区服]],表1_86121822242644[目标国家（映射）],表2_97131923252745[[#This Row],[国家]])</f>
        <v>32</v>
      </c>
      <c r="F27" s="39">
        <f t="array" ref="F27">MAX((表1_86121822242644[目标区服]=表2_97131923252745[[#This Row],[合区区服]])*(表1_86121822242644[目标国家（映射）]=表2_97131923252745[[#This Row],[国家]])*表1_86121822242644[活跃尖端战力])</f>
        <v>4640663</v>
      </c>
      <c r="G27" s="40">
        <f>SUMIFS(表1_86121822242644[活跃总战力],表1_86121822242644[目标区服],表2_97131923252745[[#This Row],[合区区服]],表1_86121822242644[目标国家（映射）],表2_97131923252745[[#This Row],[国家]])</f>
        <v>36260154</v>
      </c>
      <c r="H27" s="39">
        <f>SUMIFS(表1_86121822242644[活跃实际充值],表1_86121822242644[目标区服],表2_97131923252745[[#This Row],[合区区服]],表1_86121822242644[目标国家（映射）],表2_97131923252745[[#This Row],[国家]])</f>
        <v>223132</v>
      </c>
      <c r="I27" s="39">
        <f>SUMIFS(表1_86121822242644[活跃虚拟充值],表1_86121822242644[目标区服],表2_97131923252745[[#This Row],[合区区服]],表1_86121822242644[目标国家（映射）],表2_97131923252745[[#This Row],[国家]])</f>
        <v>0</v>
      </c>
      <c r="J27" s="39">
        <f>SUMIFS(表1_86121822242644[活跃Coin],表1_86121822242644[目标区服],表2_97131923252745[[#This Row],[合区区服]],表1_86121822242644[目标国家（映射）],表2_97131923252745[[#This Row],[国家]])</f>
        <v>574727</v>
      </c>
      <c r="K27" s="39">
        <f>SUMIFS(表1_86121822242644[共计补偿Coin],表1_86121822242644[目标区服],表2_97131923252745[[#This Row],[合区区服]],表1_86121822242644[目标国家（映射）],表2_97131923252745[[#This Row],[国家]])</f>
        <v>42000</v>
      </c>
      <c r="L27" s="39">
        <f>表2_97131923252745[[#This Row],[活跃Coin]]+表2_97131923252745[[#This Row],[共计补偿Coin]]</f>
        <v>616727</v>
      </c>
      <c r="M27" s="39">
        <f>SUMIFS(表1_86121822242644[综合国力],表1_86121822242644[目标区服],表2_97131923252745[[#This Row],[合区区服]],表1_86121822242644[目标国家（映射）],表2_97131923252745[[#This Row],[国家]])</f>
        <v>18782</v>
      </c>
      <c r="N27" s="39">
        <f t="array" ref="N27">MAX((表1_86121822242644[目标区服]=表2_97131923252745[[#This Row],[合区区服]])*(表1_86121822242644[目标国家（映射）]=表2_97131923252745[[#This Row],[国家]])*表1_86121822242644[单将最高战力])</f>
        <v>1246036</v>
      </c>
      <c r="P27" s="51">
        <v>102</v>
      </c>
      <c r="Q27" s="51">
        <v>55</v>
      </c>
      <c r="R27" s="51" t="s">
        <v>86</v>
      </c>
      <c r="S27" s="51">
        <v>56</v>
      </c>
    </row>
    <row r="28" ht="15" spans="1:19">
      <c r="A28" s="372" t="s">
        <v>85</v>
      </c>
      <c r="B28" s="39" t="s">
        <v>27</v>
      </c>
      <c r="C28" s="39">
        <f>COUNTIFS(表1_86121822242644[目标区服],表2_97131923252745[[#This Row],[合区区服]],表1_86121822242644[目标国家（映射）],表2_97131923252745[[#This Row],[国家]])</f>
        <v>2</v>
      </c>
      <c r="D28" s="39">
        <f>SUMIFS(表1_86121822242644[活跃高战玩家数],表1_86121822242644[目标区服],表2_97131923252745[[#This Row],[合区区服]],表1_86121822242644[目标国家（映射）],表2_97131923252745[[#This Row],[国家]])</f>
        <v>9</v>
      </c>
      <c r="E28" s="39">
        <f>SUMIFS(表1_86121822242644[活跃中坚玩家数],表1_86121822242644[目标区服],表2_97131923252745[[#This Row],[合区区服]],表1_86121822242644[目标国家（映射）],表2_97131923252745[[#This Row],[国家]])</f>
        <v>33</v>
      </c>
      <c r="F28" s="39">
        <f t="array" ref="F28">MAX((表1_86121822242644[目标区服]=表2_97131923252745[[#This Row],[合区区服]])*(表1_86121822242644[目标国家（映射）]=表2_97131923252745[[#This Row],[国家]])*表1_86121822242644[活跃尖端战力])</f>
        <v>3380131</v>
      </c>
      <c r="G28" s="40">
        <f>SUMIFS(表1_86121822242644[活跃总战力],表1_86121822242644[目标区服],表2_97131923252745[[#This Row],[合区区服]],表1_86121822242644[目标国家（映射）],表2_97131923252745[[#This Row],[国家]])</f>
        <v>42568186</v>
      </c>
      <c r="H28" s="39">
        <f>SUMIFS(表1_86121822242644[活跃实际充值],表1_86121822242644[目标区服],表2_97131923252745[[#This Row],[合区区服]],表1_86121822242644[目标国家（映射）],表2_97131923252745[[#This Row],[国家]])</f>
        <v>122624</v>
      </c>
      <c r="I28" s="39">
        <f>SUMIFS(表1_86121822242644[活跃虚拟充值],表1_86121822242644[目标区服],表2_97131923252745[[#This Row],[合区区服]],表1_86121822242644[目标国家（映射）],表2_97131923252745[[#This Row],[国家]])</f>
        <v>36</v>
      </c>
      <c r="J28" s="39">
        <f>SUMIFS(表1_86121822242644[活跃Coin],表1_86121822242644[目标区服],表2_97131923252745[[#This Row],[合区区服]],表1_86121822242644[目标国家（映射）],表2_97131923252745[[#This Row],[国家]])</f>
        <v>1303026</v>
      </c>
      <c r="K28" s="39">
        <f>SUMIFS(表1_86121822242644[共计补偿Coin],表1_86121822242644[目标区服],表2_97131923252745[[#This Row],[合区区服]],表1_86121822242644[目标国家（映射）],表2_97131923252745[[#This Row],[国家]])</f>
        <v>53500</v>
      </c>
      <c r="L28" s="39">
        <f>表2_97131923252745[[#This Row],[活跃Coin]]+表2_97131923252745[[#This Row],[共计补偿Coin]]</f>
        <v>1356526</v>
      </c>
      <c r="M28" s="39">
        <f>SUMIFS(表1_86121822242644[综合国力],表1_86121822242644[目标区服],表2_97131923252745[[#This Row],[合区区服]],表1_86121822242644[目标国家（映射）],表2_97131923252745[[#This Row],[国家]])</f>
        <v>19992</v>
      </c>
      <c r="N28" s="39">
        <f t="array" ref="N28">MAX((表1_86121822242644[目标区服]=表2_97131923252745[[#This Row],[合区区服]])*(表1_86121822242644[目标国家（映射）]=表2_97131923252745[[#This Row],[国家]])*表1_86121822242644[单将最高战力])</f>
        <v>1112438</v>
      </c>
      <c r="P28" s="51">
        <v>103</v>
      </c>
      <c r="Q28" s="51">
        <v>54</v>
      </c>
      <c r="R28" s="51" t="s">
        <v>87</v>
      </c>
      <c r="S28" s="51">
        <v>54</v>
      </c>
    </row>
    <row r="29" ht="15" spans="1:19">
      <c r="A29" s="296" t="s">
        <v>86</v>
      </c>
      <c r="B29" s="41" t="s">
        <v>25</v>
      </c>
      <c r="C29" s="41">
        <f>COUNTIFS(表1_86121822242644[目标区服],表2_97131923252745[[#This Row],[合区区服]],表1_86121822242644[目标国家（映射）],表2_97131923252745[[#This Row],[国家]])</f>
        <v>2</v>
      </c>
      <c r="D29" s="41">
        <f>SUMIFS(表1_86121822242644[活跃高战玩家数],表1_86121822242644[目标区服],表2_97131923252745[[#This Row],[合区区服]],表1_86121822242644[目标国家（映射）],表2_97131923252745[[#This Row],[国家]])</f>
        <v>9</v>
      </c>
      <c r="E29" s="41">
        <f>SUMIFS(表1_86121822242644[活跃中坚玩家数],表1_86121822242644[目标区服],表2_97131923252745[[#This Row],[合区区服]],表1_86121822242644[目标国家（映射）],表2_97131923252745[[#This Row],[国家]])</f>
        <v>34</v>
      </c>
      <c r="F29" s="41">
        <f t="array" ref="F29">MAX((表1_86121822242644[目标区服]=表2_97131923252745[[#This Row],[合区区服]])*(表1_86121822242644[目标国家（映射）]=表2_97131923252745[[#This Row],[国家]])*表1_86121822242644[活跃尖端战力])</f>
        <v>2788609</v>
      </c>
      <c r="G29" s="42">
        <f>SUMIFS(表1_86121822242644[活跃总战力],表1_86121822242644[目标区服],表2_97131923252745[[#This Row],[合区区服]],表1_86121822242644[目标国家（映射）],表2_97131923252745[[#This Row],[国家]])</f>
        <v>41303776</v>
      </c>
      <c r="H29" s="41">
        <f>SUMIFS(表1_86121822242644[活跃实际充值],表1_86121822242644[目标区服],表2_97131923252745[[#This Row],[合区区服]],表1_86121822242644[目标国家（映射）],表2_97131923252745[[#This Row],[国家]])</f>
        <v>71310</v>
      </c>
      <c r="I29" s="41">
        <f>SUMIFS(表1_86121822242644[活跃虚拟充值],表1_86121822242644[目标区服],表2_97131923252745[[#This Row],[合区区服]],表1_86121822242644[目标国家（映射）],表2_97131923252745[[#This Row],[国家]])</f>
        <v>0</v>
      </c>
      <c r="J29" s="41">
        <f>SUMIFS(表1_86121822242644[活跃Coin],表1_86121822242644[目标区服],表2_97131923252745[[#This Row],[合区区服]],表1_86121822242644[目标国家（映射）],表2_97131923252745[[#This Row],[国家]])</f>
        <v>964120</v>
      </c>
      <c r="K29" s="41">
        <f>SUMIFS(表1_86121822242644[共计补偿Coin],表1_86121822242644[目标区服],表2_97131923252745[[#This Row],[合区区服]],表1_86121822242644[目标国家（映射）],表2_97131923252745[[#This Row],[国家]])</f>
        <v>55000</v>
      </c>
      <c r="L29" s="41">
        <f>表2_97131923252745[[#This Row],[活跃Coin]]+表2_97131923252745[[#This Row],[共计补偿Coin]]</f>
        <v>1019120</v>
      </c>
      <c r="M29" s="41">
        <f>SUMIFS(表1_86121822242644[综合国力],表1_86121822242644[目标区服],表2_97131923252745[[#This Row],[合区区服]],表1_86121822242644[目标国家（映射）],表2_97131923252745[[#This Row],[国家]])</f>
        <v>16259</v>
      </c>
      <c r="N29" s="41">
        <f t="array" ref="N29">MAX((表1_86121822242644[目标区服]=表2_97131923252745[[#This Row],[合区区服]])*(表1_86121822242644[目标国家（映射）]=表2_97131923252745[[#This Row],[国家]])*表1_86121822242644[单将最高战力])</f>
        <v>755216</v>
      </c>
      <c r="P29" s="51">
        <v>104</v>
      </c>
      <c r="Q29" s="51">
        <v>53</v>
      </c>
      <c r="R29" s="51"/>
      <c r="S29" s="51"/>
    </row>
    <row r="30" ht="15" spans="1:17">
      <c r="A30" s="296" t="s">
        <v>86</v>
      </c>
      <c r="B30" s="41" t="s">
        <v>26</v>
      </c>
      <c r="C30" s="41">
        <f>COUNTIFS(表1_86121822242644[目标区服],表2_97131923252745[[#This Row],[合区区服]],表1_86121822242644[目标国家（映射）],表2_97131923252745[[#This Row],[国家]])</f>
        <v>2</v>
      </c>
      <c r="D30" s="41">
        <f>SUMIFS(表1_86121822242644[活跃高战玩家数],表1_86121822242644[目标区服],表2_97131923252745[[#This Row],[合区区服]],表1_86121822242644[目标国家（映射）],表2_97131923252745[[#This Row],[国家]])</f>
        <v>5</v>
      </c>
      <c r="E30" s="41">
        <f>SUMIFS(表1_86121822242644[活跃中坚玩家数],表1_86121822242644[目标区服],表2_97131923252745[[#This Row],[合区区服]],表1_86121822242644[目标国家（映射）],表2_97131923252745[[#This Row],[国家]])</f>
        <v>30</v>
      </c>
      <c r="F30" s="41">
        <f t="array" ref="F30">MAX((表1_86121822242644[目标区服]=表2_97131923252745[[#This Row],[合区区服]])*(表1_86121822242644[目标国家（映射）]=表2_97131923252745[[#This Row],[国家]])*表1_86121822242644[活跃尖端战力])</f>
        <v>2508919</v>
      </c>
      <c r="G30" s="42">
        <f>SUMIFS(表1_86121822242644[活跃总战力],表1_86121822242644[目标区服],表2_97131923252745[[#This Row],[合区区服]],表1_86121822242644[目标国家（映射）],表2_97131923252745[[#This Row],[国家]])</f>
        <v>28538746</v>
      </c>
      <c r="H30" s="41">
        <f>SUMIFS(表1_86121822242644[活跃实际充值],表1_86121822242644[目标区服],表2_97131923252745[[#This Row],[合区区服]],表1_86121822242644[目标国家（映射）],表2_97131923252745[[#This Row],[国家]])</f>
        <v>36888</v>
      </c>
      <c r="I30" s="41">
        <f>SUMIFS(表1_86121822242644[活跃虚拟充值],表1_86121822242644[目标区服],表2_97131923252745[[#This Row],[合区区服]],表1_86121822242644[目标国家（映射）],表2_97131923252745[[#This Row],[国家]])</f>
        <v>328</v>
      </c>
      <c r="J30" s="41">
        <f>SUMIFS(表1_86121822242644[活跃Coin],表1_86121822242644[目标区服],表2_97131923252745[[#This Row],[合区区服]],表1_86121822242644[目标国家（映射）],表2_97131923252745[[#This Row],[国家]])</f>
        <v>683935</v>
      </c>
      <c r="K30" s="41">
        <f>SUMIFS(表1_86121822242644[共计补偿Coin],表1_86121822242644[目标区服],表2_97131923252745[[#This Row],[合区区服]],表1_86121822242644[目标国家（映射）],表2_97131923252745[[#This Row],[国家]])</f>
        <v>43500</v>
      </c>
      <c r="L30" s="41">
        <f>表2_97131923252745[[#This Row],[活跃Coin]]+表2_97131923252745[[#This Row],[共计补偿Coin]]</f>
        <v>727435</v>
      </c>
      <c r="M30" s="41">
        <f>SUMIFS(表1_86121822242644[综合国力],表1_86121822242644[目标区服],表2_97131923252745[[#This Row],[合区区服]],表1_86121822242644[目标国家（映射）],表2_97131923252745[[#This Row],[国家]])</f>
        <v>13682</v>
      </c>
      <c r="N30" s="41">
        <f t="array" ref="N30">MAX((表1_86121822242644[目标区服]=表2_97131923252745[[#This Row],[合区区服]])*(表1_86121822242644[目标国家（映射）]=表2_97131923252745[[#This Row],[国家]])*表1_86121822242644[单将最高战力])</f>
        <v>712624</v>
      </c>
      <c r="P30" s="51">
        <v>105</v>
      </c>
      <c r="Q30" s="51">
        <v>52</v>
      </c>
    </row>
    <row r="31" ht="15" spans="1:17">
      <c r="A31" s="296" t="s">
        <v>86</v>
      </c>
      <c r="B31" s="43" t="s">
        <v>27</v>
      </c>
      <c r="C31" s="43">
        <f>COUNTIFS(表1_86121822242644[目标区服],表2_97131923252745[[#This Row],[合区区服]],表1_86121822242644[目标国家（映射）],表2_97131923252745[[#This Row],[国家]])</f>
        <v>2</v>
      </c>
      <c r="D31" s="43">
        <f>SUMIFS(表1_86121822242644[活跃高战玩家数],表1_86121822242644[目标区服],表2_97131923252745[[#This Row],[合区区服]],表1_86121822242644[目标国家（映射）],表2_97131923252745[[#This Row],[国家]])</f>
        <v>5</v>
      </c>
      <c r="E31" s="43">
        <f>SUMIFS(表1_86121822242644[活跃中坚玩家数],表1_86121822242644[目标区服],表2_97131923252745[[#This Row],[合区区服]],表1_86121822242644[目标国家（映射）],表2_97131923252745[[#This Row],[国家]])</f>
        <v>34</v>
      </c>
      <c r="F31" s="43">
        <f t="array" ref="F31">MAX((表1_86121822242644[目标区服]=表2_97131923252745[[#This Row],[合区区服]])*(表1_86121822242644[目标国家（映射）]=表2_97131923252745[[#This Row],[国家]])*表1_86121822242644[活跃尖端战力])</f>
        <v>2815739</v>
      </c>
      <c r="G31" s="44">
        <f>SUMIFS(表1_86121822242644[活跃总战力],表1_86121822242644[目标区服],表2_97131923252745[[#This Row],[合区区服]],表1_86121822242644[目标国家（映射）],表2_97131923252745[[#This Row],[国家]])</f>
        <v>35104272</v>
      </c>
      <c r="H31" s="43">
        <f>SUMIFS(表1_86121822242644[活跃实际充值],表1_86121822242644[目标区服],表2_97131923252745[[#This Row],[合区区服]],表1_86121822242644[目标国家（映射）],表2_97131923252745[[#This Row],[国家]])</f>
        <v>78544</v>
      </c>
      <c r="I31" s="43">
        <f>SUMIFS(表1_86121822242644[活跃虚拟充值],表1_86121822242644[目标区服],表2_97131923252745[[#This Row],[合区区服]],表1_86121822242644[目标国家（映射）],表2_97131923252745[[#This Row],[国家]])</f>
        <v>0</v>
      </c>
      <c r="J31" s="43">
        <f>SUMIFS(表1_86121822242644[活跃Coin],表1_86121822242644[目标区服],表2_97131923252745[[#This Row],[合区区服]],表1_86121822242644[目标国家（映射）],表2_97131923252745[[#This Row],[国家]])</f>
        <v>782557</v>
      </c>
      <c r="K31" s="43">
        <f>SUMIFS(表1_86121822242644[共计补偿Coin],表1_86121822242644[目标区服],表2_97131923252745[[#This Row],[合区区服]],表1_86121822242644[目标国家（映射）],表2_97131923252745[[#This Row],[国家]])</f>
        <v>48500</v>
      </c>
      <c r="L31" s="43">
        <f>表2_97131923252745[[#This Row],[活跃Coin]]+表2_97131923252745[[#This Row],[共计补偿Coin]]</f>
        <v>831057</v>
      </c>
      <c r="M31" s="43">
        <f>SUMIFS(表1_86121822242644[综合国力],表1_86121822242644[目标区服],表2_97131923252745[[#This Row],[合区区服]],表1_86121822242644[目标国家（映射）],表2_97131923252745[[#This Row],[国家]])</f>
        <v>14433</v>
      </c>
      <c r="N31" s="41">
        <f t="array" ref="N31">MAX((表1_86121822242644[目标区服]=表2_97131923252745[[#This Row],[合区区服]])*(表1_86121822242644[目标国家（映射）]=表2_97131923252745[[#This Row],[国家]])*表1_86121822242644[单将最高战力])</f>
        <v>784432</v>
      </c>
      <c r="P31" s="51">
        <v>106</v>
      </c>
      <c r="Q31" s="51">
        <v>51</v>
      </c>
    </row>
    <row r="32" ht="15" spans="1:17">
      <c r="A32" s="18" t="s">
        <v>87</v>
      </c>
      <c r="B32" s="46" t="s">
        <v>25</v>
      </c>
      <c r="C32" s="46">
        <f>COUNTIFS(表1_86121822242644[目标区服],表2_97131923252745[[#This Row],[合区区服]],表1_86121822242644[目标国家（映射）],表2_97131923252745[[#This Row],[国家]])</f>
        <v>2</v>
      </c>
      <c r="D32" s="46">
        <f>SUMIFS(表1_86121822242644[活跃高战玩家数],表1_86121822242644[目标区服],表2_97131923252745[[#This Row],[合区区服]],表1_86121822242644[目标国家（映射）],表2_97131923252745[[#This Row],[国家]])</f>
        <v>9</v>
      </c>
      <c r="E32" s="46">
        <f>SUMIFS(表1_86121822242644[活跃中坚玩家数],表1_86121822242644[目标区服],表2_97131923252745[[#This Row],[合区区服]],表1_86121822242644[目标国家（映射）],表2_97131923252745[[#This Row],[国家]])</f>
        <v>28</v>
      </c>
      <c r="F32" s="46">
        <f t="array" ref="F32">MAX((表1_86121822242644[目标区服]=表2_97131923252745[[#This Row],[合区区服]])*(表1_86121822242644[目标国家（映射）]=表2_97131923252745[[#This Row],[国家]])*表1_86121822242644[活跃尖端战力])</f>
        <v>3217573</v>
      </c>
      <c r="G32" s="47">
        <f>SUMIFS(表1_86121822242644[活跃总战力],表1_86121822242644[目标区服],表2_97131923252745[[#This Row],[合区区服]],表1_86121822242644[目标国家（映射）],表2_97131923252745[[#This Row],[国家]])</f>
        <v>34761665</v>
      </c>
      <c r="H32" s="46">
        <f>SUMIFS(表1_86121822242644[活跃实际充值],表1_86121822242644[目标区服],表2_97131923252745[[#This Row],[合区区服]],表1_86121822242644[目标国家（映射）],表2_97131923252745[[#This Row],[国家]])</f>
        <v>93436</v>
      </c>
      <c r="I32" s="46">
        <f>SUMIFS(表1_86121822242644[活跃虚拟充值],表1_86121822242644[目标区服],表2_97131923252745[[#This Row],[合区区服]],表1_86121822242644[目标国家（映射）],表2_97131923252745[[#This Row],[国家]])</f>
        <v>148</v>
      </c>
      <c r="J32" s="46">
        <f>SUMIFS(表1_86121822242644[活跃Coin],表1_86121822242644[目标区服],表2_97131923252745[[#This Row],[合区区服]],表1_86121822242644[目标国家（映射）],表2_97131923252745[[#This Row],[国家]])</f>
        <v>612660</v>
      </c>
      <c r="K32" s="46">
        <f>SUMIFS(表1_86121822242644[共计补偿Coin],表1_86121822242644[目标区服],表2_97131923252745[[#This Row],[合区区服]],表1_86121822242644[目标国家（映射）],表2_97131923252745[[#This Row],[国家]])</f>
        <v>44500</v>
      </c>
      <c r="L32" s="46">
        <f>表2_97131923252745[[#This Row],[活跃Coin]]+表2_97131923252745[[#This Row],[共计补偿Coin]]</f>
        <v>657160</v>
      </c>
      <c r="M32" s="46">
        <f>SUMIFS(表1_86121822242644[综合国力],表1_86121822242644[目标区服],表2_97131923252745[[#This Row],[合区区服]],表1_86121822242644[目标国家（映射）],表2_97131923252745[[#This Row],[国家]])</f>
        <v>17150</v>
      </c>
      <c r="N32" s="46">
        <f t="array" ref="N32">MAX((表1_86121822242644[目标区服]=表2_97131923252745[[#This Row],[合区区服]])*(表1_86121822242644[目标国家（映射）]=表2_97131923252745[[#This Row],[国家]])*表1_86121822242644[单将最高战力])</f>
        <v>1133647</v>
      </c>
      <c r="P32" s="51"/>
      <c r="Q32" s="51"/>
    </row>
    <row r="33" ht="15" spans="1:17">
      <c r="A33" s="18" t="s">
        <v>87</v>
      </c>
      <c r="B33" s="46" t="s">
        <v>26</v>
      </c>
      <c r="C33" s="46">
        <f>COUNTIFS(表1_86121822242644[目标区服],表2_97131923252745[[#This Row],[合区区服]],表1_86121822242644[目标国家（映射）],表2_97131923252745[[#This Row],[国家]])</f>
        <v>2</v>
      </c>
      <c r="D33" s="46">
        <f>SUMIFS(表1_86121822242644[活跃高战玩家数],表1_86121822242644[目标区服],表2_97131923252745[[#This Row],[合区区服]],表1_86121822242644[目标国家（映射）],表2_97131923252745[[#This Row],[国家]])</f>
        <v>3</v>
      </c>
      <c r="E33" s="46">
        <f>SUMIFS(表1_86121822242644[活跃中坚玩家数],表1_86121822242644[目标区服],表2_97131923252745[[#This Row],[合区区服]],表1_86121822242644[目标国家（映射）],表2_97131923252745[[#This Row],[国家]])</f>
        <v>41</v>
      </c>
      <c r="F33" s="46">
        <f t="array" ref="F33">MAX((表1_86121822242644[目标区服]=表2_97131923252745[[#This Row],[合区区服]])*(表1_86121822242644[目标国家（映射）]=表2_97131923252745[[#This Row],[国家]])*表1_86121822242644[活跃尖端战力])</f>
        <v>2675155</v>
      </c>
      <c r="G33" s="47">
        <f>SUMIFS(表1_86121822242644[活跃总战力],表1_86121822242644[目标区服],表2_97131923252745[[#This Row],[合区区服]],表1_86121822242644[目标国家（映射）],表2_97131923252745[[#This Row],[国家]])</f>
        <v>39470305</v>
      </c>
      <c r="H33" s="46">
        <f>SUMIFS(表1_86121822242644[活跃实际充值],表1_86121822242644[目标区服],表2_97131923252745[[#This Row],[合区区服]],表1_86121822242644[目标国家（映射）],表2_97131923252745[[#This Row],[国家]])</f>
        <v>145562</v>
      </c>
      <c r="I33" s="46">
        <f>SUMIFS(表1_86121822242644[活跃虚拟充值],表1_86121822242644[目标区服],表2_97131923252745[[#This Row],[合区区服]],表1_86121822242644[目标国家（映射）],表2_97131923252745[[#This Row],[国家]])</f>
        <v>426</v>
      </c>
      <c r="J33" s="46">
        <f>SUMIFS(表1_86121822242644[活跃Coin],表1_86121822242644[目标区服],表2_97131923252745[[#This Row],[合区区服]],表1_86121822242644[目标国家（映射）],表2_97131923252745[[#This Row],[国家]])</f>
        <v>1129941</v>
      </c>
      <c r="K33" s="46">
        <f>SUMIFS(表1_86121822242644[共计补偿Coin],表1_86121822242644[目标区服],表2_97131923252745[[#This Row],[合区区服]],表1_86121822242644[目标国家（映射）],表2_97131923252745[[#This Row],[国家]])</f>
        <v>49000</v>
      </c>
      <c r="L33" s="46">
        <f>表2_97131923252745[[#This Row],[活跃Coin]]+表2_97131923252745[[#This Row],[共计补偿Coin]]</f>
        <v>1178941</v>
      </c>
      <c r="M33" s="46">
        <f>SUMIFS(表1_86121822242644[综合国力],表1_86121822242644[目标区服],表2_97131923252745[[#This Row],[合区区服]],表1_86121822242644[目标国家（映射）],表2_97131923252745[[#This Row],[国家]])</f>
        <v>15408</v>
      </c>
      <c r="N33" s="46">
        <f t="array" ref="N33">MAX((表1_86121822242644[目标区服]=表2_97131923252745[[#This Row],[合区区服]])*(表1_86121822242644[目标国家（映射）]=表2_97131923252745[[#This Row],[国家]])*表1_86121822242644[单将最高战力])</f>
        <v>1091937</v>
      </c>
      <c r="P33" s="51"/>
      <c r="Q33" s="51"/>
    </row>
    <row r="34" ht="15" spans="1:14">
      <c r="A34" s="18" t="s">
        <v>87</v>
      </c>
      <c r="B34" s="48" t="s">
        <v>27</v>
      </c>
      <c r="C34" s="48">
        <f>COUNTIFS(表1_86121822242644[目标区服],表2_97131923252745[[#This Row],[合区区服]],表1_86121822242644[目标国家（映射）],表2_97131923252745[[#This Row],[国家]])</f>
        <v>2</v>
      </c>
      <c r="D34" s="48">
        <f>SUMIFS(表1_86121822242644[活跃高战玩家数],表1_86121822242644[目标区服],表2_97131923252745[[#This Row],[合区区服]],表1_86121822242644[目标国家（映射）],表2_97131923252745[[#This Row],[国家]])</f>
        <v>7</v>
      </c>
      <c r="E34" s="48">
        <f>SUMIFS(表1_86121822242644[活跃中坚玩家数],表1_86121822242644[目标区服],表2_97131923252745[[#This Row],[合区区服]],表1_86121822242644[目标国家（映射）],表2_97131923252745[[#This Row],[国家]])</f>
        <v>33</v>
      </c>
      <c r="F34" s="48">
        <f t="array" ref="F34">MAX((表1_86121822242644[目标区服]=表2_97131923252745[[#This Row],[合区区服]])*(表1_86121822242644[目标国家（映射）]=表2_97131923252745[[#This Row],[国家]])*表1_86121822242644[活跃尖端战力])</f>
        <v>3034963</v>
      </c>
      <c r="G34" s="458">
        <f>SUMIFS(表1_86121822242644[活跃总战力],表1_86121822242644[目标区服],表2_97131923252745[[#This Row],[合区区服]],表1_86121822242644[目标国家（映射）],表2_97131923252745[[#This Row],[国家]])</f>
        <v>35762655</v>
      </c>
      <c r="H34" s="48">
        <f>SUMIFS(表1_86121822242644[活跃实际充值],表1_86121822242644[目标区服],表2_97131923252745[[#This Row],[合区区服]],表1_86121822242644[目标国家（映射）],表2_97131923252745[[#This Row],[国家]])</f>
        <v>81152</v>
      </c>
      <c r="I34" s="48">
        <f>SUMIFS(表1_86121822242644[活跃虚拟充值],表1_86121822242644[目标区服],表2_97131923252745[[#This Row],[合区区服]],表1_86121822242644[目标国家（映射）],表2_97131923252745[[#This Row],[国家]])</f>
        <v>0</v>
      </c>
      <c r="J34" s="48">
        <f>SUMIFS(表1_86121822242644[活跃Coin],表1_86121822242644[目标区服],表2_97131923252745[[#This Row],[合区区服]],表1_86121822242644[目标国家（映射）],表2_97131923252745[[#This Row],[国家]])</f>
        <v>409150</v>
      </c>
      <c r="K34" s="48">
        <f>SUMIFS(表1_86121822242644[共计补偿Coin],表1_86121822242644[目标区服],表2_97131923252745[[#This Row],[合区区服]],表1_86121822242644[目标国家（映射）],表2_97131923252745[[#This Row],[国家]])</f>
        <v>54000</v>
      </c>
      <c r="L34" s="48">
        <f>表2_97131923252745[[#This Row],[活跃Coin]]+表2_97131923252745[[#This Row],[共计补偿Coin]]</f>
        <v>463150</v>
      </c>
      <c r="M34" s="48">
        <f>SUMIFS(表1_86121822242644[综合国力],表1_86121822242644[目标区服],表2_97131923252745[[#This Row],[合区区服]],表1_86121822242644[目标国家（映射）],表2_97131923252745[[#This Row],[国家]])</f>
        <v>15792</v>
      </c>
      <c r="N34" s="46">
        <f t="array" ref="N34">MAX((表1_86121822242644[目标区服]=表2_97131923252745[[#This Row],[合区区服]])*(表1_86121822242644[目标国家（映射）]=表2_97131923252745[[#This Row],[国家]])*表1_86121822242644[单将最高战力])</f>
        <v>805060</v>
      </c>
    </row>
    <row r="40" ht="27" spans="1:13">
      <c r="A40" s="49"/>
      <c r="B40" s="50" t="s">
        <v>9</v>
      </c>
      <c r="C40" s="50" t="s">
        <v>10</v>
      </c>
      <c r="D40" s="50" t="s">
        <v>11</v>
      </c>
      <c r="E40" s="50" t="s">
        <v>12</v>
      </c>
      <c r="F40" s="50" t="s">
        <v>13</v>
      </c>
      <c r="G40" s="50" t="s">
        <v>14</v>
      </c>
      <c r="H40" s="50" t="s">
        <v>15</v>
      </c>
      <c r="I40" s="50" t="s">
        <v>18</v>
      </c>
      <c r="J40" s="50" t="s">
        <v>19</v>
      </c>
      <c r="K40" s="50" t="s">
        <v>20</v>
      </c>
      <c r="L40" s="50" t="s">
        <v>21</v>
      </c>
      <c r="M40" s="50" t="s">
        <v>82</v>
      </c>
    </row>
    <row r="41" spans="1:13">
      <c r="A41" s="50" t="s">
        <v>25</v>
      </c>
      <c r="B41" s="50">
        <v>4</v>
      </c>
      <c r="C41" s="50">
        <v>162</v>
      </c>
      <c r="D41" s="50">
        <v>4</v>
      </c>
      <c r="E41" s="50">
        <v>18</v>
      </c>
      <c r="F41" s="50">
        <v>100449</v>
      </c>
      <c r="G41" s="50">
        <v>4137084</v>
      </c>
      <c r="H41" s="50">
        <v>25182950</v>
      </c>
      <c r="I41" s="50">
        <v>117196</v>
      </c>
      <c r="J41" s="50">
        <v>0</v>
      </c>
      <c r="K41" s="50">
        <v>372229</v>
      </c>
      <c r="L41" s="50">
        <v>12879</v>
      </c>
      <c r="M41" s="50">
        <v>1379138</v>
      </c>
    </row>
    <row r="42" spans="1:13">
      <c r="A42" s="50" t="s">
        <v>26</v>
      </c>
      <c r="B42" s="50">
        <v>3</v>
      </c>
      <c r="C42" s="50">
        <v>154</v>
      </c>
      <c r="D42" s="50">
        <v>4</v>
      </c>
      <c r="E42" s="50">
        <v>20</v>
      </c>
      <c r="F42" s="50">
        <v>135607</v>
      </c>
      <c r="G42" s="50">
        <v>4640663</v>
      </c>
      <c r="H42" s="50">
        <v>32651921</v>
      </c>
      <c r="I42" s="50">
        <v>222994</v>
      </c>
      <c r="J42" s="50">
        <v>0</v>
      </c>
      <c r="K42" s="50">
        <v>462621</v>
      </c>
      <c r="L42" s="50">
        <v>17345</v>
      </c>
      <c r="M42" s="50">
        <v>1246036</v>
      </c>
    </row>
    <row r="43" spans="1:13">
      <c r="A43" s="50" t="s">
        <v>27</v>
      </c>
      <c r="B43" s="50">
        <v>2</v>
      </c>
      <c r="C43" s="50">
        <v>79</v>
      </c>
      <c r="D43" s="50">
        <v>2</v>
      </c>
      <c r="E43" s="50">
        <v>17</v>
      </c>
      <c r="F43" s="50">
        <v>66050</v>
      </c>
      <c r="G43" s="50">
        <v>2499484</v>
      </c>
      <c r="H43" s="50">
        <v>16722971</v>
      </c>
      <c r="I43" s="50">
        <v>36624</v>
      </c>
      <c r="J43" s="50">
        <v>0</v>
      </c>
      <c r="K43" s="50">
        <v>277378</v>
      </c>
      <c r="L43" s="50">
        <v>6729</v>
      </c>
      <c r="M43" s="50">
        <v>673328</v>
      </c>
    </row>
    <row r="44" spans="1:13">
      <c r="A44" s="50" t="s">
        <v>25</v>
      </c>
      <c r="B44" s="50">
        <v>7</v>
      </c>
      <c r="C44" s="50">
        <v>280</v>
      </c>
      <c r="D44" s="50">
        <v>7</v>
      </c>
      <c r="E44" s="50">
        <v>16</v>
      </c>
      <c r="F44" s="50">
        <v>141121</v>
      </c>
      <c r="G44" s="50">
        <v>3380131</v>
      </c>
      <c r="H44" s="50">
        <v>25845215</v>
      </c>
      <c r="I44" s="50">
        <v>86000</v>
      </c>
      <c r="J44" s="50">
        <v>36</v>
      </c>
      <c r="K44" s="50">
        <v>1025648</v>
      </c>
      <c r="L44" s="50">
        <v>13263</v>
      </c>
      <c r="M44" s="50">
        <v>1112438</v>
      </c>
    </row>
    <row r="45" spans="1:13">
      <c r="A45" s="50" t="s">
        <v>26</v>
      </c>
      <c r="B45" s="50">
        <v>0</v>
      </c>
      <c r="C45" s="50">
        <v>35</v>
      </c>
      <c r="D45" s="50">
        <v>0</v>
      </c>
      <c r="E45" s="50">
        <v>12</v>
      </c>
      <c r="F45" s="50">
        <v>17194</v>
      </c>
      <c r="G45" s="50">
        <v>580391</v>
      </c>
      <c r="H45" s="50">
        <v>3608233</v>
      </c>
      <c r="I45" s="50">
        <v>138</v>
      </c>
      <c r="J45" s="50">
        <v>0</v>
      </c>
      <c r="K45" s="50">
        <v>112106</v>
      </c>
      <c r="L45" s="50">
        <v>1437</v>
      </c>
      <c r="M45" s="50">
        <v>340999</v>
      </c>
    </row>
    <row r="46" spans="1:13">
      <c r="A46" s="50" t="s">
        <v>27</v>
      </c>
      <c r="B46" s="50">
        <v>2</v>
      </c>
      <c r="C46" s="50">
        <v>80</v>
      </c>
      <c r="D46" s="50">
        <v>3</v>
      </c>
      <c r="E46" s="50">
        <v>10</v>
      </c>
      <c r="F46" s="50">
        <v>74814</v>
      </c>
      <c r="G46" s="50">
        <v>1947737</v>
      </c>
      <c r="H46" s="50">
        <v>11530672</v>
      </c>
      <c r="I46" s="50">
        <v>11210</v>
      </c>
      <c r="J46" s="50">
        <v>0</v>
      </c>
      <c r="K46" s="50">
        <v>361998</v>
      </c>
      <c r="L46" s="50">
        <v>4992</v>
      </c>
      <c r="M46" s="50">
        <v>670347</v>
      </c>
    </row>
    <row r="47" spans="1:13">
      <c r="A47" s="50" t="s">
        <v>25</v>
      </c>
      <c r="B47" s="50">
        <v>4</v>
      </c>
      <c r="C47" s="50">
        <v>124</v>
      </c>
      <c r="D47" s="50">
        <v>2</v>
      </c>
      <c r="E47" s="50">
        <v>17</v>
      </c>
      <c r="F47" s="50">
        <v>80768</v>
      </c>
      <c r="G47" s="50">
        <v>2547618</v>
      </c>
      <c r="H47" s="50">
        <v>15601088</v>
      </c>
      <c r="I47" s="50">
        <v>18360</v>
      </c>
      <c r="J47" s="50">
        <v>0</v>
      </c>
      <c r="K47" s="50">
        <v>329264</v>
      </c>
      <c r="L47" s="50">
        <v>6866</v>
      </c>
      <c r="M47" s="50">
        <v>742776</v>
      </c>
    </row>
    <row r="48" spans="1:13">
      <c r="A48" s="50" t="s">
        <v>26</v>
      </c>
      <c r="B48" s="50">
        <v>3</v>
      </c>
      <c r="C48" s="50">
        <v>187</v>
      </c>
      <c r="D48" s="50">
        <v>5</v>
      </c>
      <c r="E48" s="50">
        <v>13</v>
      </c>
      <c r="F48" s="50">
        <v>94531</v>
      </c>
      <c r="G48" s="50">
        <v>2508919</v>
      </c>
      <c r="H48" s="50">
        <v>17189408</v>
      </c>
      <c r="I48" s="50">
        <v>20208</v>
      </c>
      <c r="J48" s="50">
        <v>328</v>
      </c>
      <c r="K48" s="50">
        <v>435279</v>
      </c>
      <c r="L48" s="50">
        <v>7697</v>
      </c>
      <c r="M48" s="50">
        <v>712624</v>
      </c>
    </row>
    <row r="49" spans="1:13">
      <c r="A49" s="50" t="s">
        <v>27</v>
      </c>
      <c r="B49" s="50">
        <v>2</v>
      </c>
      <c r="C49" s="50">
        <v>84</v>
      </c>
      <c r="D49" s="50">
        <v>2</v>
      </c>
      <c r="E49" s="50">
        <v>18</v>
      </c>
      <c r="F49" s="50">
        <v>91245</v>
      </c>
      <c r="G49" s="50">
        <v>1848306</v>
      </c>
      <c r="H49" s="50">
        <v>15908597</v>
      </c>
      <c r="I49" s="50">
        <v>19642</v>
      </c>
      <c r="J49" s="50">
        <v>0</v>
      </c>
      <c r="K49" s="50">
        <v>351300</v>
      </c>
      <c r="L49" s="50">
        <v>5700</v>
      </c>
      <c r="M49" s="50">
        <v>583087</v>
      </c>
    </row>
    <row r="50" spans="1:13">
      <c r="A50" s="50" t="s">
        <v>25</v>
      </c>
      <c r="B50" s="50">
        <v>3</v>
      </c>
      <c r="C50" s="50">
        <v>120</v>
      </c>
      <c r="D50" s="50">
        <v>7</v>
      </c>
      <c r="E50" s="50">
        <v>17</v>
      </c>
      <c r="F50" s="50">
        <v>125655</v>
      </c>
      <c r="G50" s="50">
        <v>2788609</v>
      </c>
      <c r="H50" s="50">
        <v>25702688</v>
      </c>
      <c r="I50" s="50">
        <v>52950</v>
      </c>
      <c r="J50" s="50">
        <v>0</v>
      </c>
      <c r="K50" s="50">
        <v>634856</v>
      </c>
      <c r="L50" s="50">
        <v>9393</v>
      </c>
      <c r="M50" s="50">
        <v>755216</v>
      </c>
    </row>
    <row r="51" spans="1:13">
      <c r="A51" s="50" t="s">
        <v>26</v>
      </c>
      <c r="B51" s="50">
        <v>3</v>
      </c>
      <c r="C51" s="50">
        <v>151</v>
      </c>
      <c r="D51" s="50">
        <v>0</v>
      </c>
      <c r="E51" s="50">
        <v>17</v>
      </c>
      <c r="F51" s="50">
        <v>57224</v>
      </c>
      <c r="G51" s="50">
        <v>2129823</v>
      </c>
      <c r="H51" s="50">
        <v>11349338</v>
      </c>
      <c r="I51" s="50">
        <v>16680</v>
      </c>
      <c r="J51" s="50">
        <v>0</v>
      </c>
      <c r="K51" s="50">
        <v>248656</v>
      </c>
      <c r="L51" s="50">
        <v>5985</v>
      </c>
      <c r="M51" s="50">
        <v>567778</v>
      </c>
    </row>
    <row r="52" spans="1:13">
      <c r="A52" s="50" t="s">
        <v>27</v>
      </c>
      <c r="B52" s="50">
        <v>3</v>
      </c>
      <c r="C52" s="50">
        <v>124</v>
      </c>
      <c r="D52" s="50">
        <v>3</v>
      </c>
      <c r="E52" s="50">
        <v>16</v>
      </c>
      <c r="F52" s="50">
        <v>95055</v>
      </c>
      <c r="G52" s="50">
        <v>2815739</v>
      </c>
      <c r="H52" s="50">
        <v>19195675</v>
      </c>
      <c r="I52" s="50">
        <v>58902</v>
      </c>
      <c r="J52" s="50">
        <v>0</v>
      </c>
      <c r="K52" s="50">
        <v>431257</v>
      </c>
      <c r="L52" s="50">
        <v>8733</v>
      </c>
      <c r="M52" s="50">
        <v>784432</v>
      </c>
    </row>
    <row r="53" spans="1:13">
      <c r="A53" s="50" t="s">
        <v>25</v>
      </c>
      <c r="B53" s="50">
        <v>7</v>
      </c>
      <c r="C53" s="50">
        <v>249</v>
      </c>
      <c r="D53" s="50">
        <v>5</v>
      </c>
      <c r="E53" s="50">
        <v>17</v>
      </c>
      <c r="F53" s="50">
        <v>100187</v>
      </c>
      <c r="G53" s="50">
        <v>3217573</v>
      </c>
      <c r="H53" s="50">
        <v>22953188</v>
      </c>
      <c r="I53" s="50">
        <v>69958</v>
      </c>
      <c r="J53" s="50">
        <v>148</v>
      </c>
      <c r="K53" s="50">
        <v>279140</v>
      </c>
      <c r="L53" s="50">
        <v>11443</v>
      </c>
      <c r="M53" s="50">
        <v>1133647</v>
      </c>
    </row>
    <row r="54" spans="1:13">
      <c r="A54" s="50" t="s">
        <v>26</v>
      </c>
      <c r="B54" s="50">
        <v>2</v>
      </c>
      <c r="C54" s="50">
        <v>82</v>
      </c>
      <c r="D54" s="50">
        <v>3</v>
      </c>
      <c r="E54" s="50">
        <v>31</v>
      </c>
      <c r="F54" s="50">
        <v>152992</v>
      </c>
      <c r="G54" s="50">
        <v>2675155</v>
      </c>
      <c r="H54" s="50">
        <v>31973398</v>
      </c>
      <c r="I54" s="50">
        <v>127886</v>
      </c>
      <c r="J54" s="50">
        <v>0</v>
      </c>
      <c r="K54" s="50">
        <v>1029823</v>
      </c>
      <c r="L54" s="50">
        <v>12008</v>
      </c>
      <c r="M54" s="50">
        <v>1091937</v>
      </c>
    </row>
    <row r="55" spans="1:13">
      <c r="A55" s="50" t="s">
        <v>27</v>
      </c>
      <c r="B55" s="50">
        <v>0</v>
      </c>
      <c r="C55" s="50">
        <v>64</v>
      </c>
      <c r="D55" s="50">
        <v>1</v>
      </c>
      <c r="E55" s="50">
        <v>11</v>
      </c>
      <c r="F55" s="50">
        <v>33393</v>
      </c>
      <c r="G55" s="50">
        <v>1757037</v>
      </c>
      <c r="H55" s="50">
        <v>8601223</v>
      </c>
      <c r="I55" s="50">
        <v>7512</v>
      </c>
      <c r="J55" s="50">
        <v>0</v>
      </c>
      <c r="K55" s="50">
        <v>138499</v>
      </c>
      <c r="L55" s="50">
        <v>3718</v>
      </c>
      <c r="M55" s="50">
        <v>689810</v>
      </c>
    </row>
    <row r="56" spans="1:13">
      <c r="A56" s="50" t="s">
        <v>25</v>
      </c>
      <c r="B56" s="50">
        <v>0</v>
      </c>
      <c r="C56" s="50">
        <v>54</v>
      </c>
      <c r="D56" s="50">
        <v>0</v>
      </c>
      <c r="E56" s="50">
        <v>10</v>
      </c>
      <c r="F56" s="50">
        <v>49083</v>
      </c>
      <c r="G56" s="50">
        <v>1280457</v>
      </c>
      <c r="H56" s="50">
        <v>7496907</v>
      </c>
      <c r="I56" s="50">
        <v>17676</v>
      </c>
      <c r="J56" s="50">
        <v>426</v>
      </c>
      <c r="K56" s="50">
        <v>100118</v>
      </c>
      <c r="L56" s="50">
        <v>3400</v>
      </c>
      <c r="M56" s="50">
        <v>419784</v>
      </c>
    </row>
    <row r="57" spans="1:13">
      <c r="A57" s="50" t="s">
        <v>26</v>
      </c>
      <c r="B57" s="50">
        <v>1</v>
      </c>
      <c r="C57" s="50">
        <v>100</v>
      </c>
      <c r="D57" s="50">
        <v>4</v>
      </c>
      <c r="E57" s="50">
        <v>11</v>
      </c>
      <c r="F57" s="50">
        <v>59008</v>
      </c>
      <c r="G57" s="50">
        <v>2260996</v>
      </c>
      <c r="H57" s="50">
        <v>11808477</v>
      </c>
      <c r="I57" s="50">
        <v>23478</v>
      </c>
      <c r="J57" s="50">
        <v>0</v>
      </c>
      <c r="K57" s="50">
        <v>333520</v>
      </c>
      <c r="L57" s="50">
        <v>5707</v>
      </c>
      <c r="M57" s="50">
        <v>683800</v>
      </c>
    </row>
    <row r="58" spans="1:13">
      <c r="A58" s="50" t="s">
        <v>27</v>
      </c>
      <c r="B58" s="50">
        <v>8</v>
      </c>
      <c r="C58" s="50">
        <v>241</v>
      </c>
      <c r="D58" s="50">
        <v>6</v>
      </c>
      <c r="E58" s="50">
        <v>22</v>
      </c>
      <c r="F58" s="50">
        <v>153834</v>
      </c>
      <c r="G58" s="50">
        <v>3034963</v>
      </c>
      <c r="H58" s="50">
        <v>27161432</v>
      </c>
      <c r="I58" s="50">
        <v>73640</v>
      </c>
      <c r="J58" s="50">
        <v>0</v>
      </c>
      <c r="K58" s="50">
        <v>270651</v>
      </c>
      <c r="L58" s="50">
        <v>12074</v>
      </c>
      <c r="M58" s="50">
        <v>805060</v>
      </c>
    </row>
    <row r="59" spans="1:13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</row>
    <row r="60" spans="1:13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</row>
    <row r="61" spans="1:13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</row>
  </sheetData>
  <conditionalFormatting sqref="F26:F28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{ad97324d-65c1-4829-b66b-e57f0cedef80}</x14:id>
        </ext>
      </extLst>
    </cfRule>
  </conditionalFormatting>
  <conditionalFormatting sqref="F29:F31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{4fd3aee4-af9d-42a2-af48-90aa49801124}</x14:id>
        </ext>
      </extLst>
    </cfRule>
  </conditionalFormatting>
  <conditionalFormatting sqref="F32:F3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{ae16fdc8-a67c-43a2-9df9-1bcebd444323}</x14:id>
        </ext>
      </extLst>
    </cfRule>
  </conditionalFormatting>
  <conditionalFormatting sqref="G26:G28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{4ae61fa7-a83d-4f67-8ca3-7e34b47717b2}</x14:id>
        </ext>
      </extLst>
    </cfRule>
  </conditionalFormatting>
  <conditionalFormatting sqref="G29:G3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{23562a5f-d5e6-4959-a6ce-a6ae6342ad87}</x14:id>
        </ext>
      </extLst>
    </cfRule>
  </conditionalFormatting>
  <conditionalFormatting sqref="G32:G34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{6b1326c9-8be8-4cc5-8422-3877e9309d6e}</x14:id>
        </ext>
      </extLst>
    </cfRule>
  </conditionalFormatting>
  <conditionalFormatting sqref="N26:N34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{5681e7b1-f41d-4565-ac3c-7ee5cd46066b}</x14:id>
        </ext>
      </extLst>
    </cfRule>
  </conditionalFormatting>
  <conditionalFormatting sqref="O2:O19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{647d8b36-e427-40a8-9e4c-97bca12bf0e1}</x14:id>
        </ext>
      </extLst>
    </cfRule>
  </conditionalFormatting>
  <conditionalFormatting sqref="O20:O22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{e372d554-049c-49f9-b11d-8f0967427ed6}</x14:id>
        </ext>
      </extLst>
    </cfRule>
  </conditionalFormatting>
  <conditionalFormatting sqref="P2:P19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{fbf0df97-9ac7-4c7f-a738-d60db9c876bc}</x14:id>
        </ext>
      </extLst>
    </cfRule>
  </conditionalFormatting>
  <conditionalFormatting sqref="P20:P2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{6cee4b46-324e-47e9-b3a1-016060b36731}</x14:id>
        </ext>
      </extLst>
    </cfRule>
  </conditionalFormatting>
  <conditionalFormatting sqref="P26:P33">
    <cfRule type="cellIs" dxfId="37" priority="1" operator="equal">
      <formula>$S$26</formula>
    </cfRule>
  </conditionalFormatting>
  <conditionalFormatting sqref="Q2:Q22">
    <cfRule type="cellIs" dxfId="38" priority="8" operator="equal">
      <formula>配置!$D$4</formula>
    </cfRule>
    <cfRule type="cellIs" dxfId="39" priority="9" operator="equal">
      <formula>配置!$D$3</formula>
    </cfRule>
    <cfRule type="cellIs" dxfId="37" priority="10" operator="equal">
      <formula>配置!$D$2</formula>
    </cfRule>
  </conditionalFormatting>
  <conditionalFormatting sqref="R26:R29">
    <cfRule type="cellIs" dxfId="37" priority="2" operator="equal">
      <formula>$S$26</formula>
    </cfRule>
  </conditionalFormatting>
  <conditionalFormatting sqref="O23:O24 Q1:R1 Q2 Q4:Q5 Q7:Q8 Q10:Q11 Q13:Q14 Q16:Q17 Q19:Q20 Q22">
    <cfRule type="cellIs" dxfId="37" priority="20" operator="equal">
      <formula>配置!$D$2</formula>
    </cfRule>
  </conditionalFormatting>
  <conditionalFormatting sqref="Q2 Q4:Q5 Q7:Q8 Q10:Q11 Q13:Q14 Q16:Q17 Q19:Q20 Q22">
    <cfRule type="cellIs" dxfId="38" priority="19" operator="equal">
      <formula>配置!$D$4</formula>
    </cfRule>
  </conditionalFormatting>
  <dataValidations count="1">
    <dataValidation type="list" allowBlank="1" showInputMessage="1" showErrorMessage="1" sqref="Q2:Q22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d97324d-65c1-4829-b66b-e57f0cedef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4fd3aee4-af9d-42a2-af48-90aa498011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ae16fdc8-a67c-43a2-9df9-1bcebd4443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4ae61fa7-a83d-4f67-8ca3-7e34b47717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23562a5f-d5e6-4959-a6ce-a6ae6342ad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6b1326c9-8be8-4cc5-8422-3877e9309d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5681e7b1-f41d-4565-ac3c-7ee5cd4606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N26:N34</xm:sqref>
        </x14:conditionalFormatting>
        <x14:conditionalFormatting xmlns:xm="http://schemas.microsoft.com/office/excel/2006/main">
          <x14:cfRule type="dataBar" id="{647d8b36-e427-40a8-9e4c-97bca12bf0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e372d554-049c-49f9-b11d-8f0967427e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fbf0df97-9ac7-4c7f-a738-d60db9c876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6cee4b46-324e-47e9-b3a1-016060b367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49"/>
  <sheetViews>
    <sheetView workbookViewId="0">
      <selection activeCell="N24" sqref="N24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1">
        <v>5012</v>
      </c>
      <c r="B2" s="371">
        <f>VLOOKUP(表1_86121822242646[[#This Row],[区服]],$P$17:$Q$22,2,FALSE)</f>
        <v>48</v>
      </c>
      <c r="C2" s="372" t="s">
        <v>89</v>
      </c>
      <c r="D2" s="373" t="str">
        <f>表1_86121822242646[[#This Row],[目标国家]]</f>
        <v>魏</v>
      </c>
      <c r="E2" s="374">
        <f>(VLOOKUP(表1_86121822242646[[#This Row],[目标区服]],$R$17:$S$20,2,FALSE)-表1_86121822242646[[#This Row],[开服天数]])*配置!$B$1</f>
        <v>1000</v>
      </c>
      <c r="F2" s="374">
        <f>表1_86121822242646[[#This Row],[补偿Coin]]*(表1_86121822242646[[#This Row],[活跃高战玩家数]]+表1_86121822242646[[#This Row],[活跃中坚玩家数]])</f>
        <v>18000</v>
      </c>
      <c r="G2" s="374">
        <f>(VLOOKUP(表1_86121822242646[[#This Row],[目标区服]],$R$17:$S$20,2,FALSE)-表1_86121822242646[[#This Row],[开服天数]])*配置!$B$2</f>
        <v>10</v>
      </c>
      <c r="H2" s="376" t="s">
        <v>25</v>
      </c>
      <c r="I2" s="376">
        <f>IF(表1_86121822242646[[#This Row],[原国家]]="魏",0,IF(表1_86121822242646[[#This Row],[原国家]]="蜀",1,2))</f>
        <v>0</v>
      </c>
      <c r="J2" s="380">
        <v>2</v>
      </c>
      <c r="K2" s="380">
        <v>72</v>
      </c>
      <c r="L2" s="380">
        <v>3</v>
      </c>
      <c r="M2" s="380">
        <v>15</v>
      </c>
      <c r="N2" s="380">
        <v>74488</v>
      </c>
      <c r="O2" s="380">
        <v>1917746</v>
      </c>
      <c r="P2" s="381">
        <v>14707995</v>
      </c>
      <c r="Q2" s="31" t="s">
        <v>25</v>
      </c>
      <c r="R2" s="376">
        <f>IF(表1_86121822242646[[#This Row],[目标国家]]="魏",0,IF(表1_86121822242646[[#This Row],[目标国家]]="蜀",1,2))</f>
        <v>0</v>
      </c>
      <c r="S2" s="380">
        <v>28382</v>
      </c>
      <c r="T2" s="380">
        <v>0</v>
      </c>
      <c r="U2" s="380">
        <v>53925</v>
      </c>
      <c r="V2" s="380">
        <v>5559</v>
      </c>
      <c r="W2" s="374">
        <v>543477</v>
      </c>
      <c r="X2" s="387" t="str">
        <f>"{"&amp;"'coin':"&amp;表1_86121822242646[[#This Row],[补偿Coin]]&amp;",'"&amp;配置!$A$2&amp;"':"&amp;表1_86121822242646[[#This Row],[补偿辎重]]&amp;"},"</f>
        <v>{'coin':1000,'item036':10},</v>
      </c>
      <c r="Y2" s="388" t="str">
        <f>"      '"&amp;表1_86121822242646[[#This Row],[区服]]&amp;"':{"</f>
        <v>      '5012':{</v>
      </c>
    </row>
    <row r="3" s="354" customFormat="1" ht="14.25" customHeight="1" spans="1:25">
      <c r="A3" s="375">
        <v>5012</v>
      </c>
      <c r="B3" s="371">
        <f>VLOOKUP(表1_86121822242646[[#This Row],[区服]],$P$17:$Q$22,2,FALSE)</f>
        <v>48</v>
      </c>
      <c r="C3" s="372" t="s">
        <v>89</v>
      </c>
      <c r="D3" s="376" t="str">
        <f>表1_86121822242646[[#This Row],[目标国家]]</f>
        <v>蜀</v>
      </c>
      <c r="E3" s="380">
        <f>(VLOOKUP(表1_86121822242646[[#This Row],[目标区服]],$R$17:$S$20,2,FALSE)-表1_86121822242646[[#This Row],[开服天数]])*配置!$B$1</f>
        <v>1000</v>
      </c>
      <c r="F3" s="380">
        <f>表1_86121822242646[[#This Row],[补偿Coin]]*(表1_86121822242646[[#This Row],[活跃高战玩家数]]+表1_86121822242646[[#This Row],[活跃中坚玩家数]])</f>
        <v>20000</v>
      </c>
      <c r="G3" s="380">
        <f>(VLOOKUP(表1_86121822242646[[#This Row],[目标区服]],$R$17:$S$20,2,FALSE)-表1_86121822242646[[#This Row],[开服天数]])*配置!$B$2</f>
        <v>10</v>
      </c>
      <c r="H3" s="376" t="s">
        <v>26</v>
      </c>
      <c r="I3" s="376">
        <f>IF(表1_86121822242646[[#This Row],[原国家]]="魏",0,IF(表1_86121822242646[[#This Row],[原国家]]="蜀",1,2))</f>
        <v>1</v>
      </c>
      <c r="J3" s="380">
        <v>2</v>
      </c>
      <c r="K3" s="380">
        <v>142</v>
      </c>
      <c r="L3" s="380">
        <v>2</v>
      </c>
      <c r="M3" s="380">
        <v>18</v>
      </c>
      <c r="N3" s="380">
        <v>70109</v>
      </c>
      <c r="O3" s="380">
        <v>1666272</v>
      </c>
      <c r="P3" s="381">
        <v>14360936</v>
      </c>
      <c r="Q3" s="31" t="s">
        <v>26</v>
      </c>
      <c r="R3" s="376">
        <f>IF(表1_86121822242646[[#This Row],[目标国家]]="魏",0,IF(表1_86121822242646[[#This Row],[目标国家]]="蜀",1,2))</f>
        <v>1</v>
      </c>
      <c r="S3" s="380">
        <v>33494</v>
      </c>
      <c r="T3" s="380">
        <v>0</v>
      </c>
      <c r="U3" s="380">
        <v>162099</v>
      </c>
      <c r="V3" s="380">
        <v>6158</v>
      </c>
      <c r="W3" s="374">
        <v>454921</v>
      </c>
      <c r="X3" s="387" t="str">
        <f>"{"&amp;"'coin':"&amp;表1_86121822242646[[#This Row],[补偿Coin]]&amp;",'"&amp;配置!$A$2&amp;"':"&amp;表1_86121822242646[[#This Row],[补偿辎重]]&amp;"},"</f>
        <v>{'coin':1000,'item036':10},</v>
      </c>
      <c r="Y3" s="388" t="str">
        <f>"            'to_zone':'"&amp;表1_86121822242646[[#This Row],[目标区服]]&amp;"',
            'reward':"&amp;表1_86121822242646[[#This Row],[辅助导出]]&amp;"
            'country':["&amp;R2&amp;","&amp;R3&amp;","&amp;R4&amp;"],"</f>
        <v>            'to_zone':'h1_506',
            'reward':{'coin':1000,'item036':10},
            'country':[0,1,2],</v>
      </c>
    </row>
    <row r="4" s="354" customFormat="1" ht="14.25" customHeight="1" spans="1:25">
      <c r="A4" s="375">
        <v>5012</v>
      </c>
      <c r="B4" s="371">
        <f>VLOOKUP(表1_86121822242646[[#This Row],[区服]],$P$17:$Q$22,2,FALSE)</f>
        <v>48</v>
      </c>
      <c r="C4" s="372" t="s">
        <v>89</v>
      </c>
      <c r="D4" s="376" t="str">
        <f>表1_86121822242646[[#This Row],[目标国家]]</f>
        <v>吴</v>
      </c>
      <c r="E4" s="380">
        <f>(VLOOKUP(表1_86121822242646[[#This Row],[目标区服]],$R$17:$S$20,2,FALSE)-表1_86121822242646[[#This Row],[开服天数]])*配置!$B$1</f>
        <v>1000</v>
      </c>
      <c r="F4" s="380">
        <f>表1_86121822242646[[#This Row],[补偿Coin]]*(表1_86121822242646[[#This Row],[活跃高战玩家数]]+表1_86121822242646[[#This Row],[活跃中坚玩家数]])</f>
        <v>32000</v>
      </c>
      <c r="G4" s="380">
        <f>(VLOOKUP(表1_86121822242646[[#This Row],[目标区服]],$R$17:$S$20,2,FALSE)-表1_86121822242646[[#This Row],[开服天数]])*配置!$B$2</f>
        <v>10</v>
      </c>
      <c r="H4" s="376" t="s">
        <v>27</v>
      </c>
      <c r="I4" s="376">
        <f>IF(表1_86121822242646[[#This Row],[原国家]]="魏",0,IF(表1_86121822242646[[#This Row],[原国家]]="蜀",1,2))</f>
        <v>2</v>
      </c>
      <c r="J4" s="380">
        <v>5</v>
      </c>
      <c r="K4" s="380">
        <v>181</v>
      </c>
      <c r="L4" s="380">
        <v>5</v>
      </c>
      <c r="M4" s="380">
        <v>27</v>
      </c>
      <c r="N4" s="380">
        <v>152505</v>
      </c>
      <c r="O4" s="380">
        <v>2567415</v>
      </c>
      <c r="P4" s="381">
        <v>29982325</v>
      </c>
      <c r="Q4" s="31" t="s">
        <v>27</v>
      </c>
      <c r="R4" s="376">
        <f>IF(表1_86121822242646[[#This Row],[目标国家]]="魏",0,IF(表1_86121822242646[[#This Row],[目标国家]]="蜀",1,2))</f>
        <v>2</v>
      </c>
      <c r="S4" s="380">
        <v>25048</v>
      </c>
      <c r="T4" s="380">
        <v>191944</v>
      </c>
      <c r="U4" s="380">
        <v>262808</v>
      </c>
      <c r="V4" s="380">
        <v>11440</v>
      </c>
      <c r="W4" s="374">
        <v>854023</v>
      </c>
      <c r="X4" s="387" t="str">
        <f>"{"&amp;"'coin':"&amp;表1_86121822242646[[#This Row],[补偿Coin]]&amp;",'"&amp;配置!$A$2&amp;"':"&amp;表1_86121822242646[[#This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1">
        <v>5013</v>
      </c>
      <c r="B5" s="371">
        <f>VLOOKUP(表1_86121822242646[[#This Row],[区服]],$P$17:$Q$22,2,FALSE)</f>
        <v>47</v>
      </c>
      <c r="C5" s="372" t="s">
        <v>89</v>
      </c>
      <c r="D5" s="376" t="str">
        <f>表1_86121822242646[[#This Row],[目标国家]]</f>
        <v>魏</v>
      </c>
      <c r="E5" s="380">
        <f>(VLOOKUP(表1_86121822242646[[#This Row],[目标区服]],$R$17:$S$20,2,FALSE)-表1_86121822242646[[#This Row],[开服天数]])*配置!$B$1</f>
        <v>1500</v>
      </c>
      <c r="F5" s="380">
        <f>表1_86121822242646[[#This Row],[补偿Coin]]*(表1_86121822242646[[#This Row],[活跃高战玩家数]]+表1_86121822242646[[#This Row],[活跃中坚玩家数]])</f>
        <v>30000</v>
      </c>
      <c r="G5" s="380">
        <f>(VLOOKUP(表1_86121822242646[[#This Row],[目标区服]],$R$17:$S$20,2,FALSE)-表1_86121822242646[[#This Row],[开服天数]])*配置!$B$2</f>
        <v>15</v>
      </c>
      <c r="H5" s="376" t="s">
        <v>25</v>
      </c>
      <c r="I5" s="376">
        <f>IF(表1_86121822242646[[#This Row],[原国家]]="魏",0,IF(表1_86121822242646[[#This Row],[原国家]]="蜀",1,2))</f>
        <v>0</v>
      </c>
      <c r="J5" s="380">
        <v>4</v>
      </c>
      <c r="K5" s="380">
        <v>155</v>
      </c>
      <c r="L5" s="380">
        <v>3</v>
      </c>
      <c r="M5" s="380">
        <v>17</v>
      </c>
      <c r="N5" s="380">
        <v>97772</v>
      </c>
      <c r="O5" s="380">
        <v>2205668</v>
      </c>
      <c r="P5" s="381">
        <v>16949759</v>
      </c>
      <c r="Q5" s="31" t="s">
        <v>25</v>
      </c>
      <c r="R5" s="376">
        <f>IF(表1_86121822242646[[#This Row],[目标国家]]="魏",0,IF(表1_86121822242646[[#This Row],[目标国家]]="蜀",1,2))</f>
        <v>0</v>
      </c>
      <c r="S5" s="380">
        <v>39560</v>
      </c>
      <c r="T5" s="380">
        <v>0</v>
      </c>
      <c r="U5" s="380">
        <v>330062</v>
      </c>
      <c r="V5" s="380">
        <v>7691</v>
      </c>
      <c r="W5" s="374">
        <v>589117</v>
      </c>
      <c r="X5" s="387" t="str">
        <f>"{"&amp;"'coin':"&amp;表1_86121822242646[[#This Row],[补偿Coin]]&amp;",'"&amp;配置!$A$2&amp;"':"&amp;表1_86121822242646[[#This Row],[补偿辎重]]&amp;"},"</f>
        <v>{'coin':1500,'item036':15},</v>
      </c>
      <c r="Y5" s="388" t="str">
        <f>"      '"&amp;表1_86121822242646[[#This Row],[区服]]&amp;"':{"</f>
        <v>      '5013':{</v>
      </c>
    </row>
    <row r="6" s="354" customFormat="1" ht="14.25" customHeight="1" spans="1:25">
      <c r="A6" s="371">
        <v>5013</v>
      </c>
      <c r="B6" s="371">
        <f>VLOOKUP(表1_86121822242646[[#This Row],[区服]],$P$17:$Q$22,2,FALSE)</f>
        <v>47</v>
      </c>
      <c r="C6" s="372" t="s">
        <v>89</v>
      </c>
      <c r="D6" s="376" t="str">
        <f>表1_86121822242646[[#This Row],[目标国家]]</f>
        <v>蜀</v>
      </c>
      <c r="E6" s="380">
        <f>(VLOOKUP(表1_86121822242646[[#This Row],[目标区服]],$R$17:$S$20,2,FALSE)-表1_86121822242646[[#This Row],[开服天数]])*配置!$B$1</f>
        <v>1500</v>
      </c>
      <c r="F6" s="380">
        <f>表1_86121822242646[[#This Row],[补偿Coin]]*(表1_86121822242646[[#This Row],[活跃高战玩家数]]+表1_86121822242646[[#This Row],[活跃中坚玩家数]])</f>
        <v>30000</v>
      </c>
      <c r="G6" s="380">
        <f>(VLOOKUP(表1_86121822242646[[#This Row],[目标区服]],$R$17:$S$20,2,FALSE)-表1_86121822242646[[#This Row],[开服天数]])*配置!$B$2</f>
        <v>15</v>
      </c>
      <c r="H6" s="376" t="s">
        <v>26</v>
      </c>
      <c r="I6" s="376">
        <f>IF(表1_86121822242646[[#This Row],[原国家]]="魏",0,IF(表1_86121822242646[[#This Row],[原国家]]="蜀",1,2))</f>
        <v>1</v>
      </c>
      <c r="J6" s="380">
        <v>2</v>
      </c>
      <c r="K6" s="380">
        <v>112</v>
      </c>
      <c r="L6" s="380">
        <v>5</v>
      </c>
      <c r="M6" s="380">
        <v>15</v>
      </c>
      <c r="N6" s="380">
        <v>93424</v>
      </c>
      <c r="O6" s="380">
        <v>2559901</v>
      </c>
      <c r="P6" s="381">
        <v>17172134</v>
      </c>
      <c r="Q6" s="31" t="s">
        <v>26</v>
      </c>
      <c r="R6" s="376">
        <f>IF(表1_86121822242646[[#This Row],[目标国家]]="魏",0,IF(表1_86121822242646[[#This Row],[目标国家]]="蜀",1,2))</f>
        <v>1</v>
      </c>
      <c r="S6" s="380">
        <v>59426</v>
      </c>
      <c r="T6" s="380">
        <v>0</v>
      </c>
      <c r="U6" s="380">
        <v>112970</v>
      </c>
      <c r="V6" s="380">
        <v>7903</v>
      </c>
      <c r="W6" s="374">
        <v>744661</v>
      </c>
      <c r="X6" s="387" t="str">
        <f>"{"&amp;"'coin':"&amp;表1_86121822242646[[#This Row],[补偿Coin]]&amp;",'"&amp;配置!$A$2&amp;"':"&amp;表1_86121822242646[[#This Row],[补偿辎重]]&amp;"},"</f>
        <v>{'coin':1500,'item036':15},</v>
      </c>
      <c r="Y6" s="388" t="str">
        <f>"            'to_zone':'"&amp;表1_86121822242646[[#This Row],[目标区服]]&amp;"',
            'reward':"&amp;表1_86121822242646[[#This Row],[辅助导出]]&amp;"
            'country':["&amp;R5&amp;","&amp;R6&amp;","&amp;R7&amp;"],"</f>
        <v>            'to_zone':'h1_506',
            'reward':{'coin':1500,'item036':15},
            'country':[0,1,2],</v>
      </c>
    </row>
    <row r="7" s="354" customFormat="1" ht="14.25" customHeight="1" spans="1:25">
      <c r="A7" s="371">
        <v>5013</v>
      </c>
      <c r="B7" s="371">
        <f>VLOOKUP(表1_86121822242646[[#This Row],[区服]],$P$17:$Q$22,2,FALSE)</f>
        <v>47</v>
      </c>
      <c r="C7" s="372" t="s">
        <v>89</v>
      </c>
      <c r="D7" s="376" t="str">
        <f>表1_86121822242646[[#This Row],[目标国家]]</f>
        <v>吴</v>
      </c>
      <c r="E7" s="380">
        <f>(VLOOKUP(表1_86121822242646[[#This Row],[目标区服]],$R$17:$S$20,2,FALSE)-表1_86121822242646[[#This Row],[开服天数]])*配置!$B$1</f>
        <v>1500</v>
      </c>
      <c r="F7" s="380">
        <f>表1_86121822242646[[#This Row],[补偿Coin]]*(表1_86121822242646[[#This Row],[活跃高战玩家数]]+表1_86121822242646[[#This Row],[活跃中坚玩家数]])</f>
        <v>34500</v>
      </c>
      <c r="G7" s="380">
        <f>(VLOOKUP(表1_86121822242646[[#This Row],[目标区服]],$R$17:$S$20,2,FALSE)-表1_86121822242646[[#This Row],[开服天数]])*配置!$B$2</f>
        <v>15</v>
      </c>
      <c r="H7" s="376" t="s">
        <v>27</v>
      </c>
      <c r="I7" s="376">
        <f>IF(表1_86121822242646[[#This Row],[原国家]]="魏",0,IF(表1_86121822242646[[#This Row],[原国家]]="蜀",1,2))</f>
        <v>2</v>
      </c>
      <c r="J7" s="380">
        <v>3</v>
      </c>
      <c r="K7" s="380">
        <v>128</v>
      </c>
      <c r="L7" s="380">
        <v>2</v>
      </c>
      <c r="M7" s="380">
        <v>21</v>
      </c>
      <c r="N7" s="380">
        <v>102253</v>
      </c>
      <c r="O7" s="380">
        <v>2069330</v>
      </c>
      <c r="P7" s="381">
        <v>17168119</v>
      </c>
      <c r="Q7" s="31" t="s">
        <v>27</v>
      </c>
      <c r="R7" s="376">
        <f>IF(表1_86121822242646[[#This Row],[目标国家]]="魏",0,IF(表1_86121822242646[[#This Row],[目标国家]]="蜀",1,2))</f>
        <v>2</v>
      </c>
      <c r="S7" s="380">
        <v>24514</v>
      </c>
      <c r="T7" s="380">
        <v>0</v>
      </c>
      <c r="U7" s="380">
        <v>212166</v>
      </c>
      <c r="V7" s="380">
        <v>6718</v>
      </c>
      <c r="W7" s="374">
        <v>588878</v>
      </c>
      <c r="X7" s="387" t="str">
        <f>"{"&amp;"'coin':"&amp;表1_86121822242646[[#This Row],[补偿Coin]]&amp;",'"&amp;配置!$A$2&amp;"':"&amp;表1_86121822242646[[#This Row],[补偿辎重]]&amp;"},"</f>
        <v>{'coin':1500,'item036':15},</v>
      </c>
      <c r="Y7" s="388" t="str">
        <f t="shared" ref="Y7" si="0">"      },"</f>
        <v>      },</v>
      </c>
    </row>
    <row r="8" s="354" customFormat="1" ht="14.25" customHeight="1" spans="1:25">
      <c r="A8" s="259">
        <v>5014</v>
      </c>
      <c r="B8" s="210">
        <f>VLOOKUP(表1_86121822242646[[#This Row],[区服]],$P$17:$Q$22,2,FALSE)</f>
        <v>46</v>
      </c>
      <c r="C8" s="296" t="s">
        <v>90</v>
      </c>
      <c r="D8" s="212" t="str">
        <f>表1_86121822242646[[#This Row],[目标国家]]</f>
        <v>魏</v>
      </c>
      <c r="E8" s="213">
        <f>(VLOOKUP(表1_86121822242646[[#This Row],[目标区服]],$R$17:$S$20,2,FALSE)-表1_86121822242646[[#This Row],[开服天数]])*配置!$B$1</f>
        <v>1000</v>
      </c>
      <c r="F8" s="213">
        <f>表1_86121822242646[[#This Row],[补偿Coin]]*(表1_86121822242646[[#This Row],[活跃高战玩家数]]+表1_86121822242646[[#This Row],[活跃中坚玩家数]])</f>
        <v>16000</v>
      </c>
      <c r="G8" s="260">
        <f>(VLOOKUP(表1_86121822242646[[#This Row],[目标区服]],$R$17:$S$20,2,FALSE)-表1_86121822242646[[#This Row],[开服天数]])*配置!$B$2</f>
        <v>10</v>
      </c>
      <c r="H8" s="212" t="s">
        <v>25</v>
      </c>
      <c r="I8" s="268">
        <f>IF(表1_86121822242646[[#This Row],[原国家]]="魏",0,IF(表1_86121822242646[[#This Row],[原国家]]="蜀",1,2))</f>
        <v>0</v>
      </c>
      <c r="J8" s="213">
        <v>2</v>
      </c>
      <c r="K8" s="213">
        <v>61</v>
      </c>
      <c r="L8" s="213">
        <v>1</v>
      </c>
      <c r="M8" s="213">
        <v>15</v>
      </c>
      <c r="N8" s="213">
        <v>63818</v>
      </c>
      <c r="O8" s="419">
        <v>1363177</v>
      </c>
      <c r="P8" s="420">
        <v>8189190</v>
      </c>
      <c r="Q8" s="31" t="s">
        <v>25</v>
      </c>
      <c r="R8" s="212">
        <f>IF(表1_86121822242646[[#This Row],[目标国家]]="魏",0,IF(表1_86121822242646[[#This Row],[目标国家]]="蜀",1,2))</f>
        <v>0</v>
      </c>
      <c r="S8" s="213">
        <v>6812</v>
      </c>
      <c r="T8" s="213">
        <v>0</v>
      </c>
      <c r="U8" s="213">
        <v>150545</v>
      </c>
      <c r="V8" s="213">
        <v>3590</v>
      </c>
      <c r="W8" s="213">
        <v>480354</v>
      </c>
      <c r="X8" s="278" t="str">
        <f>"{"&amp;"'coin':"&amp;表1_86121822242646[[#This Row],[补偿Coin]]&amp;",'"&amp;配置!$A$2&amp;"':"&amp;表1_86121822242646[[#This Row],[补偿辎重]]&amp;"},"</f>
        <v>{'coin':1000,'item036':10},</v>
      </c>
      <c r="Y8" s="278" t="str">
        <f>"      '"&amp;表1_86121822242646[[#This Row],[区服]]&amp;"':{"</f>
        <v>      '5014':{</v>
      </c>
    </row>
    <row r="9" s="354" customFormat="1" ht="14.25" customHeight="1" spans="1:25">
      <c r="A9" s="259">
        <v>5014</v>
      </c>
      <c r="B9" s="210">
        <f>VLOOKUP(表1_86121822242646[[#This Row],[区服]],$P$17:$Q$22,2,FALSE)</f>
        <v>46</v>
      </c>
      <c r="C9" s="296" t="s">
        <v>90</v>
      </c>
      <c r="D9" s="212" t="str">
        <f>表1_86121822242646[[#This Row],[目标国家]]</f>
        <v>蜀</v>
      </c>
      <c r="E9" s="213">
        <f>(VLOOKUP(表1_86121822242646[[#This Row],[目标区服]],$R$17:$S$20,2,FALSE)-表1_86121822242646[[#This Row],[开服天数]])*配置!$B$1</f>
        <v>1000</v>
      </c>
      <c r="F9" s="213">
        <f>表1_86121822242646[[#This Row],[补偿Coin]]*(表1_86121822242646[[#This Row],[活跃高战玩家数]]+表1_86121822242646[[#This Row],[活跃中坚玩家数]])</f>
        <v>16000</v>
      </c>
      <c r="G9" s="260">
        <f>(VLOOKUP(表1_86121822242646[[#This Row],[目标区服]],$R$17:$S$20,2,FALSE)-表1_86121822242646[[#This Row],[开服天数]])*配置!$B$2</f>
        <v>10</v>
      </c>
      <c r="H9" s="212" t="s">
        <v>26</v>
      </c>
      <c r="I9" s="268">
        <f>IF(表1_86121822242646[[#This Row],[原国家]]="魏",0,IF(表1_86121822242646[[#This Row],[原国家]]="蜀",1,2))</f>
        <v>1</v>
      </c>
      <c r="J9" s="213">
        <v>4</v>
      </c>
      <c r="K9" s="213">
        <v>202</v>
      </c>
      <c r="L9" s="213">
        <v>4</v>
      </c>
      <c r="M9" s="213">
        <v>12</v>
      </c>
      <c r="N9" s="213">
        <v>91825</v>
      </c>
      <c r="O9" s="419">
        <v>1942401</v>
      </c>
      <c r="P9" s="420">
        <v>11930431</v>
      </c>
      <c r="Q9" s="31" t="s">
        <v>26</v>
      </c>
      <c r="R9" s="212">
        <f>IF(表1_86121822242646[[#This Row],[目标国家]]="魏",0,IF(表1_86121822242646[[#This Row],[目标国家]]="蜀",1,2))</f>
        <v>1</v>
      </c>
      <c r="S9" s="213">
        <v>10484</v>
      </c>
      <c r="T9" s="213">
        <v>0</v>
      </c>
      <c r="U9" s="213">
        <v>164922</v>
      </c>
      <c r="V9" s="213">
        <v>6411</v>
      </c>
      <c r="W9" s="213">
        <v>573056</v>
      </c>
      <c r="X9" s="278" t="str">
        <f>"{"&amp;"'coin':"&amp;表1_86121822242646[[#This Row],[补偿Coin]]&amp;",'"&amp;配置!$A$2&amp;"':"&amp;表1_86121822242646[[#This Row],[补偿辎重]]&amp;"},"</f>
        <v>{'coin':1000,'item036':10},</v>
      </c>
      <c r="Y9" s="278" t="str">
        <f>"            'to_zone':'"&amp;表1_86121822242646[[#This Row],[目标区服]]&amp;"',
            'reward':"&amp;表1_86121822242646[[#This Row],[辅助导出]]&amp;"
            'country':["&amp;R8&amp;","&amp;R9&amp;","&amp;R10&amp;"],"</f>
        <v>            'to_zone':'h1_507',
            'reward':{'coin':1000,'item036':10},
            'country':[0,1,2],</v>
      </c>
    </row>
    <row r="10" s="354" customFormat="1" ht="14.25" customHeight="1" spans="1:25">
      <c r="A10" s="259">
        <v>5014</v>
      </c>
      <c r="B10" s="210">
        <f>VLOOKUP(表1_86121822242646[[#This Row],[区服]],$P$17:$Q$22,2,FALSE)</f>
        <v>46</v>
      </c>
      <c r="C10" s="296" t="s">
        <v>90</v>
      </c>
      <c r="D10" s="212" t="str">
        <f>表1_86121822242646[[#This Row],[目标国家]]</f>
        <v>吴</v>
      </c>
      <c r="E10" s="213">
        <f>(VLOOKUP(表1_86121822242646[[#This Row],[目标区服]],$R$17:$S$20,2,FALSE)-表1_86121822242646[[#This Row],[开服天数]])*配置!$B$1</f>
        <v>1000</v>
      </c>
      <c r="F10" s="213">
        <f>表1_86121822242646[[#This Row],[补偿Coin]]*(表1_86121822242646[[#This Row],[活跃高战玩家数]]+表1_86121822242646[[#This Row],[活跃中坚玩家数]])</f>
        <v>17000</v>
      </c>
      <c r="G10" s="260">
        <f>(VLOOKUP(表1_86121822242646[[#This Row],[目标区服]],$R$17:$S$20,2,FALSE)-表1_86121822242646[[#This Row],[开服天数]])*配置!$B$2</f>
        <v>10</v>
      </c>
      <c r="H10" s="212" t="s">
        <v>27</v>
      </c>
      <c r="I10" s="268">
        <f>IF(表1_86121822242646[[#This Row],[原国家]]="魏",0,IF(表1_86121822242646[[#This Row],[原国家]]="蜀",1,2))</f>
        <v>2</v>
      </c>
      <c r="J10" s="213">
        <v>3</v>
      </c>
      <c r="K10" s="213">
        <v>132</v>
      </c>
      <c r="L10" s="213">
        <v>5</v>
      </c>
      <c r="M10" s="213">
        <v>12</v>
      </c>
      <c r="N10" s="213">
        <v>101040</v>
      </c>
      <c r="O10" s="419">
        <v>2068091</v>
      </c>
      <c r="P10" s="420">
        <v>13252353</v>
      </c>
      <c r="Q10" s="31" t="s">
        <v>27</v>
      </c>
      <c r="R10" s="212">
        <f>IF(表1_86121822242646[[#This Row],[目标国家]]="魏",0,IF(表1_86121822242646[[#This Row],[目标国家]]="蜀",1,2))</f>
        <v>2</v>
      </c>
      <c r="S10" s="213">
        <v>17276</v>
      </c>
      <c r="T10" s="213">
        <v>0</v>
      </c>
      <c r="U10" s="213">
        <v>192414</v>
      </c>
      <c r="V10" s="213">
        <v>6133</v>
      </c>
      <c r="W10" s="213">
        <v>683048</v>
      </c>
      <c r="X10" s="278" t="str">
        <f>"{"&amp;"'coin':"&amp;表1_86121822242646[[#This Row],[补偿Coin]]&amp;",'"&amp;配置!$A$2&amp;"':"&amp;表1_86121822242646[[#This Row],[补偿辎重]]&amp;"},"</f>
        <v>{'coin':1000,'item036':10},</v>
      </c>
      <c r="Y10" s="278" t="str">
        <f>"      },"</f>
        <v>      },</v>
      </c>
    </row>
    <row r="11" s="354" customFormat="1" ht="14.25" customHeight="1" spans="1:25">
      <c r="A11" s="259">
        <v>5015</v>
      </c>
      <c r="B11" s="210">
        <f>VLOOKUP(表1_86121822242646[[#This Row],[区服]],$P$17:$Q$22,2,FALSE)</f>
        <v>45</v>
      </c>
      <c r="C11" s="296" t="s">
        <v>90</v>
      </c>
      <c r="D11" s="212" t="str">
        <f>表1_86121822242646[[#This Row],[目标国家]]</f>
        <v>蜀</v>
      </c>
      <c r="E11" s="213">
        <f>(VLOOKUP(表1_86121822242646[[#This Row],[目标区服]],$R$17:$S$20,2,FALSE)-表1_86121822242646[[#This Row],[开服天数]])*配置!$B$1</f>
        <v>1500</v>
      </c>
      <c r="F11" s="213">
        <f>表1_86121822242646[[#This Row],[补偿Coin]]*(表1_86121822242646[[#This Row],[活跃高战玩家数]]+表1_86121822242646[[#This Row],[活跃中坚玩家数]])</f>
        <v>27000</v>
      </c>
      <c r="G11" s="260">
        <f>(VLOOKUP(表1_86121822242646[[#This Row],[目标区服]],$R$17:$S$20,2,FALSE)-表1_86121822242646[[#This Row],[开服天数]])*配置!$B$2</f>
        <v>15</v>
      </c>
      <c r="H11" s="212" t="s">
        <v>25</v>
      </c>
      <c r="I11" s="268">
        <f>IF(表1_86121822242646[[#This Row],[原国家]]="魏",0,IF(表1_86121822242646[[#This Row],[原国家]]="蜀",1,2))</f>
        <v>0</v>
      </c>
      <c r="J11" s="213">
        <v>2</v>
      </c>
      <c r="K11" s="213">
        <v>105</v>
      </c>
      <c r="L11" s="213">
        <v>4</v>
      </c>
      <c r="M11" s="213">
        <v>14</v>
      </c>
      <c r="N11" s="213">
        <v>100679</v>
      </c>
      <c r="O11" s="419">
        <v>2220834</v>
      </c>
      <c r="P11" s="420">
        <v>15571487</v>
      </c>
      <c r="Q11" s="31" t="s">
        <v>26</v>
      </c>
      <c r="R11" s="212">
        <f>IF(表1_86121822242646[[#This Row],[目标国家]]="魏",0,IF(表1_86121822242646[[#This Row],[目标国家]]="蜀",1,2))</f>
        <v>1</v>
      </c>
      <c r="S11" s="213">
        <v>30528</v>
      </c>
      <c r="T11" s="213">
        <v>0</v>
      </c>
      <c r="U11" s="213">
        <v>169102</v>
      </c>
      <c r="V11" s="213">
        <v>6531</v>
      </c>
      <c r="W11" s="213">
        <v>554703</v>
      </c>
      <c r="X11" s="278" t="str">
        <f>"{"&amp;"'coin':"&amp;表1_86121822242646[[#This Row],[补偿Coin]]&amp;",'"&amp;配置!$A$2&amp;"':"&amp;表1_86121822242646[[#This Row],[补偿辎重]]&amp;"},"</f>
        <v>{'coin':1500,'item036':15},</v>
      </c>
      <c r="Y11" s="278" t="str">
        <f>"      '"&amp;表1_86121822242646[[#This Row],[区服]]&amp;"':{"</f>
        <v>      '5015':{</v>
      </c>
    </row>
    <row r="12" s="354" customFormat="1" ht="14.25" customHeight="1" spans="1:25">
      <c r="A12" s="259">
        <v>5015</v>
      </c>
      <c r="B12" s="210">
        <f>VLOOKUP(表1_86121822242646[[#This Row],[区服]],$P$17:$Q$22,2,FALSE)</f>
        <v>45</v>
      </c>
      <c r="C12" s="296" t="s">
        <v>90</v>
      </c>
      <c r="D12" s="212" t="str">
        <f>表1_86121822242646[[#This Row],[目标国家]]</f>
        <v>魏</v>
      </c>
      <c r="E12" s="213">
        <f>(VLOOKUP(表1_86121822242646[[#This Row],[目标区服]],$R$17:$S$20,2,FALSE)-表1_86121822242646[[#This Row],[开服天数]])*配置!$B$1</f>
        <v>1500</v>
      </c>
      <c r="F12" s="213">
        <f>表1_86121822242646[[#This Row],[补偿Coin]]*(表1_86121822242646[[#This Row],[活跃高战玩家数]]+表1_86121822242646[[#This Row],[活跃中坚玩家数]])</f>
        <v>39000</v>
      </c>
      <c r="G12" s="260">
        <f>(VLOOKUP(表1_86121822242646[[#This Row],[目标区服]],$R$17:$S$20,2,FALSE)-表1_86121822242646[[#This Row],[开服天数]])*配置!$B$2</f>
        <v>15</v>
      </c>
      <c r="H12" s="212" t="s">
        <v>26</v>
      </c>
      <c r="I12" s="268">
        <f>IF(表1_86121822242646[[#This Row],[原国家]]="魏",0,IF(表1_86121822242646[[#This Row],[原国家]]="蜀",1,2))</f>
        <v>1</v>
      </c>
      <c r="J12" s="213">
        <v>5</v>
      </c>
      <c r="K12" s="213">
        <v>208</v>
      </c>
      <c r="L12" s="213">
        <v>5</v>
      </c>
      <c r="M12" s="213">
        <v>21</v>
      </c>
      <c r="N12" s="213">
        <v>122524</v>
      </c>
      <c r="O12" s="419">
        <v>2522136</v>
      </c>
      <c r="P12" s="420">
        <v>19924095</v>
      </c>
      <c r="Q12" s="31" t="s">
        <v>25</v>
      </c>
      <c r="R12" s="212">
        <f>IF(表1_86121822242646[[#This Row],[目标国家]]="魏",0,IF(表1_86121822242646[[#This Row],[目标国家]]="蜀",1,2))</f>
        <v>0</v>
      </c>
      <c r="S12" s="213">
        <v>36516</v>
      </c>
      <c r="T12" s="213">
        <v>0</v>
      </c>
      <c r="U12" s="213">
        <v>239868</v>
      </c>
      <c r="V12" s="213">
        <v>8922</v>
      </c>
      <c r="W12" s="213">
        <v>738925</v>
      </c>
      <c r="X12" s="278" t="str">
        <f>"{"&amp;"'coin':"&amp;表1_86121822242646[[#This Row],[补偿Coin]]&amp;",'"&amp;配置!$A$2&amp;"':"&amp;表1_86121822242646[[#This Row],[补偿辎重]]&amp;"},"</f>
        <v>{'coin':1500,'item036':15},</v>
      </c>
      <c r="Y12" s="278" t="str">
        <f>"            'to_zone':'"&amp;表1_86121822242646[[#This Row],[目标区服]]&amp;"',
            'reward':"&amp;表1_86121822242646[[#This Row],[辅助导出]]&amp;"
            'country':["&amp;R11&amp;","&amp;R12&amp;","&amp;R13&amp;"],"</f>
        <v>            'to_zone':'h1_507',
            'reward':{'coin':1500,'item036':15},
            'country':[1,0,2],</v>
      </c>
    </row>
    <row r="13" s="354" customFormat="1" ht="14.25" customHeight="1" spans="1:25">
      <c r="A13" s="259">
        <v>5015</v>
      </c>
      <c r="B13" s="210">
        <f>VLOOKUP(表1_86121822242646[[#This Row],[区服]],$P$17:$Q$22,2,FALSE)</f>
        <v>45</v>
      </c>
      <c r="C13" s="296" t="s">
        <v>90</v>
      </c>
      <c r="D13" s="212" t="str">
        <f>表1_86121822242646[[#This Row],[目标国家]]</f>
        <v>吴</v>
      </c>
      <c r="E13" s="213">
        <f>(VLOOKUP(表1_86121822242646[[#This Row],[目标区服]],$R$17:$S$20,2,FALSE)-表1_86121822242646[[#This Row],[开服天数]])*配置!$B$1</f>
        <v>1500</v>
      </c>
      <c r="F13" s="213">
        <f>表1_86121822242646[[#This Row],[补偿Coin]]*(表1_86121822242646[[#This Row],[活跃高战玩家数]]+表1_86121822242646[[#This Row],[活跃中坚玩家数]])</f>
        <v>27000</v>
      </c>
      <c r="G13" s="260">
        <f>(VLOOKUP(表1_86121822242646[[#This Row],[目标区服]],$R$17:$S$20,2,FALSE)-表1_86121822242646[[#This Row],[开服天数]])*配置!$B$2</f>
        <v>15</v>
      </c>
      <c r="H13" s="212" t="s">
        <v>27</v>
      </c>
      <c r="I13" s="268">
        <f>IF(表1_86121822242646[[#This Row],[原国家]]="魏",0,IF(表1_86121822242646[[#This Row],[原国家]]="蜀",1,2))</f>
        <v>2</v>
      </c>
      <c r="J13" s="213">
        <v>2</v>
      </c>
      <c r="K13" s="213">
        <v>82</v>
      </c>
      <c r="L13" s="213">
        <v>0</v>
      </c>
      <c r="M13" s="213">
        <v>18</v>
      </c>
      <c r="N13" s="213">
        <v>64991</v>
      </c>
      <c r="O13" s="419">
        <v>1186938</v>
      </c>
      <c r="P13" s="420">
        <v>10417783</v>
      </c>
      <c r="Q13" s="31" t="s">
        <v>27</v>
      </c>
      <c r="R13" s="212">
        <f>IF(表1_86121822242646[[#This Row],[目标国家]]="魏",0,IF(表1_86121822242646[[#This Row],[目标国家]]="蜀",1,2))</f>
        <v>2</v>
      </c>
      <c r="S13" s="213">
        <v>6614</v>
      </c>
      <c r="T13" s="213">
        <v>0</v>
      </c>
      <c r="U13" s="213">
        <v>143024</v>
      </c>
      <c r="V13" s="213">
        <v>3843</v>
      </c>
      <c r="W13" s="213">
        <v>292385</v>
      </c>
      <c r="X13" s="278" t="str">
        <f>"{"&amp;"'coin':"&amp;表1_86121822242646[[#This Row],[补偿Coin]]&amp;",'"&amp;配置!$A$2&amp;"':"&amp;表1_86121822242646[[#This Row],[补偿辎重]]&amp;"},"</f>
        <v>{'coin':1500,'item036':15},</v>
      </c>
      <c r="Y13" s="278" t="str">
        <f t="shared" ref="Y13" si="1">"      },"</f>
        <v>      },</v>
      </c>
    </row>
    <row r="16" ht="37.5" customHeight="1" spans="1:19">
      <c r="A16" s="36" t="s">
        <v>28</v>
      </c>
      <c r="B16" s="37" t="s">
        <v>29</v>
      </c>
      <c r="C16" s="38" t="s">
        <v>30</v>
      </c>
      <c r="D16" s="38" t="s">
        <v>31</v>
      </c>
      <c r="E16" s="38" t="s">
        <v>32</v>
      </c>
      <c r="F16" s="38" t="s">
        <v>33</v>
      </c>
      <c r="G16" s="38" t="s">
        <v>15</v>
      </c>
      <c r="H16" s="37" t="s">
        <v>18</v>
      </c>
      <c r="I16" s="37" t="s">
        <v>19</v>
      </c>
      <c r="J16" s="37" t="s">
        <v>34</v>
      </c>
      <c r="K16" s="38" t="s">
        <v>35</v>
      </c>
      <c r="L16" s="38" t="s">
        <v>36</v>
      </c>
      <c r="M16" s="38" t="s">
        <v>37</v>
      </c>
      <c r="N16" s="38" t="s">
        <v>88</v>
      </c>
      <c r="P16" s="51" t="s">
        <v>0</v>
      </c>
      <c r="Q16" s="51" t="s">
        <v>1</v>
      </c>
      <c r="R16" s="51"/>
      <c r="S16" s="51" t="s">
        <v>38</v>
      </c>
    </row>
    <row r="17" ht="15.75" customHeight="1" spans="1:19">
      <c r="A17" s="372" t="s">
        <v>89</v>
      </c>
      <c r="B17" s="39" t="s">
        <v>25</v>
      </c>
      <c r="C17" s="39">
        <f>COUNTIFS(表1_86121822242646[目标区服],表2_97131923252747[[#This Row],[合区区服]],表1_86121822242646[目标国家（映射）],表2_97131923252747[[#This Row],[国家]])</f>
        <v>2</v>
      </c>
      <c r="D17" s="39">
        <f>SUMIFS(表1_86121822242646[活跃高战玩家数],表1_86121822242646[目标区服],表2_97131923252747[[#This Row],[合区区服]],表1_86121822242646[目标国家（映射）],表2_97131923252747[[#This Row],[国家]])</f>
        <v>6</v>
      </c>
      <c r="E17" s="39">
        <f>SUMIFS(表1_86121822242646[活跃中坚玩家数],表1_86121822242646[目标区服],表2_97131923252747[[#This Row],[合区区服]],表1_86121822242646[目标国家（映射）],表2_97131923252747[[#This Row],[国家]])</f>
        <v>32</v>
      </c>
      <c r="F17" s="39">
        <f t="array" ref="F17">MAX((表1_86121822242646[目标区服]=表2_97131923252747[[#This Row],[合区区服]])*(表1_86121822242646[目标国家（映射）]=表2_97131923252747[[#This Row],[国家]])*表1_86121822242646[活跃尖端战力])</f>
        <v>2205668</v>
      </c>
      <c r="G17" s="40">
        <f>SUMIFS(表1_86121822242646[活跃总战力],表1_86121822242646[目标区服],表2_97131923252747[[#This Row],[合区区服]],表1_86121822242646[目标国家（映射）],表2_97131923252747[[#This Row],[国家]])</f>
        <v>31657754</v>
      </c>
      <c r="H17" s="39">
        <f>SUMIFS(表1_86121822242646[活跃实际充值],表1_86121822242646[目标区服],表2_97131923252747[[#This Row],[合区区服]],表1_86121822242646[目标国家（映射）],表2_97131923252747[[#This Row],[国家]])</f>
        <v>67942</v>
      </c>
      <c r="I17" s="39">
        <f>SUMIFS(表1_86121822242646[活跃虚拟充值],表1_86121822242646[目标区服],表2_97131923252747[[#This Row],[合区区服]],表1_86121822242646[目标国家（映射）],表2_97131923252747[[#This Row],[国家]])</f>
        <v>0</v>
      </c>
      <c r="J17" s="39">
        <f>SUMIFS(表1_86121822242646[活跃Coin],表1_86121822242646[目标区服],表2_97131923252747[[#This Row],[合区区服]],表1_86121822242646[目标国家（映射）],表2_97131923252747[[#This Row],[国家]])</f>
        <v>383987</v>
      </c>
      <c r="K17" s="39">
        <f>SUMIFS(表1_86121822242646[共计补偿Coin],表1_86121822242646[目标区服],表2_97131923252747[[#This Row],[合区区服]],表1_86121822242646[目标国家（映射）],表2_97131923252747[[#This Row],[国家]])</f>
        <v>48000</v>
      </c>
      <c r="L17" s="39">
        <f>表2_97131923252747[[#This Row],[活跃Coin]]+表2_97131923252747[[#This Row],[共计补偿Coin]]</f>
        <v>431987</v>
      </c>
      <c r="M17" s="39">
        <f>SUMIFS(表1_86121822242646[综合国力],表1_86121822242646[目标区服],表2_97131923252747[[#This Row],[合区区服]],表1_86121822242646[目标国家（映射）],表2_97131923252747[[#This Row],[国家]])</f>
        <v>13250</v>
      </c>
      <c r="N17" s="39">
        <f t="array" ref="N17">MAX((表1_86121822242646[目标区服]=表2_97131923252747[[#This Row],[合区区服]])*(表1_86121822242646[目标国家（映射）]=表2_97131923252747[[#This Row],[国家]])*表1_86121822242646[单将最高战力])</f>
        <v>589117</v>
      </c>
      <c r="P17" s="51">
        <v>5012</v>
      </c>
      <c r="Q17" s="51">
        <v>48</v>
      </c>
      <c r="R17" s="51" t="s">
        <v>89</v>
      </c>
      <c r="S17" s="51">
        <v>50</v>
      </c>
    </row>
    <row r="18" ht="15" spans="1:19">
      <c r="A18" s="372" t="s">
        <v>89</v>
      </c>
      <c r="B18" s="39" t="s">
        <v>26</v>
      </c>
      <c r="C18" s="39">
        <f>COUNTIFS(表1_86121822242646[目标区服],表2_97131923252747[[#This Row],[合区区服]],表1_86121822242646[目标国家（映射）],表2_97131923252747[[#This Row],[国家]])</f>
        <v>2</v>
      </c>
      <c r="D18" s="39">
        <f>SUMIFS(表1_86121822242646[活跃高战玩家数],表1_86121822242646[目标区服],表2_97131923252747[[#This Row],[合区区服]],表1_86121822242646[目标国家（映射）],表2_97131923252747[[#This Row],[国家]])</f>
        <v>7</v>
      </c>
      <c r="E18" s="39">
        <f>SUMIFS(表1_86121822242646[活跃中坚玩家数],表1_86121822242646[目标区服],表2_97131923252747[[#This Row],[合区区服]],表1_86121822242646[目标国家（映射）],表2_97131923252747[[#This Row],[国家]])</f>
        <v>33</v>
      </c>
      <c r="F18" s="39">
        <f t="array" ref="F18">MAX((表1_86121822242646[目标区服]=表2_97131923252747[[#This Row],[合区区服]])*(表1_86121822242646[目标国家（映射）]=表2_97131923252747[[#This Row],[国家]])*表1_86121822242646[活跃尖端战力])</f>
        <v>2559901</v>
      </c>
      <c r="G18" s="40">
        <f>SUMIFS(表1_86121822242646[活跃总战力],表1_86121822242646[目标区服],表2_97131923252747[[#This Row],[合区区服]],表1_86121822242646[目标国家（映射）],表2_97131923252747[[#This Row],[国家]])</f>
        <v>31533070</v>
      </c>
      <c r="H18" s="39">
        <f>SUMIFS(表1_86121822242646[活跃实际充值],表1_86121822242646[目标区服],表2_97131923252747[[#This Row],[合区区服]],表1_86121822242646[目标国家（映射）],表2_97131923252747[[#This Row],[国家]])</f>
        <v>92920</v>
      </c>
      <c r="I18" s="39">
        <f>SUMIFS(表1_86121822242646[活跃虚拟充值],表1_86121822242646[目标区服],表2_97131923252747[[#This Row],[合区区服]],表1_86121822242646[目标国家（映射）],表2_97131923252747[[#This Row],[国家]])</f>
        <v>0</v>
      </c>
      <c r="J18" s="39">
        <f>SUMIFS(表1_86121822242646[活跃Coin],表1_86121822242646[目标区服],表2_97131923252747[[#This Row],[合区区服]],表1_86121822242646[目标国家（映射）],表2_97131923252747[[#This Row],[国家]])</f>
        <v>275069</v>
      </c>
      <c r="K18" s="39">
        <f>SUMIFS(表1_86121822242646[共计补偿Coin],表1_86121822242646[目标区服],表2_97131923252747[[#This Row],[合区区服]],表1_86121822242646[目标国家（映射）],表2_97131923252747[[#This Row],[国家]])</f>
        <v>50000</v>
      </c>
      <c r="L18" s="39">
        <f>表2_97131923252747[[#This Row],[活跃Coin]]+表2_97131923252747[[#This Row],[共计补偿Coin]]</f>
        <v>325069</v>
      </c>
      <c r="M18" s="39">
        <f>SUMIFS(表1_86121822242646[综合国力],表1_86121822242646[目标区服],表2_97131923252747[[#This Row],[合区区服]],表1_86121822242646[目标国家（映射）],表2_97131923252747[[#This Row],[国家]])</f>
        <v>14061</v>
      </c>
      <c r="N18" s="39">
        <f t="array" ref="N18">MAX((表1_86121822242646[目标区服]=表2_97131923252747[[#This Row],[合区区服]])*(表1_86121822242646[目标国家（映射）]=表2_97131923252747[[#This Row],[国家]])*表1_86121822242646[单将最高战力])</f>
        <v>744661</v>
      </c>
      <c r="P18" s="51">
        <v>5013</v>
      </c>
      <c r="Q18" s="51">
        <v>47</v>
      </c>
      <c r="R18" s="51" t="s">
        <v>90</v>
      </c>
      <c r="S18" s="51">
        <v>48</v>
      </c>
    </row>
    <row r="19" ht="15" spans="1:19">
      <c r="A19" s="372" t="s">
        <v>89</v>
      </c>
      <c r="B19" s="39" t="s">
        <v>27</v>
      </c>
      <c r="C19" s="39">
        <f>COUNTIFS(表1_86121822242646[目标区服],表2_97131923252747[[#This Row],[合区区服]],表1_86121822242646[目标国家（映射）],表2_97131923252747[[#This Row],[国家]])</f>
        <v>2</v>
      </c>
      <c r="D19" s="39">
        <f>SUMIFS(表1_86121822242646[活跃高战玩家数],表1_86121822242646[目标区服],表2_97131923252747[[#This Row],[合区区服]],表1_86121822242646[目标国家（映射）],表2_97131923252747[[#This Row],[国家]])</f>
        <v>7</v>
      </c>
      <c r="E19" s="39">
        <f>SUMIFS(表1_86121822242646[活跃中坚玩家数],表1_86121822242646[目标区服],表2_97131923252747[[#This Row],[合区区服]],表1_86121822242646[目标国家（映射）],表2_97131923252747[[#This Row],[国家]])</f>
        <v>48</v>
      </c>
      <c r="F19" s="39">
        <f t="array" ref="F19">MAX((表1_86121822242646[目标区服]=表2_97131923252747[[#This Row],[合区区服]])*(表1_86121822242646[目标国家（映射）]=表2_97131923252747[[#This Row],[国家]])*表1_86121822242646[活跃尖端战力])</f>
        <v>2567415</v>
      </c>
      <c r="G19" s="40">
        <f>SUMIFS(表1_86121822242646[活跃总战力],表1_86121822242646[目标区服],表2_97131923252747[[#This Row],[合区区服]],表1_86121822242646[目标国家（映射）],表2_97131923252747[[#This Row],[国家]])</f>
        <v>47150444</v>
      </c>
      <c r="H19" s="39">
        <f>SUMIFS(表1_86121822242646[活跃实际充值],表1_86121822242646[目标区服],表2_97131923252747[[#This Row],[合区区服]],表1_86121822242646[目标国家（映射）],表2_97131923252747[[#This Row],[国家]])</f>
        <v>49562</v>
      </c>
      <c r="I19" s="39">
        <f>SUMIFS(表1_86121822242646[活跃虚拟充值],表1_86121822242646[目标区服],表2_97131923252747[[#This Row],[合区区服]],表1_86121822242646[目标国家（映射）],表2_97131923252747[[#This Row],[国家]])</f>
        <v>191944</v>
      </c>
      <c r="J19" s="39">
        <f>SUMIFS(表1_86121822242646[活跃Coin],表1_86121822242646[目标区服],表2_97131923252747[[#This Row],[合区区服]],表1_86121822242646[目标国家（映射）],表2_97131923252747[[#This Row],[国家]])</f>
        <v>474974</v>
      </c>
      <c r="K19" s="39">
        <f>SUMIFS(表1_86121822242646[共计补偿Coin],表1_86121822242646[目标区服],表2_97131923252747[[#This Row],[合区区服]],表1_86121822242646[目标国家（映射）],表2_97131923252747[[#This Row],[国家]])</f>
        <v>66500</v>
      </c>
      <c r="L19" s="39">
        <f>表2_97131923252747[[#This Row],[活跃Coin]]+表2_97131923252747[[#This Row],[共计补偿Coin]]</f>
        <v>541474</v>
      </c>
      <c r="M19" s="39">
        <f>SUMIFS(表1_86121822242646[综合国力],表1_86121822242646[目标区服],表2_97131923252747[[#This Row],[合区区服]],表1_86121822242646[目标国家（映射）],表2_97131923252747[[#This Row],[国家]])</f>
        <v>18158</v>
      </c>
      <c r="N19" s="39">
        <f t="array" ref="N19">MAX((表1_86121822242646[目标区服]=表2_97131923252747[[#This Row],[合区区服]])*(表1_86121822242646[目标国家（映射）]=表2_97131923252747[[#This Row],[国家]])*表1_86121822242646[单将最高战力])</f>
        <v>854023</v>
      </c>
      <c r="P19" s="51">
        <v>5014</v>
      </c>
      <c r="Q19" s="51">
        <v>46</v>
      </c>
      <c r="R19" s="51"/>
      <c r="S19" s="51"/>
    </row>
    <row r="20" ht="15" spans="1:19">
      <c r="A20" s="296" t="s">
        <v>90</v>
      </c>
      <c r="B20" s="41" t="s">
        <v>25</v>
      </c>
      <c r="C20" s="41">
        <f>COUNTIFS(表1_86121822242646[目标区服],表2_97131923252747[[#This Row],[合区区服]],表1_86121822242646[目标国家（映射）],表2_97131923252747[[#This Row],[国家]])</f>
        <v>2</v>
      </c>
      <c r="D20" s="41">
        <f>SUMIFS(表1_86121822242646[活跃高战玩家数],表1_86121822242646[目标区服],表2_97131923252747[[#This Row],[合区区服]],表1_86121822242646[目标国家（映射）],表2_97131923252747[[#This Row],[国家]])</f>
        <v>6</v>
      </c>
      <c r="E20" s="41">
        <f>SUMIFS(表1_86121822242646[活跃中坚玩家数],表1_86121822242646[目标区服],表2_97131923252747[[#This Row],[合区区服]],表1_86121822242646[目标国家（映射）],表2_97131923252747[[#This Row],[国家]])</f>
        <v>36</v>
      </c>
      <c r="F20" s="41">
        <f t="array" ref="F20">MAX((表1_86121822242646[目标区服]=表2_97131923252747[[#This Row],[合区区服]])*(表1_86121822242646[目标国家（映射）]=表2_97131923252747[[#This Row],[国家]])*表1_86121822242646[活跃尖端战力])</f>
        <v>2522136</v>
      </c>
      <c r="G20" s="42">
        <f>SUMIFS(表1_86121822242646[活跃总战力],表1_86121822242646[目标区服],表2_97131923252747[[#This Row],[合区区服]],表1_86121822242646[目标国家（映射）],表2_97131923252747[[#This Row],[国家]])</f>
        <v>28113285</v>
      </c>
      <c r="H20" s="41">
        <f>SUMIFS(表1_86121822242646[活跃实际充值],表1_86121822242646[目标区服],表2_97131923252747[[#This Row],[合区区服]],表1_86121822242646[目标国家（映射）],表2_97131923252747[[#This Row],[国家]])</f>
        <v>43328</v>
      </c>
      <c r="I20" s="41">
        <f>SUMIFS(表1_86121822242646[活跃虚拟充值],表1_86121822242646[目标区服],表2_97131923252747[[#This Row],[合区区服]],表1_86121822242646[目标国家（映射）],表2_97131923252747[[#This Row],[国家]])</f>
        <v>0</v>
      </c>
      <c r="J20" s="41">
        <f>SUMIFS(表1_86121822242646[活跃Coin],表1_86121822242646[目标区服],表2_97131923252747[[#This Row],[合区区服]],表1_86121822242646[目标国家（映射）],表2_97131923252747[[#This Row],[国家]])</f>
        <v>390413</v>
      </c>
      <c r="K20" s="41">
        <f>SUMIFS(表1_86121822242646[共计补偿Coin],表1_86121822242646[目标区服],表2_97131923252747[[#This Row],[合区区服]],表1_86121822242646[目标国家（映射）],表2_97131923252747[[#This Row],[国家]])</f>
        <v>55000</v>
      </c>
      <c r="L20" s="41">
        <f>表2_97131923252747[[#This Row],[活跃Coin]]+表2_97131923252747[[#This Row],[共计补偿Coin]]</f>
        <v>445413</v>
      </c>
      <c r="M20" s="41">
        <f>SUMIFS(表1_86121822242646[综合国力],表1_86121822242646[目标区服],表2_97131923252747[[#This Row],[合区区服]],表1_86121822242646[目标国家（映射）],表2_97131923252747[[#This Row],[国家]])</f>
        <v>12512</v>
      </c>
      <c r="N20" s="41">
        <f t="array" ref="N20">MAX((表1_86121822242646[目标区服]=表2_97131923252747[[#This Row],[合区区服]])*(表1_86121822242646[目标国家（映射）]=表2_97131923252747[[#This Row],[国家]])*表1_86121822242646[单将最高战力])</f>
        <v>738925</v>
      </c>
      <c r="P20" s="51">
        <v>5015</v>
      </c>
      <c r="Q20" s="51">
        <v>45</v>
      </c>
      <c r="R20" s="51"/>
      <c r="S20" s="51"/>
    </row>
    <row r="21" ht="15" spans="1:17">
      <c r="A21" s="296" t="s">
        <v>90</v>
      </c>
      <c r="B21" s="41" t="s">
        <v>26</v>
      </c>
      <c r="C21" s="41">
        <f>COUNTIFS(表1_86121822242646[目标区服],表2_97131923252747[[#This Row],[合区区服]],表1_86121822242646[目标国家（映射）],表2_97131923252747[[#This Row],[国家]])</f>
        <v>2</v>
      </c>
      <c r="D21" s="41">
        <f>SUMIFS(表1_86121822242646[活跃高战玩家数],表1_86121822242646[目标区服],表2_97131923252747[[#This Row],[合区区服]],表1_86121822242646[目标国家（映射）],表2_97131923252747[[#This Row],[国家]])</f>
        <v>8</v>
      </c>
      <c r="E21" s="41">
        <f>SUMIFS(表1_86121822242646[活跃中坚玩家数],表1_86121822242646[目标区服],表2_97131923252747[[#This Row],[合区区服]],表1_86121822242646[目标国家（映射）],表2_97131923252747[[#This Row],[国家]])</f>
        <v>26</v>
      </c>
      <c r="F21" s="41">
        <f t="array" ref="F21">MAX((表1_86121822242646[目标区服]=表2_97131923252747[[#This Row],[合区区服]])*(表1_86121822242646[目标国家（映射）]=表2_97131923252747[[#This Row],[国家]])*表1_86121822242646[活跃尖端战力])</f>
        <v>2220834</v>
      </c>
      <c r="G21" s="42">
        <f>SUMIFS(表1_86121822242646[活跃总战力],表1_86121822242646[目标区服],表2_97131923252747[[#This Row],[合区区服]],表1_86121822242646[目标国家（映射）],表2_97131923252747[[#This Row],[国家]])</f>
        <v>27501918</v>
      </c>
      <c r="H21" s="41">
        <f>SUMIFS(表1_86121822242646[活跃实际充值],表1_86121822242646[目标区服],表2_97131923252747[[#This Row],[合区区服]],表1_86121822242646[目标国家（映射）],表2_97131923252747[[#This Row],[国家]])</f>
        <v>41012</v>
      </c>
      <c r="I21" s="41">
        <f>SUMIFS(表1_86121822242646[活跃虚拟充值],表1_86121822242646[目标区服],表2_97131923252747[[#This Row],[合区区服]],表1_86121822242646[目标国家（映射）],表2_97131923252747[[#This Row],[国家]])</f>
        <v>0</v>
      </c>
      <c r="J21" s="41">
        <f>SUMIFS(表1_86121822242646[活跃Coin],表1_86121822242646[目标区服],表2_97131923252747[[#This Row],[合区区服]],表1_86121822242646[目标国家（映射）],表2_97131923252747[[#This Row],[国家]])</f>
        <v>334024</v>
      </c>
      <c r="K21" s="41">
        <f>SUMIFS(表1_86121822242646[共计补偿Coin],表1_86121822242646[目标区服],表2_97131923252747[[#This Row],[合区区服]],表1_86121822242646[目标国家（映射）],表2_97131923252747[[#This Row],[国家]])</f>
        <v>43000</v>
      </c>
      <c r="L21" s="41">
        <f>表2_97131923252747[[#This Row],[活跃Coin]]+表2_97131923252747[[#This Row],[共计补偿Coin]]</f>
        <v>377024</v>
      </c>
      <c r="M21" s="41">
        <f>SUMIFS(表1_86121822242646[综合国力],表1_86121822242646[目标区服],表2_97131923252747[[#This Row],[合区区服]],表1_86121822242646[目标国家（映射）],表2_97131923252747[[#This Row],[国家]])</f>
        <v>12942</v>
      </c>
      <c r="N21" s="41">
        <f t="array" ref="N21">MAX((表1_86121822242646[目标区服]=表2_97131923252747[[#This Row],[合区区服]])*(表1_86121822242646[目标国家（映射）]=表2_97131923252747[[#This Row],[国家]])*表1_86121822242646[单将最高战力])</f>
        <v>573056</v>
      </c>
      <c r="P21" s="51"/>
      <c r="Q21" s="51"/>
    </row>
    <row r="22" ht="15" spans="1:17">
      <c r="A22" s="296" t="s">
        <v>90</v>
      </c>
      <c r="B22" s="43" t="s">
        <v>27</v>
      </c>
      <c r="C22" s="43">
        <f>COUNTIFS(表1_86121822242646[目标区服],表2_97131923252747[[#This Row],[合区区服]],表1_86121822242646[目标国家（映射）],表2_97131923252747[[#This Row],[国家]])</f>
        <v>2</v>
      </c>
      <c r="D22" s="43">
        <f>SUMIFS(表1_86121822242646[活跃高战玩家数],表1_86121822242646[目标区服],表2_97131923252747[[#This Row],[合区区服]],表1_86121822242646[目标国家（映射）],表2_97131923252747[[#This Row],[国家]])</f>
        <v>5</v>
      </c>
      <c r="E22" s="43">
        <f>SUMIFS(表1_86121822242646[活跃中坚玩家数],表1_86121822242646[目标区服],表2_97131923252747[[#This Row],[合区区服]],表1_86121822242646[目标国家（映射）],表2_97131923252747[[#This Row],[国家]])</f>
        <v>30</v>
      </c>
      <c r="F22" s="43">
        <f t="array" ref="F22">MAX((表1_86121822242646[目标区服]=表2_97131923252747[[#This Row],[合区区服]])*(表1_86121822242646[目标国家（映射）]=表2_97131923252747[[#This Row],[国家]])*表1_86121822242646[活跃尖端战力])</f>
        <v>2068091</v>
      </c>
      <c r="G22" s="44">
        <f>SUMIFS(表1_86121822242646[活跃总战力],表1_86121822242646[目标区服],表2_97131923252747[[#This Row],[合区区服]],表1_86121822242646[目标国家（映射）],表2_97131923252747[[#This Row],[国家]])</f>
        <v>23670136</v>
      </c>
      <c r="H22" s="43">
        <f>SUMIFS(表1_86121822242646[活跃实际充值],表1_86121822242646[目标区服],表2_97131923252747[[#This Row],[合区区服]],表1_86121822242646[目标国家（映射）],表2_97131923252747[[#This Row],[国家]])</f>
        <v>23890</v>
      </c>
      <c r="I22" s="43">
        <f>SUMIFS(表1_86121822242646[活跃虚拟充值],表1_86121822242646[目标区服],表2_97131923252747[[#This Row],[合区区服]],表1_86121822242646[目标国家（映射）],表2_97131923252747[[#This Row],[国家]])</f>
        <v>0</v>
      </c>
      <c r="J22" s="43">
        <f>SUMIFS(表1_86121822242646[活跃Coin],表1_86121822242646[目标区服],表2_97131923252747[[#This Row],[合区区服]],表1_86121822242646[目标国家（映射）],表2_97131923252747[[#This Row],[国家]])</f>
        <v>335438</v>
      </c>
      <c r="K22" s="43">
        <f>SUMIFS(表1_86121822242646[共计补偿Coin],表1_86121822242646[目标区服],表2_97131923252747[[#This Row],[合区区服]],表1_86121822242646[目标国家（映射）],表2_97131923252747[[#This Row],[国家]])</f>
        <v>44000</v>
      </c>
      <c r="L22" s="43">
        <f>表2_97131923252747[[#This Row],[活跃Coin]]+表2_97131923252747[[#This Row],[共计补偿Coin]]</f>
        <v>379438</v>
      </c>
      <c r="M22" s="43">
        <f>SUMIFS(表1_86121822242646[综合国力],表1_86121822242646[目标区服],表2_97131923252747[[#This Row],[合区区服]],表1_86121822242646[目标国家（映射）],表2_97131923252747[[#This Row],[国家]])</f>
        <v>9976</v>
      </c>
      <c r="N22" s="41">
        <f t="array" ref="N22">MAX((表1_86121822242646[目标区服]=表2_97131923252747[[#This Row],[合区区服]])*(表1_86121822242646[目标国家（映射）]=表2_97131923252747[[#This Row],[国家]])*表1_86121822242646[单将最高战力])</f>
        <v>683048</v>
      </c>
      <c r="P22" s="51"/>
      <c r="Q22" s="51"/>
    </row>
    <row r="28" ht="27" spans="1:13">
      <c r="A28" s="49"/>
      <c r="B28" s="50" t="s">
        <v>9</v>
      </c>
      <c r="C28" s="50" t="s">
        <v>10</v>
      </c>
      <c r="D28" s="50" t="s">
        <v>11</v>
      </c>
      <c r="E28" s="50" t="s">
        <v>12</v>
      </c>
      <c r="F28" s="50" t="s">
        <v>13</v>
      </c>
      <c r="G28" s="50" t="s">
        <v>14</v>
      </c>
      <c r="H28" s="50" t="s">
        <v>15</v>
      </c>
      <c r="I28" s="50" t="s">
        <v>18</v>
      </c>
      <c r="J28" s="50" t="s">
        <v>19</v>
      </c>
      <c r="K28" s="50" t="s">
        <v>20</v>
      </c>
      <c r="L28" s="50" t="s">
        <v>21</v>
      </c>
      <c r="M28" s="50" t="s">
        <v>82</v>
      </c>
    </row>
    <row r="29" spans="1:13">
      <c r="A29" s="50" t="s">
        <v>25</v>
      </c>
      <c r="B29" s="50">
        <v>2</v>
      </c>
      <c r="C29" s="50">
        <v>72</v>
      </c>
      <c r="D29" s="50">
        <v>3</v>
      </c>
      <c r="E29" s="50">
        <v>15</v>
      </c>
      <c r="F29" s="50">
        <v>74488</v>
      </c>
      <c r="G29" s="50">
        <v>1917746</v>
      </c>
      <c r="H29" s="50">
        <v>14707995</v>
      </c>
      <c r="I29" s="50">
        <v>28382</v>
      </c>
      <c r="J29" s="50">
        <v>0</v>
      </c>
      <c r="K29" s="50">
        <v>53925</v>
      </c>
      <c r="L29" s="50">
        <v>5559</v>
      </c>
      <c r="M29" s="50">
        <v>543477</v>
      </c>
    </row>
    <row r="30" spans="1:13">
      <c r="A30" s="50" t="s">
        <v>26</v>
      </c>
      <c r="B30" s="50">
        <v>2</v>
      </c>
      <c r="C30" s="50">
        <v>142</v>
      </c>
      <c r="D30" s="50">
        <v>2</v>
      </c>
      <c r="E30" s="50">
        <v>18</v>
      </c>
      <c r="F30" s="50">
        <v>70109</v>
      </c>
      <c r="G30" s="50">
        <v>1666272</v>
      </c>
      <c r="H30" s="50">
        <v>14360936</v>
      </c>
      <c r="I30" s="50">
        <v>33494</v>
      </c>
      <c r="J30" s="50">
        <v>0</v>
      </c>
      <c r="K30" s="50">
        <v>162099</v>
      </c>
      <c r="L30" s="50">
        <v>6158</v>
      </c>
      <c r="M30" s="50">
        <v>454921</v>
      </c>
    </row>
    <row r="31" spans="1:13">
      <c r="A31" s="50" t="s">
        <v>27</v>
      </c>
      <c r="B31" s="50">
        <v>5</v>
      </c>
      <c r="C31" s="50">
        <v>181</v>
      </c>
      <c r="D31" s="50">
        <v>5</v>
      </c>
      <c r="E31" s="50">
        <v>27</v>
      </c>
      <c r="F31" s="50">
        <v>152505</v>
      </c>
      <c r="G31" s="50">
        <v>2567415</v>
      </c>
      <c r="H31" s="50">
        <v>29982325</v>
      </c>
      <c r="I31" s="50">
        <v>25048</v>
      </c>
      <c r="J31" s="50">
        <v>191944</v>
      </c>
      <c r="K31" s="50">
        <v>262808</v>
      </c>
      <c r="L31" s="50">
        <v>11440</v>
      </c>
      <c r="M31" s="50">
        <v>854023</v>
      </c>
    </row>
    <row r="32" spans="1:13">
      <c r="A32" s="50" t="s">
        <v>25</v>
      </c>
      <c r="B32" s="50">
        <v>4</v>
      </c>
      <c r="C32" s="50">
        <v>155</v>
      </c>
      <c r="D32" s="50">
        <v>3</v>
      </c>
      <c r="E32" s="50">
        <v>17</v>
      </c>
      <c r="F32" s="50">
        <v>97772</v>
      </c>
      <c r="G32" s="50">
        <v>2205668</v>
      </c>
      <c r="H32" s="50">
        <v>16949759</v>
      </c>
      <c r="I32" s="50">
        <v>39560</v>
      </c>
      <c r="J32" s="50">
        <v>0</v>
      </c>
      <c r="K32" s="50">
        <v>330062</v>
      </c>
      <c r="L32" s="50">
        <v>7691</v>
      </c>
      <c r="M32" s="50">
        <v>589117</v>
      </c>
    </row>
    <row r="33" spans="1:13">
      <c r="A33" s="50" t="s">
        <v>26</v>
      </c>
      <c r="B33" s="50">
        <v>2</v>
      </c>
      <c r="C33" s="50">
        <v>112</v>
      </c>
      <c r="D33" s="50">
        <v>5</v>
      </c>
      <c r="E33" s="50">
        <v>15</v>
      </c>
      <c r="F33" s="50">
        <v>93424</v>
      </c>
      <c r="G33" s="50">
        <v>2559901</v>
      </c>
      <c r="H33" s="50">
        <v>17172134</v>
      </c>
      <c r="I33" s="50">
        <v>59426</v>
      </c>
      <c r="J33" s="50">
        <v>0</v>
      </c>
      <c r="K33" s="50">
        <v>112970</v>
      </c>
      <c r="L33" s="50">
        <v>7903</v>
      </c>
      <c r="M33" s="50">
        <v>744661</v>
      </c>
    </row>
    <row r="34" spans="1:13">
      <c r="A34" s="50" t="s">
        <v>27</v>
      </c>
      <c r="B34" s="50">
        <v>3</v>
      </c>
      <c r="C34" s="50">
        <v>128</v>
      </c>
      <c r="D34" s="50">
        <v>2</v>
      </c>
      <c r="E34" s="50">
        <v>21</v>
      </c>
      <c r="F34" s="50">
        <v>102253</v>
      </c>
      <c r="G34" s="50">
        <v>2069330</v>
      </c>
      <c r="H34" s="50">
        <v>17168119</v>
      </c>
      <c r="I34" s="50">
        <v>24514</v>
      </c>
      <c r="J34" s="50">
        <v>0</v>
      </c>
      <c r="K34" s="50">
        <v>212166</v>
      </c>
      <c r="L34" s="50">
        <v>6718</v>
      </c>
      <c r="M34" s="50">
        <v>588878</v>
      </c>
    </row>
    <row r="35" spans="1:13">
      <c r="A35" s="50" t="s">
        <v>25</v>
      </c>
      <c r="B35" s="50">
        <v>2</v>
      </c>
      <c r="C35" s="50">
        <v>61</v>
      </c>
      <c r="D35" s="50">
        <v>1</v>
      </c>
      <c r="E35" s="50">
        <v>15</v>
      </c>
      <c r="F35" s="50">
        <v>63818</v>
      </c>
      <c r="G35" s="50">
        <v>1363177</v>
      </c>
      <c r="H35" s="50">
        <v>8189190</v>
      </c>
      <c r="I35" s="50">
        <v>6812</v>
      </c>
      <c r="J35" s="50">
        <v>0</v>
      </c>
      <c r="K35" s="50">
        <v>150545</v>
      </c>
      <c r="L35" s="50">
        <v>3590</v>
      </c>
      <c r="M35" s="50">
        <v>480354</v>
      </c>
    </row>
    <row r="36" spans="1:13">
      <c r="A36" s="50" t="s">
        <v>26</v>
      </c>
      <c r="B36" s="50">
        <v>4</v>
      </c>
      <c r="C36" s="50">
        <v>202</v>
      </c>
      <c r="D36" s="50">
        <v>4</v>
      </c>
      <c r="E36" s="50">
        <v>12</v>
      </c>
      <c r="F36" s="50">
        <v>91825</v>
      </c>
      <c r="G36" s="50">
        <v>1942401</v>
      </c>
      <c r="H36" s="50">
        <v>11930431</v>
      </c>
      <c r="I36" s="50">
        <v>10484</v>
      </c>
      <c r="J36" s="50">
        <v>0</v>
      </c>
      <c r="K36" s="50">
        <v>164922</v>
      </c>
      <c r="L36" s="50">
        <v>6411</v>
      </c>
      <c r="M36" s="50">
        <v>573056</v>
      </c>
    </row>
    <row r="37" spans="1:13">
      <c r="A37" s="50" t="s">
        <v>27</v>
      </c>
      <c r="B37" s="50">
        <v>3</v>
      </c>
      <c r="C37" s="50">
        <v>132</v>
      </c>
      <c r="D37" s="50">
        <v>5</v>
      </c>
      <c r="E37" s="50">
        <v>12</v>
      </c>
      <c r="F37" s="50">
        <v>101040</v>
      </c>
      <c r="G37" s="50">
        <v>2068091</v>
      </c>
      <c r="H37" s="50">
        <v>13252353</v>
      </c>
      <c r="I37" s="50">
        <v>17276</v>
      </c>
      <c r="J37" s="50">
        <v>0</v>
      </c>
      <c r="K37" s="50">
        <v>192414</v>
      </c>
      <c r="L37" s="50">
        <v>6133</v>
      </c>
      <c r="M37" s="50">
        <v>683048</v>
      </c>
    </row>
    <row r="38" spans="1:13">
      <c r="A38" s="50" t="s">
        <v>25</v>
      </c>
      <c r="B38" s="50">
        <v>2</v>
      </c>
      <c r="C38" s="50">
        <v>105</v>
      </c>
      <c r="D38" s="50">
        <v>4</v>
      </c>
      <c r="E38" s="50">
        <v>14</v>
      </c>
      <c r="F38" s="50">
        <v>100679</v>
      </c>
      <c r="G38" s="50">
        <v>2220834</v>
      </c>
      <c r="H38" s="50">
        <v>15571487</v>
      </c>
      <c r="I38" s="50">
        <v>30528</v>
      </c>
      <c r="J38" s="50">
        <v>0</v>
      </c>
      <c r="K38" s="50">
        <v>169102</v>
      </c>
      <c r="L38" s="50">
        <v>6531</v>
      </c>
      <c r="M38" s="50">
        <v>554703</v>
      </c>
    </row>
    <row r="39" spans="1:13">
      <c r="A39" s="50" t="s">
        <v>26</v>
      </c>
      <c r="B39" s="50">
        <v>5</v>
      </c>
      <c r="C39" s="50">
        <v>208</v>
      </c>
      <c r="D39" s="50">
        <v>5</v>
      </c>
      <c r="E39" s="50">
        <v>21</v>
      </c>
      <c r="F39" s="50">
        <v>122524</v>
      </c>
      <c r="G39" s="50">
        <v>2522136</v>
      </c>
      <c r="H39" s="50">
        <v>19924095</v>
      </c>
      <c r="I39" s="50">
        <v>36516</v>
      </c>
      <c r="J39" s="50">
        <v>0</v>
      </c>
      <c r="K39" s="50">
        <v>239868</v>
      </c>
      <c r="L39" s="50">
        <v>8922</v>
      </c>
      <c r="M39" s="50">
        <v>738925</v>
      </c>
    </row>
    <row r="40" spans="1:13">
      <c r="A40" s="50" t="s">
        <v>27</v>
      </c>
      <c r="B40" s="50">
        <v>2</v>
      </c>
      <c r="C40" s="50">
        <v>82</v>
      </c>
      <c r="D40" s="50">
        <v>0</v>
      </c>
      <c r="E40" s="50">
        <v>18</v>
      </c>
      <c r="F40" s="50">
        <v>64991</v>
      </c>
      <c r="G40" s="50">
        <v>1186938</v>
      </c>
      <c r="H40" s="50">
        <v>10417783</v>
      </c>
      <c r="I40" s="50">
        <v>6614</v>
      </c>
      <c r="J40" s="50">
        <v>0</v>
      </c>
      <c r="K40" s="50">
        <v>143024</v>
      </c>
      <c r="L40" s="50">
        <v>3843</v>
      </c>
      <c r="M40" s="50">
        <v>292385</v>
      </c>
    </row>
    <row r="41" spans="1:13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</row>
    <row r="42" spans="1:13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</row>
    <row r="43" spans="1:13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</row>
    <row r="44" spans="1:13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</row>
    <row r="45" spans="1:13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</row>
    <row r="46" spans="1:13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</row>
    <row r="47" spans="1:13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</row>
    <row r="48" spans="1:13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</row>
    <row r="49" spans="1:13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</row>
  </sheetData>
  <conditionalFormatting sqref="F17:F19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{2a62c91a-548a-423b-8085-839a7545a55b}</x14:id>
        </ext>
      </extLst>
    </cfRule>
  </conditionalFormatting>
  <conditionalFormatting sqref="F20:F22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{3a6d4e37-d791-4800-b3eb-e73cf4fb8be6}</x14:id>
        </ext>
      </extLst>
    </cfRule>
  </conditionalFormatting>
  <conditionalFormatting sqref="G17:G19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{30ef3c65-8bc3-48c2-bd4c-7cbb4ea190aa}</x14:id>
        </ext>
      </extLst>
    </cfRule>
  </conditionalFormatting>
  <conditionalFormatting sqref="G20:G22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{b1e3da56-57ec-4d4a-bbc4-d7a99adc6992}</x14:id>
        </ext>
      </extLst>
    </cfRule>
  </conditionalFormatting>
  <conditionalFormatting sqref="N17:N22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{00149949-98cd-41a9-a552-1d86afbbe813}</x14:id>
        </ext>
      </extLst>
    </cfRule>
  </conditionalFormatting>
  <conditionalFormatting sqref="O2:O13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{4044e930-8097-4547-8409-812be6c42ac6}</x14:id>
        </ext>
      </extLst>
    </cfRule>
  </conditionalFormatting>
  <conditionalFormatting sqref="P2:P13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{2a6db9b2-1fb8-4805-b8b1-29c2212a9566}</x14:id>
        </ext>
      </extLst>
    </cfRule>
  </conditionalFormatting>
  <conditionalFormatting sqref="P17:P22">
    <cfRule type="cellIs" dxfId="37" priority="1" operator="equal">
      <formula>$S$17</formula>
    </cfRule>
  </conditionalFormatting>
  <conditionalFormatting sqref="Q2:Q13">
    <cfRule type="cellIs" dxfId="38" priority="8" operator="equal">
      <formula>配置!$D$4</formula>
    </cfRule>
    <cfRule type="cellIs" dxfId="39" priority="9" operator="equal">
      <formula>配置!$D$3</formula>
    </cfRule>
    <cfRule type="cellIs" dxfId="37" priority="10" operator="equal">
      <formula>配置!$D$2</formula>
    </cfRule>
  </conditionalFormatting>
  <conditionalFormatting sqref="R17:R20">
    <cfRule type="cellIs" dxfId="37" priority="2" operator="equal">
      <formula>$S$17</formula>
    </cfRule>
  </conditionalFormatting>
  <conditionalFormatting sqref="O14:O15 Q1:R1 Q2 Q4:Q5 Q7:Q8 Q10:Q11 Q13">
    <cfRule type="cellIs" dxfId="37" priority="18" operator="equal">
      <formula>配置!$D$2</formula>
    </cfRule>
  </conditionalFormatting>
  <conditionalFormatting sqref="Q2 Q4:Q5 Q7:Q8 Q10:Q11 Q13">
    <cfRule type="cellIs" dxfId="38" priority="17" operator="equal">
      <formula>配置!$D$4</formula>
    </cfRule>
  </conditionalFormatting>
  <dataValidations count="1">
    <dataValidation type="list" allowBlank="1" showInputMessage="1" showErrorMessage="1" sqref="Q2:Q13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a62c91a-548a-423b-8085-839a7545a5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F17:F19</xm:sqref>
        </x14:conditionalFormatting>
        <x14:conditionalFormatting xmlns:xm="http://schemas.microsoft.com/office/excel/2006/main">
          <x14:cfRule type="dataBar" id="{3a6d4e37-d791-4800-b3eb-e73cf4fb8b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F20:F22</xm:sqref>
        </x14:conditionalFormatting>
        <x14:conditionalFormatting xmlns:xm="http://schemas.microsoft.com/office/excel/2006/main">
          <x14:cfRule type="dataBar" id="{30ef3c65-8bc3-48c2-bd4c-7cbb4ea190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G17:G19</xm:sqref>
        </x14:conditionalFormatting>
        <x14:conditionalFormatting xmlns:xm="http://schemas.microsoft.com/office/excel/2006/main">
          <x14:cfRule type="dataBar" id="{b1e3da56-57ec-4d4a-bbc4-d7a99adc69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G20:G22</xm:sqref>
        </x14:conditionalFormatting>
        <x14:conditionalFormatting xmlns:xm="http://schemas.microsoft.com/office/excel/2006/main">
          <x14:cfRule type="dataBar" id="{00149949-98cd-41a9-a552-1d86afbbe8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N17:N22</xm:sqref>
        </x14:conditionalFormatting>
        <x14:conditionalFormatting xmlns:xm="http://schemas.microsoft.com/office/excel/2006/main">
          <x14:cfRule type="dataBar" id="{4044e930-8097-4547-8409-812be6c42a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O2:O13</xm:sqref>
        </x14:conditionalFormatting>
        <x14:conditionalFormatting xmlns:xm="http://schemas.microsoft.com/office/excel/2006/main">
          <x14:cfRule type="dataBar" id="{2a6db9b2-1fb8-4805-b8b1-29c2212a95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P2:P13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7"/>
  <sheetViews>
    <sheetView topLeftCell="A25" workbookViewId="0">
      <selection activeCell="U28" sqref="U28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1">
        <v>107</v>
      </c>
      <c r="B2" s="371">
        <f>VLOOKUP(表1_86121822242648[[#This Row],[区服]],$P$29:$Q$36,2,FALSE)</f>
        <v>58</v>
      </c>
      <c r="C2" s="372" t="s">
        <v>91</v>
      </c>
      <c r="D2" s="373" t="str">
        <f>表1_86121822242648[[#This Row],[目标国家]]</f>
        <v>魏</v>
      </c>
      <c r="E2" s="374">
        <f>(VLOOKUP(表1_86121822242648[[#This Row],[目标区服]],$R$29:$S$32,2,FALSE)-表1_86121822242648[[#This Row],[开服天数]])*配置!$B$1</f>
        <v>1000</v>
      </c>
      <c r="F2" s="374">
        <f>表1_86121822242648[[#This Row],[补偿Coin]]*(表1_86121822242648[[#This Row],[活跃高战玩家数]]+表1_86121822242648[[#This Row],[活跃中坚玩家数]])</f>
        <v>28000</v>
      </c>
      <c r="G2" s="374">
        <f>(VLOOKUP(表1_86121822242648[[#This Row],[目标区服]],$R$29:$S$32,2,FALSE)-表1_86121822242648[[#This Row],[开服天数]])*配置!$B$2</f>
        <v>10</v>
      </c>
      <c r="H2" s="376" t="s">
        <v>25</v>
      </c>
      <c r="I2" s="376">
        <f>IF(表1_86121822242648[[#This Row],[原国家]]="魏",0,IF(表1_86121822242648[[#This Row],[原国家]]="蜀",1,2))</f>
        <v>0</v>
      </c>
      <c r="J2" s="380">
        <v>3</v>
      </c>
      <c r="K2" s="380">
        <v>118</v>
      </c>
      <c r="L2" s="380">
        <v>7</v>
      </c>
      <c r="M2" s="380">
        <v>21</v>
      </c>
      <c r="N2" s="380">
        <v>136734</v>
      </c>
      <c r="O2" s="380">
        <v>2270480</v>
      </c>
      <c r="P2" s="381">
        <v>27496048</v>
      </c>
      <c r="Q2" s="31" t="s">
        <v>25</v>
      </c>
      <c r="R2" s="376">
        <f>IF(表1_86121822242648[[#This Row],[目标国家]]="魏",0,IF(表1_86121822242648[[#This Row],[目标国家]]="蜀",1,2))</f>
        <v>0</v>
      </c>
      <c r="S2" s="380">
        <v>86364</v>
      </c>
      <c r="T2" s="380">
        <v>6</v>
      </c>
      <c r="U2" s="380">
        <v>936151</v>
      </c>
      <c r="V2" s="380">
        <v>10242</v>
      </c>
      <c r="W2" s="374">
        <v>876646</v>
      </c>
      <c r="X2" s="387" t="str">
        <f>"{"&amp;"'coin':"&amp;表1_86121822242648[[#This Row],[补偿Coin]]&amp;",'"&amp;配置!$A$2&amp;"':"&amp;表1_86121822242648[[#This Row],[补偿辎重]]&amp;"},"</f>
        <v>{'coin':1000,'item036':10},</v>
      </c>
      <c r="Y2" s="388" t="str">
        <f>"      '"&amp;表1_86121822242648[[#This Row],[区服]]&amp;"':{"</f>
        <v>      '107':{</v>
      </c>
    </row>
    <row r="3" s="354" customFormat="1" ht="14.25" customHeight="1" spans="1:25">
      <c r="A3" s="375">
        <v>107</v>
      </c>
      <c r="B3" s="371">
        <f>VLOOKUP(表1_86121822242648[[#This Row],[区服]],$P$29:$Q$36,2,FALSE)</f>
        <v>58</v>
      </c>
      <c r="C3" s="372" t="s">
        <v>91</v>
      </c>
      <c r="D3" s="376" t="str">
        <f>表1_86121822242648[[#This Row],[目标国家]]</f>
        <v>吴</v>
      </c>
      <c r="E3" s="380">
        <f>(VLOOKUP(表1_86121822242648[[#This Row],[目标区服]],$R$29:$S$32,2,FALSE)-表1_86121822242648[[#This Row],[开服天数]])*配置!$B$1</f>
        <v>1000</v>
      </c>
      <c r="F3" s="380">
        <f>表1_86121822242648[[#This Row],[补偿Coin]]*(表1_86121822242648[[#This Row],[活跃高战玩家数]]+表1_86121822242648[[#This Row],[活跃中坚玩家数]])</f>
        <v>20000</v>
      </c>
      <c r="G3" s="380">
        <f>(VLOOKUP(表1_86121822242648[[#This Row],[目标区服]],$R$29:$S$32,2,FALSE)-表1_86121822242648[[#This Row],[开服天数]])*配置!$B$2</f>
        <v>10</v>
      </c>
      <c r="H3" s="376" t="s">
        <v>26</v>
      </c>
      <c r="I3" s="376">
        <f>IF(表1_86121822242648[[#This Row],[原国家]]="魏",0,IF(表1_86121822242648[[#This Row],[原国家]]="蜀",1,2))</f>
        <v>1</v>
      </c>
      <c r="J3" s="380">
        <v>4</v>
      </c>
      <c r="K3" s="380">
        <v>168</v>
      </c>
      <c r="L3" s="380">
        <v>0</v>
      </c>
      <c r="M3" s="380">
        <v>20</v>
      </c>
      <c r="N3" s="380">
        <v>61134</v>
      </c>
      <c r="O3" s="380">
        <v>1401710</v>
      </c>
      <c r="P3" s="381">
        <v>14437668</v>
      </c>
      <c r="Q3" s="31" t="s">
        <v>27</v>
      </c>
      <c r="R3" s="376">
        <f>IF(表1_86121822242648[[#This Row],[目标国家]]="魏",0,IF(表1_86121822242648[[#This Row],[目标国家]]="蜀",1,2))</f>
        <v>2</v>
      </c>
      <c r="S3" s="380">
        <v>36868</v>
      </c>
      <c r="T3" s="380">
        <v>0</v>
      </c>
      <c r="U3" s="380">
        <v>157930</v>
      </c>
      <c r="V3" s="380">
        <v>6416</v>
      </c>
      <c r="W3" s="374">
        <v>466209</v>
      </c>
      <c r="X3" s="387" t="str">
        <f>"{"&amp;"'coin':"&amp;表1_86121822242648[[#This Row],[补偿Coin]]&amp;",'"&amp;配置!$A$2&amp;"':"&amp;表1_86121822242648[[#This Row],[补偿辎重]]&amp;"},"</f>
        <v>{'coin':1000,'item036':10},</v>
      </c>
      <c r="Y3" s="388" t="str">
        <f>"            'to_zone':'"&amp;表1_86121822242648[[#This Row],[目标区服]]&amp;"',
            'reward':"&amp;表1_86121822242648[[#This Row],[辅助导出]]&amp;"
            'country':["&amp;R2&amp;","&amp;R3&amp;","&amp;R4&amp;"],"</f>
        <v>            'to_zone':'h1_44',
            'reward':{'coin':1000,'item036':10},
            'country':[0,2,2],</v>
      </c>
    </row>
    <row r="4" s="354" customFormat="1" ht="14.25" customHeight="1" spans="1:25">
      <c r="A4" s="375">
        <v>107</v>
      </c>
      <c r="B4" s="371">
        <f>VLOOKUP(表1_86121822242648[[#This Row],[区服]],$P$29:$Q$36,2,FALSE)</f>
        <v>58</v>
      </c>
      <c r="C4" s="372" t="s">
        <v>91</v>
      </c>
      <c r="D4" s="376" t="str">
        <f>表1_86121822242648[[#This Row],[目标国家]]</f>
        <v>吴</v>
      </c>
      <c r="E4" s="380">
        <f>(VLOOKUP(表1_86121822242648[[#This Row],[目标区服]],$R$29:$S$32,2,FALSE)-表1_86121822242648[[#This Row],[开服天数]])*配置!$B$1</f>
        <v>1000</v>
      </c>
      <c r="F4" s="380">
        <f>表1_86121822242648[[#This Row],[补偿Coin]]*(表1_86121822242648[[#This Row],[活跃高战玩家数]]+表1_86121822242648[[#This Row],[活跃中坚玩家数]])</f>
        <v>13000</v>
      </c>
      <c r="G4" s="380">
        <f>(VLOOKUP(表1_86121822242648[[#This Row],[目标区服]],$R$29:$S$32,2,FALSE)-表1_86121822242648[[#This Row],[开服天数]])*配置!$B$2</f>
        <v>10</v>
      </c>
      <c r="H4" s="376" t="s">
        <v>27</v>
      </c>
      <c r="I4" s="376">
        <f>IF(表1_86121822242648[[#This Row],[原国家]]="魏",0,IF(表1_86121822242648[[#This Row],[原国家]]="蜀",1,2))</f>
        <v>2</v>
      </c>
      <c r="J4" s="380">
        <v>2</v>
      </c>
      <c r="K4" s="380">
        <v>109</v>
      </c>
      <c r="L4" s="380">
        <v>3</v>
      </c>
      <c r="M4" s="380">
        <v>10</v>
      </c>
      <c r="N4" s="380">
        <v>75552</v>
      </c>
      <c r="O4" s="380">
        <v>2101920</v>
      </c>
      <c r="P4" s="381">
        <v>13927637</v>
      </c>
      <c r="Q4" s="31" t="s">
        <v>27</v>
      </c>
      <c r="R4" s="376">
        <f>IF(表1_86121822242648[[#This Row],[目标国家]]="魏",0,IF(表1_86121822242648[[#This Row],[目标国家]]="蜀",1,2))</f>
        <v>2</v>
      </c>
      <c r="S4" s="380">
        <v>19018</v>
      </c>
      <c r="T4" s="380">
        <v>0</v>
      </c>
      <c r="U4" s="380">
        <v>345373</v>
      </c>
      <c r="V4" s="380">
        <v>5905</v>
      </c>
      <c r="W4" s="374">
        <v>616347</v>
      </c>
      <c r="X4" s="387" t="str">
        <f>"{"&amp;"'coin':"&amp;表1_86121822242648[[#This Row],[补偿Coin]]&amp;",'"&amp;配置!$A$2&amp;"':"&amp;表1_86121822242648[[#This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5">
        <v>108</v>
      </c>
      <c r="B5" s="371">
        <f>VLOOKUP(表1_86121822242648[[#This Row],[区服]],$P$29:$Q$36,2,FALSE)</f>
        <v>57</v>
      </c>
      <c r="C5" s="372" t="s">
        <v>91</v>
      </c>
      <c r="D5" s="376" t="str">
        <f>表1_86121822242648[[#This Row],[目标国家]]</f>
        <v>吴</v>
      </c>
      <c r="E5" s="380">
        <f>(VLOOKUP(表1_86121822242648[[#This Row],[目标区服]],$R$29:$S$32,2,FALSE)-表1_86121822242648[[#This Row],[开服天数]])*配置!$B$1</f>
        <v>1500</v>
      </c>
      <c r="F5" s="380">
        <f>表1_86121822242648[[#This Row],[补偿Coin]]*(表1_86121822242648[[#This Row],[活跃高战玩家数]]+表1_86121822242648[[#This Row],[活跃中坚玩家数]])</f>
        <v>25500</v>
      </c>
      <c r="G5" s="380">
        <f>(VLOOKUP(表1_86121822242648[[#This Row],[目标区服]],$R$29:$S$32,2,FALSE)-表1_86121822242648[[#This Row],[开服天数]])*配置!$B$2</f>
        <v>15</v>
      </c>
      <c r="H5" s="376" t="s">
        <v>25</v>
      </c>
      <c r="I5" s="376">
        <f>IF(表1_86121822242648[[#This Row],[原国家]]="魏",0,IF(表1_86121822242648[[#This Row],[原国家]]="蜀",1,2))</f>
        <v>0</v>
      </c>
      <c r="J5" s="380">
        <v>2</v>
      </c>
      <c r="K5" s="380">
        <v>80</v>
      </c>
      <c r="L5" s="380">
        <v>4</v>
      </c>
      <c r="M5" s="380">
        <v>13</v>
      </c>
      <c r="N5" s="380">
        <v>70233</v>
      </c>
      <c r="O5" s="380">
        <v>2461747</v>
      </c>
      <c r="P5" s="381">
        <v>16345800</v>
      </c>
      <c r="Q5" s="31" t="s">
        <v>27</v>
      </c>
      <c r="R5" s="376">
        <f>IF(表1_86121822242648[[#This Row],[目标国家]]="魏",0,IF(表1_86121822242648[[#This Row],[目标国家]]="蜀",1,2))</f>
        <v>2</v>
      </c>
      <c r="S5" s="380">
        <v>40674</v>
      </c>
      <c r="T5" s="380">
        <v>128</v>
      </c>
      <c r="U5" s="380">
        <v>149688</v>
      </c>
      <c r="V5" s="380">
        <v>6743</v>
      </c>
      <c r="W5" s="374">
        <v>702676</v>
      </c>
      <c r="X5" s="387" t="str">
        <f>"{"&amp;"'coin':"&amp;表1_86121822242648[[#This Row],[补偿Coin]]&amp;",'"&amp;配置!$A$2&amp;"':"&amp;表1_86121822242648[[#This Row],[补偿辎重]]&amp;"},"</f>
        <v>{'coin':1500,'item036':15},</v>
      </c>
      <c r="Y5" s="388" t="str">
        <f>"      '"&amp;表1_86121822242648[[#This Row],[区服]]&amp;"':{"</f>
        <v>      '108':{</v>
      </c>
    </row>
    <row r="6" s="354" customFormat="1" ht="14.25" customHeight="1" spans="1:25">
      <c r="A6" s="371">
        <v>108</v>
      </c>
      <c r="B6" s="371">
        <f>VLOOKUP(表1_86121822242648[[#This Row],[区服]],$P$29:$Q$36,2,FALSE)</f>
        <v>57</v>
      </c>
      <c r="C6" s="372" t="s">
        <v>91</v>
      </c>
      <c r="D6" s="376" t="str">
        <f>表1_86121822242648[[#This Row],[目标国家]]</f>
        <v>蜀</v>
      </c>
      <c r="E6" s="380">
        <f>(VLOOKUP(表1_86121822242648[[#This Row],[目标区服]],$R$29:$S$32,2,FALSE)-表1_86121822242648[[#This Row],[开服天数]])*配置!$B$1</f>
        <v>1500</v>
      </c>
      <c r="F6" s="380">
        <f>表1_86121822242648[[#This Row],[补偿Coin]]*(表1_86121822242648[[#This Row],[活跃高战玩家数]]+表1_86121822242648[[#This Row],[活跃中坚玩家数]])</f>
        <v>40500</v>
      </c>
      <c r="G6" s="380">
        <f>(VLOOKUP(表1_86121822242648[[#This Row],[目标区服]],$R$29:$S$32,2,FALSE)-表1_86121822242648[[#This Row],[开服天数]])*配置!$B$2</f>
        <v>15</v>
      </c>
      <c r="H6" s="376" t="s">
        <v>26</v>
      </c>
      <c r="I6" s="376">
        <f>IF(表1_86121822242648[[#This Row],[原国家]]="魏",0,IF(表1_86121822242648[[#This Row],[原国家]]="蜀",1,2))</f>
        <v>1</v>
      </c>
      <c r="J6" s="380">
        <v>5</v>
      </c>
      <c r="K6" s="380">
        <v>228</v>
      </c>
      <c r="L6" s="380">
        <v>5</v>
      </c>
      <c r="M6" s="380">
        <v>22</v>
      </c>
      <c r="N6" s="380">
        <v>139428</v>
      </c>
      <c r="O6" s="380">
        <v>4624236</v>
      </c>
      <c r="P6" s="381">
        <v>35686518</v>
      </c>
      <c r="Q6" s="31" t="s">
        <v>26</v>
      </c>
      <c r="R6" s="376">
        <f>IF(表1_86121822242648[[#This Row],[目标国家]]="魏",0,IF(表1_86121822242648[[#This Row],[目标国家]]="蜀",1,2))</f>
        <v>1</v>
      </c>
      <c r="S6" s="380">
        <v>253976</v>
      </c>
      <c r="T6" s="380">
        <v>0</v>
      </c>
      <c r="U6" s="380">
        <v>947442</v>
      </c>
      <c r="V6" s="380">
        <v>19763</v>
      </c>
      <c r="W6" s="374">
        <v>1244626</v>
      </c>
      <c r="X6" s="387" t="str">
        <f>"{"&amp;"'coin':"&amp;表1_86121822242648[[#This Row],[补偿Coin]]&amp;",'"&amp;配置!$A$2&amp;"':"&amp;表1_86121822242648[[#This Row],[补偿辎重]]&amp;"},"</f>
        <v>{'coin':1500,'item036':15},</v>
      </c>
      <c r="Y6" s="388" t="str">
        <f>"            'to_zone':'"&amp;表1_86121822242648[[#This Row],[目标区服]]&amp;"',
            'reward':"&amp;表1_86121822242648[[#This Row],[辅助导出]]&amp;"
            'country':["&amp;R5&amp;","&amp;R6&amp;","&amp;R7&amp;"],"</f>
        <v>            'to_zone':'h1_44',
            'reward':{'coin':1500,'item036':15},
            'country':[2,1,0],</v>
      </c>
    </row>
    <row r="7" s="354" customFormat="1" ht="14.25" customHeight="1" spans="1:25">
      <c r="A7" s="371">
        <v>108</v>
      </c>
      <c r="B7" s="371">
        <f>VLOOKUP(表1_86121822242648[[#This Row],[区服]],$P$29:$Q$36,2,FALSE)</f>
        <v>57</v>
      </c>
      <c r="C7" s="372" t="s">
        <v>91</v>
      </c>
      <c r="D7" s="376" t="str">
        <f>表1_86121822242648[[#This Row],[目标国家]]</f>
        <v>魏</v>
      </c>
      <c r="E7" s="380">
        <f>(VLOOKUP(表1_86121822242648[[#This Row],[目标区服]],$R$29:$S$32,2,FALSE)-表1_86121822242648[[#This Row],[开服天数]])*配置!$B$1</f>
        <v>1500</v>
      </c>
      <c r="F7" s="380">
        <f>表1_86121822242648[[#This Row],[补偿Coin]]*(表1_86121822242648[[#This Row],[活跃高战玩家数]]+表1_86121822242648[[#This Row],[活跃中坚玩家数]])</f>
        <v>22500</v>
      </c>
      <c r="G7" s="380">
        <f>(VLOOKUP(表1_86121822242648[[#This Row],[目标区服]],$R$29:$S$32,2,FALSE)-表1_86121822242648[[#This Row],[开服天数]])*配置!$B$2</f>
        <v>15</v>
      </c>
      <c r="H7" s="376" t="s">
        <v>27</v>
      </c>
      <c r="I7" s="376">
        <f>IF(表1_86121822242648[[#This Row],[原国家]]="魏",0,IF(表1_86121822242648[[#This Row],[原国家]]="蜀",1,2))</f>
        <v>2</v>
      </c>
      <c r="J7" s="380">
        <v>2</v>
      </c>
      <c r="K7" s="380">
        <v>87</v>
      </c>
      <c r="L7" s="380">
        <v>0</v>
      </c>
      <c r="M7" s="380">
        <v>15</v>
      </c>
      <c r="N7" s="380">
        <v>63195</v>
      </c>
      <c r="O7" s="380">
        <v>2210253</v>
      </c>
      <c r="P7" s="381">
        <v>13909853</v>
      </c>
      <c r="Q7" s="31" t="s">
        <v>25</v>
      </c>
      <c r="R7" s="376">
        <f>IF(表1_86121822242648[[#This Row],[目标国家]]="魏",0,IF(表1_86121822242648[[#This Row],[目标国家]]="蜀",1,2))</f>
        <v>0</v>
      </c>
      <c r="S7" s="380">
        <v>10380</v>
      </c>
      <c r="T7" s="380">
        <v>0</v>
      </c>
      <c r="U7" s="380">
        <v>333650</v>
      </c>
      <c r="V7" s="380">
        <v>5465</v>
      </c>
      <c r="W7" s="374">
        <v>744593</v>
      </c>
      <c r="X7" s="387" t="str">
        <f>"{"&amp;"'coin':"&amp;表1_86121822242648[[#This Row],[补偿Coin]]&amp;",'"&amp;配置!$A$2&amp;"':"&amp;表1_86121822242648[[#This Row],[补偿辎重]]&amp;"},"</f>
        <v>{'coin':1500,'item036':15},</v>
      </c>
      <c r="Y7" s="388" t="str">
        <f t="shared" ref="Y7" si="0">"      },"</f>
        <v>      },</v>
      </c>
    </row>
    <row r="8" s="354" customFormat="1" ht="14.25" customHeight="1" spans="1:25">
      <c r="A8" s="259">
        <v>109</v>
      </c>
      <c r="B8" s="210">
        <f>VLOOKUP(表1_86121822242648[[#This Row],[区服]],$P$29:$Q$36,2,FALSE)</f>
        <v>56</v>
      </c>
      <c r="C8" s="296" t="s">
        <v>92</v>
      </c>
      <c r="D8" s="212" t="str">
        <f>表1_86121822242648[[#This Row],[目标国家]]</f>
        <v>魏</v>
      </c>
      <c r="E8" s="213">
        <f>(VLOOKUP(表1_86121822242648[[#This Row],[目标区服]],$R$29:$S$32,2,FALSE)-表1_86121822242648[[#This Row],[开服天数]])*配置!$B$1</f>
        <v>1000</v>
      </c>
      <c r="F8" s="213">
        <f>表1_86121822242648[[#This Row],[补偿Coin]]*(表1_86121822242648[[#This Row],[活跃高战玩家数]]+表1_86121822242648[[#This Row],[活跃中坚玩家数]])</f>
        <v>34000</v>
      </c>
      <c r="G8" s="260">
        <f>(VLOOKUP(表1_86121822242648[[#This Row],[目标区服]],$R$29:$S$32,2,FALSE)-表1_86121822242648[[#This Row],[开服天数]])*配置!$B$2</f>
        <v>10</v>
      </c>
      <c r="H8" s="212" t="s">
        <v>25</v>
      </c>
      <c r="I8" s="268">
        <f>IF(表1_86121822242648[[#This Row],[原国家]]="魏",0,IF(表1_86121822242648[[#This Row],[原国家]]="蜀",1,2))</f>
        <v>0</v>
      </c>
      <c r="J8" s="213">
        <v>8</v>
      </c>
      <c r="K8" s="213">
        <v>218</v>
      </c>
      <c r="L8" s="213">
        <v>8</v>
      </c>
      <c r="M8" s="213">
        <v>26</v>
      </c>
      <c r="N8" s="213">
        <v>195352</v>
      </c>
      <c r="O8" s="419">
        <v>3393943</v>
      </c>
      <c r="P8" s="420">
        <v>44915046</v>
      </c>
      <c r="Q8" s="31" t="s">
        <v>25</v>
      </c>
      <c r="R8" s="212">
        <f>IF(表1_86121822242648[[#This Row],[目标国家]]="魏",0,IF(表1_86121822242648[[#This Row],[目标国家]]="蜀",1,2))</f>
        <v>0</v>
      </c>
      <c r="S8" s="213">
        <v>105996</v>
      </c>
      <c r="T8" s="213">
        <v>36</v>
      </c>
      <c r="U8" s="213">
        <v>1157378</v>
      </c>
      <c r="V8" s="213">
        <v>15601</v>
      </c>
      <c r="W8" s="213">
        <v>958819</v>
      </c>
      <c r="X8" s="278" t="str">
        <f>"{"&amp;"'coin':"&amp;表1_86121822242648[[#This Row],[补偿Coin]]&amp;",'"&amp;配置!$A$2&amp;"':"&amp;表1_86121822242648[[#This Row],[补偿辎重]]&amp;"},"</f>
        <v>{'coin':1000,'item036':10},</v>
      </c>
      <c r="Y8" s="278" t="str">
        <f>"      '"&amp;表1_86121822242648[[#This Row],[区服]]&amp;"':{"</f>
        <v>      '109':{</v>
      </c>
    </row>
    <row r="9" s="354" customFormat="1" ht="14.25" customHeight="1" spans="1:25">
      <c r="A9" s="259">
        <v>109</v>
      </c>
      <c r="B9" s="210">
        <f>VLOOKUP(表1_86121822242648[[#This Row],[区服]],$P$29:$Q$36,2,FALSE)</f>
        <v>56</v>
      </c>
      <c r="C9" s="296" t="s">
        <v>92</v>
      </c>
      <c r="D9" s="212" t="str">
        <f>表1_86121822242648[[#This Row],[目标国家]]</f>
        <v>吴</v>
      </c>
      <c r="E9" s="213">
        <f>(VLOOKUP(表1_86121822242648[[#This Row],[目标区服]],$R$29:$S$32,2,FALSE)-表1_86121822242648[[#This Row],[开服天数]])*配置!$B$1</f>
        <v>1000</v>
      </c>
      <c r="F9" s="213">
        <f>表1_86121822242648[[#This Row],[补偿Coin]]*(表1_86121822242648[[#This Row],[活跃高战玩家数]]+表1_86121822242648[[#This Row],[活跃中坚玩家数]])</f>
        <v>17000</v>
      </c>
      <c r="G9" s="260">
        <f>(VLOOKUP(表1_86121822242648[[#This Row],[目标区服]],$R$29:$S$32,2,FALSE)-表1_86121822242648[[#This Row],[开服天数]])*配置!$B$2</f>
        <v>10</v>
      </c>
      <c r="H9" s="212" t="s">
        <v>26</v>
      </c>
      <c r="I9" s="268">
        <f>IF(表1_86121822242648[[#This Row],[原国家]]="魏",0,IF(表1_86121822242648[[#This Row],[原国家]]="蜀",1,2))</f>
        <v>1</v>
      </c>
      <c r="J9" s="213">
        <v>1</v>
      </c>
      <c r="K9" s="213">
        <v>100</v>
      </c>
      <c r="L9" s="213">
        <v>2</v>
      </c>
      <c r="M9" s="213">
        <v>15</v>
      </c>
      <c r="N9" s="213">
        <v>58960</v>
      </c>
      <c r="O9" s="419">
        <v>3963370</v>
      </c>
      <c r="P9" s="420">
        <v>17835767</v>
      </c>
      <c r="Q9" s="31" t="s">
        <v>27</v>
      </c>
      <c r="R9" s="212">
        <f>IF(表1_86121822242648[[#This Row],[目标国家]]="魏",0,IF(表1_86121822242648[[#This Row],[目标国家]]="蜀",1,2))</f>
        <v>2</v>
      </c>
      <c r="S9" s="213">
        <v>132778</v>
      </c>
      <c r="T9" s="213">
        <v>0</v>
      </c>
      <c r="U9" s="213">
        <v>880054</v>
      </c>
      <c r="V9" s="213">
        <v>11565</v>
      </c>
      <c r="W9" s="213">
        <v>1330442</v>
      </c>
      <c r="X9" s="278" t="str">
        <f>"{"&amp;"'coin':"&amp;表1_86121822242648[[#This Row],[补偿Coin]]&amp;",'"&amp;配置!$A$2&amp;"':"&amp;表1_86121822242648[[#This Row],[补偿辎重]]&amp;"},"</f>
        <v>{'coin':1000,'item036':10},</v>
      </c>
      <c r="Y9" s="278" t="str">
        <f>"            'to_zone':'"&amp;表1_86121822242648[[#This Row],[目标区服]]&amp;"',
            'reward':"&amp;表1_86121822242648[[#This Row],[辅助导出]]&amp;"
            'country':["&amp;R8&amp;","&amp;R9&amp;","&amp;R10&amp;"],"</f>
        <v>            'to_zone':'h1_45',
            'reward':{'coin':1000,'item036':10},
            'country':[0,2,1],</v>
      </c>
    </row>
    <row r="10" s="354" customFormat="1" ht="14.25" customHeight="1" spans="1:25">
      <c r="A10" s="259">
        <v>109</v>
      </c>
      <c r="B10" s="210">
        <f>VLOOKUP(表1_86121822242648[[#This Row],[区服]],$P$29:$Q$36,2,FALSE)</f>
        <v>56</v>
      </c>
      <c r="C10" s="296" t="s">
        <v>92</v>
      </c>
      <c r="D10" s="212" t="str">
        <f>表1_86121822242648[[#This Row],[目标国家]]</f>
        <v>蜀</v>
      </c>
      <c r="E10" s="213">
        <f>(VLOOKUP(表1_86121822242648[[#This Row],[目标区服]],$R$29:$S$32,2,FALSE)-表1_86121822242648[[#This Row],[开服天数]])*配置!$B$1</f>
        <v>1000</v>
      </c>
      <c r="F10" s="213">
        <f>表1_86121822242648[[#This Row],[补偿Coin]]*(表1_86121822242648[[#This Row],[活跃高战玩家数]]+表1_86121822242648[[#This Row],[活跃中坚玩家数]])</f>
        <v>15000</v>
      </c>
      <c r="G10" s="260">
        <f>(VLOOKUP(表1_86121822242648[[#This Row],[目标区服]],$R$29:$S$32,2,FALSE)-表1_86121822242648[[#This Row],[开服天数]])*配置!$B$2</f>
        <v>10</v>
      </c>
      <c r="H10" s="212" t="s">
        <v>27</v>
      </c>
      <c r="I10" s="268">
        <f>IF(表1_86121822242648[[#This Row],[原国家]]="魏",0,IF(表1_86121822242648[[#This Row],[原国家]]="蜀",1,2))</f>
        <v>2</v>
      </c>
      <c r="J10" s="213">
        <v>0</v>
      </c>
      <c r="K10" s="213">
        <v>77</v>
      </c>
      <c r="L10" s="213">
        <v>0</v>
      </c>
      <c r="M10" s="213">
        <v>15</v>
      </c>
      <c r="N10" s="213">
        <v>47365</v>
      </c>
      <c r="O10" s="419">
        <v>1952322</v>
      </c>
      <c r="P10" s="420">
        <v>11935456</v>
      </c>
      <c r="Q10" s="31" t="s">
        <v>26</v>
      </c>
      <c r="R10" s="212">
        <f>IF(表1_86121822242648[[#This Row],[目标国家]]="魏",0,IF(表1_86121822242648[[#This Row],[目标国家]]="蜀",1,2))</f>
        <v>1</v>
      </c>
      <c r="S10" s="213">
        <v>20138</v>
      </c>
      <c r="T10" s="213">
        <v>60</v>
      </c>
      <c r="U10" s="213">
        <v>257355</v>
      </c>
      <c r="V10" s="213">
        <v>4886</v>
      </c>
      <c r="W10" s="213">
        <v>631387</v>
      </c>
      <c r="X10" s="278" t="str">
        <f>"{"&amp;"'coin':"&amp;表1_86121822242648[[#This Row],[补偿Coin]]&amp;",'"&amp;配置!$A$2&amp;"':"&amp;表1_86121822242648[[#This Row],[补偿辎重]]&amp;"},"</f>
        <v>{'coin':1000,'item036':10},</v>
      </c>
      <c r="Y10" s="278" t="str">
        <f>"      },"</f>
        <v>      },</v>
      </c>
    </row>
    <row r="11" s="354" customFormat="1" ht="14.25" customHeight="1" spans="1:25">
      <c r="A11" s="259">
        <v>110</v>
      </c>
      <c r="B11" s="210">
        <f>VLOOKUP(表1_86121822242648[[#This Row],[区服]],$P$29:$Q$36,2,FALSE)</f>
        <v>55</v>
      </c>
      <c r="C11" s="296" t="s">
        <v>92</v>
      </c>
      <c r="D11" s="212" t="str">
        <f>表1_86121822242648[[#This Row],[目标国家]]</f>
        <v>吴</v>
      </c>
      <c r="E11" s="213">
        <f>(VLOOKUP(表1_86121822242648[[#This Row],[目标区服]],$R$29:$S$32,2,FALSE)-表1_86121822242648[[#This Row],[开服天数]])*配置!$B$1</f>
        <v>1500</v>
      </c>
      <c r="F11" s="213">
        <f>表1_86121822242648[[#This Row],[补偿Coin]]*(表1_86121822242648[[#This Row],[活跃高战玩家数]]+表1_86121822242648[[#This Row],[活跃中坚玩家数]])</f>
        <v>18000</v>
      </c>
      <c r="G11" s="260">
        <f>(VLOOKUP(表1_86121822242648[[#This Row],[目标区服]],$R$29:$S$32,2,FALSE)-表1_86121822242648[[#This Row],[开服天数]])*配置!$B$2</f>
        <v>15</v>
      </c>
      <c r="H11" s="212" t="s">
        <v>25</v>
      </c>
      <c r="I11" s="268">
        <f>IF(表1_86121822242648[[#This Row],[原国家]]="魏",0,IF(表1_86121822242648[[#This Row],[原国家]]="蜀",1,2))</f>
        <v>0</v>
      </c>
      <c r="J11" s="213">
        <v>0</v>
      </c>
      <c r="K11" s="213">
        <v>21</v>
      </c>
      <c r="L11" s="213">
        <v>2</v>
      </c>
      <c r="M11" s="213">
        <v>10</v>
      </c>
      <c r="N11" s="213">
        <v>45122</v>
      </c>
      <c r="O11" s="419">
        <v>1918722</v>
      </c>
      <c r="P11" s="420">
        <v>8741510</v>
      </c>
      <c r="Q11" s="31" t="s">
        <v>27</v>
      </c>
      <c r="R11" s="212">
        <f>IF(表1_86121822242648[[#This Row],[目标国家]]="魏",0,IF(表1_86121822242648[[#This Row],[目标国家]]="蜀",1,2))</f>
        <v>2</v>
      </c>
      <c r="S11" s="213">
        <v>7854</v>
      </c>
      <c r="T11" s="213">
        <v>0</v>
      </c>
      <c r="U11" s="213">
        <v>149590</v>
      </c>
      <c r="V11" s="213">
        <v>3538</v>
      </c>
      <c r="W11" s="213">
        <v>651920</v>
      </c>
      <c r="X11" s="278" t="str">
        <f>"{"&amp;"'coin':"&amp;表1_86121822242648[[#This Row],[补偿Coin]]&amp;",'"&amp;配置!$A$2&amp;"':"&amp;表1_86121822242648[[#This Row],[补偿辎重]]&amp;"},"</f>
        <v>{'coin':1500,'item036':15},</v>
      </c>
      <c r="Y11" s="278" t="str">
        <f>"      '"&amp;表1_86121822242648[[#This Row],[区服]]&amp;"':{"</f>
        <v>      '110':{</v>
      </c>
    </row>
    <row r="12" s="354" customFormat="1" ht="14.25" customHeight="1" spans="1:25">
      <c r="A12" s="259">
        <v>110</v>
      </c>
      <c r="B12" s="210">
        <f>VLOOKUP(表1_86121822242648[[#This Row],[区服]],$P$29:$Q$36,2,FALSE)</f>
        <v>55</v>
      </c>
      <c r="C12" s="296" t="s">
        <v>92</v>
      </c>
      <c r="D12" s="212" t="str">
        <f>表1_86121822242648[[#This Row],[目标国家]]</f>
        <v>蜀</v>
      </c>
      <c r="E12" s="213">
        <f>(VLOOKUP(表1_86121822242648[[#This Row],[目标区服]],$R$29:$S$32,2,FALSE)-表1_86121822242648[[#This Row],[开服天数]])*配置!$B$1</f>
        <v>1500</v>
      </c>
      <c r="F12" s="213">
        <f>表1_86121822242648[[#This Row],[补偿Coin]]*(表1_86121822242648[[#This Row],[活跃高战玩家数]]+表1_86121822242648[[#This Row],[活跃中坚玩家数]])</f>
        <v>45000</v>
      </c>
      <c r="G12" s="260">
        <f>(VLOOKUP(表1_86121822242648[[#This Row],[目标区服]],$R$29:$S$32,2,FALSE)-表1_86121822242648[[#This Row],[开服天数]])*配置!$B$2</f>
        <v>15</v>
      </c>
      <c r="H12" s="212" t="s">
        <v>26</v>
      </c>
      <c r="I12" s="268">
        <f>IF(表1_86121822242648[[#This Row],[原国家]]="魏",0,IF(表1_86121822242648[[#This Row],[原国家]]="蜀",1,2))</f>
        <v>1</v>
      </c>
      <c r="J12" s="213">
        <v>9</v>
      </c>
      <c r="K12" s="213">
        <v>357</v>
      </c>
      <c r="L12" s="213">
        <v>8</v>
      </c>
      <c r="M12" s="213">
        <v>22</v>
      </c>
      <c r="N12" s="213">
        <v>168435</v>
      </c>
      <c r="O12" s="419">
        <v>3604417</v>
      </c>
      <c r="P12" s="420">
        <v>35444597</v>
      </c>
      <c r="Q12" s="31" t="s">
        <v>26</v>
      </c>
      <c r="R12" s="212">
        <f>IF(表1_86121822242648[[#This Row],[目标国家]]="魏",0,IF(表1_86121822242648[[#This Row],[目标国家]]="蜀",1,2))</f>
        <v>1</v>
      </c>
      <c r="S12" s="213">
        <v>144248</v>
      </c>
      <c r="T12" s="213">
        <v>0</v>
      </c>
      <c r="U12" s="213">
        <v>1332240</v>
      </c>
      <c r="V12" s="213">
        <v>17454</v>
      </c>
      <c r="W12" s="213">
        <v>927420</v>
      </c>
      <c r="X12" s="278" t="str">
        <f>"{"&amp;"'coin':"&amp;表1_86121822242648[[#This Row],[补偿Coin]]&amp;",'"&amp;配置!$A$2&amp;"':"&amp;表1_86121822242648[[#This Row],[补偿辎重]]&amp;"},"</f>
        <v>{'coin':1500,'item036':15},</v>
      </c>
      <c r="Y12" s="278" t="str">
        <f>"            'to_zone':'"&amp;表1_86121822242648[[#This Row],[目标区服]]&amp;"',
            'reward':"&amp;表1_86121822242648[[#This Row],[辅助导出]]&amp;"
            'country':["&amp;R11&amp;","&amp;R12&amp;","&amp;R13&amp;"],"</f>
        <v>            'to_zone':'h1_45',
            'reward':{'coin':1500,'item036':15},
            'country':[2,1,0],</v>
      </c>
    </row>
    <row r="13" s="354" customFormat="1" ht="14.25" customHeight="1" spans="1:25">
      <c r="A13" s="259">
        <v>110</v>
      </c>
      <c r="B13" s="210">
        <f>VLOOKUP(表1_86121822242648[[#This Row],[区服]],$P$29:$Q$36,2,FALSE)</f>
        <v>55</v>
      </c>
      <c r="C13" s="296" t="s">
        <v>92</v>
      </c>
      <c r="D13" s="212" t="str">
        <f>表1_86121822242648[[#This Row],[目标国家]]</f>
        <v>魏</v>
      </c>
      <c r="E13" s="213">
        <f>(VLOOKUP(表1_86121822242648[[#This Row],[目标区服]],$R$29:$S$32,2,FALSE)-表1_86121822242648[[#This Row],[开服天数]])*配置!$B$1</f>
        <v>1500</v>
      </c>
      <c r="F13" s="213">
        <f>表1_86121822242648[[#This Row],[补偿Coin]]*(表1_86121822242648[[#This Row],[活跃高战玩家数]]+表1_86121822242648[[#This Row],[活跃中坚玩家数]])</f>
        <v>10500</v>
      </c>
      <c r="G13" s="260">
        <f>(VLOOKUP(表1_86121822242648[[#This Row],[目标区服]],$R$29:$S$32,2,FALSE)-表1_86121822242648[[#This Row],[开服天数]])*配置!$B$2</f>
        <v>15</v>
      </c>
      <c r="H13" s="212" t="s">
        <v>27</v>
      </c>
      <c r="I13" s="268">
        <f>IF(表1_86121822242648[[#This Row],[原国家]]="魏",0,IF(表1_86121822242648[[#This Row],[原国家]]="蜀",1,2))</f>
        <v>2</v>
      </c>
      <c r="J13" s="213">
        <v>0</v>
      </c>
      <c r="K13" s="213">
        <v>17</v>
      </c>
      <c r="L13" s="213">
        <v>0</v>
      </c>
      <c r="M13" s="213">
        <v>7</v>
      </c>
      <c r="N13" s="213">
        <v>37855</v>
      </c>
      <c r="O13" s="419">
        <v>1765924</v>
      </c>
      <c r="P13" s="420">
        <v>6615981</v>
      </c>
      <c r="Q13" s="31" t="s">
        <v>25</v>
      </c>
      <c r="R13" s="212">
        <f>IF(表1_86121822242648[[#This Row],[目标国家]]="魏",0,IF(表1_86121822242648[[#This Row],[目标国家]]="蜀",1,2))</f>
        <v>0</v>
      </c>
      <c r="S13" s="213">
        <v>16092</v>
      </c>
      <c r="T13" s="213">
        <v>68</v>
      </c>
      <c r="U13" s="213">
        <v>99244</v>
      </c>
      <c r="V13" s="213">
        <v>3319</v>
      </c>
      <c r="W13" s="213">
        <v>734184</v>
      </c>
      <c r="X13" s="278" t="str">
        <f>"{"&amp;"'coin':"&amp;表1_86121822242648[[#This Row],[补偿Coin]]&amp;",'"&amp;配置!$A$2&amp;"':"&amp;表1_86121822242648[[#This Row],[补偿辎重]]&amp;"},"</f>
        <v>{'coin':1500,'item036':15},</v>
      </c>
      <c r="Y13" s="278" t="str">
        <f t="shared" ref="Y13" si="1">"      },"</f>
        <v>      },</v>
      </c>
    </row>
    <row r="14" ht="14.25" customHeight="1" spans="1:25">
      <c r="A14" s="17">
        <v>111</v>
      </c>
      <c r="B14" s="17">
        <f>VLOOKUP(表1_86121822242648[[#This Row],[区服]],$P$29:$Q$36,2,FALSE)</f>
        <v>54</v>
      </c>
      <c r="C14" s="18" t="s">
        <v>93</v>
      </c>
      <c r="D14" s="19" t="str">
        <f>表1_86121822242648[[#This Row],[目标国家]]</f>
        <v>魏</v>
      </c>
      <c r="E14" s="20">
        <f>(VLOOKUP(表1_86121822242648[[#This Row],[目标区服]],$R$29:$S$32,2,FALSE)-表1_86121822242648[[#This Row],[开服天数]])*配置!$B$1</f>
        <v>1000</v>
      </c>
      <c r="F14" s="20">
        <f>表1_86121822242648[[#This Row],[补偿Coin]]*(表1_86121822242648[[#This Row],[活跃高战玩家数]]+表1_86121822242648[[#This Row],[活跃中坚玩家数]])</f>
        <v>16000</v>
      </c>
      <c r="G14" s="20">
        <f>(VLOOKUP(表1_86121822242648[[#This Row],[目标区服]],$R$29:$S$32,2,FALSE)-表1_86121822242648[[#This Row],[开服天数]])*配置!$B$2</f>
        <v>10</v>
      </c>
      <c r="H14" s="19" t="s">
        <v>25</v>
      </c>
      <c r="I14" s="19">
        <f>IF(表1_86121822242648[[#This Row],[原国家]]="魏",0,IF(表1_86121822242648[[#This Row],[原国家]]="蜀",1,2))</f>
        <v>0</v>
      </c>
      <c r="J14" s="20">
        <v>3</v>
      </c>
      <c r="K14" s="20">
        <v>105</v>
      </c>
      <c r="L14" s="20">
        <v>2</v>
      </c>
      <c r="M14" s="20">
        <v>14</v>
      </c>
      <c r="N14" s="20">
        <v>57409</v>
      </c>
      <c r="O14" s="20">
        <v>3840204</v>
      </c>
      <c r="P14" s="26">
        <v>16491965</v>
      </c>
      <c r="Q14" s="31" t="s">
        <v>25</v>
      </c>
      <c r="R14" s="19">
        <f>IF(表1_86121822242648[[#This Row],[目标国家]]="魏",0,IF(表1_86121822242648[[#This Row],[目标国家]]="蜀",1,2))</f>
        <v>0</v>
      </c>
      <c r="S14" s="20">
        <v>134430</v>
      </c>
      <c r="T14" s="20">
        <v>0</v>
      </c>
      <c r="U14" s="20">
        <v>299007</v>
      </c>
      <c r="V14" s="20">
        <v>11308</v>
      </c>
      <c r="W14" s="32">
        <v>1159728</v>
      </c>
      <c r="X14" s="33" t="str">
        <f>"{"&amp;"'coin':"&amp;表1_86121822242648[[#This Row],[补偿Coin]]&amp;",'"&amp;配置!$A$2&amp;"':"&amp;表1_86121822242648[[#This Row],[补偿辎重]]&amp;"},"</f>
        <v>{'coin':1000,'item036':10},</v>
      </c>
      <c r="Y14" s="34" t="str">
        <f>"      '"&amp;表1_86121822242648[[#This Row],[区服]]&amp;"':{"</f>
        <v>      '111':{</v>
      </c>
    </row>
    <row r="15" ht="14.25" customHeight="1" spans="1:25">
      <c r="A15" s="17">
        <v>111</v>
      </c>
      <c r="B15" s="17">
        <f>VLOOKUP(表1_86121822242648[[#This Row],[区服]],$P$29:$Q$36,2,FALSE)</f>
        <v>54</v>
      </c>
      <c r="C15" s="18" t="s">
        <v>93</v>
      </c>
      <c r="D15" s="19" t="str">
        <f>表1_86121822242648[[#This Row],[目标国家]]</f>
        <v>吴</v>
      </c>
      <c r="E15" s="20">
        <f>(VLOOKUP(表1_86121822242648[[#This Row],[目标区服]],$R$29:$S$32,2,FALSE)-表1_86121822242648[[#This Row],[开服天数]])*配置!$B$1</f>
        <v>1000</v>
      </c>
      <c r="F15" s="20">
        <f>表1_86121822242648[[#This Row],[补偿Coin]]*(表1_86121822242648[[#This Row],[活跃高战玩家数]]+表1_86121822242648[[#This Row],[活跃中坚玩家数]])</f>
        <v>24000</v>
      </c>
      <c r="G15" s="20">
        <f>(VLOOKUP(表1_86121822242648[[#This Row],[目标区服]],$R$29:$S$32,2,FALSE)-表1_86121822242648[[#This Row],[开服天数]])*配置!$B$2</f>
        <v>10</v>
      </c>
      <c r="H15" s="19" t="s">
        <v>26</v>
      </c>
      <c r="I15" s="19">
        <f>IF(表1_86121822242648[[#This Row],[原国家]]="魏",0,IF(表1_86121822242648[[#This Row],[原国家]]="蜀",1,2))</f>
        <v>1</v>
      </c>
      <c r="J15" s="20">
        <v>3</v>
      </c>
      <c r="K15" s="20">
        <v>156</v>
      </c>
      <c r="L15" s="20">
        <v>2</v>
      </c>
      <c r="M15" s="20">
        <v>22</v>
      </c>
      <c r="N15" s="20">
        <v>86462</v>
      </c>
      <c r="O15" s="20">
        <v>2238632</v>
      </c>
      <c r="P15" s="26">
        <v>20187171</v>
      </c>
      <c r="Q15" s="31" t="s">
        <v>27</v>
      </c>
      <c r="R15" s="19">
        <f>IF(表1_86121822242648[[#This Row],[目标国家]]="魏",0,IF(表1_86121822242648[[#This Row],[目标国家]]="蜀",1,2))</f>
        <v>2</v>
      </c>
      <c r="S15" s="20">
        <v>41784</v>
      </c>
      <c r="T15" s="20">
        <v>0</v>
      </c>
      <c r="U15" s="20">
        <v>340269</v>
      </c>
      <c r="V15" s="20">
        <v>7973</v>
      </c>
      <c r="W15" s="32">
        <v>748501</v>
      </c>
      <c r="X15" s="33" t="str">
        <f>"{"&amp;"'coin':"&amp;表1_86121822242648[[#This Row],[补偿Coin]]&amp;",'"&amp;配置!$A$2&amp;"':"&amp;表1_86121822242648[[#This Row],[补偿辎重]]&amp;"},"</f>
        <v>{'coin':1000,'item036':10},</v>
      </c>
      <c r="Y15" s="34" t="str">
        <f>"            'to_zone':'"&amp;表1_86121822242648[[#This Row],[目标区服]]&amp;"',
            'reward':"&amp;表1_86121822242648[[#This Row],[辅助导出]]&amp;"
            'country':["&amp;R14&amp;","&amp;R15&amp;","&amp;R16&amp;"],"</f>
        <v>            'to_zone':'h1_46',
            'reward':{'coin':1000,'item036':10},
            'country':[0,2,2],</v>
      </c>
    </row>
    <row r="16" ht="14.25" customHeight="1" spans="1:25">
      <c r="A16" s="17">
        <v>111</v>
      </c>
      <c r="B16" s="17">
        <f>VLOOKUP(表1_86121822242648[[#This Row],[区服]],$P$29:$Q$36,2,FALSE)</f>
        <v>54</v>
      </c>
      <c r="C16" s="18" t="s">
        <v>93</v>
      </c>
      <c r="D16" s="19" t="str">
        <f>表1_86121822242648[[#This Row],[目标国家]]</f>
        <v>吴</v>
      </c>
      <c r="E16" s="20">
        <f>(VLOOKUP(表1_86121822242648[[#This Row],[目标区服]],$R$29:$S$32,2,FALSE)-表1_86121822242648[[#This Row],[开服天数]])*配置!$B$1</f>
        <v>1000</v>
      </c>
      <c r="F16" s="20">
        <f>表1_86121822242648[[#This Row],[补偿Coin]]*(表1_86121822242648[[#This Row],[活跃高战玩家数]]+表1_86121822242648[[#This Row],[活跃中坚玩家数]])</f>
        <v>32000</v>
      </c>
      <c r="G16" s="20">
        <f>(VLOOKUP(表1_86121822242648[[#This Row],[目标区服]],$R$29:$S$32,2,FALSE)-表1_86121822242648[[#This Row],[开服天数]])*配置!$B$2</f>
        <v>10</v>
      </c>
      <c r="H16" s="19" t="s">
        <v>27</v>
      </c>
      <c r="I16" s="19">
        <f>IF(表1_86121822242648[[#This Row],[原国家]]="魏",0,IF(表1_86121822242648[[#This Row],[原国家]]="蜀",1,2))</f>
        <v>2</v>
      </c>
      <c r="J16" s="20">
        <v>3</v>
      </c>
      <c r="K16" s="20">
        <v>134</v>
      </c>
      <c r="L16" s="20">
        <v>6</v>
      </c>
      <c r="M16" s="20">
        <v>26</v>
      </c>
      <c r="N16" s="20">
        <v>158991</v>
      </c>
      <c r="O16" s="20">
        <v>4795475</v>
      </c>
      <c r="P16" s="26">
        <v>38238454</v>
      </c>
      <c r="Q16" s="31" t="s">
        <v>27</v>
      </c>
      <c r="R16" s="19">
        <f>IF(表1_86121822242648[[#This Row],[目标国家]]="魏",0,IF(表1_86121822242648[[#This Row],[目标国家]]="蜀",1,2))</f>
        <v>2</v>
      </c>
      <c r="S16" s="20">
        <v>107840</v>
      </c>
      <c r="T16" s="20">
        <v>69742</v>
      </c>
      <c r="U16" s="20">
        <v>1023749</v>
      </c>
      <c r="V16" s="20">
        <v>15498</v>
      </c>
      <c r="W16" s="32">
        <v>1392189</v>
      </c>
      <c r="X16" s="33" t="str">
        <f>"{"&amp;"'coin':"&amp;表1_86121822242648[[#This Row],[补偿Coin]]&amp;",'"&amp;配置!$A$2&amp;"':"&amp;表1_86121822242648[[#This Row],[补偿辎重]]&amp;"},"</f>
        <v>{'coin':1000,'item036':10},</v>
      </c>
      <c r="Y16" s="34" t="str">
        <f t="shared" ref="Y16" si="2">"      },"</f>
        <v>      },</v>
      </c>
    </row>
    <row r="17" ht="14.25" customHeight="1" spans="1:25">
      <c r="A17" s="17">
        <v>112</v>
      </c>
      <c r="B17" s="17">
        <f>VLOOKUP(表1_86121822242648[[#This Row],[区服]],$P$29:$Q$36,2,FALSE)</f>
        <v>53</v>
      </c>
      <c r="C17" s="18" t="s">
        <v>93</v>
      </c>
      <c r="D17" s="19" t="str">
        <f>表1_86121822242648[[#This Row],[目标国家]]</f>
        <v>蜀</v>
      </c>
      <c r="E17" s="20">
        <f>(VLOOKUP(表1_86121822242648[[#This Row],[目标区服]],$R$29:$S$32,2,FALSE)-表1_86121822242648[[#This Row],[开服天数]])*配置!$B$1</f>
        <v>1500</v>
      </c>
      <c r="F17" s="20">
        <f>表1_86121822242648[[#This Row],[补偿Coin]]*(表1_86121822242648[[#This Row],[活跃高战玩家数]]+表1_86121822242648[[#This Row],[活跃中坚玩家数]])</f>
        <v>28500</v>
      </c>
      <c r="G17" s="20">
        <f>(VLOOKUP(表1_86121822242648[[#This Row],[目标区服]],$R$29:$S$32,2,FALSE)-表1_86121822242648[[#This Row],[开服天数]])*配置!$B$2</f>
        <v>15</v>
      </c>
      <c r="H17" s="19" t="s">
        <v>25</v>
      </c>
      <c r="I17" s="19">
        <f>IF(表1_86121822242648[[#This Row],[原国家]]="魏",0,IF(表1_86121822242648[[#This Row],[原国家]]="蜀",1,2))</f>
        <v>0</v>
      </c>
      <c r="J17" s="20">
        <v>3</v>
      </c>
      <c r="K17" s="20">
        <v>67</v>
      </c>
      <c r="L17" s="20">
        <v>3</v>
      </c>
      <c r="M17" s="20">
        <v>16</v>
      </c>
      <c r="N17" s="20">
        <v>72803</v>
      </c>
      <c r="O17" s="20">
        <v>3318000</v>
      </c>
      <c r="P17" s="26">
        <v>19644600</v>
      </c>
      <c r="Q17" s="31" t="s">
        <v>26</v>
      </c>
      <c r="R17" s="19">
        <f>IF(表1_86121822242648[[#This Row],[目标国家]]="魏",0,IF(表1_86121822242648[[#This Row],[目标国家]]="蜀",1,2))</f>
        <v>1</v>
      </c>
      <c r="S17" s="20">
        <v>90098</v>
      </c>
      <c r="T17" s="20">
        <v>0</v>
      </c>
      <c r="U17" s="20">
        <v>268504</v>
      </c>
      <c r="V17" s="20">
        <v>9453</v>
      </c>
      <c r="W17" s="32">
        <v>883874</v>
      </c>
      <c r="X17" s="33" t="str">
        <f>"{"&amp;"'coin':"&amp;表1_86121822242648[[#This Row],[补偿Coin]]&amp;",'"&amp;配置!$A$2&amp;"':"&amp;表1_86121822242648[[#This Row],[补偿辎重]]&amp;"},"</f>
        <v>{'coin':1500,'item036':15},</v>
      </c>
      <c r="Y17" s="34" t="str">
        <f>"      '"&amp;表1_86121822242648[[#This Row],[区服]]&amp;"':{"</f>
        <v>      '112':{</v>
      </c>
    </row>
    <row r="18" ht="14.25" customHeight="1" spans="1:25">
      <c r="A18" s="17">
        <v>112</v>
      </c>
      <c r="B18" s="17">
        <f>VLOOKUP(表1_86121822242648[[#This Row],[区服]],$P$29:$Q$36,2,FALSE)</f>
        <v>53</v>
      </c>
      <c r="C18" s="18" t="s">
        <v>93</v>
      </c>
      <c r="D18" s="19" t="str">
        <f>表1_86121822242648[[#This Row],[目标国家]]</f>
        <v>魏</v>
      </c>
      <c r="E18" s="20">
        <f>(VLOOKUP(表1_86121822242648[[#This Row],[目标区服]],$R$29:$S$32,2,FALSE)-表1_86121822242648[[#This Row],[开服天数]])*配置!$B$1</f>
        <v>1500</v>
      </c>
      <c r="F18" s="20">
        <f>表1_86121822242648[[#This Row],[补偿Coin]]*(表1_86121822242648[[#This Row],[活跃高战玩家数]]+表1_86121822242648[[#This Row],[活跃中坚玩家数]])</f>
        <v>34500</v>
      </c>
      <c r="G18" s="20">
        <f>(VLOOKUP(表1_86121822242648[[#This Row],[目标区服]],$R$29:$S$32,2,FALSE)-表1_86121822242648[[#This Row],[开服天数]])*配置!$B$2</f>
        <v>15</v>
      </c>
      <c r="H18" s="19" t="s">
        <v>26</v>
      </c>
      <c r="I18" s="19">
        <f>IF(表1_86121822242648[[#This Row],[原国家]]="魏",0,IF(表1_86121822242648[[#This Row],[原国家]]="蜀",1,2))</f>
        <v>1</v>
      </c>
      <c r="J18" s="20">
        <v>2</v>
      </c>
      <c r="K18" s="20">
        <v>131</v>
      </c>
      <c r="L18" s="20">
        <v>3</v>
      </c>
      <c r="M18" s="20">
        <v>20</v>
      </c>
      <c r="N18" s="20">
        <v>118046</v>
      </c>
      <c r="O18" s="20">
        <v>3046375</v>
      </c>
      <c r="P18" s="26">
        <v>27832315</v>
      </c>
      <c r="Q18" s="31" t="s">
        <v>25</v>
      </c>
      <c r="R18" s="19">
        <f>IF(表1_86121822242648[[#This Row],[目标国家]]="魏",0,IF(表1_86121822242648[[#This Row],[目标国家]]="蜀",1,2))</f>
        <v>0</v>
      </c>
      <c r="S18" s="20">
        <v>75542</v>
      </c>
      <c r="T18" s="20">
        <v>128</v>
      </c>
      <c r="U18" s="20">
        <v>351897</v>
      </c>
      <c r="V18" s="20">
        <v>10373</v>
      </c>
      <c r="W18" s="32">
        <v>875305</v>
      </c>
      <c r="X18" s="33" t="str">
        <f>"{"&amp;"'coin':"&amp;表1_86121822242648[[#This Row],[补偿Coin]]&amp;",'"&amp;配置!$A$2&amp;"':"&amp;表1_86121822242648[[#This Row],[补偿辎重]]&amp;"},"</f>
        <v>{'coin':1500,'item036':15},</v>
      </c>
      <c r="Y18" s="34" t="str">
        <f>"            'to_zone':'"&amp;表1_86121822242648[[#This Row],[目标区服]]&amp;"',
            'reward':"&amp;表1_86121822242648[[#This Row],[辅助导出]]&amp;"
            'country':["&amp;R17&amp;","&amp;R18&amp;","&amp;R19&amp;"],"</f>
        <v>            'to_zone':'h1_46',
            'reward':{'coin':1500,'item036':15},
            'country':[1,0,1],</v>
      </c>
    </row>
    <row r="19" ht="14.25" customHeight="1" spans="1:25">
      <c r="A19" s="17">
        <v>112</v>
      </c>
      <c r="B19" s="17">
        <f>VLOOKUP(表1_86121822242648[[#This Row],[区服]],$P$29:$Q$36,2,FALSE)</f>
        <v>53</v>
      </c>
      <c r="C19" s="18" t="s">
        <v>93</v>
      </c>
      <c r="D19" s="19" t="str">
        <f>表1_86121822242648[[#This Row],[目标国家]]</f>
        <v>蜀</v>
      </c>
      <c r="E19" s="20">
        <f>(VLOOKUP(表1_86121822242648[[#This Row],[目标区服]],$R$29:$S$32,2,FALSE)-表1_86121822242648[[#This Row],[开服天数]])*配置!$B$1</f>
        <v>1500</v>
      </c>
      <c r="F19" s="20">
        <f>表1_86121822242648[[#This Row],[补偿Coin]]*(表1_86121822242648[[#This Row],[活跃高战玩家数]]+表1_86121822242648[[#This Row],[活跃中坚玩家数]])</f>
        <v>34500</v>
      </c>
      <c r="G19" s="20">
        <f>(VLOOKUP(表1_86121822242648[[#This Row],[目标区服]],$R$29:$S$32,2,FALSE)-表1_86121822242648[[#This Row],[开服天数]])*配置!$B$2</f>
        <v>15</v>
      </c>
      <c r="H19" s="19" t="s">
        <v>27</v>
      </c>
      <c r="I19" s="19">
        <f>IF(表1_86121822242648[[#This Row],[原国家]]="魏",0,IF(表1_86121822242648[[#This Row],[原国家]]="蜀",1,2))</f>
        <v>2</v>
      </c>
      <c r="J19" s="20">
        <v>4</v>
      </c>
      <c r="K19" s="20">
        <v>197</v>
      </c>
      <c r="L19" s="20">
        <v>3</v>
      </c>
      <c r="M19" s="20">
        <v>20</v>
      </c>
      <c r="N19" s="20">
        <v>88628</v>
      </c>
      <c r="O19" s="20">
        <v>3289260</v>
      </c>
      <c r="P19" s="26">
        <v>24301413</v>
      </c>
      <c r="Q19" s="31" t="s">
        <v>26</v>
      </c>
      <c r="R19" s="19">
        <f>IF(表1_86121822242648[[#This Row],[目标国家]]="魏",0,IF(表1_86121822242648[[#This Row],[目标国家]]="蜀",1,2))</f>
        <v>1</v>
      </c>
      <c r="S19" s="20">
        <v>105622</v>
      </c>
      <c r="T19" s="20">
        <v>68</v>
      </c>
      <c r="U19" s="20">
        <v>699734</v>
      </c>
      <c r="V19" s="20">
        <v>12051</v>
      </c>
      <c r="W19" s="32">
        <v>1052197</v>
      </c>
      <c r="X19" s="33" t="str">
        <f>"{"&amp;"'coin':"&amp;表1_86121822242648[[#This Row],[补偿Coin]]&amp;",'"&amp;配置!$A$2&amp;"':"&amp;表1_86121822242648[[#This Row],[补偿辎重]]&amp;"},"</f>
        <v>{'coin':1500,'item036':15},</v>
      </c>
      <c r="Y19" s="34" t="str">
        <f t="shared" ref="Y19" si="3">"      },"</f>
        <v>      },</v>
      </c>
    </row>
    <row r="20" ht="14.25" customHeight="1" spans="1:25">
      <c r="A20" s="548">
        <v>113</v>
      </c>
      <c r="B20" s="548">
        <f>VLOOKUP(表1_86121822242648[[#This Row],[区服]],$P$29:$Q$36,2,FALSE)</f>
        <v>52</v>
      </c>
      <c r="C20" s="658" t="s">
        <v>94</v>
      </c>
      <c r="D20" s="550" t="str">
        <f>表1_86121822242648[[#This Row],[目标国家]]</f>
        <v>吴</v>
      </c>
      <c r="E20" s="552">
        <f>(VLOOKUP(表1_86121822242648[[#This Row],[目标区服]],$R$29:$S$32,2,FALSE)-表1_86121822242648[[#This Row],[开服天数]])*配置!$B$1</f>
        <v>1000</v>
      </c>
      <c r="F20" s="552">
        <f>表1_86121822242648[[#This Row],[补偿Coin]]*(表1_86121822242648[[#This Row],[活跃高战玩家数]]+表1_86121822242648[[#This Row],[活跃中坚玩家数]])</f>
        <v>19000</v>
      </c>
      <c r="G20" s="552">
        <f>(VLOOKUP(表1_86121822242648[[#This Row],[目标区服]],$R$29:$S$32,2,FALSE)-表1_86121822242648[[#This Row],[开服天数]])*配置!$B$2</f>
        <v>10</v>
      </c>
      <c r="H20" s="550" t="s">
        <v>25</v>
      </c>
      <c r="I20" s="550">
        <f>IF(表1_86121822242648[[#This Row],[原国家]]="魏",0,IF(表1_86121822242648[[#This Row],[原国家]]="蜀",1,2))</f>
        <v>0</v>
      </c>
      <c r="J20" s="552">
        <v>3</v>
      </c>
      <c r="K20" s="552">
        <v>88</v>
      </c>
      <c r="L20" s="552">
        <v>0</v>
      </c>
      <c r="M20" s="552">
        <v>19</v>
      </c>
      <c r="N20" s="552">
        <v>53437</v>
      </c>
      <c r="O20" s="552">
        <v>1602763</v>
      </c>
      <c r="P20" s="562">
        <v>14150272</v>
      </c>
      <c r="Q20" s="567" t="s">
        <v>27</v>
      </c>
      <c r="R20" s="550">
        <f>IF(表1_86121822242648[[#This Row],[目标国家]]="魏",0,IF(表1_86121822242648[[#This Row],[目标国家]]="蜀",1,2))</f>
        <v>2</v>
      </c>
      <c r="S20" s="552">
        <v>5376</v>
      </c>
      <c r="T20" s="552">
        <v>0</v>
      </c>
      <c r="U20" s="552">
        <v>122513</v>
      </c>
      <c r="V20" s="552">
        <v>4687</v>
      </c>
      <c r="W20" s="661">
        <v>911266</v>
      </c>
      <c r="X20" s="662" t="str">
        <f>"{"&amp;"'coin':"&amp;表1_86121822242648[[#This Row],[补偿Coin]]&amp;",'"&amp;配置!$A$2&amp;"':"&amp;表1_86121822242648[[#This Row],[补偿辎重]]&amp;"},"</f>
        <v>{'coin':1000,'item036':10},</v>
      </c>
      <c r="Y20" s="663" t="str">
        <f>"      '"&amp;表1_86121822242648[[#This Row],[区服]]&amp;"':{"</f>
        <v>      '113':{</v>
      </c>
    </row>
    <row r="21" ht="14.25" customHeight="1" spans="1:25">
      <c r="A21" s="548">
        <v>113</v>
      </c>
      <c r="B21" s="548">
        <f>VLOOKUP(表1_86121822242648[[#This Row],[区服]],$P$29:$Q$36,2,FALSE)</f>
        <v>52</v>
      </c>
      <c r="C21" s="658" t="s">
        <v>94</v>
      </c>
      <c r="D21" s="550" t="str">
        <f>表1_86121822242648[[#This Row],[目标国家]]</f>
        <v>魏</v>
      </c>
      <c r="E21" s="552">
        <f>(VLOOKUP(表1_86121822242648[[#This Row],[目标区服]],$R$29:$S$32,2,FALSE)-表1_86121822242648[[#This Row],[开服天数]])*配置!$B$1</f>
        <v>1000</v>
      </c>
      <c r="F21" s="552">
        <f>表1_86121822242648[[#This Row],[补偿Coin]]*(表1_86121822242648[[#This Row],[活跃高战玩家数]]+表1_86121822242648[[#This Row],[活跃中坚玩家数]])</f>
        <v>20000</v>
      </c>
      <c r="G21" s="552">
        <f>(VLOOKUP(表1_86121822242648[[#This Row],[目标区服]],$R$29:$S$32,2,FALSE)-表1_86121822242648[[#This Row],[开服天数]])*配置!$B$2</f>
        <v>10</v>
      </c>
      <c r="H21" s="550" t="s">
        <v>26</v>
      </c>
      <c r="I21" s="550">
        <f>IF(表1_86121822242648[[#This Row],[原国家]]="魏",0,IF(表1_86121822242648[[#This Row],[原国家]]="蜀",1,2))</f>
        <v>1</v>
      </c>
      <c r="J21" s="552">
        <v>2</v>
      </c>
      <c r="K21" s="552">
        <v>131</v>
      </c>
      <c r="L21" s="552">
        <v>3</v>
      </c>
      <c r="M21" s="552">
        <v>17</v>
      </c>
      <c r="N21" s="552">
        <v>57028</v>
      </c>
      <c r="O21" s="552">
        <v>2397585</v>
      </c>
      <c r="P21" s="562">
        <v>15645590</v>
      </c>
      <c r="Q21" s="567" t="s">
        <v>25</v>
      </c>
      <c r="R21" s="550">
        <f>IF(表1_86121822242648[[#This Row],[目标国家]]="魏",0,IF(表1_86121822242648[[#This Row],[目标国家]]="蜀",1,2))</f>
        <v>0</v>
      </c>
      <c r="S21" s="552">
        <v>25038</v>
      </c>
      <c r="T21" s="552">
        <v>0</v>
      </c>
      <c r="U21" s="552">
        <v>135497</v>
      </c>
      <c r="V21" s="552">
        <v>6576</v>
      </c>
      <c r="W21" s="661">
        <v>682553</v>
      </c>
      <c r="X21" s="662" t="str">
        <f>"{"&amp;"'coin':"&amp;表1_86121822242648[[#This Row],[补偿Coin]]&amp;",'"&amp;配置!$A$2&amp;"':"&amp;表1_86121822242648[[#This Row],[补偿辎重]]&amp;"},"</f>
        <v>{'coin':1000,'item036':10},</v>
      </c>
      <c r="Y21" s="663" t="str">
        <f>"            'to_zone':'"&amp;表1_86121822242648[[#This Row],[目标区服]]&amp;"',
            'reward':"&amp;表1_86121822242648[[#This Row],[辅助导出]]&amp;"
            'country':["&amp;R20&amp;","&amp;R21&amp;","&amp;R22&amp;"],"</f>
        <v>            'to_zone':'h1_47',
            'reward':{'coin':1000,'item036':10},
            'country':[2,0,2],</v>
      </c>
    </row>
    <row r="22" ht="14.25" customHeight="1" spans="1:25">
      <c r="A22" s="548">
        <v>113</v>
      </c>
      <c r="B22" s="548">
        <f>VLOOKUP(表1_86121822242648[[#This Row],[区服]],$P$29:$Q$36,2,FALSE)</f>
        <v>52</v>
      </c>
      <c r="C22" s="658" t="s">
        <v>94</v>
      </c>
      <c r="D22" s="550" t="str">
        <f>表1_86121822242648[[#This Row],[目标国家]]</f>
        <v>吴</v>
      </c>
      <c r="E22" s="552">
        <f>(VLOOKUP(表1_86121822242648[[#This Row],[目标区服]],$R$29:$S$32,2,FALSE)-表1_86121822242648[[#This Row],[开服天数]])*配置!$B$1</f>
        <v>1000</v>
      </c>
      <c r="F22" s="552">
        <f>表1_86121822242648[[#This Row],[补偿Coin]]*(表1_86121822242648[[#This Row],[活跃高战玩家数]]+表1_86121822242648[[#This Row],[活跃中坚玩家数]])</f>
        <v>31000</v>
      </c>
      <c r="G22" s="552">
        <f>(VLOOKUP(表1_86121822242648[[#This Row],[目标区服]],$R$29:$S$32,2,FALSE)-表1_86121822242648[[#This Row],[开服天数]])*配置!$B$2</f>
        <v>10</v>
      </c>
      <c r="H22" s="550" t="s">
        <v>27</v>
      </c>
      <c r="I22" s="550">
        <f>IF(表1_86121822242648[[#This Row],[原国家]]="魏",0,IF(表1_86121822242648[[#This Row],[原国家]]="蜀",1,2))</f>
        <v>2</v>
      </c>
      <c r="J22" s="552">
        <v>4</v>
      </c>
      <c r="K22" s="552">
        <v>176</v>
      </c>
      <c r="L22" s="552">
        <v>4</v>
      </c>
      <c r="M22" s="552">
        <v>27</v>
      </c>
      <c r="N22" s="552">
        <v>147620</v>
      </c>
      <c r="O22" s="552">
        <v>3253546</v>
      </c>
      <c r="P22" s="562">
        <v>33439611</v>
      </c>
      <c r="Q22" s="567" t="s">
        <v>27</v>
      </c>
      <c r="R22" s="550">
        <f>IF(表1_86121822242648[[#This Row],[目标国家]]="魏",0,IF(表1_86121822242648[[#This Row],[目标国家]]="蜀",1,2))</f>
        <v>2</v>
      </c>
      <c r="S22" s="552">
        <v>148114</v>
      </c>
      <c r="T22" s="552">
        <v>0</v>
      </c>
      <c r="U22" s="552">
        <v>826479</v>
      </c>
      <c r="V22" s="552">
        <v>14352</v>
      </c>
      <c r="W22" s="661">
        <v>1170511</v>
      </c>
      <c r="X22" s="662" t="str">
        <f>"{"&amp;"'coin':"&amp;表1_86121822242648[[#This Row],[补偿Coin]]&amp;",'"&amp;配置!$A$2&amp;"':"&amp;表1_86121822242648[[#This Row],[补偿辎重]]&amp;"},"</f>
        <v>{'coin':1000,'item036':10},</v>
      </c>
      <c r="Y22" s="663" t="str">
        <f t="shared" ref="Y22" si="4">"      },"</f>
        <v>      },</v>
      </c>
    </row>
    <row r="23" ht="14.25" customHeight="1" spans="1:25">
      <c r="A23" s="548">
        <v>114</v>
      </c>
      <c r="B23" s="548">
        <f>VLOOKUP(表1_86121822242648[[#This Row],[区服]],$P$29:$Q$36,2,FALSE)</f>
        <v>51</v>
      </c>
      <c r="C23" s="658" t="s">
        <v>94</v>
      </c>
      <c r="D23" s="550" t="str">
        <f>表1_86121822242648[[#This Row],[目标国家]]</f>
        <v>魏</v>
      </c>
      <c r="E23" s="552">
        <f>(VLOOKUP(表1_86121822242648[[#This Row],[目标区服]],$R$29:$S$32,2,FALSE)-表1_86121822242648[[#This Row],[开服天数]])*配置!$B$1</f>
        <v>1500</v>
      </c>
      <c r="F23" s="552">
        <f>表1_86121822242648[[#This Row],[补偿Coin]]*(表1_86121822242648[[#This Row],[活跃高战玩家数]]+表1_86121822242648[[#This Row],[活跃中坚玩家数]])</f>
        <v>40500</v>
      </c>
      <c r="G23" s="552">
        <f>(VLOOKUP(表1_86121822242648[[#This Row],[目标区服]],$R$29:$S$32,2,FALSE)-表1_86121822242648[[#This Row],[开服天数]])*配置!$B$2</f>
        <v>15</v>
      </c>
      <c r="H23" s="550" t="s">
        <v>25</v>
      </c>
      <c r="I23" s="550">
        <f>IF(表1_86121822242648[[#This Row],[原国家]]="魏",0,IF(表1_86121822242648[[#This Row],[原国家]]="蜀",1,2))</f>
        <v>0</v>
      </c>
      <c r="J23" s="552">
        <v>3</v>
      </c>
      <c r="K23" s="552">
        <v>89</v>
      </c>
      <c r="L23" s="552">
        <v>3</v>
      </c>
      <c r="M23" s="552">
        <v>24</v>
      </c>
      <c r="N23" s="552">
        <v>115695</v>
      </c>
      <c r="O23" s="552">
        <v>3618747</v>
      </c>
      <c r="P23" s="562">
        <v>26964993</v>
      </c>
      <c r="Q23" s="567" t="s">
        <v>25</v>
      </c>
      <c r="R23" s="550">
        <f>IF(表1_86121822242648[[#This Row],[目标国家]]="魏",0,IF(表1_86121822242648[[#This Row],[目标国家]]="蜀",1,2))</f>
        <v>0</v>
      </c>
      <c r="S23" s="552">
        <v>84064</v>
      </c>
      <c r="T23" s="552">
        <v>60</v>
      </c>
      <c r="U23" s="552">
        <v>814628</v>
      </c>
      <c r="V23" s="552">
        <v>11013</v>
      </c>
      <c r="W23" s="661">
        <v>1071584</v>
      </c>
      <c r="X23" s="662" t="str">
        <f>"{"&amp;"'coin':"&amp;表1_86121822242648[[#This Row],[补偿Coin]]&amp;",'"&amp;配置!$A$2&amp;"':"&amp;表1_86121822242648[[#This Row],[补偿辎重]]&amp;"},"</f>
        <v>{'coin':1500,'item036':15},</v>
      </c>
      <c r="Y23" s="663" t="str">
        <f>"      '"&amp;表1_86121822242648[[#This Row],[区服]]&amp;"':{"</f>
        <v>      '114':{</v>
      </c>
    </row>
    <row r="24" ht="14.25" customHeight="1" spans="1:25">
      <c r="A24" s="548">
        <v>114</v>
      </c>
      <c r="B24" s="548">
        <f>VLOOKUP(表1_86121822242648[[#This Row],[区服]],$P$29:$Q$36,2,FALSE)</f>
        <v>51</v>
      </c>
      <c r="C24" s="658" t="s">
        <v>94</v>
      </c>
      <c r="D24" s="550" t="str">
        <f>表1_86121822242648[[#This Row],[目标国家]]</f>
        <v>蜀</v>
      </c>
      <c r="E24" s="552">
        <f>(VLOOKUP(表1_86121822242648[[#This Row],[目标区服]],$R$29:$S$32,2,FALSE)-表1_86121822242648[[#This Row],[开服天数]])*配置!$B$1</f>
        <v>1500</v>
      </c>
      <c r="F24" s="552">
        <f>表1_86121822242648[[#This Row],[补偿Coin]]*(表1_86121822242648[[#This Row],[活跃高战玩家数]]+表1_86121822242648[[#This Row],[活跃中坚玩家数]])</f>
        <v>37500</v>
      </c>
      <c r="G24" s="552">
        <f>(VLOOKUP(表1_86121822242648[[#This Row],[目标区服]],$R$29:$S$32,2,FALSE)-表1_86121822242648[[#This Row],[开服天数]])*配置!$B$2</f>
        <v>15</v>
      </c>
      <c r="H24" s="550" t="s">
        <v>26</v>
      </c>
      <c r="I24" s="550">
        <f>IF(表1_86121822242648[[#This Row],[原国家]]="魏",0,IF(表1_86121822242648[[#This Row],[原国家]]="蜀",1,2))</f>
        <v>1</v>
      </c>
      <c r="J24" s="552">
        <v>2</v>
      </c>
      <c r="K24" s="552">
        <v>153</v>
      </c>
      <c r="L24" s="552">
        <v>3</v>
      </c>
      <c r="M24" s="552">
        <v>22</v>
      </c>
      <c r="N24" s="552">
        <v>87956</v>
      </c>
      <c r="O24" s="552">
        <v>2406005</v>
      </c>
      <c r="P24" s="562">
        <v>20222177</v>
      </c>
      <c r="Q24" s="567" t="s">
        <v>26</v>
      </c>
      <c r="R24" s="550">
        <f>IF(表1_86121822242648[[#This Row],[目标国家]]="魏",0,IF(表1_86121822242648[[#This Row],[目标国家]]="蜀",1,2))</f>
        <v>1</v>
      </c>
      <c r="S24" s="552">
        <v>23238</v>
      </c>
      <c r="T24" s="552">
        <v>0</v>
      </c>
      <c r="U24" s="552">
        <v>171468</v>
      </c>
      <c r="V24" s="552">
        <v>7380</v>
      </c>
      <c r="W24" s="661">
        <v>742627</v>
      </c>
      <c r="X24" s="662" t="str">
        <f>"{"&amp;"'coin':"&amp;表1_86121822242648[[#This Row],[补偿Coin]]&amp;",'"&amp;配置!$A$2&amp;"':"&amp;表1_86121822242648[[#This Row],[补偿辎重]]&amp;"},"</f>
        <v>{'coin':1500,'item036':15},</v>
      </c>
      <c r="Y24" s="663" t="str">
        <f>"            'to_zone':'"&amp;表1_86121822242648[[#This Row],[目标区服]]&amp;"',
            'reward':"&amp;表1_86121822242648[[#This Row],[辅助导出]]&amp;"
            'country':["&amp;R23&amp;","&amp;R24&amp;","&amp;R25&amp;"],"</f>
        <v>            'to_zone':'h1_47',
            'reward':{'coin':1500,'item036':15},
            'country':[0,1,1],</v>
      </c>
    </row>
    <row r="25" ht="14.25" customHeight="1" spans="1:25">
      <c r="A25" s="548">
        <v>114</v>
      </c>
      <c r="B25" s="548">
        <f>VLOOKUP(表1_86121822242648[[#This Row],[区服]],$P$29:$Q$36,2,FALSE)</f>
        <v>51</v>
      </c>
      <c r="C25" s="658" t="s">
        <v>94</v>
      </c>
      <c r="D25" s="550" t="str">
        <f>表1_86121822242648[[#This Row],[目标国家]]</f>
        <v>蜀</v>
      </c>
      <c r="E25" s="552">
        <f>(VLOOKUP(表1_86121822242648[[#This Row],[目标区服]],$R$29:$S$32,2,FALSE)-表1_86121822242648[[#This Row],[开服天数]])*配置!$B$1</f>
        <v>1500</v>
      </c>
      <c r="F25" s="552">
        <f>表1_86121822242648[[#This Row],[补偿Coin]]*(表1_86121822242648[[#This Row],[活跃高战玩家数]]+表1_86121822242648[[#This Row],[活跃中坚玩家数]])</f>
        <v>30000</v>
      </c>
      <c r="G25" s="552">
        <f>(VLOOKUP(表1_86121822242648[[#This Row],[目标区服]],$R$29:$S$32,2,FALSE)-表1_86121822242648[[#This Row],[开服天数]])*配置!$B$2</f>
        <v>15</v>
      </c>
      <c r="H25" s="550" t="s">
        <v>27</v>
      </c>
      <c r="I25" s="550">
        <f>IF(表1_86121822242648[[#This Row],[原国家]]="魏",0,IF(表1_86121822242648[[#This Row],[原国家]]="蜀",1,2))</f>
        <v>2</v>
      </c>
      <c r="J25" s="552">
        <v>4</v>
      </c>
      <c r="K25" s="552">
        <v>153</v>
      </c>
      <c r="L25" s="552">
        <v>3</v>
      </c>
      <c r="M25" s="552">
        <v>17</v>
      </c>
      <c r="N25" s="552">
        <v>76900</v>
      </c>
      <c r="O25" s="552">
        <v>3098128</v>
      </c>
      <c r="P25" s="562">
        <v>18207125</v>
      </c>
      <c r="Q25" s="567" t="s">
        <v>26</v>
      </c>
      <c r="R25" s="550">
        <f>IF(表1_86121822242648[[#This Row],[目标国家]]="魏",0,IF(表1_86121822242648[[#This Row],[目标国家]]="蜀",1,2))</f>
        <v>1</v>
      </c>
      <c r="S25" s="552">
        <v>44044</v>
      </c>
      <c r="T25" s="552">
        <v>0</v>
      </c>
      <c r="U25" s="552">
        <v>286860</v>
      </c>
      <c r="V25" s="552">
        <v>8698</v>
      </c>
      <c r="W25" s="661">
        <v>967435</v>
      </c>
      <c r="X25" s="662" t="str">
        <f>"{"&amp;"'coin':"&amp;表1_86121822242648[[#This Row],[补偿Coin]]&amp;",'"&amp;配置!$A$2&amp;"':"&amp;表1_86121822242648[[#This Row],[补偿辎重]]&amp;"},"</f>
        <v>{'coin':1500,'item036':15},</v>
      </c>
      <c r="Y25" s="663" t="str">
        <f t="shared" ref="Y25" si="5">"      },"</f>
        <v>      },</v>
      </c>
    </row>
    <row r="28" ht="37.5" customHeight="1" spans="1:19">
      <c r="A28" s="36" t="s">
        <v>28</v>
      </c>
      <c r="B28" s="37" t="s">
        <v>29</v>
      </c>
      <c r="C28" s="38" t="s">
        <v>30</v>
      </c>
      <c r="D28" s="38" t="s">
        <v>31</v>
      </c>
      <c r="E28" s="38" t="s">
        <v>32</v>
      </c>
      <c r="F28" s="38" t="s">
        <v>33</v>
      </c>
      <c r="G28" s="38" t="s">
        <v>15</v>
      </c>
      <c r="H28" s="37" t="s">
        <v>18</v>
      </c>
      <c r="I28" s="37" t="s">
        <v>19</v>
      </c>
      <c r="J28" s="37" t="s">
        <v>34</v>
      </c>
      <c r="K28" s="38" t="s">
        <v>35</v>
      </c>
      <c r="L28" s="38" t="s">
        <v>36</v>
      </c>
      <c r="M28" s="38" t="s">
        <v>37</v>
      </c>
      <c r="N28" s="38" t="s">
        <v>88</v>
      </c>
      <c r="P28" s="51" t="s">
        <v>0</v>
      </c>
      <c r="Q28" s="51" t="s">
        <v>1</v>
      </c>
      <c r="R28" s="51"/>
      <c r="S28" s="51" t="s">
        <v>38</v>
      </c>
    </row>
    <row r="29" ht="15.75" customHeight="1" spans="1:19">
      <c r="A29" s="39" t="s">
        <v>91</v>
      </c>
      <c r="B29" s="39" t="s">
        <v>25</v>
      </c>
      <c r="C29" s="39">
        <f>COUNTIFS(表1_86121822242648[目标区服],表2_97131923252749[[#This Row],[合区区服]],表1_86121822242648[目标国家（映射）],表2_97131923252749[[#This Row],[国家]])</f>
        <v>2</v>
      </c>
      <c r="D29" s="39">
        <f>SUMIFS(表1_86121822242648[活跃高战玩家数],表1_86121822242648[目标区服],表2_97131923252749[[#This Row],[合区区服]],表1_86121822242648[目标国家（映射）],表2_97131923252749[[#This Row],[国家]])</f>
        <v>7</v>
      </c>
      <c r="E29" s="39">
        <f>SUMIFS(表1_86121822242648[活跃中坚玩家数],表1_86121822242648[目标区服],表2_97131923252749[[#This Row],[合区区服]],表1_86121822242648[目标国家（映射）],表2_97131923252749[[#This Row],[国家]])</f>
        <v>36</v>
      </c>
      <c r="F29" s="39">
        <f t="array" ref="F29">MAX((表1_86121822242648[目标区服]=表2_97131923252749[[#This Row],[合区区服]])*(表1_86121822242648[目标国家（映射）]=表2_97131923252749[[#This Row],[国家]])*表1_86121822242648[活跃尖端战力])</f>
        <v>2270480</v>
      </c>
      <c r="G29" s="40">
        <f>SUMIFS(表1_86121822242648[活跃总战力],表1_86121822242648[目标区服],表2_97131923252749[[#This Row],[合区区服]],表1_86121822242648[目标国家（映射）],表2_97131923252749[[#This Row],[国家]])</f>
        <v>41405901</v>
      </c>
      <c r="H29" s="39">
        <f>SUMIFS(表1_86121822242648[活跃实际充值],表1_86121822242648[目标区服],表2_97131923252749[[#This Row],[合区区服]],表1_86121822242648[目标国家（映射）],表2_97131923252749[[#This Row],[国家]])</f>
        <v>96744</v>
      </c>
      <c r="I29" s="39">
        <f>SUMIFS(表1_86121822242648[活跃虚拟充值],表1_86121822242648[目标区服],表2_97131923252749[[#This Row],[合区区服]],表1_86121822242648[目标国家（映射）],表2_97131923252749[[#This Row],[国家]])</f>
        <v>6</v>
      </c>
      <c r="J29" s="39">
        <f>SUMIFS(表1_86121822242648[活跃Coin],表1_86121822242648[目标区服],表2_97131923252749[[#This Row],[合区区服]],表1_86121822242648[目标国家（映射）],表2_97131923252749[[#This Row],[国家]])</f>
        <v>1269801</v>
      </c>
      <c r="K29" s="39">
        <f>SUMIFS(表1_86121822242648[共计补偿Coin],表1_86121822242648[目标区服],表2_97131923252749[[#This Row],[合区区服]],表1_86121822242648[目标国家（映射）],表2_97131923252749[[#This Row],[国家]])</f>
        <v>50500</v>
      </c>
      <c r="L29" s="39">
        <f>表2_97131923252749[[#This Row],[活跃Coin]]+表2_97131923252749[[#This Row],[共计补偿Coin]]</f>
        <v>1320301</v>
      </c>
      <c r="M29" s="39">
        <f>SUMIFS(表1_86121822242648[综合国力],表1_86121822242648[目标区服],表2_97131923252749[[#This Row],[合区区服]],表1_86121822242648[目标国家（映射）],表2_97131923252749[[#This Row],[国家]])</f>
        <v>15707</v>
      </c>
      <c r="N29" s="39">
        <f t="array" ref="N29">MAX((表1_86121822242648[目标区服]=表2_97131923252749[[#This Row],[合区区服]])*(表1_86121822242648[目标国家（映射）]=表2_97131923252749[[#This Row],[国家]])*表1_86121822242648[单将最高战力])</f>
        <v>876646</v>
      </c>
      <c r="P29" s="51">
        <v>107</v>
      </c>
      <c r="Q29" s="51">
        <v>58</v>
      </c>
      <c r="R29" s="51" t="s">
        <v>91</v>
      </c>
      <c r="S29" s="51">
        <v>60</v>
      </c>
    </row>
    <row r="30" ht="15" spans="1:19">
      <c r="A30" s="39" t="s">
        <v>91</v>
      </c>
      <c r="B30" s="39" t="s">
        <v>26</v>
      </c>
      <c r="C30" s="39">
        <f>COUNTIFS(表1_86121822242648[目标区服],表2_97131923252749[[#This Row],[合区区服]],表1_86121822242648[目标国家（映射）],表2_97131923252749[[#This Row],[国家]])</f>
        <v>1</v>
      </c>
      <c r="D30" s="39">
        <f>SUMIFS(表1_86121822242648[活跃高战玩家数],表1_86121822242648[目标区服],表2_97131923252749[[#This Row],[合区区服]],表1_86121822242648[目标国家（映射）],表2_97131923252749[[#This Row],[国家]])</f>
        <v>5</v>
      </c>
      <c r="E30" s="39">
        <f>SUMIFS(表1_86121822242648[活跃中坚玩家数],表1_86121822242648[目标区服],表2_97131923252749[[#This Row],[合区区服]],表1_86121822242648[目标国家（映射）],表2_97131923252749[[#This Row],[国家]])</f>
        <v>22</v>
      </c>
      <c r="F30" s="39">
        <f t="array" ref="F30">MAX((表1_86121822242648[目标区服]=表2_97131923252749[[#This Row],[合区区服]])*(表1_86121822242648[目标国家（映射）]=表2_97131923252749[[#This Row],[国家]])*表1_86121822242648[活跃尖端战力])</f>
        <v>4624236</v>
      </c>
      <c r="G30" s="40">
        <f>SUMIFS(表1_86121822242648[活跃总战力],表1_86121822242648[目标区服],表2_97131923252749[[#This Row],[合区区服]],表1_86121822242648[目标国家（映射）],表2_97131923252749[[#This Row],[国家]])</f>
        <v>35686518</v>
      </c>
      <c r="H30" s="39">
        <f>SUMIFS(表1_86121822242648[活跃实际充值],表1_86121822242648[目标区服],表2_97131923252749[[#This Row],[合区区服]],表1_86121822242648[目标国家（映射）],表2_97131923252749[[#This Row],[国家]])</f>
        <v>253976</v>
      </c>
      <c r="I30" s="39">
        <f>SUMIFS(表1_86121822242648[活跃虚拟充值],表1_86121822242648[目标区服],表2_97131923252749[[#This Row],[合区区服]],表1_86121822242648[目标国家（映射）],表2_97131923252749[[#This Row],[国家]])</f>
        <v>0</v>
      </c>
      <c r="J30" s="39">
        <f>SUMIFS(表1_86121822242648[活跃Coin],表1_86121822242648[目标区服],表2_97131923252749[[#This Row],[合区区服]],表1_86121822242648[目标国家（映射）],表2_97131923252749[[#This Row],[国家]])</f>
        <v>947442</v>
      </c>
      <c r="K30" s="39">
        <f>SUMIFS(表1_86121822242648[共计补偿Coin],表1_86121822242648[目标区服],表2_97131923252749[[#This Row],[合区区服]],表1_86121822242648[目标国家（映射）],表2_97131923252749[[#This Row],[国家]])</f>
        <v>40500</v>
      </c>
      <c r="L30" s="39">
        <f>表2_97131923252749[[#This Row],[活跃Coin]]+表2_97131923252749[[#This Row],[共计补偿Coin]]</f>
        <v>987942</v>
      </c>
      <c r="M30" s="39">
        <f>SUMIFS(表1_86121822242648[综合国力],表1_86121822242648[目标区服],表2_97131923252749[[#This Row],[合区区服]],表1_86121822242648[目标国家（映射）],表2_97131923252749[[#This Row],[国家]])</f>
        <v>19763</v>
      </c>
      <c r="N30" s="39">
        <f t="array" ref="N30">MAX((表1_86121822242648[目标区服]=表2_97131923252749[[#This Row],[合区区服]])*(表1_86121822242648[目标国家（映射）]=表2_97131923252749[[#This Row],[国家]])*表1_86121822242648[单将最高战力])</f>
        <v>1244626</v>
      </c>
      <c r="P30" s="51">
        <v>108</v>
      </c>
      <c r="Q30" s="51">
        <v>57</v>
      </c>
      <c r="R30" s="51" t="s">
        <v>92</v>
      </c>
      <c r="S30" s="51">
        <v>58</v>
      </c>
    </row>
    <row r="31" ht="15" spans="1:19">
      <c r="A31" s="39" t="s">
        <v>91</v>
      </c>
      <c r="B31" s="39" t="s">
        <v>27</v>
      </c>
      <c r="C31" s="39">
        <f>COUNTIFS(表1_86121822242648[目标区服],表2_97131923252749[[#This Row],[合区区服]],表1_86121822242648[目标国家（映射）],表2_97131923252749[[#This Row],[国家]])</f>
        <v>3</v>
      </c>
      <c r="D31" s="39">
        <f>SUMIFS(表1_86121822242648[活跃高战玩家数],表1_86121822242648[目标区服],表2_97131923252749[[#This Row],[合区区服]],表1_86121822242648[目标国家（映射）],表2_97131923252749[[#This Row],[国家]])</f>
        <v>7</v>
      </c>
      <c r="E31" s="39">
        <f>SUMIFS(表1_86121822242648[活跃中坚玩家数],表1_86121822242648[目标区服],表2_97131923252749[[#This Row],[合区区服]],表1_86121822242648[目标国家（映射）],表2_97131923252749[[#This Row],[国家]])</f>
        <v>43</v>
      </c>
      <c r="F31" s="39">
        <f t="array" ref="F31">MAX((表1_86121822242648[目标区服]=表2_97131923252749[[#This Row],[合区区服]])*(表1_86121822242648[目标国家（映射）]=表2_97131923252749[[#This Row],[国家]])*表1_86121822242648[活跃尖端战力])</f>
        <v>2461747</v>
      </c>
      <c r="G31" s="40">
        <f>SUMIFS(表1_86121822242648[活跃总战力],表1_86121822242648[目标区服],表2_97131923252749[[#This Row],[合区区服]],表1_86121822242648[目标国家（映射）],表2_97131923252749[[#This Row],[国家]])</f>
        <v>44711105</v>
      </c>
      <c r="H31" s="39">
        <f>SUMIFS(表1_86121822242648[活跃实际充值],表1_86121822242648[目标区服],表2_97131923252749[[#This Row],[合区区服]],表1_86121822242648[目标国家（映射）],表2_97131923252749[[#This Row],[国家]])</f>
        <v>96560</v>
      </c>
      <c r="I31" s="39">
        <f>SUMIFS(表1_86121822242648[活跃虚拟充值],表1_86121822242648[目标区服],表2_97131923252749[[#This Row],[合区区服]],表1_86121822242648[目标国家（映射）],表2_97131923252749[[#This Row],[国家]])</f>
        <v>128</v>
      </c>
      <c r="J31" s="39">
        <f>SUMIFS(表1_86121822242648[活跃Coin],表1_86121822242648[目标区服],表2_97131923252749[[#This Row],[合区区服]],表1_86121822242648[目标国家（映射）],表2_97131923252749[[#This Row],[国家]])</f>
        <v>652991</v>
      </c>
      <c r="K31" s="39">
        <f>SUMIFS(表1_86121822242648[共计补偿Coin],表1_86121822242648[目标区服],表2_97131923252749[[#This Row],[合区区服]],表1_86121822242648[目标国家（映射）],表2_97131923252749[[#This Row],[国家]])</f>
        <v>58500</v>
      </c>
      <c r="L31" s="39">
        <f>表2_97131923252749[[#This Row],[活跃Coin]]+表2_97131923252749[[#This Row],[共计补偿Coin]]</f>
        <v>711491</v>
      </c>
      <c r="M31" s="39">
        <f>SUMIFS(表1_86121822242648[综合国力],表1_86121822242648[目标区服],表2_97131923252749[[#This Row],[合区区服]],表1_86121822242648[目标国家（映射）],表2_97131923252749[[#This Row],[国家]])</f>
        <v>19064</v>
      </c>
      <c r="N31" s="39">
        <f t="array" ref="N31">MAX((表1_86121822242648[目标区服]=表2_97131923252749[[#This Row],[合区区服]])*(表1_86121822242648[目标国家（映射）]=表2_97131923252749[[#This Row],[国家]])*表1_86121822242648[单将最高战力])</f>
        <v>702676</v>
      </c>
      <c r="P31" s="51">
        <v>109</v>
      </c>
      <c r="Q31" s="51">
        <v>56</v>
      </c>
      <c r="R31" s="51" t="s">
        <v>93</v>
      </c>
      <c r="S31" s="51">
        <v>56</v>
      </c>
    </row>
    <row r="32" ht="15" spans="1:19">
      <c r="A32" s="41" t="s">
        <v>92</v>
      </c>
      <c r="B32" s="41" t="s">
        <v>25</v>
      </c>
      <c r="C32" s="41">
        <f>COUNTIFS(表1_86121822242648[目标区服],表2_97131923252749[[#This Row],[合区区服]],表1_86121822242648[目标国家（映射）],表2_97131923252749[[#This Row],[国家]])</f>
        <v>2</v>
      </c>
      <c r="D32" s="41">
        <f>SUMIFS(表1_86121822242648[活跃高战玩家数],表1_86121822242648[目标区服],表2_97131923252749[[#This Row],[合区区服]],表1_86121822242648[目标国家（映射）],表2_97131923252749[[#This Row],[国家]])</f>
        <v>8</v>
      </c>
      <c r="E32" s="41">
        <f>SUMIFS(表1_86121822242648[活跃中坚玩家数],表1_86121822242648[目标区服],表2_97131923252749[[#This Row],[合区区服]],表1_86121822242648[目标国家（映射）],表2_97131923252749[[#This Row],[国家]])</f>
        <v>33</v>
      </c>
      <c r="F32" s="41">
        <f t="array" ref="F32">MAX((表1_86121822242648[目标区服]=表2_97131923252749[[#This Row],[合区区服]])*(表1_86121822242648[目标国家（映射）]=表2_97131923252749[[#This Row],[国家]])*表1_86121822242648[活跃尖端战力])</f>
        <v>3393943</v>
      </c>
      <c r="G32" s="42">
        <f>SUMIFS(表1_86121822242648[活跃总战力],表1_86121822242648[目标区服],表2_97131923252749[[#This Row],[合区区服]],表1_86121822242648[目标国家（映射）],表2_97131923252749[[#This Row],[国家]])</f>
        <v>51531027</v>
      </c>
      <c r="H32" s="41">
        <f>SUMIFS(表1_86121822242648[活跃实际充值],表1_86121822242648[目标区服],表2_97131923252749[[#This Row],[合区区服]],表1_86121822242648[目标国家（映射）],表2_97131923252749[[#This Row],[国家]])</f>
        <v>122088</v>
      </c>
      <c r="I32" s="41">
        <f>SUMIFS(表1_86121822242648[活跃虚拟充值],表1_86121822242648[目标区服],表2_97131923252749[[#This Row],[合区区服]],表1_86121822242648[目标国家（映射）],表2_97131923252749[[#This Row],[国家]])</f>
        <v>104</v>
      </c>
      <c r="J32" s="41">
        <f>SUMIFS(表1_86121822242648[活跃Coin],表1_86121822242648[目标区服],表2_97131923252749[[#This Row],[合区区服]],表1_86121822242648[目标国家（映射）],表2_97131923252749[[#This Row],[国家]])</f>
        <v>1256622</v>
      </c>
      <c r="K32" s="41">
        <f>SUMIFS(表1_86121822242648[共计补偿Coin],表1_86121822242648[目标区服],表2_97131923252749[[#This Row],[合区区服]],表1_86121822242648[目标国家（映射）],表2_97131923252749[[#This Row],[国家]])</f>
        <v>44500</v>
      </c>
      <c r="L32" s="41">
        <f>表2_97131923252749[[#This Row],[活跃Coin]]+表2_97131923252749[[#This Row],[共计补偿Coin]]</f>
        <v>1301122</v>
      </c>
      <c r="M32" s="41">
        <f>SUMIFS(表1_86121822242648[综合国力],表1_86121822242648[目标区服],表2_97131923252749[[#This Row],[合区区服]],表1_86121822242648[目标国家（映射）],表2_97131923252749[[#This Row],[国家]])</f>
        <v>18920</v>
      </c>
      <c r="N32" s="41">
        <f t="array" ref="N32">MAX((表1_86121822242648[目标区服]=表2_97131923252749[[#This Row],[合区区服]])*(表1_86121822242648[目标国家（映射）]=表2_97131923252749[[#This Row],[国家]])*表1_86121822242648[单将最高战力])</f>
        <v>958819</v>
      </c>
      <c r="P32" s="51">
        <v>110</v>
      </c>
      <c r="Q32" s="51">
        <v>55</v>
      </c>
      <c r="R32" s="51" t="s">
        <v>94</v>
      </c>
      <c r="S32" s="51">
        <v>54</v>
      </c>
    </row>
    <row r="33" ht="15" spans="1:17">
      <c r="A33" s="41" t="s">
        <v>92</v>
      </c>
      <c r="B33" s="41" t="s">
        <v>26</v>
      </c>
      <c r="C33" s="41">
        <f>COUNTIFS(表1_86121822242648[目标区服],表2_97131923252749[[#This Row],[合区区服]],表1_86121822242648[目标国家（映射）],表2_97131923252749[[#This Row],[国家]])</f>
        <v>2</v>
      </c>
      <c r="D33" s="41">
        <f>SUMIFS(表1_86121822242648[活跃高战玩家数],表1_86121822242648[目标区服],表2_97131923252749[[#This Row],[合区区服]],表1_86121822242648[目标国家（映射）],表2_97131923252749[[#This Row],[国家]])</f>
        <v>8</v>
      </c>
      <c r="E33" s="41">
        <f>SUMIFS(表1_86121822242648[活跃中坚玩家数],表1_86121822242648[目标区服],表2_97131923252749[[#This Row],[合区区服]],表1_86121822242648[目标国家（映射）],表2_97131923252749[[#This Row],[国家]])</f>
        <v>37</v>
      </c>
      <c r="F33" s="41">
        <f t="array" ref="F33">MAX((表1_86121822242648[目标区服]=表2_97131923252749[[#This Row],[合区区服]])*(表1_86121822242648[目标国家（映射）]=表2_97131923252749[[#This Row],[国家]])*表1_86121822242648[活跃尖端战力])</f>
        <v>3604417</v>
      </c>
      <c r="G33" s="42">
        <f>SUMIFS(表1_86121822242648[活跃总战力],表1_86121822242648[目标区服],表2_97131923252749[[#This Row],[合区区服]],表1_86121822242648[目标国家（映射）],表2_97131923252749[[#This Row],[国家]])</f>
        <v>47380053</v>
      </c>
      <c r="H33" s="41">
        <f>SUMIFS(表1_86121822242648[活跃实际充值],表1_86121822242648[目标区服],表2_97131923252749[[#This Row],[合区区服]],表1_86121822242648[目标国家（映射）],表2_97131923252749[[#This Row],[国家]])</f>
        <v>164386</v>
      </c>
      <c r="I33" s="41">
        <f>SUMIFS(表1_86121822242648[活跃虚拟充值],表1_86121822242648[目标区服],表2_97131923252749[[#This Row],[合区区服]],表1_86121822242648[目标国家（映射）],表2_97131923252749[[#This Row],[国家]])</f>
        <v>60</v>
      </c>
      <c r="J33" s="41">
        <f>SUMIFS(表1_86121822242648[活跃Coin],表1_86121822242648[目标区服],表2_97131923252749[[#This Row],[合区区服]],表1_86121822242648[目标国家（映射）],表2_97131923252749[[#This Row],[国家]])</f>
        <v>1589595</v>
      </c>
      <c r="K33" s="41">
        <f>SUMIFS(表1_86121822242648[共计补偿Coin],表1_86121822242648[目标区服],表2_97131923252749[[#This Row],[合区区服]],表1_86121822242648[目标国家（映射）],表2_97131923252749[[#This Row],[国家]])</f>
        <v>60000</v>
      </c>
      <c r="L33" s="41">
        <f>表2_97131923252749[[#This Row],[活跃Coin]]+表2_97131923252749[[#This Row],[共计补偿Coin]]</f>
        <v>1649595</v>
      </c>
      <c r="M33" s="41">
        <f>SUMIFS(表1_86121822242648[综合国力],表1_86121822242648[目标区服],表2_97131923252749[[#This Row],[合区区服]],表1_86121822242648[目标国家（映射）],表2_97131923252749[[#This Row],[国家]])</f>
        <v>22340</v>
      </c>
      <c r="N33" s="41">
        <f t="array" ref="N33">MAX((表1_86121822242648[目标区服]=表2_97131923252749[[#This Row],[合区区服]])*(表1_86121822242648[目标国家（映射）]=表2_97131923252749[[#This Row],[国家]])*表1_86121822242648[单将最高战力])</f>
        <v>927420</v>
      </c>
      <c r="P33" s="51">
        <v>111</v>
      </c>
      <c r="Q33" s="51">
        <v>54</v>
      </c>
    </row>
    <row r="34" ht="15" spans="1:17">
      <c r="A34" s="41" t="s">
        <v>92</v>
      </c>
      <c r="B34" s="43" t="s">
        <v>27</v>
      </c>
      <c r="C34" s="43">
        <f>COUNTIFS(表1_86121822242648[目标区服],表2_97131923252749[[#This Row],[合区区服]],表1_86121822242648[目标国家（映射）],表2_97131923252749[[#This Row],[国家]])</f>
        <v>2</v>
      </c>
      <c r="D34" s="43">
        <f>SUMIFS(表1_86121822242648[活跃高战玩家数],表1_86121822242648[目标区服],表2_97131923252749[[#This Row],[合区区服]],表1_86121822242648[目标国家（映射）],表2_97131923252749[[#This Row],[国家]])</f>
        <v>4</v>
      </c>
      <c r="E34" s="43">
        <f>SUMIFS(表1_86121822242648[活跃中坚玩家数],表1_86121822242648[目标区服],表2_97131923252749[[#This Row],[合区区服]],表1_86121822242648[目标国家（映射）],表2_97131923252749[[#This Row],[国家]])</f>
        <v>25</v>
      </c>
      <c r="F34" s="43">
        <f t="array" ref="F34">MAX((表1_86121822242648[目标区服]=表2_97131923252749[[#This Row],[合区区服]])*(表1_86121822242648[目标国家（映射）]=表2_97131923252749[[#This Row],[国家]])*表1_86121822242648[活跃尖端战力])</f>
        <v>3963370</v>
      </c>
      <c r="G34" s="44">
        <f>SUMIFS(表1_86121822242648[活跃总战力],表1_86121822242648[目标区服],表2_97131923252749[[#This Row],[合区区服]],表1_86121822242648[目标国家（映射）],表2_97131923252749[[#This Row],[国家]])</f>
        <v>26577277</v>
      </c>
      <c r="H34" s="43">
        <f>SUMIFS(表1_86121822242648[活跃实际充值],表1_86121822242648[目标区服],表2_97131923252749[[#This Row],[合区区服]],表1_86121822242648[目标国家（映射）],表2_97131923252749[[#This Row],[国家]])</f>
        <v>140632</v>
      </c>
      <c r="I34" s="43">
        <f>SUMIFS(表1_86121822242648[活跃虚拟充值],表1_86121822242648[目标区服],表2_97131923252749[[#This Row],[合区区服]],表1_86121822242648[目标国家（映射）],表2_97131923252749[[#This Row],[国家]])</f>
        <v>0</v>
      </c>
      <c r="J34" s="43">
        <f>SUMIFS(表1_86121822242648[活跃Coin],表1_86121822242648[目标区服],表2_97131923252749[[#This Row],[合区区服]],表1_86121822242648[目标国家（映射）],表2_97131923252749[[#This Row],[国家]])</f>
        <v>1029644</v>
      </c>
      <c r="K34" s="43">
        <f>SUMIFS(表1_86121822242648[共计补偿Coin],表1_86121822242648[目标区服],表2_97131923252749[[#This Row],[合区区服]],表1_86121822242648[目标国家（映射）],表2_97131923252749[[#This Row],[国家]])</f>
        <v>35000</v>
      </c>
      <c r="L34" s="43">
        <f>表2_97131923252749[[#This Row],[活跃Coin]]+表2_97131923252749[[#This Row],[共计补偿Coin]]</f>
        <v>1064644</v>
      </c>
      <c r="M34" s="43">
        <f>SUMIFS(表1_86121822242648[综合国力],表1_86121822242648[目标区服],表2_97131923252749[[#This Row],[合区区服]],表1_86121822242648[目标国家（映射）],表2_97131923252749[[#This Row],[国家]])</f>
        <v>15103</v>
      </c>
      <c r="N34" s="41">
        <f t="array" ref="N34">MAX((表1_86121822242648[目标区服]=表2_97131923252749[[#This Row],[合区区服]])*(表1_86121822242648[目标国家（映射）]=表2_97131923252749[[#This Row],[国家]])*表1_86121822242648[单将最高战力])</f>
        <v>1330442</v>
      </c>
      <c r="P34" s="51">
        <v>112</v>
      </c>
      <c r="Q34" s="51">
        <v>53</v>
      </c>
    </row>
    <row r="35" ht="15" spans="1:17">
      <c r="A35" s="45" t="s">
        <v>93</v>
      </c>
      <c r="B35" s="46" t="s">
        <v>25</v>
      </c>
      <c r="C35" s="46">
        <f>COUNTIFS(表1_86121822242648[目标区服],表2_97131923252749[[#This Row],[合区区服]],表1_86121822242648[目标国家（映射）],表2_97131923252749[[#This Row],[国家]])</f>
        <v>2</v>
      </c>
      <c r="D35" s="46">
        <f>SUMIFS(表1_86121822242648[活跃高战玩家数],表1_86121822242648[目标区服],表2_97131923252749[[#This Row],[合区区服]],表1_86121822242648[目标国家（映射）],表2_97131923252749[[#This Row],[国家]])</f>
        <v>5</v>
      </c>
      <c r="E35" s="46">
        <f>SUMIFS(表1_86121822242648[活跃中坚玩家数],表1_86121822242648[目标区服],表2_97131923252749[[#This Row],[合区区服]],表1_86121822242648[目标国家（映射）],表2_97131923252749[[#This Row],[国家]])</f>
        <v>34</v>
      </c>
      <c r="F35" s="46">
        <f t="array" ref="F35">MAX((表1_86121822242648[目标区服]=表2_97131923252749[[#This Row],[合区区服]])*(表1_86121822242648[目标国家（映射）]=表2_97131923252749[[#This Row],[国家]])*表1_86121822242648[活跃尖端战力])</f>
        <v>3840204</v>
      </c>
      <c r="G35" s="47">
        <f>SUMIFS(表1_86121822242648[活跃总战力],表1_86121822242648[目标区服],表2_97131923252749[[#This Row],[合区区服]],表1_86121822242648[目标国家（映射）],表2_97131923252749[[#This Row],[国家]])</f>
        <v>44324280</v>
      </c>
      <c r="H35" s="46">
        <f>SUMIFS(表1_86121822242648[活跃实际充值],表1_86121822242648[目标区服],表2_97131923252749[[#This Row],[合区区服]],表1_86121822242648[目标国家（映射）],表2_97131923252749[[#This Row],[国家]])</f>
        <v>209972</v>
      </c>
      <c r="I35" s="46">
        <f>SUMIFS(表1_86121822242648[活跃虚拟充值],表1_86121822242648[目标区服],表2_97131923252749[[#This Row],[合区区服]],表1_86121822242648[目标国家（映射）],表2_97131923252749[[#This Row],[国家]])</f>
        <v>128</v>
      </c>
      <c r="J35" s="46">
        <f>SUMIFS(表1_86121822242648[活跃Coin],表1_86121822242648[目标区服],表2_97131923252749[[#This Row],[合区区服]],表1_86121822242648[目标国家（映射）],表2_97131923252749[[#This Row],[国家]])</f>
        <v>650904</v>
      </c>
      <c r="K35" s="46">
        <f>SUMIFS(表1_86121822242648[共计补偿Coin],表1_86121822242648[目标区服],表2_97131923252749[[#This Row],[合区区服]],表1_86121822242648[目标国家（映射）],表2_97131923252749[[#This Row],[国家]])</f>
        <v>50500</v>
      </c>
      <c r="L35" s="46">
        <f>表2_97131923252749[[#This Row],[活跃Coin]]+表2_97131923252749[[#This Row],[共计补偿Coin]]</f>
        <v>701404</v>
      </c>
      <c r="M35" s="46">
        <f>SUMIFS(表1_86121822242648[综合国力],表1_86121822242648[目标区服],表2_97131923252749[[#This Row],[合区区服]],表1_86121822242648[目标国家（映射）],表2_97131923252749[[#This Row],[国家]])</f>
        <v>21681</v>
      </c>
      <c r="N35" s="46">
        <f t="array" ref="N35">MAX((表1_86121822242648[目标区服]=表2_97131923252749[[#This Row],[合区区服]])*(表1_86121822242648[目标国家（映射）]=表2_97131923252749[[#This Row],[国家]])*表1_86121822242648[单将最高战力])</f>
        <v>1159728</v>
      </c>
      <c r="P35" s="51">
        <v>113</v>
      </c>
      <c r="Q35" s="51">
        <v>52</v>
      </c>
    </row>
    <row r="36" ht="15" spans="1:17">
      <c r="A36" s="45" t="s">
        <v>93</v>
      </c>
      <c r="B36" s="46" t="s">
        <v>26</v>
      </c>
      <c r="C36" s="46">
        <f>COUNTIFS(表1_86121822242648[目标区服],表2_97131923252749[[#This Row],[合区区服]],表1_86121822242648[目标国家（映射）],表2_97131923252749[[#This Row],[国家]])</f>
        <v>2</v>
      </c>
      <c r="D36" s="46">
        <f>SUMIFS(表1_86121822242648[活跃高战玩家数],表1_86121822242648[目标区服],表2_97131923252749[[#This Row],[合区区服]],表1_86121822242648[目标国家（映射）],表2_97131923252749[[#This Row],[国家]])</f>
        <v>6</v>
      </c>
      <c r="E36" s="46">
        <f>SUMIFS(表1_86121822242648[活跃中坚玩家数],表1_86121822242648[目标区服],表2_97131923252749[[#This Row],[合区区服]],表1_86121822242648[目标国家（映射）],表2_97131923252749[[#This Row],[国家]])</f>
        <v>36</v>
      </c>
      <c r="F36" s="46">
        <f t="array" ref="F36">MAX((表1_86121822242648[目标区服]=表2_97131923252749[[#This Row],[合区区服]])*(表1_86121822242648[目标国家（映射）]=表2_97131923252749[[#This Row],[国家]])*表1_86121822242648[活跃尖端战力])</f>
        <v>3318000</v>
      </c>
      <c r="G36" s="47">
        <f>SUMIFS(表1_86121822242648[活跃总战力],表1_86121822242648[目标区服],表2_97131923252749[[#This Row],[合区区服]],表1_86121822242648[目标国家（映射）],表2_97131923252749[[#This Row],[国家]])</f>
        <v>43946013</v>
      </c>
      <c r="H36" s="46">
        <f>SUMIFS(表1_86121822242648[活跃实际充值],表1_86121822242648[目标区服],表2_97131923252749[[#This Row],[合区区服]],表1_86121822242648[目标国家（映射）],表2_97131923252749[[#This Row],[国家]])</f>
        <v>195720</v>
      </c>
      <c r="I36" s="46">
        <f>SUMIFS(表1_86121822242648[活跃虚拟充值],表1_86121822242648[目标区服],表2_97131923252749[[#This Row],[合区区服]],表1_86121822242648[目标国家（映射）],表2_97131923252749[[#This Row],[国家]])</f>
        <v>68</v>
      </c>
      <c r="J36" s="46">
        <f>SUMIFS(表1_86121822242648[活跃Coin],表1_86121822242648[目标区服],表2_97131923252749[[#This Row],[合区区服]],表1_86121822242648[目标国家（映射）],表2_97131923252749[[#This Row],[国家]])</f>
        <v>968238</v>
      </c>
      <c r="K36" s="46">
        <f>SUMIFS(表1_86121822242648[共计补偿Coin],表1_86121822242648[目标区服],表2_97131923252749[[#This Row],[合区区服]],表1_86121822242648[目标国家（映射）],表2_97131923252749[[#This Row],[国家]])</f>
        <v>63000</v>
      </c>
      <c r="L36" s="46">
        <f>表2_97131923252749[[#This Row],[活跃Coin]]+表2_97131923252749[[#This Row],[共计补偿Coin]]</f>
        <v>1031238</v>
      </c>
      <c r="M36" s="46">
        <f>SUMIFS(表1_86121822242648[综合国力],表1_86121822242648[目标区服],表2_97131923252749[[#This Row],[合区区服]],表1_86121822242648[目标国家（映射）],表2_97131923252749[[#This Row],[国家]])</f>
        <v>21504</v>
      </c>
      <c r="N36" s="46">
        <f t="array" ref="N36">MAX((表1_86121822242648[目标区服]=表2_97131923252749[[#This Row],[合区区服]])*(表1_86121822242648[目标国家（映射）]=表2_97131923252749[[#This Row],[国家]])*表1_86121822242648[单将最高战力])</f>
        <v>1052197</v>
      </c>
      <c r="P36" s="51">
        <v>114</v>
      </c>
      <c r="Q36" s="51">
        <v>51</v>
      </c>
    </row>
    <row r="37" ht="15" spans="1:14">
      <c r="A37" s="45" t="s">
        <v>93</v>
      </c>
      <c r="B37" s="48" t="s">
        <v>27</v>
      </c>
      <c r="C37" s="48">
        <f>COUNTIFS(表1_86121822242648[目标区服],表2_97131923252749[[#This Row],[合区区服]],表1_86121822242648[目标国家（映射）],表2_97131923252749[[#This Row],[国家]])</f>
        <v>2</v>
      </c>
      <c r="D37" s="48">
        <f>SUMIFS(表1_86121822242648[活跃高战玩家数],表1_86121822242648[目标区服],表2_97131923252749[[#This Row],[合区区服]],表1_86121822242648[目标国家（映射）],表2_97131923252749[[#This Row],[国家]])</f>
        <v>8</v>
      </c>
      <c r="E37" s="48">
        <f>SUMIFS(表1_86121822242648[活跃中坚玩家数],表1_86121822242648[目标区服],表2_97131923252749[[#This Row],[合区区服]],表1_86121822242648[目标国家（映射）],表2_97131923252749[[#This Row],[国家]])</f>
        <v>48</v>
      </c>
      <c r="F37" s="48">
        <f t="array" ref="F37">MAX((表1_86121822242648[目标区服]=表2_97131923252749[[#This Row],[合区区服]])*(表1_86121822242648[目标国家（映射）]=表2_97131923252749[[#This Row],[国家]])*表1_86121822242648[活跃尖端战力])</f>
        <v>4795475</v>
      </c>
      <c r="G37" s="458">
        <f>SUMIFS(表1_86121822242648[活跃总战力],表1_86121822242648[目标区服],表2_97131923252749[[#This Row],[合区区服]],表1_86121822242648[目标国家（映射）],表2_97131923252749[[#This Row],[国家]])</f>
        <v>58425625</v>
      </c>
      <c r="H37" s="48">
        <f>SUMIFS(表1_86121822242648[活跃实际充值],表1_86121822242648[目标区服],表2_97131923252749[[#This Row],[合区区服]],表1_86121822242648[目标国家（映射）],表2_97131923252749[[#This Row],[国家]])</f>
        <v>149624</v>
      </c>
      <c r="I37" s="48">
        <f>SUMIFS(表1_86121822242648[活跃虚拟充值],表1_86121822242648[目标区服],表2_97131923252749[[#This Row],[合区区服]],表1_86121822242648[目标国家（映射）],表2_97131923252749[[#This Row],[国家]])</f>
        <v>69742</v>
      </c>
      <c r="J37" s="48">
        <f>SUMIFS(表1_86121822242648[活跃Coin],表1_86121822242648[目标区服],表2_97131923252749[[#This Row],[合区区服]],表1_86121822242648[目标国家（映射）],表2_97131923252749[[#This Row],[国家]])</f>
        <v>1364018</v>
      </c>
      <c r="K37" s="48">
        <f>SUMIFS(表1_86121822242648[共计补偿Coin],表1_86121822242648[目标区服],表2_97131923252749[[#This Row],[合区区服]],表1_86121822242648[目标国家（映射）],表2_97131923252749[[#This Row],[国家]])</f>
        <v>56000</v>
      </c>
      <c r="L37" s="48">
        <f>表2_97131923252749[[#This Row],[活跃Coin]]+表2_97131923252749[[#This Row],[共计补偿Coin]]</f>
        <v>1420018</v>
      </c>
      <c r="M37" s="48">
        <f>SUMIFS(表1_86121822242648[综合国力],表1_86121822242648[目标区服],表2_97131923252749[[#This Row],[合区区服]],表1_86121822242648[目标国家（映射）],表2_97131923252749[[#This Row],[国家]])</f>
        <v>23471</v>
      </c>
      <c r="N37" s="46">
        <f t="array" ref="N37">MAX((表1_86121822242648[目标区服]=表2_97131923252749[[#This Row],[合区区服]])*(表1_86121822242648[目标国家（映射）]=表2_97131923252749[[#This Row],[国家]])*表1_86121822242648[单将最高战力])</f>
        <v>1392189</v>
      </c>
    </row>
    <row r="38" ht="15" spans="1:14">
      <c r="A38" s="659" t="s">
        <v>94</v>
      </c>
      <c r="B38" s="556" t="s">
        <v>25</v>
      </c>
      <c r="C38" s="556">
        <f>COUNTIFS(表1_86121822242648[目标区服],表2_97131923252749[[#This Row],[合区区服]],表1_86121822242648[目标国家（映射）],表2_97131923252749[[#This Row],[国家]])</f>
        <v>2</v>
      </c>
      <c r="D38" s="556">
        <f>SUMIFS(表1_86121822242648[活跃高战玩家数],表1_86121822242648[目标区服],表2_97131923252749[[#This Row],[合区区服]],表1_86121822242648[目标国家（映射）],表2_97131923252749[[#This Row],[国家]])</f>
        <v>6</v>
      </c>
      <c r="E38" s="556">
        <f>SUMIFS(表1_86121822242648[活跃中坚玩家数],表1_86121822242648[目标区服],表2_97131923252749[[#This Row],[合区区服]],表1_86121822242648[目标国家（映射）],表2_97131923252749[[#This Row],[国家]])</f>
        <v>41</v>
      </c>
      <c r="F38" s="556">
        <f t="array" ref="F38">MAX((表1_86121822242648[目标区服]=表2_97131923252749[[#This Row],[合区区服]])*(表1_86121822242648[目标国家（映射）]=表2_97131923252749[[#This Row],[国家]])*表1_86121822242648[活跃尖端战力])</f>
        <v>3618747</v>
      </c>
      <c r="G38" s="557">
        <f>SUMIFS(表1_86121822242648[活跃总战力],表1_86121822242648[目标区服],表2_97131923252749[[#This Row],[合区区服]],表1_86121822242648[目标国家（映射）],表2_97131923252749[[#This Row],[国家]])</f>
        <v>42610583</v>
      </c>
      <c r="H38" s="556">
        <f>SUMIFS(表1_86121822242648[活跃实际充值],表1_86121822242648[目标区服],表2_97131923252749[[#This Row],[合区区服]],表1_86121822242648[目标国家（映射）],表2_97131923252749[[#This Row],[国家]])</f>
        <v>109102</v>
      </c>
      <c r="I38" s="556">
        <f>SUMIFS(表1_86121822242648[活跃虚拟充值],表1_86121822242648[目标区服],表2_97131923252749[[#This Row],[合区区服]],表1_86121822242648[目标国家（映射）],表2_97131923252749[[#This Row],[国家]])</f>
        <v>60</v>
      </c>
      <c r="J38" s="556">
        <f>SUMIFS(表1_86121822242648[活跃Coin],表1_86121822242648[目标区服],表2_97131923252749[[#This Row],[合区区服]],表1_86121822242648[目标国家（映射）],表2_97131923252749[[#This Row],[国家]])</f>
        <v>950125</v>
      </c>
      <c r="K38" s="556">
        <f>SUMIFS(表1_86121822242648[共计补偿Coin],表1_86121822242648[目标区服],表2_97131923252749[[#This Row],[合区区服]],表1_86121822242648[目标国家（映射）],表2_97131923252749[[#This Row],[国家]])</f>
        <v>60500</v>
      </c>
      <c r="L38" s="556">
        <f>表2_97131923252749[[#This Row],[活跃Coin]]+表2_97131923252749[[#This Row],[共计补偿Coin]]</f>
        <v>1010625</v>
      </c>
      <c r="M38" s="556">
        <f>SUMIFS(表1_86121822242648[综合国力],表1_86121822242648[目标区服],表2_97131923252749[[#This Row],[合区区服]],表1_86121822242648[目标国家（映射）],表2_97131923252749[[#This Row],[国家]])</f>
        <v>17589</v>
      </c>
      <c r="N38" s="564">
        <f t="array" ref="N38">MAX((表1_86121822242648[目标区服]=表2_97131923252749[[#This Row],[合区区服]])*(表1_86121822242648[目标国家（映射）]=表2_97131923252749[[#This Row],[国家]])*表1_86121822242648[单将最高战力])</f>
        <v>1071584</v>
      </c>
    </row>
    <row r="39" ht="15" spans="1:14">
      <c r="A39" s="659" t="s">
        <v>94</v>
      </c>
      <c r="B39" s="556" t="s">
        <v>26</v>
      </c>
      <c r="C39" s="556">
        <f>COUNTIFS(表1_86121822242648[目标区服],表2_97131923252749[[#This Row],[合区区服]],表1_86121822242648[目标国家（映射）],表2_97131923252749[[#This Row],[国家]])</f>
        <v>2</v>
      </c>
      <c r="D39" s="556">
        <f>SUMIFS(表1_86121822242648[活跃高战玩家数],表1_86121822242648[目标区服],表2_97131923252749[[#This Row],[合区区服]],表1_86121822242648[目标国家（映射）],表2_97131923252749[[#This Row],[国家]])</f>
        <v>6</v>
      </c>
      <c r="E39" s="556">
        <f>SUMIFS(表1_86121822242648[活跃中坚玩家数],表1_86121822242648[目标区服],表2_97131923252749[[#This Row],[合区区服]],表1_86121822242648[目标国家（映射）],表2_97131923252749[[#This Row],[国家]])</f>
        <v>39</v>
      </c>
      <c r="F39" s="556">
        <f t="array" ref="F39">MAX((表1_86121822242648[目标区服]=表2_97131923252749[[#This Row],[合区区服]])*(表1_86121822242648[目标国家（映射）]=表2_97131923252749[[#This Row],[国家]])*表1_86121822242648[活跃尖端战力])</f>
        <v>3098128</v>
      </c>
      <c r="G39" s="557">
        <f>SUMIFS(表1_86121822242648[活跃总战力],表1_86121822242648[目标区服],表2_97131923252749[[#This Row],[合区区服]],表1_86121822242648[目标国家（映射）],表2_97131923252749[[#This Row],[国家]])</f>
        <v>38429302</v>
      </c>
      <c r="H39" s="556">
        <f>SUMIFS(表1_86121822242648[活跃实际充值],表1_86121822242648[目标区服],表2_97131923252749[[#This Row],[合区区服]],表1_86121822242648[目标国家（映射）],表2_97131923252749[[#This Row],[国家]])</f>
        <v>67282</v>
      </c>
      <c r="I39" s="556">
        <f>SUMIFS(表1_86121822242648[活跃虚拟充值],表1_86121822242648[目标区服],表2_97131923252749[[#This Row],[合区区服]],表1_86121822242648[目标国家（映射）],表2_97131923252749[[#This Row],[国家]])</f>
        <v>0</v>
      </c>
      <c r="J39" s="556">
        <f>SUMIFS(表1_86121822242648[活跃Coin],表1_86121822242648[目标区服],表2_97131923252749[[#This Row],[合区区服]],表1_86121822242648[目标国家（映射）],表2_97131923252749[[#This Row],[国家]])</f>
        <v>458328</v>
      </c>
      <c r="K39" s="556">
        <f>SUMIFS(表1_86121822242648[共计补偿Coin],表1_86121822242648[目标区服],表2_97131923252749[[#This Row],[合区区服]],表1_86121822242648[目标国家（映射）],表2_97131923252749[[#This Row],[国家]])</f>
        <v>67500</v>
      </c>
      <c r="L39" s="556">
        <f>表2_97131923252749[[#This Row],[活跃Coin]]+表2_97131923252749[[#This Row],[共计补偿Coin]]</f>
        <v>525828</v>
      </c>
      <c r="M39" s="556">
        <f>SUMIFS(表1_86121822242648[综合国力],表1_86121822242648[目标区服],表2_97131923252749[[#This Row],[合区区服]],表1_86121822242648[目标国家（映射）],表2_97131923252749[[#This Row],[国家]])</f>
        <v>16078</v>
      </c>
      <c r="N39" s="564">
        <f t="array" ref="N39">MAX((表1_86121822242648[目标区服]=表2_97131923252749[[#This Row],[合区区服]])*(表1_86121822242648[目标国家（映射）]=表2_97131923252749[[#This Row],[国家]])*表1_86121822242648[单将最高战力])</f>
        <v>967435</v>
      </c>
    </row>
    <row r="40" ht="15" spans="1:14">
      <c r="A40" s="660" t="s">
        <v>94</v>
      </c>
      <c r="B40" s="558" t="s">
        <v>27</v>
      </c>
      <c r="C40" s="558">
        <f>COUNTIFS(表1_86121822242648[目标区服],表2_97131923252749[[#This Row],[合区区服]],表1_86121822242648[目标国家（映射）],表2_97131923252749[[#This Row],[国家]])</f>
        <v>2</v>
      </c>
      <c r="D40" s="558">
        <f>SUMIFS(表1_86121822242648[活跃高战玩家数],表1_86121822242648[目标区服],表2_97131923252749[[#This Row],[合区区服]],表1_86121822242648[目标国家（映射）],表2_97131923252749[[#This Row],[国家]])</f>
        <v>4</v>
      </c>
      <c r="E40" s="558">
        <f>SUMIFS(表1_86121822242648[活跃中坚玩家数],表1_86121822242648[目标区服],表2_97131923252749[[#This Row],[合区区服]],表1_86121822242648[目标国家（映射）],表2_97131923252749[[#This Row],[国家]])</f>
        <v>46</v>
      </c>
      <c r="F40" s="558">
        <f t="array" ref="F40">MAX((表1_86121822242648[目标区服]=表2_97131923252749[[#This Row],[合区区服]])*(表1_86121822242648[目标国家（映射）]=表2_97131923252749[[#This Row],[国家]])*表1_86121822242648[活跃尖端战力])</f>
        <v>3253546</v>
      </c>
      <c r="G40" s="559">
        <f>SUMIFS(表1_86121822242648[活跃总战力],表1_86121822242648[目标区服],表2_97131923252749[[#This Row],[合区区服]],表1_86121822242648[目标国家（映射）],表2_97131923252749[[#This Row],[国家]])</f>
        <v>47589883</v>
      </c>
      <c r="H40" s="558">
        <f>SUMIFS(表1_86121822242648[活跃实际充值],表1_86121822242648[目标区服],表2_97131923252749[[#This Row],[合区区服]],表1_86121822242648[目标国家（映射）],表2_97131923252749[[#This Row],[国家]])</f>
        <v>153490</v>
      </c>
      <c r="I40" s="558">
        <f>SUMIFS(表1_86121822242648[活跃虚拟充值],表1_86121822242648[目标区服],表2_97131923252749[[#This Row],[合区区服]],表1_86121822242648[目标国家（映射）],表2_97131923252749[[#This Row],[国家]])</f>
        <v>0</v>
      </c>
      <c r="J40" s="558">
        <f>SUMIFS(表1_86121822242648[活跃Coin],表1_86121822242648[目标区服],表2_97131923252749[[#This Row],[合区区服]],表1_86121822242648[目标国家（映射）],表2_97131923252749[[#This Row],[国家]])</f>
        <v>948992</v>
      </c>
      <c r="K40" s="558">
        <f>SUMIFS(表1_86121822242648[共计补偿Coin],表1_86121822242648[目标区服],表2_97131923252749[[#This Row],[合区区服]],表1_86121822242648[目标国家（映射）],表2_97131923252749[[#This Row],[国家]])</f>
        <v>50000</v>
      </c>
      <c r="L40" s="558">
        <f>表2_97131923252749[[#This Row],[活跃Coin]]+表2_97131923252749[[#This Row],[共计补偿Coin]]</f>
        <v>998992</v>
      </c>
      <c r="M40" s="558">
        <f>SUMIFS(表1_86121822242648[综合国力],表1_86121822242648[目标区服],表2_97131923252749[[#This Row],[合区区服]],表1_86121822242648[目标国家（映射）],表2_97131923252749[[#This Row],[国家]])</f>
        <v>19039</v>
      </c>
      <c r="N40" s="565">
        <f t="array" ref="N40">MAX((表1_86121822242648[目标区服]=表2_97131923252749[[#This Row],[合区区服]])*(表1_86121822242648[目标国家（映射）]=表2_97131923252749[[#This Row],[国家]])*表1_86121822242648[单将最高战力])</f>
        <v>1170511</v>
      </c>
    </row>
    <row r="43" ht="27" spans="1:13">
      <c r="A43" s="49"/>
      <c r="B43" s="50" t="s">
        <v>9</v>
      </c>
      <c r="C43" s="50" t="s">
        <v>10</v>
      </c>
      <c r="D43" s="50" t="s">
        <v>11</v>
      </c>
      <c r="E43" s="50" t="s">
        <v>12</v>
      </c>
      <c r="F43" s="50" t="s">
        <v>13</v>
      </c>
      <c r="G43" s="50" t="s">
        <v>14</v>
      </c>
      <c r="H43" s="50" t="s">
        <v>15</v>
      </c>
      <c r="I43" s="50" t="s">
        <v>18</v>
      </c>
      <c r="J43" s="50" t="s">
        <v>19</v>
      </c>
      <c r="K43" s="50" t="s">
        <v>20</v>
      </c>
      <c r="L43" s="50" t="s">
        <v>21</v>
      </c>
      <c r="M43" s="50" t="s">
        <v>82</v>
      </c>
    </row>
    <row r="44" spans="1:13">
      <c r="A44" s="50" t="s">
        <v>25</v>
      </c>
      <c r="B44" s="50">
        <v>3</v>
      </c>
      <c r="C44" s="50">
        <v>118</v>
      </c>
      <c r="D44" s="50">
        <v>7</v>
      </c>
      <c r="E44" s="50">
        <v>21</v>
      </c>
      <c r="F44" s="50">
        <v>136734</v>
      </c>
      <c r="G44" s="50">
        <v>2270480</v>
      </c>
      <c r="H44" s="50">
        <v>27496048</v>
      </c>
      <c r="I44" s="50">
        <v>86364</v>
      </c>
      <c r="J44" s="50">
        <v>6</v>
      </c>
      <c r="K44" s="50">
        <v>936151</v>
      </c>
      <c r="L44" s="50">
        <v>10242</v>
      </c>
      <c r="M44" s="50">
        <v>876646</v>
      </c>
    </row>
    <row r="45" spans="1:13">
      <c r="A45" s="50" t="s">
        <v>26</v>
      </c>
      <c r="B45" s="50">
        <v>4</v>
      </c>
      <c r="C45" s="50">
        <v>168</v>
      </c>
      <c r="D45" s="50">
        <v>0</v>
      </c>
      <c r="E45" s="50">
        <v>20</v>
      </c>
      <c r="F45" s="50">
        <v>61134</v>
      </c>
      <c r="G45" s="50">
        <v>1401710</v>
      </c>
      <c r="H45" s="50">
        <v>14437668</v>
      </c>
      <c r="I45" s="50">
        <v>36868</v>
      </c>
      <c r="J45" s="50">
        <v>0</v>
      </c>
      <c r="K45" s="50">
        <v>157930</v>
      </c>
      <c r="L45" s="50">
        <v>6416</v>
      </c>
      <c r="M45" s="50">
        <v>466209</v>
      </c>
    </row>
    <row r="46" spans="1:13">
      <c r="A46" s="50" t="s">
        <v>27</v>
      </c>
      <c r="B46" s="50">
        <v>2</v>
      </c>
      <c r="C46" s="50">
        <v>109</v>
      </c>
      <c r="D46" s="50">
        <v>3</v>
      </c>
      <c r="E46" s="50">
        <v>10</v>
      </c>
      <c r="F46" s="50">
        <v>75552</v>
      </c>
      <c r="G46" s="50">
        <v>2101920</v>
      </c>
      <c r="H46" s="50">
        <v>13927637</v>
      </c>
      <c r="I46" s="50">
        <v>19018</v>
      </c>
      <c r="J46" s="50">
        <v>0</v>
      </c>
      <c r="K46" s="50">
        <v>345373</v>
      </c>
      <c r="L46" s="50">
        <v>5905</v>
      </c>
      <c r="M46" s="50">
        <v>616347</v>
      </c>
    </row>
    <row r="47" spans="1:13">
      <c r="A47" s="50" t="s">
        <v>25</v>
      </c>
      <c r="B47" s="50">
        <v>2</v>
      </c>
      <c r="C47" s="50">
        <v>80</v>
      </c>
      <c r="D47" s="50">
        <v>4</v>
      </c>
      <c r="E47" s="50">
        <v>13</v>
      </c>
      <c r="F47" s="50">
        <v>70233</v>
      </c>
      <c r="G47" s="50">
        <v>2461747</v>
      </c>
      <c r="H47" s="50">
        <v>16345800</v>
      </c>
      <c r="I47" s="50">
        <v>40674</v>
      </c>
      <c r="J47" s="50">
        <v>128</v>
      </c>
      <c r="K47" s="50">
        <v>149688</v>
      </c>
      <c r="L47" s="50">
        <v>6743</v>
      </c>
      <c r="M47" s="50">
        <v>702676</v>
      </c>
    </row>
    <row r="48" spans="1:13">
      <c r="A48" s="50" t="s">
        <v>26</v>
      </c>
      <c r="B48" s="50">
        <v>5</v>
      </c>
      <c r="C48" s="50">
        <v>228</v>
      </c>
      <c r="D48" s="50">
        <v>5</v>
      </c>
      <c r="E48" s="50">
        <v>22</v>
      </c>
      <c r="F48" s="50">
        <v>139428</v>
      </c>
      <c r="G48" s="50">
        <v>4624236</v>
      </c>
      <c r="H48" s="50">
        <v>35686518</v>
      </c>
      <c r="I48" s="50">
        <v>253976</v>
      </c>
      <c r="J48" s="50">
        <v>0</v>
      </c>
      <c r="K48" s="50">
        <v>947442</v>
      </c>
      <c r="L48" s="50">
        <v>19763</v>
      </c>
      <c r="M48" s="50">
        <v>1244626</v>
      </c>
    </row>
    <row r="49" spans="1:13">
      <c r="A49" s="50" t="s">
        <v>27</v>
      </c>
      <c r="B49" s="50">
        <v>2</v>
      </c>
      <c r="C49" s="50">
        <v>87</v>
      </c>
      <c r="D49" s="50">
        <v>0</v>
      </c>
      <c r="E49" s="50">
        <v>15</v>
      </c>
      <c r="F49" s="50">
        <v>63195</v>
      </c>
      <c r="G49" s="50">
        <v>2210253</v>
      </c>
      <c r="H49" s="50">
        <v>13909853</v>
      </c>
      <c r="I49" s="50">
        <v>10380</v>
      </c>
      <c r="J49" s="50">
        <v>0</v>
      </c>
      <c r="K49" s="50">
        <v>333650</v>
      </c>
      <c r="L49" s="50">
        <v>5465</v>
      </c>
      <c r="M49" s="50">
        <v>744593</v>
      </c>
    </row>
    <row r="50" spans="1:13">
      <c r="A50" s="50" t="s">
        <v>25</v>
      </c>
      <c r="B50" s="50">
        <v>8</v>
      </c>
      <c r="C50" s="50">
        <v>218</v>
      </c>
      <c r="D50" s="50">
        <v>8</v>
      </c>
      <c r="E50" s="50">
        <v>26</v>
      </c>
      <c r="F50" s="50">
        <v>195352</v>
      </c>
      <c r="G50" s="50">
        <v>3393943</v>
      </c>
      <c r="H50" s="50">
        <v>44915046</v>
      </c>
      <c r="I50" s="50">
        <v>105996</v>
      </c>
      <c r="J50" s="50">
        <v>36</v>
      </c>
      <c r="K50" s="50">
        <v>1157378</v>
      </c>
      <c r="L50" s="50">
        <v>15601</v>
      </c>
      <c r="M50" s="50">
        <v>958819</v>
      </c>
    </row>
    <row r="51" spans="1:13">
      <c r="A51" s="50" t="s">
        <v>26</v>
      </c>
      <c r="B51" s="50">
        <v>1</v>
      </c>
      <c r="C51" s="50">
        <v>100</v>
      </c>
      <c r="D51" s="50">
        <v>2</v>
      </c>
      <c r="E51" s="50">
        <v>15</v>
      </c>
      <c r="F51" s="50">
        <v>58960</v>
      </c>
      <c r="G51" s="50">
        <v>3963370</v>
      </c>
      <c r="H51" s="50">
        <v>17835767</v>
      </c>
      <c r="I51" s="50">
        <v>132778</v>
      </c>
      <c r="J51" s="50">
        <v>0</v>
      </c>
      <c r="K51" s="50">
        <v>880054</v>
      </c>
      <c r="L51" s="50">
        <v>11565</v>
      </c>
      <c r="M51" s="50">
        <v>1330442</v>
      </c>
    </row>
    <row r="52" spans="1:13">
      <c r="A52" s="50" t="s">
        <v>27</v>
      </c>
      <c r="B52" s="50">
        <v>0</v>
      </c>
      <c r="C52" s="50">
        <v>77</v>
      </c>
      <c r="D52" s="50">
        <v>0</v>
      </c>
      <c r="E52" s="50">
        <v>15</v>
      </c>
      <c r="F52" s="50">
        <v>47365</v>
      </c>
      <c r="G52" s="50">
        <v>1952322</v>
      </c>
      <c r="H52" s="50">
        <v>11935456</v>
      </c>
      <c r="I52" s="50">
        <v>20138</v>
      </c>
      <c r="J52" s="50">
        <v>60</v>
      </c>
      <c r="K52" s="50">
        <v>257355</v>
      </c>
      <c r="L52" s="50">
        <v>4886</v>
      </c>
      <c r="M52" s="50">
        <v>631387</v>
      </c>
    </row>
    <row r="53" spans="1:13">
      <c r="A53" s="50" t="s">
        <v>25</v>
      </c>
      <c r="B53" s="50">
        <v>0</v>
      </c>
      <c r="C53" s="50">
        <v>21</v>
      </c>
      <c r="D53" s="50">
        <v>2</v>
      </c>
      <c r="E53" s="50">
        <v>10</v>
      </c>
      <c r="F53" s="50">
        <v>45122</v>
      </c>
      <c r="G53" s="50">
        <v>1918722</v>
      </c>
      <c r="H53" s="50">
        <v>8741510</v>
      </c>
      <c r="I53" s="50">
        <v>7854</v>
      </c>
      <c r="J53" s="50">
        <v>0</v>
      </c>
      <c r="K53" s="50">
        <v>149590</v>
      </c>
      <c r="L53" s="50">
        <v>3538</v>
      </c>
      <c r="M53" s="50">
        <v>651920</v>
      </c>
    </row>
    <row r="54" spans="1:13">
      <c r="A54" s="50" t="s">
        <v>26</v>
      </c>
      <c r="B54" s="50">
        <v>9</v>
      </c>
      <c r="C54" s="50">
        <v>357</v>
      </c>
      <c r="D54" s="50">
        <v>8</v>
      </c>
      <c r="E54" s="50">
        <v>22</v>
      </c>
      <c r="F54" s="50">
        <v>168435</v>
      </c>
      <c r="G54" s="50">
        <v>3604417</v>
      </c>
      <c r="H54" s="50">
        <v>35444597</v>
      </c>
      <c r="I54" s="50">
        <v>144248</v>
      </c>
      <c r="J54" s="50">
        <v>0</v>
      </c>
      <c r="K54" s="50">
        <v>1332240</v>
      </c>
      <c r="L54" s="50">
        <v>17454</v>
      </c>
      <c r="M54" s="50">
        <v>927420</v>
      </c>
    </row>
    <row r="55" spans="1:13">
      <c r="A55" s="50" t="s">
        <v>27</v>
      </c>
      <c r="B55" s="50">
        <v>0</v>
      </c>
      <c r="C55" s="50">
        <v>17</v>
      </c>
      <c r="D55" s="50">
        <v>0</v>
      </c>
      <c r="E55" s="50">
        <v>7</v>
      </c>
      <c r="F55" s="50">
        <v>37855</v>
      </c>
      <c r="G55" s="50">
        <v>1765924</v>
      </c>
      <c r="H55" s="50">
        <v>6615981</v>
      </c>
      <c r="I55" s="50">
        <v>16092</v>
      </c>
      <c r="J55" s="50">
        <v>68</v>
      </c>
      <c r="K55" s="50">
        <v>99244</v>
      </c>
      <c r="L55" s="50">
        <v>3319</v>
      </c>
      <c r="M55" s="50">
        <v>734184</v>
      </c>
    </row>
    <row r="56" spans="1:13">
      <c r="A56" s="50" t="s">
        <v>25</v>
      </c>
      <c r="B56" s="50">
        <v>3</v>
      </c>
      <c r="C56" s="50">
        <v>105</v>
      </c>
      <c r="D56" s="50">
        <v>2</v>
      </c>
      <c r="E56" s="50">
        <v>14</v>
      </c>
      <c r="F56" s="50">
        <v>57409</v>
      </c>
      <c r="G56" s="50">
        <v>3840204</v>
      </c>
      <c r="H56" s="50">
        <v>16491965</v>
      </c>
      <c r="I56" s="50">
        <v>134430</v>
      </c>
      <c r="J56" s="50">
        <v>0</v>
      </c>
      <c r="K56" s="50">
        <v>299007</v>
      </c>
      <c r="L56" s="50">
        <v>11308</v>
      </c>
      <c r="M56" s="50">
        <v>1159728</v>
      </c>
    </row>
    <row r="57" spans="1:13">
      <c r="A57" s="50" t="s">
        <v>26</v>
      </c>
      <c r="B57" s="50">
        <v>3</v>
      </c>
      <c r="C57" s="50">
        <v>156</v>
      </c>
      <c r="D57" s="50">
        <v>2</v>
      </c>
      <c r="E57" s="50">
        <v>22</v>
      </c>
      <c r="F57" s="50">
        <v>86462</v>
      </c>
      <c r="G57" s="50">
        <v>2238632</v>
      </c>
      <c r="H57" s="50">
        <v>20187171</v>
      </c>
      <c r="I57" s="50">
        <v>41784</v>
      </c>
      <c r="J57" s="50">
        <v>0</v>
      </c>
      <c r="K57" s="50">
        <v>340269</v>
      </c>
      <c r="L57" s="50">
        <v>7973</v>
      </c>
      <c r="M57" s="50">
        <v>748501</v>
      </c>
    </row>
    <row r="58" spans="1:13">
      <c r="A58" s="50" t="s">
        <v>27</v>
      </c>
      <c r="B58" s="50">
        <v>3</v>
      </c>
      <c r="C58" s="50">
        <v>134</v>
      </c>
      <c r="D58" s="50">
        <v>6</v>
      </c>
      <c r="E58" s="50">
        <v>26</v>
      </c>
      <c r="F58" s="50">
        <v>158991</v>
      </c>
      <c r="G58" s="50">
        <v>4795475</v>
      </c>
      <c r="H58" s="50">
        <v>38238454</v>
      </c>
      <c r="I58" s="50">
        <v>107840</v>
      </c>
      <c r="J58" s="50">
        <v>69742</v>
      </c>
      <c r="K58" s="50">
        <v>1023749</v>
      </c>
      <c r="L58" s="50">
        <v>15498</v>
      </c>
      <c r="M58" s="50">
        <v>1392189</v>
      </c>
    </row>
    <row r="59" spans="1:13">
      <c r="A59" s="50" t="s">
        <v>25</v>
      </c>
      <c r="B59" s="50">
        <v>3</v>
      </c>
      <c r="C59" s="50">
        <v>67</v>
      </c>
      <c r="D59" s="50">
        <v>3</v>
      </c>
      <c r="E59" s="50">
        <v>16</v>
      </c>
      <c r="F59" s="50">
        <v>72803</v>
      </c>
      <c r="G59" s="50">
        <v>3318000</v>
      </c>
      <c r="H59" s="50">
        <v>19644600</v>
      </c>
      <c r="I59" s="50">
        <v>90098</v>
      </c>
      <c r="J59" s="50">
        <v>0</v>
      </c>
      <c r="K59" s="50">
        <v>268504</v>
      </c>
      <c r="L59" s="50">
        <v>9453</v>
      </c>
      <c r="M59" s="50">
        <v>883874</v>
      </c>
    </row>
    <row r="60" spans="1:13">
      <c r="A60" s="50" t="s">
        <v>26</v>
      </c>
      <c r="B60" s="50">
        <v>2</v>
      </c>
      <c r="C60" s="50">
        <v>131</v>
      </c>
      <c r="D60" s="50">
        <v>3</v>
      </c>
      <c r="E60" s="50">
        <v>20</v>
      </c>
      <c r="F60" s="50">
        <v>118046</v>
      </c>
      <c r="G60" s="50">
        <v>3046375</v>
      </c>
      <c r="H60" s="50">
        <v>27832315</v>
      </c>
      <c r="I60" s="50">
        <v>75542</v>
      </c>
      <c r="J60" s="50">
        <v>128</v>
      </c>
      <c r="K60" s="50">
        <v>351897</v>
      </c>
      <c r="L60" s="50">
        <v>10373</v>
      </c>
      <c r="M60" s="50">
        <v>875305</v>
      </c>
    </row>
    <row r="61" spans="1:13">
      <c r="A61" s="50" t="s">
        <v>27</v>
      </c>
      <c r="B61" s="50">
        <v>4</v>
      </c>
      <c r="C61" s="50">
        <v>197</v>
      </c>
      <c r="D61" s="50">
        <v>3</v>
      </c>
      <c r="E61" s="50">
        <v>20</v>
      </c>
      <c r="F61" s="50">
        <v>88628</v>
      </c>
      <c r="G61" s="50">
        <v>3289260</v>
      </c>
      <c r="H61" s="50">
        <v>24301413</v>
      </c>
      <c r="I61" s="50">
        <v>105622</v>
      </c>
      <c r="J61" s="50">
        <v>68</v>
      </c>
      <c r="K61" s="50">
        <v>699734</v>
      </c>
      <c r="L61" s="50">
        <v>12051</v>
      </c>
      <c r="M61" s="50">
        <v>1052197</v>
      </c>
    </row>
    <row r="62" spans="1:13">
      <c r="A62" s="50" t="s">
        <v>25</v>
      </c>
      <c r="B62" s="50">
        <v>3</v>
      </c>
      <c r="C62" s="50">
        <v>88</v>
      </c>
      <c r="D62" s="50">
        <v>0</v>
      </c>
      <c r="E62" s="50">
        <v>19</v>
      </c>
      <c r="F62" s="50">
        <v>53437</v>
      </c>
      <c r="G62" s="50">
        <v>1602763</v>
      </c>
      <c r="H62" s="50">
        <v>14150272</v>
      </c>
      <c r="I62" s="50">
        <v>5376</v>
      </c>
      <c r="J62" s="50">
        <v>0</v>
      </c>
      <c r="K62" s="50">
        <v>122513</v>
      </c>
      <c r="L62" s="50">
        <v>4687</v>
      </c>
      <c r="M62" s="50">
        <v>911266</v>
      </c>
    </row>
    <row r="63" spans="1:13">
      <c r="A63" s="50" t="s">
        <v>26</v>
      </c>
      <c r="B63" s="50">
        <v>2</v>
      </c>
      <c r="C63" s="50">
        <v>131</v>
      </c>
      <c r="D63" s="50">
        <v>3</v>
      </c>
      <c r="E63" s="50">
        <v>17</v>
      </c>
      <c r="F63" s="50">
        <v>57028</v>
      </c>
      <c r="G63" s="50">
        <v>2397585</v>
      </c>
      <c r="H63" s="50">
        <v>15645590</v>
      </c>
      <c r="I63" s="50">
        <v>25038</v>
      </c>
      <c r="J63" s="50">
        <v>0</v>
      </c>
      <c r="K63" s="50">
        <v>135497</v>
      </c>
      <c r="L63" s="50">
        <v>6576</v>
      </c>
      <c r="M63" s="50">
        <v>682553</v>
      </c>
    </row>
    <row r="64" spans="1:13">
      <c r="A64" s="50" t="s">
        <v>27</v>
      </c>
      <c r="B64" s="50">
        <v>4</v>
      </c>
      <c r="C64" s="50">
        <v>176</v>
      </c>
      <c r="D64" s="50">
        <v>4</v>
      </c>
      <c r="E64" s="50">
        <v>27</v>
      </c>
      <c r="F64" s="50">
        <v>147620</v>
      </c>
      <c r="G64" s="50">
        <v>3253546</v>
      </c>
      <c r="H64" s="50">
        <v>33439611</v>
      </c>
      <c r="I64" s="50">
        <v>148114</v>
      </c>
      <c r="J64" s="50">
        <v>0</v>
      </c>
      <c r="K64" s="50">
        <v>826479</v>
      </c>
      <c r="L64" s="50">
        <v>14352</v>
      </c>
      <c r="M64" s="50">
        <v>1170511</v>
      </c>
    </row>
    <row r="65" spans="1:13">
      <c r="A65" s="50" t="s">
        <v>25</v>
      </c>
      <c r="B65" s="50">
        <v>3</v>
      </c>
      <c r="C65" s="50">
        <v>89</v>
      </c>
      <c r="D65" s="50">
        <v>3</v>
      </c>
      <c r="E65" s="50">
        <v>24</v>
      </c>
      <c r="F65" s="50">
        <v>115695</v>
      </c>
      <c r="G65" s="50">
        <v>3618747</v>
      </c>
      <c r="H65" s="50">
        <v>26964993</v>
      </c>
      <c r="I65" s="50">
        <v>84064</v>
      </c>
      <c r="J65" s="50">
        <v>60</v>
      </c>
      <c r="K65" s="50">
        <v>814628</v>
      </c>
      <c r="L65" s="50">
        <v>11013</v>
      </c>
      <c r="M65" s="50">
        <v>1071584</v>
      </c>
    </row>
    <row r="66" spans="1:13">
      <c r="A66" s="50" t="s">
        <v>26</v>
      </c>
      <c r="B66" s="50">
        <v>2</v>
      </c>
      <c r="C66" s="50">
        <v>153</v>
      </c>
      <c r="D66" s="50">
        <v>3</v>
      </c>
      <c r="E66" s="50">
        <v>22</v>
      </c>
      <c r="F66" s="50">
        <v>87956</v>
      </c>
      <c r="G66" s="50">
        <v>2406005</v>
      </c>
      <c r="H66" s="50">
        <v>20222177</v>
      </c>
      <c r="I66" s="50">
        <v>23238</v>
      </c>
      <c r="J66" s="50">
        <v>0</v>
      </c>
      <c r="K66" s="50">
        <v>171468</v>
      </c>
      <c r="L66" s="50">
        <v>7380</v>
      </c>
      <c r="M66" s="50">
        <v>742627</v>
      </c>
    </row>
    <row r="67" spans="1:13">
      <c r="A67" s="50" t="s">
        <v>27</v>
      </c>
      <c r="B67" s="50">
        <v>4</v>
      </c>
      <c r="C67" s="50">
        <v>153</v>
      </c>
      <c r="D67" s="50">
        <v>3</v>
      </c>
      <c r="E67" s="50">
        <v>17</v>
      </c>
      <c r="F67" s="50">
        <v>76900</v>
      </c>
      <c r="G67" s="50">
        <v>3098128</v>
      </c>
      <c r="H67" s="50">
        <v>18207125</v>
      </c>
      <c r="I67" s="50">
        <v>44044</v>
      </c>
      <c r="J67" s="50">
        <v>0</v>
      </c>
      <c r="K67" s="50">
        <v>286860</v>
      </c>
      <c r="L67" s="50">
        <v>8698</v>
      </c>
      <c r="M67" s="50">
        <v>967435</v>
      </c>
    </row>
  </sheetData>
  <conditionalFormatting sqref="F29:F31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{f231f598-fb60-4944-9b87-9775506f4ec1}</x14:id>
        </ext>
      </extLst>
    </cfRule>
  </conditionalFormatting>
  <conditionalFormatting sqref="F32:F34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{1da64807-3e7b-4f59-a120-49ecee195c5b}</x14:id>
        </ext>
      </extLst>
    </cfRule>
  </conditionalFormatting>
  <conditionalFormatting sqref="F35:F37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{9b8636cb-6e1a-49c7-9cfc-178f7b4b7be5}</x14:id>
        </ext>
      </extLst>
    </cfRule>
  </conditionalFormatting>
  <conditionalFormatting sqref="F38:F4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{0ffb618a-927b-4f09-ae80-d812e6b02a14}</x14:id>
        </ext>
      </extLst>
    </cfRule>
  </conditionalFormatting>
  <conditionalFormatting sqref="G29:G31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{054c7c8c-269d-455a-8828-0a517bdd0575}</x14:id>
        </ext>
      </extLst>
    </cfRule>
  </conditionalFormatting>
  <conditionalFormatting sqref="G32:G34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{581a7e6b-3e36-4b24-946f-98ac08a69f67}</x14:id>
        </ext>
      </extLst>
    </cfRule>
  </conditionalFormatting>
  <conditionalFormatting sqref="G35:G37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{ef95a00c-c0cc-4ce5-accc-c6fc1fb7caba}</x14:id>
        </ext>
      </extLst>
    </cfRule>
  </conditionalFormatting>
  <conditionalFormatting sqref="G38:G4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{2b3dabd1-5efd-4508-845a-626c630591d8}</x14:id>
        </ext>
      </extLst>
    </cfRule>
  </conditionalFormatting>
  <conditionalFormatting sqref="N29:N40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{9cd8f3b7-77ae-46d6-aade-6e31083c03d9}</x14:id>
        </ext>
      </extLst>
    </cfRule>
  </conditionalFormatting>
  <conditionalFormatting sqref="N38:N4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{7adbadd6-c83e-41fb-8095-f8a5d2cc96bc}</x14:id>
        </ext>
      </extLst>
    </cfRule>
  </conditionalFormatting>
  <conditionalFormatting sqref="O2:O19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{8dc1a53f-d552-49d4-8679-62ba43988faa}</x14:id>
        </ext>
      </extLst>
    </cfRule>
  </conditionalFormatting>
  <conditionalFormatting sqref="O20:O22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{aef849ad-5dc5-424f-afb0-8c92fd06a2ca}</x14:id>
        </ext>
      </extLst>
    </cfRule>
  </conditionalFormatting>
  <conditionalFormatting sqref="O23:O25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{76e3779a-e354-4fbd-9e54-e0223af67f20}</x14:id>
        </ext>
      </extLst>
    </cfRule>
  </conditionalFormatting>
  <conditionalFormatting sqref="P2:P19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{83135d52-3b31-4a81-9fab-37e89e179cb3}</x14:id>
        </ext>
      </extLst>
    </cfRule>
  </conditionalFormatting>
  <conditionalFormatting sqref="P20:P2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{6989f4be-f614-453f-931d-960c46566a23}</x14:id>
        </ext>
      </extLst>
    </cfRule>
  </conditionalFormatting>
  <conditionalFormatting sqref="P23:P2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{75a55b32-72fa-4e97-a4dd-d8417b229ef5}</x14:id>
        </ext>
      </extLst>
    </cfRule>
  </conditionalFormatting>
  <conditionalFormatting sqref="P29:P36">
    <cfRule type="cellIs" dxfId="37" priority="11" operator="equal">
      <formula>$S$29</formula>
    </cfRule>
  </conditionalFormatting>
  <conditionalFormatting sqref="Q20:Q22">
    <cfRule type="cellIs" dxfId="38" priority="6" operator="equal">
      <formula>配置!$D$4</formula>
    </cfRule>
    <cfRule type="cellIs" dxfId="39" priority="7" operator="equal">
      <formula>配置!$D$3</formula>
    </cfRule>
    <cfRule type="cellIs" dxfId="37" priority="8" operator="equal">
      <formula>配置!$D$2</formula>
    </cfRule>
  </conditionalFormatting>
  <conditionalFormatting sqref="R29:R32">
    <cfRule type="cellIs" dxfId="37" priority="12" operator="equal">
      <formula>$S$29</formula>
    </cfRule>
  </conditionalFormatting>
  <conditionalFormatting sqref="O26:O27 Q1:R1 Q2 Q4:Q5 Q7:Q8 Q10:Q11 Q13:Q14 Q16:Q17 Q19 Q25 Q23">
    <cfRule type="cellIs" dxfId="37" priority="28" operator="equal">
      <formula>配置!$D$2</formula>
    </cfRule>
  </conditionalFormatting>
  <conditionalFormatting sqref="Q2 Q4:Q5 Q7:Q8 Q10:Q11 Q13:Q14 Q16:Q17 Q19 Q25 Q23">
    <cfRule type="cellIs" dxfId="38" priority="27" operator="equal">
      <formula>配置!$D$4</formula>
    </cfRule>
  </conditionalFormatting>
  <conditionalFormatting sqref="Q2:Q19 Q23:Q25">
    <cfRule type="cellIs" dxfId="38" priority="18" operator="equal">
      <formula>配置!$D$4</formula>
    </cfRule>
    <cfRule type="cellIs" dxfId="39" priority="19" operator="equal">
      <formula>配置!$D$3</formula>
    </cfRule>
    <cfRule type="cellIs" dxfId="37" priority="20" operator="equal">
      <formula>配置!$D$2</formula>
    </cfRule>
  </conditionalFormatting>
  <conditionalFormatting sqref="Q22 Q20">
    <cfRule type="cellIs" dxfId="38" priority="9" operator="equal">
      <formula>配置!$D$4</formula>
    </cfRule>
    <cfRule type="cellIs" dxfId="37" priority="10" operator="equal">
      <formula>配置!$D$2</formula>
    </cfRule>
  </conditionalFormatting>
  <dataValidations count="1">
    <dataValidation type="list" allowBlank="1" showInputMessage="1" showErrorMessage="1" sqref="Q2:Q25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231f598-fb60-4944-9b87-9775506f4e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1da64807-3e7b-4f59-a120-49ecee195c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9b8636cb-6e1a-49c7-9cfc-178f7b4b7b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F35:F37</xm:sqref>
        </x14:conditionalFormatting>
        <x14:conditionalFormatting xmlns:xm="http://schemas.microsoft.com/office/excel/2006/main">
          <x14:cfRule type="dataBar" id="{0ffb618a-927b-4f09-ae80-d812e6b02a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F38:F40</xm:sqref>
        </x14:conditionalFormatting>
        <x14:conditionalFormatting xmlns:xm="http://schemas.microsoft.com/office/excel/2006/main">
          <x14:cfRule type="dataBar" id="{054c7c8c-269d-455a-8828-0a517bdd05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581a7e6b-3e36-4b24-946f-98ac08a69f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ef95a00c-c0cc-4ce5-accc-c6fc1fb7ca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G35:G37</xm:sqref>
        </x14:conditionalFormatting>
        <x14:conditionalFormatting xmlns:xm="http://schemas.microsoft.com/office/excel/2006/main">
          <x14:cfRule type="dataBar" id="{2b3dabd1-5efd-4508-845a-626c630591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G38:G40</xm:sqref>
        </x14:conditionalFormatting>
        <x14:conditionalFormatting xmlns:xm="http://schemas.microsoft.com/office/excel/2006/main">
          <x14:cfRule type="dataBar" id="{9cd8f3b7-77ae-46d6-aade-6e31083c03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N29:N40</xm:sqref>
        </x14:conditionalFormatting>
        <x14:conditionalFormatting xmlns:xm="http://schemas.microsoft.com/office/excel/2006/main">
          <x14:cfRule type="dataBar" id="{7adbadd6-c83e-41fb-8095-f8a5d2cc96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N38:N40</xm:sqref>
        </x14:conditionalFormatting>
        <x14:conditionalFormatting xmlns:xm="http://schemas.microsoft.com/office/excel/2006/main">
          <x14:cfRule type="dataBar" id="{8dc1a53f-d552-49d4-8679-62ba43988f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aef849ad-5dc5-424f-afb0-8c92fd06a2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76e3779a-e354-4fbd-9e54-e0223af67f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O23:O25</xm:sqref>
        </x14:conditionalFormatting>
        <x14:conditionalFormatting xmlns:xm="http://schemas.microsoft.com/office/excel/2006/main">
          <x14:cfRule type="dataBar" id="{83135d52-3b31-4a81-9fab-37e89e179c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6989f4be-f614-453f-931d-960c46566a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  <x14:conditionalFormatting xmlns:xm="http://schemas.microsoft.com/office/excel/2006/main">
          <x14:cfRule type="dataBar" id="{75a55b32-72fa-4e97-a4dd-d8417b229e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P23:P25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1"/>
  <sheetViews>
    <sheetView topLeftCell="D16" workbookViewId="0">
      <selection activeCell="L56" sqref="L56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1">
        <v>5016</v>
      </c>
      <c r="B2" s="371">
        <f>VLOOKUP(表1_86121822242650[[#This Row],[区服]],$P$26:$Q$33,2,FALSE)</f>
        <v>53</v>
      </c>
      <c r="C2" s="372" t="s">
        <v>95</v>
      </c>
      <c r="D2" s="373" t="str">
        <f>表1_86121822242650[[#This Row],[目标国家]]</f>
        <v>魏</v>
      </c>
      <c r="E2" s="374">
        <f>(VLOOKUP(表1_86121822242650[[#This Row],[目标区服]],$R$26:$S$29,2,FALSE)-表1_86121822242650[[#This Row],[开服天数]])*配置!$B$1</f>
        <v>1000</v>
      </c>
      <c r="F2" s="374">
        <f>表1_86121822242650[[#This Row],[补偿Coin]]*(表1_86121822242650[[#This Row],[活跃高战玩家数]]+表1_86121822242650[[#This Row],[活跃中坚玩家数]])</f>
        <v>24000</v>
      </c>
      <c r="G2" s="374">
        <f>(VLOOKUP(表1_86121822242650[[#This Row],[目标区服]],$R$26:$S$29,2,FALSE)-表1_86121822242650[[#This Row],[开服天数]])*配置!$B$2</f>
        <v>10</v>
      </c>
      <c r="H2" s="376" t="s">
        <v>25</v>
      </c>
      <c r="I2" s="376">
        <f>IF(表1_86121822242650[[#This Row],[原国家]]="魏",0,IF(表1_86121822242650[[#This Row],[原国家]]="蜀",1,2))</f>
        <v>0</v>
      </c>
      <c r="J2" s="380">
        <v>4</v>
      </c>
      <c r="K2" s="380">
        <v>152</v>
      </c>
      <c r="L2" s="380">
        <v>7</v>
      </c>
      <c r="M2" s="380">
        <v>17</v>
      </c>
      <c r="N2" s="380">
        <v>140149</v>
      </c>
      <c r="O2" s="380">
        <v>2289851</v>
      </c>
      <c r="P2" s="381">
        <v>23610495</v>
      </c>
      <c r="Q2" s="31" t="s">
        <v>25</v>
      </c>
      <c r="R2" s="376">
        <f>IF(表1_86121822242650[[#This Row],[目标国家]]="魏",0,IF(表1_86121822242650[[#This Row],[目标国家]]="蜀",1,2))</f>
        <v>0</v>
      </c>
      <c r="S2" s="380">
        <v>55106</v>
      </c>
      <c r="T2" s="380">
        <v>0</v>
      </c>
      <c r="U2" s="380">
        <v>455587</v>
      </c>
      <c r="V2" s="380">
        <v>9152</v>
      </c>
      <c r="W2" s="374">
        <v>691113</v>
      </c>
      <c r="X2" s="387" t="str">
        <f>"{"&amp;"'coin':"&amp;表1_86121822242650[[#This Row],[补偿Coin]]&amp;",'"&amp;配置!$A$2&amp;"':"&amp;表1_86121822242650[[#This Row],[补偿辎重]]&amp;"},"</f>
        <v>{'coin':1000,'item036':10},</v>
      </c>
      <c r="Y2" s="388" t="str">
        <f>"      '"&amp;表1_86121822242650[[#This Row],[区服]]&amp;"':{"</f>
        <v>      '5016':{</v>
      </c>
    </row>
    <row r="3" s="354" customFormat="1" ht="14.25" customHeight="1" spans="1:25">
      <c r="A3" s="375">
        <v>5016</v>
      </c>
      <c r="B3" s="371">
        <f>VLOOKUP(表1_86121822242650[[#This Row],[区服]],$P$26:$Q$33,2,FALSE)</f>
        <v>53</v>
      </c>
      <c r="C3" s="372" t="s">
        <v>95</v>
      </c>
      <c r="D3" s="376" t="str">
        <f>表1_86121822242650[[#This Row],[目标国家]]</f>
        <v>蜀</v>
      </c>
      <c r="E3" s="380">
        <f>(VLOOKUP(表1_86121822242650[[#This Row],[目标区服]],$R$26:$S$29,2,FALSE)-表1_86121822242650[[#This Row],[开服天数]])*配置!$B$1</f>
        <v>1000</v>
      </c>
      <c r="F3" s="380">
        <f>表1_86121822242650[[#This Row],[补偿Coin]]*(表1_86121822242650[[#This Row],[活跃高战玩家数]]+表1_86121822242650[[#This Row],[活跃中坚玩家数]])</f>
        <v>17000</v>
      </c>
      <c r="G3" s="380">
        <f>(VLOOKUP(表1_86121822242650[[#This Row],[目标区服]],$R$26:$S$29,2,FALSE)-表1_86121822242650[[#This Row],[开服天数]])*配置!$B$2</f>
        <v>10</v>
      </c>
      <c r="H3" s="376" t="s">
        <v>26</v>
      </c>
      <c r="I3" s="376">
        <f>IF(表1_86121822242650[[#This Row],[原国家]]="魏",0,IF(表1_86121822242650[[#This Row],[原国家]]="蜀",1,2))</f>
        <v>1</v>
      </c>
      <c r="J3" s="380">
        <v>3</v>
      </c>
      <c r="K3" s="380">
        <v>169</v>
      </c>
      <c r="L3" s="380">
        <v>3</v>
      </c>
      <c r="M3" s="380">
        <v>14</v>
      </c>
      <c r="N3" s="380">
        <v>88516</v>
      </c>
      <c r="O3" s="380">
        <v>2743085</v>
      </c>
      <c r="P3" s="381">
        <v>16546224</v>
      </c>
      <c r="Q3" s="31" t="s">
        <v>26</v>
      </c>
      <c r="R3" s="376">
        <f>IF(表1_86121822242650[[#This Row],[目标国家]]="魏",0,IF(表1_86121822242650[[#This Row],[目标国家]]="蜀",1,2))</f>
        <v>1</v>
      </c>
      <c r="S3" s="380">
        <v>72472</v>
      </c>
      <c r="T3" s="380">
        <v>0</v>
      </c>
      <c r="U3" s="380">
        <v>281713</v>
      </c>
      <c r="V3" s="380">
        <v>9145</v>
      </c>
      <c r="W3" s="374">
        <v>855947</v>
      </c>
      <c r="X3" s="387" t="str">
        <f>"{"&amp;"'coin':"&amp;表1_86121822242650[[#This Row],[补偿Coin]]&amp;",'"&amp;配置!$A$2&amp;"':"&amp;表1_86121822242650[[#This Row],[补偿辎重]]&amp;"},"</f>
        <v>{'coin':1000,'item036':10},</v>
      </c>
      <c r="Y3" s="388" t="str">
        <f>"            'to_zone':'"&amp;表1_86121822242650[[#This Row],[目标区服]]&amp;"',
            'reward':"&amp;表1_86121822242650[[#This Row],[辅助导出]]&amp;"
            'country':["&amp;R2&amp;","&amp;R3&amp;","&amp;R4&amp;"],"</f>
        <v>            'to_zone':'h1_508',
            'reward':{'coin':1000,'item036':10},
            'country':[0,1,0],</v>
      </c>
    </row>
    <row r="4" s="354" customFormat="1" ht="14.25" customHeight="1" spans="1:25">
      <c r="A4" s="375">
        <v>5016</v>
      </c>
      <c r="B4" s="371">
        <f>VLOOKUP(表1_86121822242650[[#This Row],[区服]],$P$26:$Q$33,2,FALSE)</f>
        <v>53</v>
      </c>
      <c r="C4" s="372" t="s">
        <v>95</v>
      </c>
      <c r="D4" s="376" t="str">
        <f>表1_86121822242650[[#This Row],[目标国家]]</f>
        <v>魏</v>
      </c>
      <c r="E4" s="380">
        <f>(VLOOKUP(表1_86121822242650[[#This Row],[目标区服]],$R$26:$S$29,2,FALSE)-表1_86121822242650[[#This Row],[开服天数]])*配置!$B$1</f>
        <v>1000</v>
      </c>
      <c r="F4" s="380">
        <f>表1_86121822242650[[#This Row],[补偿Coin]]*(表1_86121822242650[[#This Row],[活跃高战玩家数]]+表1_86121822242650[[#This Row],[活跃中坚玩家数]])</f>
        <v>16000</v>
      </c>
      <c r="G4" s="380">
        <f>(VLOOKUP(表1_86121822242650[[#This Row],[目标区服]],$R$26:$S$29,2,FALSE)-表1_86121822242650[[#This Row],[开服天数]])*配置!$B$2</f>
        <v>10</v>
      </c>
      <c r="H4" s="376" t="s">
        <v>27</v>
      </c>
      <c r="I4" s="376">
        <f>IF(表1_86121822242650[[#This Row],[原国家]]="魏",0,IF(表1_86121822242650[[#This Row],[原国家]]="蜀",1,2))</f>
        <v>2</v>
      </c>
      <c r="J4" s="380">
        <v>2</v>
      </c>
      <c r="K4" s="380">
        <v>74</v>
      </c>
      <c r="L4" s="380">
        <v>0</v>
      </c>
      <c r="M4" s="380">
        <v>16</v>
      </c>
      <c r="N4" s="380">
        <v>68403</v>
      </c>
      <c r="O4" s="380">
        <v>1197554</v>
      </c>
      <c r="P4" s="381">
        <v>10894718</v>
      </c>
      <c r="Q4" s="31" t="s">
        <v>25</v>
      </c>
      <c r="R4" s="376">
        <f>IF(表1_86121822242650[[#This Row],[目标国家]]="魏",0,IF(表1_86121822242650[[#This Row],[目标国家]]="蜀",1,2))</f>
        <v>0</v>
      </c>
      <c r="S4" s="380">
        <v>8218</v>
      </c>
      <c r="T4" s="380">
        <v>0</v>
      </c>
      <c r="U4" s="380">
        <v>118201</v>
      </c>
      <c r="V4" s="380">
        <v>3874</v>
      </c>
      <c r="W4" s="374">
        <v>326998</v>
      </c>
      <c r="X4" s="387" t="str">
        <f>"{"&amp;"'coin':"&amp;表1_86121822242650[[#This Row],[补偿Coin]]&amp;",'"&amp;配置!$A$2&amp;"':"&amp;表1_86121822242650[[#This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5">
        <v>5017</v>
      </c>
      <c r="B5" s="371">
        <f>VLOOKUP(表1_86121822242650[[#This Row],[区服]],$P$26:$Q$33,2,FALSE)</f>
        <v>52</v>
      </c>
      <c r="C5" s="372" t="s">
        <v>95</v>
      </c>
      <c r="D5" s="376" t="str">
        <f>表1_86121822242650[[#This Row],[目标国家]]</f>
        <v>吴</v>
      </c>
      <c r="E5" s="380">
        <f>(VLOOKUP(表1_86121822242650[[#This Row],[目标区服]],$R$26:$S$29,2,FALSE)-表1_86121822242650[[#This Row],[开服天数]])*配置!$B$1</f>
        <v>1500</v>
      </c>
      <c r="F5" s="380">
        <f>表1_86121822242650[[#This Row],[补偿Coin]]*(表1_86121822242650[[#This Row],[活跃高战玩家数]]+表1_86121822242650[[#This Row],[活跃中坚玩家数]])</f>
        <v>24000</v>
      </c>
      <c r="G5" s="380">
        <f>(VLOOKUP(表1_86121822242650[[#This Row],[目标区服]],$R$26:$S$29,2,FALSE)-表1_86121822242650[[#This Row],[开服天数]])*配置!$B$2</f>
        <v>15</v>
      </c>
      <c r="H5" s="376" t="s">
        <v>25</v>
      </c>
      <c r="I5" s="376">
        <f>IF(表1_86121822242650[[#This Row],[原国家]]="魏",0,IF(表1_86121822242650[[#This Row],[原国家]]="蜀",1,2))</f>
        <v>0</v>
      </c>
      <c r="J5" s="380">
        <v>3</v>
      </c>
      <c r="K5" s="380">
        <v>73</v>
      </c>
      <c r="L5" s="380">
        <v>3</v>
      </c>
      <c r="M5" s="380">
        <v>13</v>
      </c>
      <c r="N5" s="380">
        <v>76325</v>
      </c>
      <c r="O5" s="380">
        <v>1907598</v>
      </c>
      <c r="P5" s="381">
        <v>12804388</v>
      </c>
      <c r="Q5" s="31" t="s">
        <v>27</v>
      </c>
      <c r="R5" s="376">
        <f>IF(表1_86121822242650[[#This Row],[目标国家]]="魏",0,IF(表1_86121822242650[[#This Row],[目标国家]]="蜀",1,2))</f>
        <v>2</v>
      </c>
      <c r="S5" s="380">
        <v>22902</v>
      </c>
      <c r="T5" s="380">
        <v>0</v>
      </c>
      <c r="U5" s="380">
        <v>319003</v>
      </c>
      <c r="V5" s="380">
        <v>5446</v>
      </c>
      <c r="W5" s="374">
        <v>532992</v>
      </c>
      <c r="X5" s="387" t="str">
        <f>"{"&amp;"'coin':"&amp;表1_86121822242650[[#This Row],[补偿Coin]]&amp;",'"&amp;配置!$A$2&amp;"':"&amp;表1_86121822242650[[#This Row],[补偿辎重]]&amp;"},"</f>
        <v>{'coin':1500,'item036':15},</v>
      </c>
      <c r="Y5" s="388" t="str">
        <f>"      '"&amp;表1_86121822242650[[#This Row],[区服]]&amp;"':{"</f>
        <v>      '5017':{</v>
      </c>
    </row>
    <row r="6" s="354" customFormat="1" ht="14.25" customHeight="1" spans="1:25">
      <c r="A6" s="375">
        <v>5017</v>
      </c>
      <c r="B6" s="371">
        <f>VLOOKUP(表1_86121822242650[[#This Row],[区服]],$P$26:$Q$33,2,FALSE)</f>
        <v>52</v>
      </c>
      <c r="C6" s="372" t="s">
        <v>95</v>
      </c>
      <c r="D6" s="376" t="str">
        <f>表1_86121822242650[[#This Row],[目标国家]]</f>
        <v>蜀</v>
      </c>
      <c r="E6" s="380">
        <f>(VLOOKUP(表1_86121822242650[[#This Row],[目标区服]],$R$26:$S$29,2,FALSE)-表1_86121822242650[[#This Row],[开服天数]])*配置!$B$1</f>
        <v>1500</v>
      </c>
      <c r="F6" s="380">
        <f>表1_86121822242650[[#This Row],[补偿Coin]]*(表1_86121822242650[[#This Row],[活跃高战玩家数]]+表1_86121822242650[[#This Row],[活跃中坚玩家数]])</f>
        <v>25500</v>
      </c>
      <c r="G6" s="380">
        <f>(VLOOKUP(表1_86121822242650[[#This Row],[目标区服]],$R$26:$S$29,2,FALSE)-表1_86121822242650[[#This Row],[开服天数]])*配置!$B$2</f>
        <v>15</v>
      </c>
      <c r="H6" s="376" t="s">
        <v>26</v>
      </c>
      <c r="I6" s="376">
        <f>IF(表1_86121822242650[[#This Row],[原国家]]="魏",0,IF(表1_86121822242650[[#This Row],[原国家]]="蜀",1,2))</f>
        <v>1</v>
      </c>
      <c r="J6" s="380">
        <v>1</v>
      </c>
      <c r="K6" s="380">
        <v>105</v>
      </c>
      <c r="L6" s="380">
        <v>5</v>
      </c>
      <c r="M6" s="380">
        <v>12</v>
      </c>
      <c r="N6" s="380">
        <v>87968</v>
      </c>
      <c r="O6" s="380">
        <v>2059503</v>
      </c>
      <c r="P6" s="381">
        <v>14586980</v>
      </c>
      <c r="Q6" s="31" t="s">
        <v>26</v>
      </c>
      <c r="R6" s="376">
        <f>IF(表1_86121822242650[[#This Row],[目标国家]]="魏",0,IF(表1_86121822242650[[#This Row],[目标国家]]="蜀",1,2))</f>
        <v>1</v>
      </c>
      <c r="S6" s="380">
        <v>39490</v>
      </c>
      <c r="T6" s="380">
        <v>0</v>
      </c>
      <c r="U6" s="380">
        <v>197479</v>
      </c>
      <c r="V6" s="380">
        <v>6391</v>
      </c>
      <c r="W6" s="374">
        <v>525969</v>
      </c>
      <c r="X6" s="387" t="str">
        <f>"{"&amp;"'coin':"&amp;表1_86121822242650[[#This Row],[补偿Coin]]&amp;",'"&amp;配置!$A$2&amp;"':"&amp;表1_86121822242650[[#This Row],[补偿辎重]]&amp;"},"</f>
        <v>{'coin':1500,'item036':15},</v>
      </c>
      <c r="Y6" s="388" t="str">
        <f>"            'to_zone':'"&amp;表1_86121822242650[[#This Row],[目标区服]]&amp;"',
            'reward':"&amp;表1_86121822242650[[#This Row],[辅助导出]]&amp;"
            'country':["&amp;R5&amp;","&amp;R6&amp;","&amp;R7&amp;"],"</f>
        <v>            'to_zone':'h1_508',
            'reward':{'coin':1500,'item036':15},
            'country':[2,1,2],</v>
      </c>
    </row>
    <row r="7" s="354" customFormat="1" ht="14.25" customHeight="1" spans="1:25">
      <c r="A7" s="375">
        <v>5017</v>
      </c>
      <c r="B7" s="371">
        <f>VLOOKUP(表1_86121822242650[[#This Row],[区服]],$P$26:$Q$33,2,FALSE)</f>
        <v>52</v>
      </c>
      <c r="C7" s="372" t="s">
        <v>95</v>
      </c>
      <c r="D7" s="376" t="str">
        <f>表1_86121822242650[[#This Row],[目标国家]]</f>
        <v>吴</v>
      </c>
      <c r="E7" s="380">
        <f>(VLOOKUP(表1_86121822242650[[#This Row],[目标区服]],$R$26:$S$29,2,FALSE)-表1_86121822242650[[#This Row],[开服天数]])*配置!$B$1</f>
        <v>1500</v>
      </c>
      <c r="F7" s="380">
        <f>表1_86121822242650[[#This Row],[补偿Coin]]*(表1_86121822242650[[#This Row],[活跃高战玩家数]]+表1_86121822242650[[#This Row],[活跃中坚玩家数]])</f>
        <v>34500</v>
      </c>
      <c r="G7" s="380">
        <f>(VLOOKUP(表1_86121822242650[[#This Row],[目标区服]],$R$26:$S$29,2,FALSE)-表1_86121822242650[[#This Row],[开服天数]])*配置!$B$2</f>
        <v>15</v>
      </c>
      <c r="H7" s="376" t="s">
        <v>27</v>
      </c>
      <c r="I7" s="376">
        <f>IF(表1_86121822242650[[#This Row],[原国家]]="魏",0,IF(表1_86121822242650[[#This Row],[原国家]]="蜀",1,2))</f>
        <v>2</v>
      </c>
      <c r="J7" s="380">
        <v>5</v>
      </c>
      <c r="K7" s="380">
        <v>217</v>
      </c>
      <c r="L7" s="380">
        <v>2</v>
      </c>
      <c r="M7" s="380">
        <v>21</v>
      </c>
      <c r="N7" s="380">
        <v>121540</v>
      </c>
      <c r="O7" s="380">
        <v>3206211</v>
      </c>
      <c r="P7" s="381">
        <v>22957624</v>
      </c>
      <c r="Q7" s="31" t="s">
        <v>27</v>
      </c>
      <c r="R7" s="376">
        <f>IF(表1_86121822242650[[#This Row],[目标国家]]="魏",0,IF(表1_86121822242650[[#This Row],[目标国家]]="蜀",1,2))</f>
        <v>2</v>
      </c>
      <c r="S7" s="380">
        <v>107004</v>
      </c>
      <c r="T7" s="380">
        <v>0</v>
      </c>
      <c r="U7" s="380">
        <v>295558</v>
      </c>
      <c r="V7" s="380">
        <v>12137</v>
      </c>
      <c r="W7" s="374">
        <v>967654</v>
      </c>
      <c r="X7" s="387" t="str">
        <f>"{"&amp;"'coin':"&amp;表1_86121822242650[[#This Row],[补偿Coin]]&amp;",'"&amp;配置!$A$2&amp;"':"&amp;表1_86121822242650[[#This Row],[补偿辎重]]&amp;"},"</f>
        <v>{'coin':1500,'item036':15},</v>
      </c>
      <c r="Y7" s="388" t="str">
        <f t="shared" ref="Y7" si="0">"      },"</f>
        <v>      },</v>
      </c>
    </row>
    <row r="8" s="354" customFormat="1" ht="14.25" customHeight="1" spans="1:25">
      <c r="A8" s="259">
        <v>5018</v>
      </c>
      <c r="B8" s="210">
        <f>VLOOKUP(表1_86121822242650[[#This Row],[区服]],$P$26:$Q$33,2,FALSE)</f>
        <v>51</v>
      </c>
      <c r="C8" s="296" t="s">
        <v>96</v>
      </c>
      <c r="D8" s="212" t="str">
        <f>表1_86121822242650[[#This Row],[目标国家]]</f>
        <v>魏</v>
      </c>
      <c r="E8" s="213">
        <f>(VLOOKUP(表1_86121822242650[[#This Row],[目标区服]],$R$26:$S$29,2,FALSE)-表1_86121822242650[[#This Row],[开服天数]])*配置!$B$1</f>
        <v>1000</v>
      </c>
      <c r="F8" s="213">
        <f>表1_86121822242650[[#This Row],[补偿Coin]]*(表1_86121822242650[[#This Row],[活跃高战玩家数]]+表1_86121822242650[[#This Row],[活跃中坚玩家数]])</f>
        <v>27000</v>
      </c>
      <c r="G8" s="260">
        <f>(VLOOKUP(表1_86121822242650[[#This Row],[目标区服]],$R$26:$S$29,2,FALSE)-表1_86121822242650[[#This Row],[开服天数]])*配置!$B$2</f>
        <v>10</v>
      </c>
      <c r="H8" s="212" t="s">
        <v>25</v>
      </c>
      <c r="I8" s="268">
        <f>IF(表1_86121822242650[[#This Row],[原国家]]="魏",0,IF(表1_86121822242650[[#This Row],[原国家]]="蜀",1,2))</f>
        <v>0</v>
      </c>
      <c r="J8" s="213">
        <v>4</v>
      </c>
      <c r="K8" s="213">
        <v>187</v>
      </c>
      <c r="L8" s="213">
        <v>6</v>
      </c>
      <c r="M8" s="213">
        <v>21</v>
      </c>
      <c r="N8" s="213">
        <v>140085</v>
      </c>
      <c r="O8" s="419">
        <v>2217329</v>
      </c>
      <c r="P8" s="420">
        <v>21875138</v>
      </c>
      <c r="Q8" s="31" t="s">
        <v>25</v>
      </c>
      <c r="R8" s="212">
        <f>IF(表1_86121822242650[[#This Row],[目标国家]]="魏",0,IF(表1_86121822242650[[#This Row],[目标国家]]="蜀",1,2))</f>
        <v>0</v>
      </c>
      <c r="S8" s="213">
        <v>13208</v>
      </c>
      <c r="T8" s="213">
        <v>0</v>
      </c>
      <c r="U8" s="213">
        <v>343846</v>
      </c>
      <c r="V8" s="213">
        <v>7943</v>
      </c>
      <c r="W8" s="213">
        <v>667336</v>
      </c>
      <c r="X8" s="278" t="str">
        <f>"{"&amp;"'coin':"&amp;表1_86121822242650[[#This Row],[补偿Coin]]&amp;",'"&amp;配置!$A$2&amp;"':"&amp;表1_86121822242650[[#This Row],[补偿辎重]]&amp;"},"</f>
        <v>{'coin':1000,'item036':10},</v>
      </c>
      <c r="Y8" s="278" t="str">
        <f>"      '"&amp;表1_86121822242650[[#This Row],[区服]]&amp;"':{"</f>
        <v>      '5018':{</v>
      </c>
    </row>
    <row r="9" s="354" customFormat="1" ht="14.25" customHeight="1" spans="1:25">
      <c r="A9" s="259">
        <v>5018</v>
      </c>
      <c r="B9" s="210">
        <f>VLOOKUP(表1_86121822242650[[#This Row],[区服]],$P$26:$Q$33,2,FALSE)</f>
        <v>51</v>
      </c>
      <c r="C9" s="296" t="s">
        <v>96</v>
      </c>
      <c r="D9" s="212" t="str">
        <f>表1_86121822242650[[#This Row],[目标国家]]</f>
        <v>吴</v>
      </c>
      <c r="E9" s="213">
        <f>(VLOOKUP(表1_86121822242650[[#This Row],[目标区服]],$R$26:$S$29,2,FALSE)-表1_86121822242650[[#This Row],[开服天数]])*配置!$B$1</f>
        <v>1000</v>
      </c>
      <c r="F9" s="213">
        <f>表1_86121822242650[[#This Row],[补偿Coin]]*(表1_86121822242650[[#This Row],[活跃高战玩家数]]+表1_86121822242650[[#This Row],[活跃中坚玩家数]])</f>
        <v>14000</v>
      </c>
      <c r="G9" s="260">
        <f>(VLOOKUP(表1_86121822242650[[#This Row],[目标区服]],$R$26:$S$29,2,FALSE)-表1_86121822242650[[#This Row],[开服天数]])*配置!$B$2</f>
        <v>10</v>
      </c>
      <c r="H9" s="212" t="s">
        <v>26</v>
      </c>
      <c r="I9" s="268">
        <f>IF(表1_86121822242650[[#This Row],[原国家]]="魏",0,IF(表1_86121822242650[[#This Row],[原国家]]="蜀",1,2))</f>
        <v>1</v>
      </c>
      <c r="J9" s="213">
        <v>1</v>
      </c>
      <c r="K9" s="213">
        <v>75</v>
      </c>
      <c r="L9" s="213">
        <v>0</v>
      </c>
      <c r="M9" s="213">
        <v>14</v>
      </c>
      <c r="N9" s="213">
        <v>50609</v>
      </c>
      <c r="O9" s="419">
        <v>1286000</v>
      </c>
      <c r="P9" s="420">
        <v>7861119</v>
      </c>
      <c r="Q9" s="31" t="s">
        <v>27</v>
      </c>
      <c r="R9" s="212">
        <f>IF(表1_86121822242650[[#This Row],[目标国家]]="魏",0,IF(表1_86121822242650[[#This Row],[目标国家]]="蜀",1,2))</f>
        <v>2</v>
      </c>
      <c r="S9" s="213">
        <v>3264</v>
      </c>
      <c r="T9" s="213">
        <v>0</v>
      </c>
      <c r="U9" s="213">
        <v>117838</v>
      </c>
      <c r="V9" s="213">
        <v>3331</v>
      </c>
      <c r="W9" s="213">
        <v>560929</v>
      </c>
      <c r="X9" s="278" t="str">
        <f>"{"&amp;"'coin':"&amp;表1_86121822242650[[#This Row],[补偿Coin]]&amp;",'"&amp;配置!$A$2&amp;"':"&amp;表1_86121822242650[[#This Row],[补偿辎重]]&amp;"},"</f>
        <v>{'coin':1000,'item036':10},</v>
      </c>
      <c r="Y9" s="278" t="str">
        <f>"            'to_zone':'"&amp;表1_86121822242650[[#This Row],[目标区服]]&amp;"',
            'reward':"&amp;表1_86121822242650[[#This Row],[辅助导出]]&amp;"
            'country':["&amp;R8&amp;","&amp;R9&amp;","&amp;R10&amp;"],"</f>
        <v>            'to_zone':'h1_509',
            'reward':{'coin':1000,'item036':10},
            'country':[0,2,2],</v>
      </c>
    </row>
    <row r="10" s="354" customFormat="1" ht="14.25" customHeight="1" spans="1:25">
      <c r="A10" s="259">
        <v>5018</v>
      </c>
      <c r="B10" s="210">
        <f>VLOOKUP(表1_86121822242650[[#This Row],[区服]],$P$26:$Q$33,2,FALSE)</f>
        <v>51</v>
      </c>
      <c r="C10" s="296" t="s">
        <v>96</v>
      </c>
      <c r="D10" s="212" t="str">
        <f>表1_86121822242650[[#This Row],[目标国家]]</f>
        <v>吴</v>
      </c>
      <c r="E10" s="213">
        <f>(VLOOKUP(表1_86121822242650[[#This Row],[目标区服]],$R$26:$S$29,2,FALSE)-表1_86121822242650[[#This Row],[开服天数]])*配置!$B$1</f>
        <v>1000</v>
      </c>
      <c r="F10" s="213">
        <f>表1_86121822242650[[#This Row],[补偿Coin]]*(表1_86121822242650[[#This Row],[活跃高战玩家数]]+表1_86121822242650[[#This Row],[活跃中坚玩家数]])</f>
        <v>15000</v>
      </c>
      <c r="G10" s="260">
        <f>(VLOOKUP(表1_86121822242650[[#This Row],[目标区服]],$R$26:$S$29,2,FALSE)-表1_86121822242650[[#This Row],[开服天数]])*配置!$B$2</f>
        <v>10</v>
      </c>
      <c r="H10" s="212" t="s">
        <v>27</v>
      </c>
      <c r="I10" s="268">
        <f>IF(表1_86121822242650[[#This Row],[原国家]]="魏",0,IF(表1_86121822242650[[#This Row],[原国家]]="蜀",1,2))</f>
        <v>2</v>
      </c>
      <c r="J10" s="213">
        <v>4</v>
      </c>
      <c r="K10" s="213">
        <v>133</v>
      </c>
      <c r="L10" s="213">
        <v>3</v>
      </c>
      <c r="M10" s="213">
        <v>12</v>
      </c>
      <c r="N10" s="213">
        <v>68531</v>
      </c>
      <c r="O10" s="419">
        <v>2685718</v>
      </c>
      <c r="P10" s="420">
        <v>12090813</v>
      </c>
      <c r="Q10" s="31" t="s">
        <v>27</v>
      </c>
      <c r="R10" s="212">
        <f>IF(表1_86121822242650[[#This Row],[目标国家]]="魏",0,IF(表1_86121822242650[[#This Row],[目标国家]]="蜀",1,2))</f>
        <v>2</v>
      </c>
      <c r="S10" s="213">
        <v>55668</v>
      </c>
      <c r="T10" s="213">
        <v>0</v>
      </c>
      <c r="U10" s="213">
        <v>228544</v>
      </c>
      <c r="V10" s="213">
        <v>7751</v>
      </c>
      <c r="W10" s="213">
        <v>923006</v>
      </c>
      <c r="X10" s="278" t="str">
        <f>"{"&amp;"'coin':"&amp;表1_86121822242650[[#This Row],[补偿Coin]]&amp;",'"&amp;配置!$A$2&amp;"':"&amp;表1_86121822242650[[#This Row],[补偿辎重]]&amp;"},"</f>
        <v>{'coin':1000,'item036':10},</v>
      </c>
      <c r="Y10" s="278" t="str">
        <f>"      },"</f>
        <v>      },</v>
      </c>
    </row>
    <row r="11" s="354" customFormat="1" ht="14.25" customHeight="1" spans="1:25">
      <c r="A11" s="259">
        <v>5019</v>
      </c>
      <c r="B11" s="210">
        <f>VLOOKUP(表1_86121822242650[[#This Row],[区服]],$P$26:$Q$33,2,FALSE)</f>
        <v>50</v>
      </c>
      <c r="C11" s="296" t="s">
        <v>96</v>
      </c>
      <c r="D11" s="212" t="str">
        <f>表1_86121822242650[[#This Row],[目标国家]]</f>
        <v>魏</v>
      </c>
      <c r="E11" s="213">
        <f>(VLOOKUP(表1_86121822242650[[#This Row],[目标区服]],$R$26:$S$29,2,FALSE)-表1_86121822242650[[#This Row],[开服天数]])*配置!$B$1</f>
        <v>1500</v>
      </c>
      <c r="F11" s="213">
        <f>表1_86121822242650[[#This Row],[补偿Coin]]*(表1_86121822242650[[#This Row],[活跃高战玩家数]]+表1_86121822242650[[#This Row],[活跃中坚玩家数]])</f>
        <v>33000</v>
      </c>
      <c r="G11" s="260">
        <f>(VLOOKUP(表1_86121822242650[[#This Row],[目标区服]],$R$26:$S$29,2,FALSE)-表1_86121822242650[[#This Row],[开服天数]])*配置!$B$2</f>
        <v>15</v>
      </c>
      <c r="H11" s="212" t="s">
        <v>25</v>
      </c>
      <c r="I11" s="268">
        <f>IF(表1_86121822242650[[#This Row],[原国家]]="魏",0,IF(表1_86121822242650[[#This Row],[原国家]]="蜀",1,2))</f>
        <v>0</v>
      </c>
      <c r="J11" s="213">
        <v>4</v>
      </c>
      <c r="K11" s="213">
        <v>170</v>
      </c>
      <c r="L11" s="213">
        <v>5</v>
      </c>
      <c r="M11" s="213">
        <v>17</v>
      </c>
      <c r="N11" s="213">
        <v>119240</v>
      </c>
      <c r="O11" s="419">
        <v>2537301</v>
      </c>
      <c r="P11" s="420">
        <v>20020056</v>
      </c>
      <c r="Q11" s="31" t="s">
        <v>25</v>
      </c>
      <c r="R11" s="212">
        <f>IF(表1_86121822242650[[#This Row],[目标国家]]="魏",0,IF(表1_86121822242650[[#This Row],[目标国家]]="蜀",1,2))</f>
        <v>0</v>
      </c>
      <c r="S11" s="213">
        <v>38872</v>
      </c>
      <c r="T11" s="213">
        <v>0</v>
      </c>
      <c r="U11" s="213">
        <v>441646</v>
      </c>
      <c r="V11" s="213">
        <v>8622</v>
      </c>
      <c r="W11" s="213">
        <v>604866</v>
      </c>
      <c r="X11" s="278" t="str">
        <f>"{"&amp;"'coin':"&amp;表1_86121822242650[[#This Row],[补偿Coin]]&amp;",'"&amp;配置!$A$2&amp;"':"&amp;表1_86121822242650[[#This Row],[补偿辎重]]&amp;"},"</f>
        <v>{'coin':1500,'item036':15},</v>
      </c>
      <c r="Y11" s="278" t="str">
        <f>"      '"&amp;表1_86121822242650[[#This Row],[区服]]&amp;"':{"</f>
        <v>      '5019':{</v>
      </c>
    </row>
    <row r="12" s="354" customFormat="1" ht="14.25" customHeight="1" spans="1:25">
      <c r="A12" s="259">
        <v>5019</v>
      </c>
      <c r="B12" s="210">
        <f>VLOOKUP(表1_86121822242650[[#This Row],[区服]],$P$26:$Q$33,2,FALSE)</f>
        <v>50</v>
      </c>
      <c r="C12" s="296" t="s">
        <v>96</v>
      </c>
      <c r="D12" s="212" t="str">
        <f>表1_86121822242650[[#This Row],[目标国家]]</f>
        <v>蜀</v>
      </c>
      <c r="E12" s="213">
        <f>(VLOOKUP(表1_86121822242650[[#This Row],[目标区服]],$R$26:$S$29,2,FALSE)-表1_86121822242650[[#This Row],[开服天数]])*配置!$B$1</f>
        <v>1500</v>
      </c>
      <c r="F12" s="213">
        <f>表1_86121822242650[[#This Row],[补偿Coin]]*(表1_86121822242650[[#This Row],[活跃高战玩家数]]+表1_86121822242650[[#This Row],[活跃中坚玩家数]])</f>
        <v>30000</v>
      </c>
      <c r="G12" s="260">
        <f>(VLOOKUP(表1_86121822242650[[#This Row],[目标区服]],$R$26:$S$29,2,FALSE)-表1_86121822242650[[#This Row],[开服天数]])*配置!$B$2</f>
        <v>15</v>
      </c>
      <c r="H12" s="212" t="s">
        <v>26</v>
      </c>
      <c r="I12" s="268">
        <f>IF(表1_86121822242650[[#This Row],[原国家]]="魏",0,IF(表1_86121822242650[[#This Row],[原国家]]="蜀",1,2))</f>
        <v>1</v>
      </c>
      <c r="J12" s="213">
        <v>2</v>
      </c>
      <c r="K12" s="213">
        <v>87</v>
      </c>
      <c r="L12" s="213">
        <v>1</v>
      </c>
      <c r="M12" s="213">
        <v>19</v>
      </c>
      <c r="N12" s="213">
        <v>77247</v>
      </c>
      <c r="O12" s="419">
        <v>1556090</v>
      </c>
      <c r="P12" s="420">
        <v>13002103</v>
      </c>
      <c r="Q12" s="31" t="s">
        <v>26</v>
      </c>
      <c r="R12" s="212">
        <f>IF(表1_86121822242650[[#This Row],[目标国家]]="魏",0,IF(表1_86121822242650[[#This Row],[目标国家]]="蜀",1,2))</f>
        <v>1</v>
      </c>
      <c r="S12" s="213">
        <v>14492</v>
      </c>
      <c r="T12" s="213">
        <v>0</v>
      </c>
      <c r="U12" s="213">
        <v>220313</v>
      </c>
      <c r="V12" s="213">
        <v>4857</v>
      </c>
      <c r="W12" s="213">
        <v>507094</v>
      </c>
      <c r="X12" s="278" t="str">
        <f>"{"&amp;"'coin':"&amp;表1_86121822242650[[#This Row],[补偿Coin]]&amp;",'"&amp;配置!$A$2&amp;"':"&amp;表1_86121822242650[[#This Row],[补偿辎重]]&amp;"},"</f>
        <v>{'coin':1500,'item036':15},</v>
      </c>
      <c r="Y12" s="278" t="str">
        <f>"            'to_zone':'"&amp;表1_86121822242650[[#This Row],[目标区服]]&amp;"',
            'reward':"&amp;表1_86121822242650[[#This Row],[辅助导出]]&amp;"
            'country':["&amp;R11&amp;","&amp;R12&amp;","&amp;R13&amp;"],"</f>
        <v>            'to_zone':'h1_509',
            'reward':{'coin':1500,'item036':15},
            'country':[0,1,1],</v>
      </c>
    </row>
    <row r="13" s="354" customFormat="1" ht="14.25" customHeight="1" spans="1:25">
      <c r="A13" s="259">
        <v>5019</v>
      </c>
      <c r="B13" s="210">
        <f>VLOOKUP(表1_86121822242650[[#This Row],[区服]],$P$26:$Q$33,2,FALSE)</f>
        <v>50</v>
      </c>
      <c r="C13" s="296" t="s">
        <v>96</v>
      </c>
      <c r="D13" s="212" t="str">
        <f>表1_86121822242650[[#This Row],[目标国家]]</f>
        <v>蜀</v>
      </c>
      <c r="E13" s="213">
        <f>(VLOOKUP(表1_86121822242650[[#This Row],[目标区服]],$R$26:$S$29,2,FALSE)-表1_86121822242650[[#This Row],[开服天数]])*配置!$B$1</f>
        <v>1500</v>
      </c>
      <c r="F13" s="213">
        <f>表1_86121822242650[[#This Row],[补偿Coin]]*(表1_86121822242650[[#This Row],[活跃高战玩家数]]+表1_86121822242650[[#This Row],[活跃中坚玩家数]])</f>
        <v>33000</v>
      </c>
      <c r="G13" s="260">
        <f>(VLOOKUP(表1_86121822242650[[#This Row],[目标区服]],$R$26:$S$29,2,FALSE)-表1_86121822242650[[#This Row],[开服天数]])*配置!$B$2</f>
        <v>15</v>
      </c>
      <c r="H13" s="212" t="s">
        <v>27</v>
      </c>
      <c r="I13" s="268">
        <f>IF(表1_86121822242650[[#This Row],[原国家]]="魏",0,IF(表1_86121822242650[[#This Row],[原国家]]="蜀",1,2))</f>
        <v>2</v>
      </c>
      <c r="J13" s="213">
        <v>3</v>
      </c>
      <c r="K13" s="213">
        <v>138</v>
      </c>
      <c r="L13" s="213">
        <v>3</v>
      </c>
      <c r="M13" s="213">
        <v>19</v>
      </c>
      <c r="N13" s="213">
        <v>84071</v>
      </c>
      <c r="O13" s="419">
        <v>2627796</v>
      </c>
      <c r="P13" s="420">
        <v>15746055</v>
      </c>
      <c r="Q13" s="31" t="s">
        <v>26</v>
      </c>
      <c r="R13" s="212">
        <f>IF(表1_86121822242650[[#This Row],[目标国家]]="魏",0,IF(表1_86121822242650[[#This Row],[目标国家]]="蜀",1,2))</f>
        <v>1</v>
      </c>
      <c r="S13" s="213">
        <v>30724</v>
      </c>
      <c r="T13" s="213">
        <v>0</v>
      </c>
      <c r="U13" s="213">
        <v>176100</v>
      </c>
      <c r="V13" s="213">
        <v>7312</v>
      </c>
      <c r="W13" s="213">
        <v>875751</v>
      </c>
      <c r="X13" s="278" t="str">
        <f>"{"&amp;"'coin':"&amp;表1_86121822242650[[#This Row],[补偿Coin]]&amp;",'"&amp;配置!$A$2&amp;"':"&amp;表1_86121822242650[[#This Row],[补偿辎重]]&amp;"},"</f>
        <v>{'coin':1500,'item036':15},</v>
      </c>
      <c r="Y13" s="278" t="str">
        <f t="shared" ref="Y13" si="1">"      },"</f>
        <v>      },</v>
      </c>
    </row>
    <row r="14" ht="14.25" customHeight="1" spans="1:25">
      <c r="A14" s="17">
        <v>5020</v>
      </c>
      <c r="B14" s="17">
        <f>VLOOKUP(表1_86121822242650[[#This Row],[区服]],$P$26:$Q$33,2,FALSE)</f>
        <v>49</v>
      </c>
      <c r="C14" s="18" t="s">
        <v>97</v>
      </c>
      <c r="D14" s="19" t="str">
        <f>表1_86121822242650[[#This Row],[目标国家]]</f>
        <v>魏</v>
      </c>
      <c r="E14" s="20">
        <f>(VLOOKUP(表1_86121822242650[[#This Row],[目标区服]],$R$26:$S$29,2,FALSE)-表1_86121822242650[[#This Row],[开服天数]])*配置!$B$1</f>
        <v>1000</v>
      </c>
      <c r="F14" s="20">
        <f>表1_86121822242650[[#This Row],[补偿Coin]]*(表1_86121822242650[[#This Row],[活跃高战玩家数]]+表1_86121822242650[[#This Row],[活跃中坚玩家数]])</f>
        <v>19000</v>
      </c>
      <c r="G14" s="20">
        <f>(VLOOKUP(表1_86121822242650[[#This Row],[目标区服]],$R$26:$S$29,2,FALSE)-表1_86121822242650[[#This Row],[开服天数]])*配置!$B$2</f>
        <v>10</v>
      </c>
      <c r="H14" s="19" t="s">
        <v>25</v>
      </c>
      <c r="I14" s="19">
        <f>IF(表1_86121822242650[[#This Row],[原国家]]="魏",0,IF(表1_86121822242650[[#This Row],[原国家]]="蜀",1,2))</f>
        <v>0</v>
      </c>
      <c r="J14" s="20">
        <v>3</v>
      </c>
      <c r="K14" s="20">
        <v>145</v>
      </c>
      <c r="L14" s="20">
        <v>5</v>
      </c>
      <c r="M14" s="20">
        <v>14</v>
      </c>
      <c r="N14" s="20">
        <v>100719</v>
      </c>
      <c r="O14" s="20">
        <v>2638254</v>
      </c>
      <c r="P14" s="26">
        <v>18124755</v>
      </c>
      <c r="Q14" s="31" t="s">
        <v>25</v>
      </c>
      <c r="R14" s="19">
        <f>IF(表1_86121822242650[[#This Row],[目标国家]]="魏",0,IF(表1_86121822242650[[#This Row],[目标国家]]="蜀",1,2))</f>
        <v>0</v>
      </c>
      <c r="S14" s="20">
        <v>103610</v>
      </c>
      <c r="T14" s="20">
        <v>0</v>
      </c>
      <c r="U14" s="20">
        <v>390069</v>
      </c>
      <c r="V14" s="20">
        <v>10007</v>
      </c>
      <c r="W14" s="32">
        <v>807675</v>
      </c>
      <c r="X14" s="33" t="str">
        <f>"{"&amp;"'coin':"&amp;表1_86121822242650[[#This Row],[补偿Coin]]&amp;",'"&amp;配置!$A$2&amp;"':"&amp;表1_86121822242650[[#This Row],[补偿辎重]]&amp;"},"</f>
        <v>{'coin':1000,'item036':10},</v>
      </c>
      <c r="Y14" s="34" t="str">
        <f>"      '"&amp;表1_86121822242650[[#This Row],[区服]]&amp;"':{"</f>
        <v>      '5020':{</v>
      </c>
    </row>
    <row r="15" ht="14.25" customHeight="1" spans="1:25">
      <c r="A15" s="17">
        <v>5020</v>
      </c>
      <c r="B15" s="17">
        <f>VLOOKUP(表1_86121822242650[[#This Row],[区服]],$P$26:$Q$33,2,FALSE)</f>
        <v>49</v>
      </c>
      <c r="C15" s="18" t="s">
        <v>97</v>
      </c>
      <c r="D15" s="19" t="str">
        <f>表1_86121822242650[[#This Row],[目标国家]]</f>
        <v>蜀</v>
      </c>
      <c r="E15" s="20">
        <f>(VLOOKUP(表1_86121822242650[[#This Row],[目标区服]],$R$26:$S$29,2,FALSE)-表1_86121822242650[[#This Row],[开服天数]])*配置!$B$1</f>
        <v>1000</v>
      </c>
      <c r="F15" s="20">
        <f>表1_86121822242650[[#This Row],[补偿Coin]]*(表1_86121822242650[[#This Row],[活跃高战玩家数]]+表1_86121822242650[[#This Row],[活跃中坚玩家数]])</f>
        <v>16000</v>
      </c>
      <c r="G15" s="20">
        <f>(VLOOKUP(表1_86121822242650[[#This Row],[目标区服]],$R$26:$S$29,2,FALSE)-表1_86121822242650[[#This Row],[开服天数]])*配置!$B$2</f>
        <v>10</v>
      </c>
      <c r="H15" s="19" t="s">
        <v>26</v>
      </c>
      <c r="I15" s="19">
        <f>IF(表1_86121822242650[[#This Row],[原国家]]="魏",0,IF(表1_86121822242650[[#This Row],[原国家]]="蜀",1,2))</f>
        <v>1</v>
      </c>
      <c r="J15" s="20">
        <v>3</v>
      </c>
      <c r="K15" s="20">
        <v>102</v>
      </c>
      <c r="L15" s="20">
        <v>2</v>
      </c>
      <c r="M15" s="20">
        <v>14</v>
      </c>
      <c r="N15" s="20">
        <v>76977</v>
      </c>
      <c r="O15" s="20">
        <v>2120358</v>
      </c>
      <c r="P15" s="26">
        <v>13793003</v>
      </c>
      <c r="Q15" s="31" t="s">
        <v>26</v>
      </c>
      <c r="R15" s="19">
        <f>IF(表1_86121822242650[[#This Row],[目标国家]]="魏",0,IF(表1_86121822242650[[#This Row],[目标国家]]="蜀",1,2))</f>
        <v>1</v>
      </c>
      <c r="S15" s="20">
        <v>23850</v>
      </c>
      <c r="T15" s="20">
        <v>24464</v>
      </c>
      <c r="U15" s="20">
        <v>159285</v>
      </c>
      <c r="V15" s="20">
        <v>6244</v>
      </c>
      <c r="W15" s="32">
        <v>644475</v>
      </c>
      <c r="X15" s="33" t="str">
        <f>"{"&amp;"'coin':"&amp;表1_86121822242650[[#This Row],[补偿Coin]]&amp;",'"&amp;配置!$A$2&amp;"':"&amp;表1_86121822242650[[#This Row],[补偿辎重]]&amp;"},"</f>
        <v>{'coin':1000,'item036':10},</v>
      </c>
      <c r="Y15" s="34" t="str">
        <f>"            'to_zone':'"&amp;表1_86121822242650[[#This Row],[目标区服]]&amp;"',
            'reward':"&amp;表1_86121822242650[[#This Row],[辅助导出]]&amp;"
            'country':["&amp;R14&amp;","&amp;R15&amp;","&amp;R16&amp;"],"</f>
        <v>            'to_zone':'h1_510',
            'reward':{'coin':1000,'item036':10},
            'country':[0,1,1],</v>
      </c>
    </row>
    <row r="16" ht="14.25" customHeight="1" spans="1:25">
      <c r="A16" s="17">
        <v>5020</v>
      </c>
      <c r="B16" s="17">
        <f>VLOOKUP(表1_86121822242650[[#This Row],[区服]],$P$26:$Q$33,2,FALSE)</f>
        <v>49</v>
      </c>
      <c r="C16" s="18" t="s">
        <v>97</v>
      </c>
      <c r="D16" s="19" t="str">
        <f>表1_86121822242650[[#This Row],[目标国家]]</f>
        <v>蜀</v>
      </c>
      <c r="E16" s="20">
        <f>(VLOOKUP(表1_86121822242650[[#This Row],[目标区服]],$R$26:$S$29,2,FALSE)-表1_86121822242650[[#This Row],[开服天数]])*配置!$B$1</f>
        <v>1000</v>
      </c>
      <c r="F16" s="20">
        <f>表1_86121822242650[[#This Row],[补偿Coin]]*(表1_86121822242650[[#This Row],[活跃高战玩家数]]+表1_86121822242650[[#This Row],[活跃中坚玩家数]])</f>
        <v>20000</v>
      </c>
      <c r="G16" s="20">
        <f>(VLOOKUP(表1_86121822242650[[#This Row],[目标区服]],$R$26:$S$29,2,FALSE)-表1_86121822242650[[#This Row],[开服天数]])*配置!$B$2</f>
        <v>10</v>
      </c>
      <c r="H16" s="19" t="s">
        <v>27</v>
      </c>
      <c r="I16" s="19">
        <f>IF(表1_86121822242650[[#This Row],[原国家]]="魏",0,IF(表1_86121822242650[[#This Row],[原国家]]="蜀",1,2))</f>
        <v>2</v>
      </c>
      <c r="J16" s="20">
        <v>3</v>
      </c>
      <c r="K16" s="20">
        <v>148</v>
      </c>
      <c r="L16" s="20">
        <v>3</v>
      </c>
      <c r="M16" s="20">
        <v>17</v>
      </c>
      <c r="N16" s="20">
        <v>96830</v>
      </c>
      <c r="O16" s="20">
        <v>2854510</v>
      </c>
      <c r="P16" s="26">
        <v>17751654</v>
      </c>
      <c r="Q16" s="31" t="s">
        <v>26</v>
      </c>
      <c r="R16" s="19">
        <f>IF(表1_86121822242650[[#This Row],[目标国家]]="魏",0,IF(表1_86121822242650[[#This Row],[目标国家]]="蜀",1,2))</f>
        <v>1</v>
      </c>
      <c r="S16" s="20">
        <v>98142</v>
      </c>
      <c r="T16" s="20">
        <v>0</v>
      </c>
      <c r="U16" s="20">
        <v>491250</v>
      </c>
      <c r="V16" s="20">
        <v>10083</v>
      </c>
      <c r="W16" s="32">
        <v>817661</v>
      </c>
      <c r="X16" s="33" t="str">
        <f>"{"&amp;"'coin':"&amp;表1_86121822242650[[#This Row],[补偿Coin]]&amp;",'"&amp;配置!$A$2&amp;"':"&amp;表1_86121822242650[[#This Row],[补偿辎重]]&amp;"},"</f>
        <v>{'coin':1000,'item036':10},</v>
      </c>
      <c r="Y16" s="34" t="str">
        <f t="shared" ref="Y16" si="2">"      },"</f>
        <v>      },</v>
      </c>
    </row>
    <row r="17" ht="14.25" customHeight="1" spans="1:25">
      <c r="A17" s="17">
        <v>5021</v>
      </c>
      <c r="B17" s="17">
        <f>VLOOKUP(表1_86121822242650[[#This Row],[区服]],$P$26:$Q$33,2,FALSE)</f>
        <v>48</v>
      </c>
      <c r="C17" s="18" t="s">
        <v>97</v>
      </c>
      <c r="D17" s="19" t="str">
        <f>表1_86121822242650[[#This Row],[目标国家]]</f>
        <v>魏</v>
      </c>
      <c r="E17" s="20">
        <f>(VLOOKUP(表1_86121822242650[[#This Row],[目标区服]],$R$26:$S$29,2,FALSE)-表1_86121822242650[[#This Row],[开服天数]])*配置!$B$1</f>
        <v>1500</v>
      </c>
      <c r="F17" s="20">
        <f>表1_86121822242650[[#This Row],[补偿Coin]]*(表1_86121822242650[[#This Row],[活跃高战玩家数]]+表1_86121822242650[[#This Row],[活跃中坚玩家数]])</f>
        <v>28500</v>
      </c>
      <c r="G17" s="20">
        <f>(VLOOKUP(表1_86121822242650[[#This Row],[目标区服]],$R$26:$S$29,2,FALSE)-表1_86121822242650[[#This Row],[开服天数]])*配置!$B$2</f>
        <v>15</v>
      </c>
      <c r="H17" s="19" t="s">
        <v>25</v>
      </c>
      <c r="I17" s="19">
        <f>IF(表1_86121822242650[[#This Row],[原国家]]="魏",0,IF(表1_86121822242650[[#This Row],[原国家]]="蜀",1,2))</f>
        <v>0</v>
      </c>
      <c r="J17" s="20">
        <v>2</v>
      </c>
      <c r="K17" s="20">
        <v>103</v>
      </c>
      <c r="L17" s="20">
        <v>1</v>
      </c>
      <c r="M17" s="20">
        <v>18</v>
      </c>
      <c r="N17" s="20">
        <v>64625</v>
      </c>
      <c r="O17" s="20">
        <v>1454935</v>
      </c>
      <c r="P17" s="26">
        <v>12311636</v>
      </c>
      <c r="Q17" s="31" t="s">
        <v>25</v>
      </c>
      <c r="R17" s="19">
        <f>IF(表1_86121822242650[[#This Row],[目标国家]]="魏",0,IF(表1_86121822242650[[#This Row],[目标国家]]="蜀",1,2))</f>
        <v>0</v>
      </c>
      <c r="S17" s="20">
        <v>11382</v>
      </c>
      <c r="T17" s="20">
        <v>0</v>
      </c>
      <c r="U17" s="20">
        <v>96265</v>
      </c>
      <c r="V17" s="20">
        <v>4628</v>
      </c>
      <c r="W17" s="32">
        <v>367210</v>
      </c>
      <c r="X17" s="33" t="str">
        <f>"{"&amp;"'coin':"&amp;表1_86121822242650[[#This Row],[补偿Coin]]&amp;",'"&amp;配置!$A$2&amp;"':"&amp;表1_86121822242650[[#This Row],[补偿辎重]]&amp;"},"</f>
        <v>{'coin':1500,'item036':15},</v>
      </c>
      <c r="Y17" s="34" t="str">
        <f>"      '"&amp;表1_86121822242650[[#This Row],[区服]]&amp;"':{"</f>
        <v>      '5021':{</v>
      </c>
    </row>
    <row r="18" ht="14.25" customHeight="1" spans="1:25">
      <c r="A18" s="17">
        <v>5021</v>
      </c>
      <c r="B18" s="17">
        <f>VLOOKUP(表1_86121822242650[[#This Row],[区服]],$P$26:$Q$33,2,FALSE)</f>
        <v>48</v>
      </c>
      <c r="C18" s="18" t="s">
        <v>97</v>
      </c>
      <c r="D18" s="19" t="str">
        <f>表1_86121822242650[[#This Row],[目标国家]]</f>
        <v>吴</v>
      </c>
      <c r="E18" s="20">
        <f>(VLOOKUP(表1_86121822242650[[#This Row],[目标区服]],$R$26:$S$29,2,FALSE)-表1_86121822242650[[#This Row],[开服天数]])*配置!$B$1</f>
        <v>1500</v>
      </c>
      <c r="F18" s="20">
        <f>表1_86121822242650[[#This Row],[补偿Coin]]*(表1_86121822242650[[#This Row],[活跃高战玩家数]]+表1_86121822242650[[#This Row],[活跃中坚玩家数]])</f>
        <v>36000</v>
      </c>
      <c r="G18" s="20">
        <f>(VLOOKUP(表1_86121822242650[[#This Row],[目标区服]],$R$26:$S$29,2,FALSE)-表1_86121822242650[[#This Row],[开服天数]])*配置!$B$2</f>
        <v>15</v>
      </c>
      <c r="H18" s="19" t="s">
        <v>26</v>
      </c>
      <c r="I18" s="19">
        <f>IF(表1_86121822242650[[#This Row],[原国家]]="魏",0,IF(表1_86121822242650[[#This Row],[原国家]]="蜀",1,2))</f>
        <v>1</v>
      </c>
      <c r="J18" s="20">
        <v>4</v>
      </c>
      <c r="K18" s="20">
        <v>182</v>
      </c>
      <c r="L18" s="20">
        <v>6</v>
      </c>
      <c r="M18" s="20">
        <v>18</v>
      </c>
      <c r="N18" s="20">
        <v>125735</v>
      </c>
      <c r="O18" s="20">
        <v>2426479</v>
      </c>
      <c r="P18" s="26">
        <v>22438303</v>
      </c>
      <c r="Q18" s="31" t="s">
        <v>27</v>
      </c>
      <c r="R18" s="19">
        <f>IF(表1_86121822242650[[#This Row],[目标国家]]="魏",0,IF(表1_86121822242650[[#This Row],[目标国家]]="蜀",1,2))</f>
        <v>2</v>
      </c>
      <c r="S18" s="20">
        <v>56142</v>
      </c>
      <c r="T18" s="20">
        <v>0</v>
      </c>
      <c r="U18" s="20">
        <v>275190</v>
      </c>
      <c r="V18" s="20">
        <v>9340</v>
      </c>
      <c r="W18" s="32">
        <v>696442</v>
      </c>
      <c r="X18" s="33" t="str">
        <f>"{"&amp;"'coin':"&amp;表1_86121822242650[[#This Row],[补偿Coin]]&amp;",'"&amp;配置!$A$2&amp;"':"&amp;表1_86121822242650[[#This Row],[补偿辎重]]&amp;"},"</f>
        <v>{'coin':1500,'item036':15},</v>
      </c>
      <c r="Y18" s="34" t="str">
        <f>"            'to_zone':'"&amp;表1_86121822242650[[#This Row],[目标区服]]&amp;"',
            'reward':"&amp;表1_86121822242650[[#This Row],[辅助导出]]&amp;"
            'country':["&amp;R17&amp;","&amp;R18&amp;","&amp;R19&amp;"],"</f>
        <v>            'to_zone':'h1_510',
            'reward':{'coin':1500,'item036':15},
            'country':[0,2,2],</v>
      </c>
    </row>
    <row r="19" ht="14.25" customHeight="1" spans="1:25">
      <c r="A19" s="17">
        <v>5021</v>
      </c>
      <c r="B19" s="17">
        <f>VLOOKUP(表1_86121822242650[[#This Row],[区服]],$P$26:$Q$33,2,FALSE)</f>
        <v>48</v>
      </c>
      <c r="C19" s="18" t="s">
        <v>97</v>
      </c>
      <c r="D19" s="19" t="str">
        <f>表1_86121822242650[[#This Row],[目标国家]]</f>
        <v>吴</v>
      </c>
      <c r="E19" s="20">
        <f>(VLOOKUP(表1_86121822242650[[#This Row],[目标区服]],$R$26:$S$29,2,FALSE)-表1_86121822242650[[#This Row],[开服天数]])*配置!$B$1</f>
        <v>1500</v>
      </c>
      <c r="F19" s="20">
        <f>表1_86121822242650[[#This Row],[补偿Coin]]*(表1_86121822242650[[#This Row],[活跃高战玩家数]]+表1_86121822242650[[#This Row],[活跃中坚玩家数]])</f>
        <v>28500</v>
      </c>
      <c r="G19" s="20">
        <f>(VLOOKUP(表1_86121822242650[[#This Row],[目标区服]],$R$26:$S$29,2,FALSE)-表1_86121822242650[[#This Row],[开服天数]])*配置!$B$2</f>
        <v>15</v>
      </c>
      <c r="H19" s="19" t="s">
        <v>27</v>
      </c>
      <c r="I19" s="19">
        <f>IF(表1_86121822242650[[#This Row],[原国家]]="魏",0,IF(表1_86121822242650[[#This Row],[原国家]]="蜀",1,2))</f>
        <v>2</v>
      </c>
      <c r="J19" s="20">
        <v>3</v>
      </c>
      <c r="K19" s="20">
        <v>110</v>
      </c>
      <c r="L19" s="20">
        <v>3</v>
      </c>
      <c r="M19" s="20">
        <v>16</v>
      </c>
      <c r="N19" s="20">
        <v>87478</v>
      </c>
      <c r="O19" s="20">
        <v>1993945</v>
      </c>
      <c r="P19" s="26">
        <v>15423834</v>
      </c>
      <c r="Q19" s="31" t="s">
        <v>27</v>
      </c>
      <c r="R19" s="19">
        <f>IF(表1_86121822242650[[#This Row],[目标国家]]="魏",0,IF(表1_86121822242650[[#This Row],[目标国家]]="蜀",1,2))</f>
        <v>2</v>
      </c>
      <c r="S19" s="20">
        <v>29628</v>
      </c>
      <c r="T19" s="20">
        <v>0</v>
      </c>
      <c r="U19" s="20">
        <v>201335</v>
      </c>
      <c r="V19" s="20">
        <v>6363</v>
      </c>
      <c r="W19" s="32">
        <v>747681</v>
      </c>
      <c r="X19" s="33" t="str">
        <f>"{"&amp;"'coin':"&amp;表1_86121822242650[[#This Row],[补偿Coin]]&amp;",'"&amp;配置!$A$2&amp;"':"&amp;表1_86121822242650[[#This Row],[补偿辎重]]&amp;"},"</f>
        <v>{'coin':1500,'item036':15},</v>
      </c>
      <c r="Y19" s="34" t="str">
        <f t="shared" ref="Y19" si="3">"      },"</f>
        <v>      },</v>
      </c>
    </row>
    <row r="20" ht="14.25" customHeight="1" spans="1:25">
      <c r="A20" s="17"/>
      <c r="B20" s="17" t="e">
        <f>VLOOKUP(表1_86121822242650[[#This Row],[区服]],$P$26:$Q$33,2,FALSE)</f>
        <v>#N/A</v>
      </c>
      <c r="C20" s="18"/>
      <c r="D20" s="19" t="str">
        <f>表1_86121822242650[[#This Row],[目标国家]]</f>
        <v>魏</v>
      </c>
      <c r="E20" s="20" t="e">
        <f>(VLOOKUP(表1_86121822242650[[#This Row],[目标区服]],$R$26:$S$29,2,FALSE)-表1_86121822242650[[#This Row],[开服天数]])*配置!$B$1</f>
        <v>#N/A</v>
      </c>
      <c r="F20" s="20" t="e">
        <f>表1_86121822242650[[#This Row],[补偿Coin]]*(表1_86121822242650[[#This Row],[活跃高战玩家数]]+表1_86121822242650[[#This Row],[活跃中坚玩家数]])</f>
        <v>#N/A</v>
      </c>
      <c r="G20" s="20" t="e">
        <f>(VLOOKUP(表1_86121822242650[[#This Row],[目标区服]],$R$26:$S$29,2,FALSE)-表1_86121822242650[[#This Row],[开服天数]])*配置!$B$2</f>
        <v>#N/A</v>
      </c>
      <c r="H20" s="19" t="s">
        <v>25</v>
      </c>
      <c r="I20" s="19">
        <f>IF(表1_86121822242650[[#This Row],[原国家]]="魏",0,IF(表1_86121822242650[[#This Row],[原国家]]="蜀",1,2))</f>
        <v>0</v>
      </c>
      <c r="J20" s="20"/>
      <c r="K20" s="20"/>
      <c r="L20" s="20"/>
      <c r="M20" s="20"/>
      <c r="N20" s="20"/>
      <c r="O20" s="20"/>
      <c r="P20" s="26"/>
      <c r="Q20" s="31" t="s">
        <v>25</v>
      </c>
      <c r="R20" s="19">
        <f>IF(表1_86121822242650[[#This Row],[目标国家]]="魏",0,IF(表1_86121822242650[[#This Row],[目标国家]]="蜀",1,2))</f>
        <v>0</v>
      </c>
      <c r="S20" s="20"/>
      <c r="T20" s="20"/>
      <c r="U20" s="20"/>
      <c r="V20" s="20"/>
      <c r="W20" s="32"/>
      <c r="X20" s="33" t="e">
        <f>"{"&amp;"'coin':"&amp;表1_86121822242650[[#This Row],[补偿Coin]]&amp;",'"&amp;配置!$A$2&amp;"':"&amp;表1_86121822242650[[#This Row],[补偿辎重]]&amp;"},"</f>
        <v>#N/A</v>
      </c>
      <c r="Y20" s="34" t="str">
        <f>"      '"&amp;表1_86121822242650[[#This Row],[区服]]&amp;"':{"</f>
        <v>      '':{</v>
      </c>
    </row>
    <row r="21" ht="14.25" customHeight="1" spans="1:25">
      <c r="A21" s="17"/>
      <c r="B21" s="17" t="e">
        <f>VLOOKUP(表1_86121822242650[[#This Row],[区服]],$P$26:$Q$33,2,FALSE)</f>
        <v>#N/A</v>
      </c>
      <c r="C21" s="18"/>
      <c r="D21" s="19" t="str">
        <f>表1_86121822242650[[#This Row],[目标国家]]</f>
        <v>蜀</v>
      </c>
      <c r="E21" s="20" t="e">
        <f>(VLOOKUP(表1_86121822242650[[#This Row],[目标区服]],$R$26:$S$29,2,FALSE)-表1_86121822242650[[#This Row],[开服天数]])*配置!$B$1</f>
        <v>#N/A</v>
      </c>
      <c r="F21" s="20" t="e">
        <f>表1_86121822242650[[#This Row],[补偿Coin]]*(表1_86121822242650[[#This Row],[活跃高战玩家数]]+表1_86121822242650[[#This Row],[活跃中坚玩家数]])</f>
        <v>#N/A</v>
      </c>
      <c r="G21" s="20" t="e">
        <f>(VLOOKUP(表1_86121822242650[[#This Row],[目标区服]],$R$26:$S$29,2,FALSE)-表1_86121822242650[[#This Row],[开服天数]])*配置!$B$2</f>
        <v>#N/A</v>
      </c>
      <c r="H21" s="19" t="s">
        <v>26</v>
      </c>
      <c r="I21" s="19">
        <f>IF(表1_86121822242650[[#This Row],[原国家]]="魏",0,IF(表1_86121822242650[[#This Row],[原国家]]="蜀",1,2))</f>
        <v>1</v>
      </c>
      <c r="J21" s="20"/>
      <c r="K21" s="20"/>
      <c r="L21" s="20"/>
      <c r="M21" s="20"/>
      <c r="N21" s="20"/>
      <c r="O21" s="20"/>
      <c r="P21" s="26"/>
      <c r="Q21" s="31" t="s">
        <v>26</v>
      </c>
      <c r="R21" s="19">
        <f>IF(表1_86121822242650[[#This Row],[目标国家]]="魏",0,IF(表1_86121822242650[[#This Row],[目标国家]]="蜀",1,2))</f>
        <v>1</v>
      </c>
      <c r="S21" s="20"/>
      <c r="T21" s="20"/>
      <c r="U21" s="20"/>
      <c r="V21" s="20"/>
      <c r="W21" s="32"/>
      <c r="X21" s="33" t="e">
        <f>"{"&amp;"'coin':"&amp;表1_86121822242650[[#This Row],[补偿Coin]]&amp;",'"&amp;配置!$A$2&amp;"':"&amp;表1_86121822242650[[#This Row],[补偿辎重]]&amp;"},"</f>
        <v>#N/A</v>
      </c>
      <c r="Y21" s="34" t="e">
        <f>"            'to_zone':'"&amp;表1_86121822242650[[#This Row],[目标区服]]&amp;"',
            'reward':"&amp;表1_86121822242650[[#This Row],[辅助导出]]&amp;"
            'country':["&amp;R20&amp;","&amp;R21&amp;","&amp;R22&amp;"],"</f>
        <v>#N/A</v>
      </c>
    </row>
    <row r="22" ht="14.25" customHeight="1" spans="1:25">
      <c r="A22" s="17"/>
      <c r="B22" s="17" t="e">
        <f>VLOOKUP(表1_86121822242650[[#This Row],[区服]],$P$26:$Q$33,2,FALSE)</f>
        <v>#N/A</v>
      </c>
      <c r="C22" s="18"/>
      <c r="D22" s="19" t="str">
        <f>表1_86121822242650[[#This Row],[目标国家]]</f>
        <v>吴</v>
      </c>
      <c r="E22" s="20" t="e">
        <f>(VLOOKUP(表1_86121822242650[[#This Row],[目标区服]],$R$26:$S$29,2,FALSE)-表1_86121822242650[[#This Row],[开服天数]])*配置!$B$1</f>
        <v>#N/A</v>
      </c>
      <c r="F22" s="20" t="e">
        <f>表1_86121822242650[[#This Row],[补偿Coin]]*(表1_86121822242650[[#This Row],[活跃高战玩家数]]+表1_86121822242650[[#This Row],[活跃中坚玩家数]])</f>
        <v>#N/A</v>
      </c>
      <c r="G22" s="20" t="e">
        <f>(VLOOKUP(表1_86121822242650[[#This Row],[目标区服]],$R$26:$S$29,2,FALSE)-表1_86121822242650[[#This Row],[开服天数]])*配置!$B$2</f>
        <v>#N/A</v>
      </c>
      <c r="H22" s="19" t="s">
        <v>27</v>
      </c>
      <c r="I22" s="19">
        <f>IF(表1_86121822242650[[#This Row],[原国家]]="魏",0,IF(表1_86121822242650[[#This Row],[原国家]]="蜀",1,2))</f>
        <v>2</v>
      </c>
      <c r="J22" s="20"/>
      <c r="K22" s="20"/>
      <c r="L22" s="20"/>
      <c r="M22" s="20"/>
      <c r="N22" s="20"/>
      <c r="O22" s="20"/>
      <c r="P22" s="26"/>
      <c r="Q22" s="31" t="s">
        <v>27</v>
      </c>
      <c r="R22" s="19">
        <f>IF(表1_86121822242650[[#This Row],[目标国家]]="魏",0,IF(表1_86121822242650[[#This Row],[目标国家]]="蜀",1,2))</f>
        <v>2</v>
      </c>
      <c r="S22" s="20"/>
      <c r="T22" s="20"/>
      <c r="U22" s="20"/>
      <c r="V22" s="20"/>
      <c r="W22" s="32"/>
      <c r="X22" s="33" t="e">
        <f>"{"&amp;"'coin':"&amp;表1_86121822242650[[#This Row],[补偿Coin]]&amp;",'"&amp;配置!$A$2&amp;"':"&amp;表1_86121822242650[[#This Row],[补偿辎重]]&amp;"},"</f>
        <v>#N/A</v>
      </c>
      <c r="Y22" s="34" t="str">
        <f t="shared" ref="Y22" si="4">"      },"</f>
        <v>      },</v>
      </c>
    </row>
    <row r="25" ht="37.5" customHeight="1" spans="1:19">
      <c r="A25" s="36" t="s">
        <v>28</v>
      </c>
      <c r="B25" s="37" t="s">
        <v>29</v>
      </c>
      <c r="C25" s="38" t="s">
        <v>30</v>
      </c>
      <c r="D25" s="38" t="s">
        <v>31</v>
      </c>
      <c r="E25" s="38" t="s">
        <v>32</v>
      </c>
      <c r="F25" s="38" t="s">
        <v>33</v>
      </c>
      <c r="G25" s="38" t="s">
        <v>15</v>
      </c>
      <c r="H25" s="37" t="s">
        <v>18</v>
      </c>
      <c r="I25" s="37" t="s">
        <v>19</v>
      </c>
      <c r="J25" s="37" t="s">
        <v>34</v>
      </c>
      <c r="K25" s="38" t="s">
        <v>35</v>
      </c>
      <c r="L25" s="38" t="s">
        <v>36</v>
      </c>
      <c r="M25" s="38" t="s">
        <v>37</v>
      </c>
      <c r="N25" s="38" t="s">
        <v>88</v>
      </c>
      <c r="P25" s="51" t="s">
        <v>0</v>
      </c>
      <c r="Q25" s="51" t="s">
        <v>1</v>
      </c>
      <c r="R25" s="51"/>
      <c r="S25" s="51" t="s">
        <v>38</v>
      </c>
    </row>
    <row r="26" ht="15.75" customHeight="1" spans="1:19">
      <c r="A26" s="39" t="s">
        <v>95</v>
      </c>
      <c r="B26" s="39" t="s">
        <v>25</v>
      </c>
      <c r="C26" s="39">
        <f>COUNTIFS(表1_86121822242650[目标区服],表2_97131923252751[[#This Row],[合区区服]],表1_86121822242650[目标国家（映射）],表2_97131923252751[[#This Row],[国家]])</f>
        <v>2</v>
      </c>
      <c r="D26" s="39">
        <f>SUMIFS(表1_86121822242650[活跃高战玩家数],表1_86121822242650[目标区服],表2_97131923252751[[#This Row],[合区区服]],表1_86121822242650[目标国家（映射）],表2_97131923252751[[#This Row],[国家]])</f>
        <v>7</v>
      </c>
      <c r="E26" s="39">
        <f>SUMIFS(表1_86121822242650[活跃中坚玩家数],表1_86121822242650[目标区服],表2_97131923252751[[#This Row],[合区区服]],表1_86121822242650[目标国家（映射）],表2_97131923252751[[#This Row],[国家]])</f>
        <v>33</v>
      </c>
      <c r="F26" s="39">
        <f t="array" ref="F26">MAX((表1_86121822242650[目标区服]=表2_97131923252751[[#This Row],[合区区服]])*(表1_86121822242650[目标国家（映射）]=表2_97131923252751[[#This Row],[国家]])*表1_86121822242650[活跃尖端战力])</f>
        <v>2289851</v>
      </c>
      <c r="G26" s="40">
        <f>SUMIFS(表1_86121822242650[活跃总战力],表1_86121822242650[目标区服],表2_97131923252751[[#This Row],[合区区服]],表1_86121822242650[目标国家（映射）],表2_97131923252751[[#This Row],[国家]])</f>
        <v>34505213</v>
      </c>
      <c r="H26" s="39">
        <f>SUMIFS(表1_86121822242650[活跃实际充值],表1_86121822242650[目标区服],表2_97131923252751[[#This Row],[合区区服]],表1_86121822242650[目标国家（映射）],表2_97131923252751[[#This Row],[国家]])</f>
        <v>63324</v>
      </c>
      <c r="I26" s="39">
        <f>SUMIFS(表1_86121822242650[活跃虚拟充值],表1_86121822242650[目标区服],表2_97131923252751[[#This Row],[合区区服]],表1_86121822242650[目标国家（映射）],表2_97131923252751[[#This Row],[国家]])</f>
        <v>0</v>
      </c>
      <c r="J26" s="39">
        <f>SUMIFS(表1_86121822242650[活跃Coin],表1_86121822242650[目标区服],表2_97131923252751[[#This Row],[合区区服]],表1_86121822242650[目标国家（映射）],表2_97131923252751[[#This Row],[国家]])</f>
        <v>573788</v>
      </c>
      <c r="K26" s="39">
        <f>SUMIFS(表1_86121822242650[共计补偿Coin],表1_86121822242650[目标区服],表2_97131923252751[[#This Row],[合区区服]],表1_86121822242650[目标国家（映射）],表2_97131923252751[[#This Row],[国家]])</f>
        <v>40000</v>
      </c>
      <c r="L26" s="39">
        <f>表2_97131923252751[[#This Row],[活跃Coin]]+表2_97131923252751[[#This Row],[共计补偿Coin]]</f>
        <v>613788</v>
      </c>
      <c r="M26" s="39">
        <f>SUMIFS(表1_86121822242650[综合国力],表1_86121822242650[目标区服],表2_97131923252751[[#This Row],[合区区服]],表1_86121822242650[目标国家（映射）],表2_97131923252751[[#This Row],[国家]])</f>
        <v>13026</v>
      </c>
      <c r="N26" s="39">
        <f t="array" ref="N26">MAX((表1_86121822242650[目标区服]=表2_97131923252751[[#This Row],[合区区服]])*(表1_86121822242650[目标国家（映射）]=表2_97131923252751[[#This Row],[国家]])*表1_86121822242650[单将最高战力])</f>
        <v>691113</v>
      </c>
      <c r="P26" s="51">
        <v>5016</v>
      </c>
      <c r="Q26" s="51">
        <v>53</v>
      </c>
      <c r="R26" s="51" t="s">
        <v>95</v>
      </c>
      <c r="S26" s="51">
        <v>55</v>
      </c>
    </row>
    <row r="27" ht="15" spans="1:19">
      <c r="A27" s="39" t="s">
        <v>95</v>
      </c>
      <c r="B27" s="39" t="s">
        <v>26</v>
      </c>
      <c r="C27" s="39">
        <f>COUNTIFS(表1_86121822242650[目标区服],表2_97131923252751[[#This Row],[合区区服]],表1_86121822242650[目标国家（映射）],表2_97131923252751[[#This Row],[国家]])</f>
        <v>2</v>
      </c>
      <c r="D27" s="39">
        <f>SUMIFS(表1_86121822242650[活跃高战玩家数],表1_86121822242650[目标区服],表2_97131923252751[[#This Row],[合区区服]],表1_86121822242650[目标国家（映射）],表2_97131923252751[[#This Row],[国家]])</f>
        <v>8</v>
      </c>
      <c r="E27" s="39">
        <f>SUMIFS(表1_86121822242650[活跃中坚玩家数],表1_86121822242650[目标区服],表2_97131923252751[[#This Row],[合区区服]],表1_86121822242650[目标国家（映射）],表2_97131923252751[[#This Row],[国家]])</f>
        <v>26</v>
      </c>
      <c r="F27" s="39">
        <f t="array" ref="F27">MAX((表1_86121822242650[目标区服]=表2_97131923252751[[#This Row],[合区区服]])*(表1_86121822242650[目标国家（映射）]=表2_97131923252751[[#This Row],[国家]])*表1_86121822242650[活跃尖端战力])</f>
        <v>2743085</v>
      </c>
      <c r="G27" s="40">
        <f>SUMIFS(表1_86121822242650[活跃总战力],表1_86121822242650[目标区服],表2_97131923252751[[#This Row],[合区区服]],表1_86121822242650[目标国家（映射）],表2_97131923252751[[#This Row],[国家]])</f>
        <v>31133204</v>
      </c>
      <c r="H27" s="39">
        <f>SUMIFS(表1_86121822242650[活跃实际充值],表1_86121822242650[目标区服],表2_97131923252751[[#This Row],[合区区服]],表1_86121822242650[目标国家（映射）],表2_97131923252751[[#This Row],[国家]])</f>
        <v>111962</v>
      </c>
      <c r="I27" s="39">
        <f>SUMIFS(表1_86121822242650[活跃虚拟充值],表1_86121822242650[目标区服],表2_97131923252751[[#This Row],[合区区服]],表1_86121822242650[目标国家（映射）],表2_97131923252751[[#This Row],[国家]])</f>
        <v>0</v>
      </c>
      <c r="J27" s="39">
        <f>SUMIFS(表1_86121822242650[活跃Coin],表1_86121822242650[目标区服],表2_97131923252751[[#This Row],[合区区服]],表1_86121822242650[目标国家（映射）],表2_97131923252751[[#This Row],[国家]])</f>
        <v>479192</v>
      </c>
      <c r="K27" s="39">
        <f>SUMIFS(表1_86121822242650[共计补偿Coin],表1_86121822242650[目标区服],表2_97131923252751[[#This Row],[合区区服]],表1_86121822242650[目标国家（映射）],表2_97131923252751[[#This Row],[国家]])</f>
        <v>42500</v>
      </c>
      <c r="L27" s="39">
        <f>表2_97131923252751[[#This Row],[活跃Coin]]+表2_97131923252751[[#This Row],[共计补偿Coin]]</f>
        <v>521692</v>
      </c>
      <c r="M27" s="39">
        <f>SUMIFS(表1_86121822242650[综合国力],表1_86121822242650[目标区服],表2_97131923252751[[#This Row],[合区区服]],表1_86121822242650[目标国家（映射）],表2_97131923252751[[#This Row],[国家]])</f>
        <v>15536</v>
      </c>
      <c r="N27" s="39">
        <f t="array" ref="N27">MAX((表1_86121822242650[目标区服]=表2_97131923252751[[#This Row],[合区区服]])*(表1_86121822242650[目标国家（映射）]=表2_97131923252751[[#This Row],[国家]])*表1_86121822242650[单将最高战力])</f>
        <v>855947</v>
      </c>
      <c r="P27" s="51">
        <v>5017</v>
      </c>
      <c r="Q27" s="51">
        <v>52</v>
      </c>
      <c r="R27" s="51" t="s">
        <v>96</v>
      </c>
      <c r="S27" s="51">
        <v>53</v>
      </c>
    </row>
    <row r="28" ht="15" spans="1:19">
      <c r="A28" s="39" t="s">
        <v>95</v>
      </c>
      <c r="B28" s="39" t="s">
        <v>27</v>
      </c>
      <c r="C28" s="39">
        <f>COUNTIFS(表1_86121822242650[目标区服],表2_97131923252751[[#This Row],[合区区服]],表1_86121822242650[目标国家（映射）],表2_97131923252751[[#This Row],[国家]])</f>
        <v>2</v>
      </c>
      <c r="D28" s="39">
        <f>SUMIFS(表1_86121822242650[活跃高战玩家数],表1_86121822242650[目标区服],表2_97131923252751[[#This Row],[合区区服]],表1_86121822242650[目标国家（映射）],表2_97131923252751[[#This Row],[国家]])</f>
        <v>5</v>
      </c>
      <c r="E28" s="39">
        <f>SUMIFS(表1_86121822242650[活跃中坚玩家数],表1_86121822242650[目标区服],表2_97131923252751[[#This Row],[合区区服]],表1_86121822242650[目标国家（映射）],表2_97131923252751[[#This Row],[国家]])</f>
        <v>34</v>
      </c>
      <c r="F28" s="39">
        <f t="array" ref="F28">MAX((表1_86121822242650[目标区服]=表2_97131923252751[[#This Row],[合区区服]])*(表1_86121822242650[目标国家（映射）]=表2_97131923252751[[#This Row],[国家]])*表1_86121822242650[活跃尖端战力])</f>
        <v>3206211</v>
      </c>
      <c r="G28" s="40">
        <f>SUMIFS(表1_86121822242650[活跃总战力],表1_86121822242650[目标区服],表2_97131923252751[[#This Row],[合区区服]],表1_86121822242650[目标国家（映射）],表2_97131923252751[[#This Row],[国家]])</f>
        <v>35762012</v>
      </c>
      <c r="H28" s="39">
        <f>SUMIFS(表1_86121822242650[活跃实际充值],表1_86121822242650[目标区服],表2_97131923252751[[#This Row],[合区区服]],表1_86121822242650[目标国家（映射）],表2_97131923252751[[#This Row],[国家]])</f>
        <v>129906</v>
      </c>
      <c r="I28" s="39">
        <f>SUMIFS(表1_86121822242650[活跃虚拟充值],表1_86121822242650[目标区服],表2_97131923252751[[#This Row],[合区区服]],表1_86121822242650[目标国家（映射）],表2_97131923252751[[#This Row],[国家]])</f>
        <v>0</v>
      </c>
      <c r="J28" s="39">
        <f>SUMIFS(表1_86121822242650[活跃Coin],表1_86121822242650[目标区服],表2_97131923252751[[#This Row],[合区区服]],表1_86121822242650[目标国家（映射）],表2_97131923252751[[#This Row],[国家]])</f>
        <v>614561</v>
      </c>
      <c r="K28" s="39">
        <f>SUMIFS(表1_86121822242650[共计补偿Coin],表1_86121822242650[目标区服],表2_97131923252751[[#This Row],[合区区服]],表1_86121822242650[目标国家（映射）],表2_97131923252751[[#This Row],[国家]])</f>
        <v>58500</v>
      </c>
      <c r="L28" s="39">
        <f>表2_97131923252751[[#This Row],[活跃Coin]]+表2_97131923252751[[#This Row],[共计补偿Coin]]</f>
        <v>673061</v>
      </c>
      <c r="M28" s="39">
        <f>SUMIFS(表1_86121822242650[综合国力],表1_86121822242650[目标区服],表2_97131923252751[[#This Row],[合区区服]],表1_86121822242650[目标国家（映射）],表2_97131923252751[[#This Row],[国家]])</f>
        <v>17583</v>
      </c>
      <c r="N28" s="39">
        <f t="array" ref="N28">MAX((表1_86121822242650[目标区服]=表2_97131923252751[[#This Row],[合区区服]])*(表1_86121822242650[目标国家（映射）]=表2_97131923252751[[#This Row],[国家]])*表1_86121822242650[单将最高战力])</f>
        <v>967654</v>
      </c>
      <c r="P28" s="51">
        <v>5018</v>
      </c>
      <c r="Q28" s="51">
        <v>51</v>
      </c>
      <c r="R28" s="51" t="s">
        <v>97</v>
      </c>
      <c r="S28" s="51">
        <v>51</v>
      </c>
    </row>
    <row r="29" ht="15" spans="1:19">
      <c r="A29" s="41" t="s">
        <v>96</v>
      </c>
      <c r="B29" s="41" t="s">
        <v>25</v>
      </c>
      <c r="C29" s="41">
        <f>COUNTIFS(表1_86121822242650[目标区服],表2_97131923252751[[#This Row],[合区区服]],表1_86121822242650[目标国家（映射）],表2_97131923252751[[#This Row],[国家]])</f>
        <v>2</v>
      </c>
      <c r="D29" s="41">
        <f>SUMIFS(表1_86121822242650[活跃高战玩家数],表1_86121822242650[目标区服],表2_97131923252751[[#This Row],[合区区服]],表1_86121822242650[目标国家（映射）],表2_97131923252751[[#This Row],[国家]])</f>
        <v>11</v>
      </c>
      <c r="E29" s="41">
        <f>SUMIFS(表1_86121822242650[活跃中坚玩家数],表1_86121822242650[目标区服],表2_97131923252751[[#This Row],[合区区服]],表1_86121822242650[目标国家（映射）],表2_97131923252751[[#This Row],[国家]])</f>
        <v>38</v>
      </c>
      <c r="F29" s="41">
        <f t="array" ref="F29">MAX((表1_86121822242650[目标区服]=表2_97131923252751[[#This Row],[合区区服]])*(表1_86121822242650[目标国家（映射）]=表2_97131923252751[[#This Row],[国家]])*表1_86121822242650[活跃尖端战力])</f>
        <v>2537301</v>
      </c>
      <c r="G29" s="42">
        <f>SUMIFS(表1_86121822242650[活跃总战力],表1_86121822242650[目标区服],表2_97131923252751[[#This Row],[合区区服]],表1_86121822242650[目标国家（映射）],表2_97131923252751[[#This Row],[国家]])</f>
        <v>41895194</v>
      </c>
      <c r="H29" s="41">
        <f>SUMIFS(表1_86121822242650[活跃实际充值],表1_86121822242650[目标区服],表2_97131923252751[[#This Row],[合区区服]],表1_86121822242650[目标国家（映射）],表2_97131923252751[[#This Row],[国家]])</f>
        <v>52080</v>
      </c>
      <c r="I29" s="41">
        <f>SUMIFS(表1_86121822242650[活跃虚拟充值],表1_86121822242650[目标区服],表2_97131923252751[[#This Row],[合区区服]],表1_86121822242650[目标国家（映射）],表2_97131923252751[[#This Row],[国家]])</f>
        <v>0</v>
      </c>
      <c r="J29" s="41">
        <f>SUMIFS(表1_86121822242650[活跃Coin],表1_86121822242650[目标区服],表2_97131923252751[[#This Row],[合区区服]],表1_86121822242650[目标国家（映射）],表2_97131923252751[[#This Row],[国家]])</f>
        <v>785492</v>
      </c>
      <c r="K29" s="41">
        <f>SUMIFS(表1_86121822242650[共计补偿Coin],表1_86121822242650[目标区服],表2_97131923252751[[#This Row],[合区区服]],表1_86121822242650[目标国家（映射）],表2_97131923252751[[#This Row],[国家]])</f>
        <v>60000</v>
      </c>
      <c r="L29" s="41">
        <f>表2_97131923252751[[#This Row],[活跃Coin]]+表2_97131923252751[[#This Row],[共计补偿Coin]]</f>
        <v>845492</v>
      </c>
      <c r="M29" s="41">
        <f>SUMIFS(表1_86121822242650[综合国力],表1_86121822242650[目标区服],表2_97131923252751[[#This Row],[合区区服]],表1_86121822242650[目标国家（映射）],表2_97131923252751[[#This Row],[国家]])</f>
        <v>16565</v>
      </c>
      <c r="N29" s="41">
        <f t="array" ref="N29">MAX((表1_86121822242650[目标区服]=表2_97131923252751[[#This Row],[合区区服]])*(表1_86121822242650[目标国家（映射）]=表2_97131923252751[[#This Row],[国家]])*表1_86121822242650[单将最高战力])</f>
        <v>667336</v>
      </c>
      <c r="P29" s="51">
        <v>5019</v>
      </c>
      <c r="Q29" s="51">
        <v>50</v>
      </c>
      <c r="R29" s="51"/>
      <c r="S29" s="51"/>
    </row>
    <row r="30" ht="15" spans="1:17">
      <c r="A30" s="41" t="s">
        <v>96</v>
      </c>
      <c r="B30" s="41" t="s">
        <v>26</v>
      </c>
      <c r="C30" s="41">
        <f>COUNTIFS(表1_86121822242650[目标区服],表2_97131923252751[[#This Row],[合区区服]],表1_86121822242650[目标国家（映射）],表2_97131923252751[[#This Row],[国家]])</f>
        <v>2</v>
      </c>
      <c r="D30" s="41">
        <f>SUMIFS(表1_86121822242650[活跃高战玩家数],表1_86121822242650[目标区服],表2_97131923252751[[#This Row],[合区区服]],表1_86121822242650[目标国家（映射）],表2_97131923252751[[#This Row],[国家]])</f>
        <v>4</v>
      </c>
      <c r="E30" s="41">
        <f>SUMIFS(表1_86121822242650[活跃中坚玩家数],表1_86121822242650[目标区服],表2_97131923252751[[#This Row],[合区区服]],表1_86121822242650[目标国家（映射）],表2_97131923252751[[#This Row],[国家]])</f>
        <v>38</v>
      </c>
      <c r="F30" s="41">
        <f t="array" ref="F30">MAX((表1_86121822242650[目标区服]=表2_97131923252751[[#This Row],[合区区服]])*(表1_86121822242650[目标国家（映射）]=表2_97131923252751[[#This Row],[国家]])*表1_86121822242650[活跃尖端战力])</f>
        <v>2627796</v>
      </c>
      <c r="G30" s="42">
        <f>SUMIFS(表1_86121822242650[活跃总战力],表1_86121822242650[目标区服],表2_97131923252751[[#This Row],[合区区服]],表1_86121822242650[目标国家（映射）],表2_97131923252751[[#This Row],[国家]])</f>
        <v>28748158</v>
      </c>
      <c r="H30" s="41">
        <f>SUMIFS(表1_86121822242650[活跃实际充值],表1_86121822242650[目标区服],表2_97131923252751[[#This Row],[合区区服]],表1_86121822242650[目标国家（映射）],表2_97131923252751[[#This Row],[国家]])</f>
        <v>45216</v>
      </c>
      <c r="I30" s="41">
        <f>SUMIFS(表1_86121822242650[活跃虚拟充值],表1_86121822242650[目标区服],表2_97131923252751[[#This Row],[合区区服]],表1_86121822242650[目标国家（映射）],表2_97131923252751[[#This Row],[国家]])</f>
        <v>0</v>
      </c>
      <c r="J30" s="41">
        <f>SUMIFS(表1_86121822242650[活跃Coin],表1_86121822242650[目标区服],表2_97131923252751[[#This Row],[合区区服]],表1_86121822242650[目标国家（映射）],表2_97131923252751[[#This Row],[国家]])</f>
        <v>396413</v>
      </c>
      <c r="K30" s="41">
        <f>SUMIFS(表1_86121822242650[共计补偿Coin],表1_86121822242650[目标区服],表2_97131923252751[[#This Row],[合区区服]],表1_86121822242650[目标国家（映射）],表2_97131923252751[[#This Row],[国家]])</f>
        <v>63000</v>
      </c>
      <c r="L30" s="41">
        <f>表2_97131923252751[[#This Row],[活跃Coin]]+表2_97131923252751[[#This Row],[共计补偿Coin]]</f>
        <v>459413</v>
      </c>
      <c r="M30" s="41">
        <f>SUMIFS(表1_86121822242650[综合国力],表1_86121822242650[目标区服],表2_97131923252751[[#This Row],[合区区服]],表1_86121822242650[目标国家（映射）],表2_97131923252751[[#This Row],[国家]])</f>
        <v>12169</v>
      </c>
      <c r="N30" s="41">
        <f t="array" ref="N30">MAX((表1_86121822242650[目标区服]=表2_97131923252751[[#This Row],[合区区服]])*(表1_86121822242650[目标国家（映射）]=表2_97131923252751[[#This Row],[国家]])*表1_86121822242650[单将最高战力])</f>
        <v>875751</v>
      </c>
      <c r="P30" s="51">
        <v>5020</v>
      </c>
      <c r="Q30" s="51">
        <v>49</v>
      </c>
    </row>
    <row r="31" ht="15" spans="1:17">
      <c r="A31" s="41" t="s">
        <v>96</v>
      </c>
      <c r="B31" s="43" t="s">
        <v>27</v>
      </c>
      <c r="C31" s="43">
        <f>COUNTIFS(表1_86121822242650[目标区服],表2_97131923252751[[#This Row],[合区区服]],表1_86121822242650[目标国家（映射）],表2_97131923252751[[#This Row],[国家]])</f>
        <v>2</v>
      </c>
      <c r="D31" s="43">
        <f>SUMIFS(表1_86121822242650[活跃高战玩家数],表1_86121822242650[目标区服],表2_97131923252751[[#This Row],[合区区服]],表1_86121822242650[目标国家（映射）],表2_97131923252751[[#This Row],[国家]])</f>
        <v>3</v>
      </c>
      <c r="E31" s="43">
        <f>SUMIFS(表1_86121822242650[活跃中坚玩家数],表1_86121822242650[目标区服],表2_97131923252751[[#This Row],[合区区服]],表1_86121822242650[目标国家（映射）],表2_97131923252751[[#This Row],[国家]])</f>
        <v>26</v>
      </c>
      <c r="F31" s="43">
        <f t="array" ref="F31">MAX((表1_86121822242650[目标区服]=表2_97131923252751[[#This Row],[合区区服]])*(表1_86121822242650[目标国家（映射）]=表2_97131923252751[[#This Row],[国家]])*表1_86121822242650[活跃尖端战力])</f>
        <v>2685718</v>
      </c>
      <c r="G31" s="44">
        <f>SUMIFS(表1_86121822242650[活跃总战力],表1_86121822242650[目标区服],表2_97131923252751[[#This Row],[合区区服]],表1_86121822242650[目标国家（映射）],表2_97131923252751[[#This Row],[国家]])</f>
        <v>19951932</v>
      </c>
      <c r="H31" s="43">
        <f>SUMIFS(表1_86121822242650[活跃实际充值],表1_86121822242650[目标区服],表2_97131923252751[[#This Row],[合区区服]],表1_86121822242650[目标国家（映射）],表2_97131923252751[[#This Row],[国家]])</f>
        <v>58932</v>
      </c>
      <c r="I31" s="43">
        <f>SUMIFS(表1_86121822242650[活跃虚拟充值],表1_86121822242650[目标区服],表2_97131923252751[[#This Row],[合区区服]],表1_86121822242650[目标国家（映射）],表2_97131923252751[[#This Row],[国家]])</f>
        <v>0</v>
      </c>
      <c r="J31" s="43">
        <f>SUMIFS(表1_86121822242650[活跃Coin],表1_86121822242650[目标区服],表2_97131923252751[[#This Row],[合区区服]],表1_86121822242650[目标国家（映射）],表2_97131923252751[[#This Row],[国家]])</f>
        <v>346382</v>
      </c>
      <c r="K31" s="43">
        <f>SUMIFS(表1_86121822242650[共计补偿Coin],表1_86121822242650[目标区服],表2_97131923252751[[#This Row],[合区区服]],表1_86121822242650[目标国家（映射）],表2_97131923252751[[#This Row],[国家]])</f>
        <v>29000</v>
      </c>
      <c r="L31" s="43">
        <f>表2_97131923252751[[#This Row],[活跃Coin]]+表2_97131923252751[[#This Row],[共计补偿Coin]]</f>
        <v>375382</v>
      </c>
      <c r="M31" s="43">
        <f>SUMIFS(表1_86121822242650[综合国力],表1_86121822242650[目标区服],表2_97131923252751[[#This Row],[合区区服]],表1_86121822242650[目标国家（映射）],表2_97131923252751[[#This Row],[国家]])</f>
        <v>11082</v>
      </c>
      <c r="N31" s="41">
        <f t="array" ref="N31">MAX((表1_86121822242650[目标区服]=表2_97131923252751[[#This Row],[合区区服]])*(表1_86121822242650[目标国家（映射）]=表2_97131923252751[[#This Row],[国家]])*表1_86121822242650[单将最高战力])</f>
        <v>923006</v>
      </c>
      <c r="P31" s="51">
        <v>5021</v>
      </c>
      <c r="Q31" s="51">
        <v>48</v>
      </c>
    </row>
    <row r="32" ht="15" spans="1:17">
      <c r="A32" s="45" t="s">
        <v>97</v>
      </c>
      <c r="B32" s="46" t="s">
        <v>25</v>
      </c>
      <c r="C32" s="46">
        <f>COUNTIFS(表1_86121822242650[目标区服],表2_97131923252751[[#This Row],[合区区服]],表1_86121822242650[目标国家（映射）],表2_97131923252751[[#This Row],[国家]])</f>
        <v>2</v>
      </c>
      <c r="D32" s="46">
        <f>SUMIFS(表1_86121822242650[活跃高战玩家数],表1_86121822242650[目标区服],表2_97131923252751[[#This Row],[合区区服]],表1_86121822242650[目标国家（映射）],表2_97131923252751[[#This Row],[国家]])</f>
        <v>6</v>
      </c>
      <c r="E32" s="46">
        <f>SUMIFS(表1_86121822242650[活跃中坚玩家数],表1_86121822242650[目标区服],表2_97131923252751[[#This Row],[合区区服]],表1_86121822242650[目标国家（映射）],表2_97131923252751[[#This Row],[国家]])</f>
        <v>32</v>
      </c>
      <c r="F32" s="46">
        <f t="array" ref="F32">MAX((表1_86121822242650[目标区服]=表2_97131923252751[[#This Row],[合区区服]])*(表1_86121822242650[目标国家（映射）]=表2_97131923252751[[#This Row],[国家]])*表1_86121822242650[活跃尖端战力])</f>
        <v>2638254</v>
      </c>
      <c r="G32" s="47">
        <f>SUMIFS(表1_86121822242650[活跃总战力],表1_86121822242650[目标区服],表2_97131923252751[[#This Row],[合区区服]],表1_86121822242650[目标国家（映射）],表2_97131923252751[[#This Row],[国家]])</f>
        <v>30436391</v>
      </c>
      <c r="H32" s="46">
        <f>SUMIFS(表1_86121822242650[活跃实际充值],表1_86121822242650[目标区服],表2_97131923252751[[#This Row],[合区区服]],表1_86121822242650[目标国家（映射）],表2_97131923252751[[#This Row],[国家]])</f>
        <v>114992</v>
      </c>
      <c r="I32" s="46">
        <f>SUMIFS(表1_86121822242650[活跃虚拟充值],表1_86121822242650[目标区服],表2_97131923252751[[#This Row],[合区区服]],表1_86121822242650[目标国家（映射）],表2_97131923252751[[#This Row],[国家]])</f>
        <v>0</v>
      </c>
      <c r="J32" s="46">
        <f>SUMIFS(表1_86121822242650[活跃Coin],表1_86121822242650[目标区服],表2_97131923252751[[#This Row],[合区区服]],表1_86121822242650[目标国家（映射）],表2_97131923252751[[#This Row],[国家]])</f>
        <v>486334</v>
      </c>
      <c r="K32" s="46">
        <f>SUMIFS(表1_86121822242650[共计补偿Coin],表1_86121822242650[目标区服],表2_97131923252751[[#This Row],[合区区服]],表1_86121822242650[目标国家（映射）],表2_97131923252751[[#This Row],[国家]])</f>
        <v>47500</v>
      </c>
      <c r="L32" s="46">
        <f>表2_97131923252751[[#This Row],[活跃Coin]]+表2_97131923252751[[#This Row],[共计补偿Coin]]</f>
        <v>533834</v>
      </c>
      <c r="M32" s="46">
        <f>SUMIFS(表1_86121822242650[综合国力],表1_86121822242650[目标区服],表2_97131923252751[[#This Row],[合区区服]],表1_86121822242650[目标国家（映射）],表2_97131923252751[[#This Row],[国家]])</f>
        <v>14635</v>
      </c>
      <c r="N32" s="46">
        <f t="array" ref="N32">MAX((表1_86121822242650[目标区服]=表2_97131923252751[[#This Row],[合区区服]])*(表1_86121822242650[目标国家（映射）]=表2_97131923252751[[#This Row],[国家]])*表1_86121822242650[单将最高战力])</f>
        <v>807675</v>
      </c>
      <c r="P32" s="51"/>
      <c r="Q32" s="51"/>
    </row>
    <row r="33" ht="15" spans="1:17">
      <c r="A33" s="45" t="s">
        <v>97</v>
      </c>
      <c r="B33" s="46" t="s">
        <v>26</v>
      </c>
      <c r="C33" s="46">
        <f>COUNTIFS(表1_86121822242650[目标区服],表2_97131923252751[[#This Row],[合区区服]],表1_86121822242650[目标国家（映射）],表2_97131923252751[[#This Row],[国家]])</f>
        <v>2</v>
      </c>
      <c r="D33" s="46">
        <f>SUMIFS(表1_86121822242650[活跃高战玩家数],表1_86121822242650[目标区服],表2_97131923252751[[#This Row],[合区区服]],表1_86121822242650[目标国家（映射）],表2_97131923252751[[#This Row],[国家]])</f>
        <v>5</v>
      </c>
      <c r="E33" s="46">
        <f>SUMIFS(表1_86121822242650[活跃中坚玩家数],表1_86121822242650[目标区服],表2_97131923252751[[#This Row],[合区区服]],表1_86121822242650[目标国家（映射）],表2_97131923252751[[#This Row],[国家]])</f>
        <v>31</v>
      </c>
      <c r="F33" s="46">
        <f t="array" ref="F33">MAX((表1_86121822242650[目标区服]=表2_97131923252751[[#This Row],[合区区服]])*(表1_86121822242650[目标国家（映射）]=表2_97131923252751[[#This Row],[国家]])*表1_86121822242650[活跃尖端战力])</f>
        <v>2854510</v>
      </c>
      <c r="G33" s="47">
        <f>SUMIFS(表1_86121822242650[活跃总战力],表1_86121822242650[目标区服],表2_97131923252751[[#This Row],[合区区服]],表1_86121822242650[目标国家（映射）],表2_97131923252751[[#This Row],[国家]])</f>
        <v>31544657</v>
      </c>
      <c r="H33" s="46">
        <f>SUMIFS(表1_86121822242650[活跃实际充值],表1_86121822242650[目标区服],表2_97131923252751[[#This Row],[合区区服]],表1_86121822242650[目标国家（映射）],表2_97131923252751[[#This Row],[国家]])</f>
        <v>121992</v>
      </c>
      <c r="I33" s="46">
        <f>SUMIFS(表1_86121822242650[活跃虚拟充值],表1_86121822242650[目标区服],表2_97131923252751[[#This Row],[合区区服]],表1_86121822242650[目标国家（映射）],表2_97131923252751[[#This Row],[国家]])</f>
        <v>24464</v>
      </c>
      <c r="J33" s="46">
        <f>SUMIFS(表1_86121822242650[活跃Coin],表1_86121822242650[目标区服],表2_97131923252751[[#This Row],[合区区服]],表1_86121822242650[目标国家（映射）],表2_97131923252751[[#This Row],[国家]])</f>
        <v>650535</v>
      </c>
      <c r="K33" s="46">
        <f>SUMIFS(表1_86121822242650[共计补偿Coin],表1_86121822242650[目标区服],表2_97131923252751[[#This Row],[合区区服]],表1_86121822242650[目标国家（映射）],表2_97131923252751[[#This Row],[国家]])</f>
        <v>36000</v>
      </c>
      <c r="L33" s="46">
        <f>表2_97131923252751[[#This Row],[活跃Coin]]+表2_97131923252751[[#This Row],[共计补偿Coin]]</f>
        <v>686535</v>
      </c>
      <c r="M33" s="46">
        <f>SUMIFS(表1_86121822242650[综合国力],表1_86121822242650[目标区服],表2_97131923252751[[#This Row],[合区区服]],表1_86121822242650[目标国家（映射）],表2_97131923252751[[#This Row],[国家]])</f>
        <v>16327</v>
      </c>
      <c r="N33" s="46">
        <f t="array" ref="N33">MAX((表1_86121822242650[目标区服]=表2_97131923252751[[#This Row],[合区区服]])*(表1_86121822242650[目标国家（映射）]=表2_97131923252751[[#This Row],[国家]])*表1_86121822242650[单将最高战力])</f>
        <v>817661</v>
      </c>
      <c r="P33" s="51"/>
      <c r="Q33" s="51"/>
    </row>
    <row r="34" ht="15" spans="1:14">
      <c r="A34" s="45" t="s">
        <v>97</v>
      </c>
      <c r="B34" s="48" t="s">
        <v>27</v>
      </c>
      <c r="C34" s="48">
        <f>COUNTIFS(表1_86121822242650[目标区服],表2_97131923252751[[#This Row],[合区区服]],表1_86121822242650[目标国家（映射）],表2_97131923252751[[#This Row],[国家]])</f>
        <v>2</v>
      </c>
      <c r="D34" s="48">
        <f>SUMIFS(表1_86121822242650[活跃高战玩家数],表1_86121822242650[目标区服],表2_97131923252751[[#This Row],[合区区服]],表1_86121822242650[目标国家（映射）],表2_97131923252751[[#This Row],[国家]])</f>
        <v>9</v>
      </c>
      <c r="E34" s="48">
        <f>SUMIFS(表1_86121822242650[活跃中坚玩家数],表1_86121822242650[目标区服],表2_97131923252751[[#This Row],[合区区服]],表1_86121822242650[目标国家（映射）],表2_97131923252751[[#This Row],[国家]])</f>
        <v>34</v>
      </c>
      <c r="F34" s="48">
        <f t="array" ref="F34">MAX((表1_86121822242650[目标区服]=表2_97131923252751[[#This Row],[合区区服]])*(表1_86121822242650[目标国家（映射）]=表2_97131923252751[[#This Row],[国家]])*表1_86121822242650[活跃尖端战力])</f>
        <v>2426479</v>
      </c>
      <c r="G34" s="458">
        <f>SUMIFS(表1_86121822242650[活跃总战力],表1_86121822242650[目标区服],表2_97131923252751[[#This Row],[合区区服]],表1_86121822242650[目标国家（映射）],表2_97131923252751[[#This Row],[国家]])</f>
        <v>37862137</v>
      </c>
      <c r="H34" s="48">
        <f>SUMIFS(表1_86121822242650[活跃实际充值],表1_86121822242650[目标区服],表2_97131923252751[[#This Row],[合区区服]],表1_86121822242650[目标国家（映射）],表2_97131923252751[[#This Row],[国家]])</f>
        <v>85770</v>
      </c>
      <c r="I34" s="48">
        <f>SUMIFS(表1_86121822242650[活跃虚拟充值],表1_86121822242650[目标区服],表2_97131923252751[[#This Row],[合区区服]],表1_86121822242650[目标国家（映射）],表2_97131923252751[[#This Row],[国家]])</f>
        <v>0</v>
      </c>
      <c r="J34" s="48">
        <f>SUMIFS(表1_86121822242650[活跃Coin],表1_86121822242650[目标区服],表2_97131923252751[[#This Row],[合区区服]],表1_86121822242650[目标国家（映射）],表2_97131923252751[[#This Row],[国家]])</f>
        <v>476525</v>
      </c>
      <c r="K34" s="48">
        <f>SUMIFS(表1_86121822242650[共计补偿Coin],表1_86121822242650[目标区服],表2_97131923252751[[#This Row],[合区区服]],表1_86121822242650[目标国家（映射）],表2_97131923252751[[#This Row],[国家]])</f>
        <v>64500</v>
      </c>
      <c r="L34" s="48">
        <f>表2_97131923252751[[#This Row],[活跃Coin]]+表2_97131923252751[[#This Row],[共计补偿Coin]]</f>
        <v>541025</v>
      </c>
      <c r="M34" s="48">
        <f>SUMIFS(表1_86121822242650[综合国力],表1_86121822242650[目标区服],表2_97131923252751[[#This Row],[合区区服]],表1_86121822242650[目标国家（映射）],表2_97131923252751[[#This Row],[国家]])</f>
        <v>15703</v>
      </c>
      <c r="N34" s="46">
        <f t="array" ref="N34">MAX((表1_86121822242650[目标区服]=表2_97131923252751[[#This Row],[合区区服]])*(表1_86121822242650[目标国家（映射）]=表2_97131923252751[[#This Row],[国家]])*表1_86121822242650[单将最高战力])</f>
        <v>747681</v>
      </c>
    </row>
    <row r="40" ht="27" spans="1:13">
      <c r="A40" s="49"/>
      <c r="B40" s="50" t="s">
        <v>9</v>
      </c>
      <c r="C40" s="50" t="s">
        <v>10</v>
      </c>
      <c r="D40" s="50" t="s">
        <v>11</v>
      </c>
      <c r="E40" s="50" t="s">
        <v>12</v>
      </c>
      <c r="F40" s="50" t="s">
        <v>13</v>
      </c>
      <c r="G40" s="50" t="s">
        <v>14</v>
      </c>
      <c r="H40" s="50" t="s">
        <v>15</v>
      </c>
      <c r="I40" s="50" t="s">
        <v>18</v>
      </c>
      <c r="J40" s="50" t="s">
        <v>19</v>
      </c>
      <c r="K40" s="50" t="s">
        <v>20</v>
      </c>
      <c r="L40" s="50" t="s">
        <v>21</v>
      </c>
      <c r="M40" s="50" t="s">
        <v>82</v>
      </c>
    </row>
    <row r="41" spans="1:13">
      <c r="A41" s="50" t="s">
        <v>25</v>
      </c>
      <c r="B41" s="50">
        <v>4</v>
      </c>
      <c r="C41" s="50">
        <v>152</v>
      </c>
      <c r="D41" s="50">
        <v>7</v>
      </c>
      <c r="E41" s="50">
        <v>17</v>
      </c>
      <c r="F41" s="50">
        <v>140149</v>
      </c>
      <c r="G41" s="50">
        <v>2289851</v>
      </c>
      <c r="H41" s="50">
        <v>23610495</v>
      </c>
      <c r="I41" s="50">
        <v>55106</v>
      </c>
      <c r="J41" s="50">
        <v>0</v>
      </c>
      <c r="K41" s="50">
        <v>455587</v>
      </c>
      <c r="L41" s="50">
        <v>9152</v>
      </c>
      <c r="M41" s="50">
        <v>691113</v>
      </c>
    </row>
    <row r="42" spans="1:13">
      <c r="A42" s="50" t="s">
        <v>26</v>
      </c>
      <c r="B42" s="50">
        <v>3</v>
      </c>
      <c r="C42" s="50">
        <v>169</v>
      </c>
      <c r="D42" s="50">
        <v>3</v>
      </c>
      <c r="E42" s="50">
        <v>14</v>
      </c>
      <c r="F42" s="50">
        <v>88516</v>
      </c>
      <c r="G42" s="50">
        <v>2743085</v>
      </c>
      <c r="H42" s="50">
        <v>16546224</v>
      </c>
      <c r="I42" s="50">
        <v>72472</v>
      </c>
      <c r="J42" s="50">
        <v>0</v>
      </c>
      <c r="K42" s="50">
        <v>281713</v>
      </c>
      <c r="L42" s="50">
        <v>9145</v>
      </c>
      <c r="M42" s="50">
        <v>855947</v>
      </c>
    </row>
    <row r="43" spans="1:13">
      <c r="A43" s="50" t="s">
        <v>27</v>
      </c>
      <c r="B43" s="50">
        <v>2</v>
      </c>
      <c r="C43" s="50">
        <v>74</v>
      </c>
      <c r="D43" s="50">
        <v>0</v>
      </c>
      <c r="E43" s="50">
        <v>16</v>
      </c>
      <c r="F43" s="50">
        <v>68403</v>
      </c>
      <c r="G43" s="50">
        <v>1197554</v>
      </c>
      <c r="H43" s="50">
        <v>10894718</v>
      </c>
      <c r="I43" s="50">
        <v>8218</v>
      </c>
      <c r="J43" s="50">
        <v>0</v>
      </c>
      <c r="K43" s="50">
        <v>118201</v>
      </c>
      <c r="L43" s="50">
        <v>3874</v>
      </c>
      <c r="M43" s="50">
        <v>326998</v>
      </c>
    </row>
    <row r="44" spans="1:13">
      <c r="A44" s="50" t="s">
        <v>25</v>
      </c>
      <c r="B44" s="50">
        <v>3</v>
      </c>
      <c r="C44" s="50">
        <v>73</v>
      </c>
      <c r="D44" s="50">
        <v>3</v>
      </c>
      <c r="E44" s="50">
        <v>13</v>
      </c>
      <c r="F44" s="50">
        <v>76325</v>
      </c>
      <c r="G44" s="50">
        <v>1907598</v>
      </c>
      <c r="H44" s="50">
        <v>12804388</v>
      </c>
      <c r="I44" s="50">
        <v>22902</v>
      </c>
      <c r="J44" s="50">
        <v>0</v>
      </c>
      <c r="K44" s="50">
        <v>319003</v>
      </c>
      <c r="L44" s="50">
        <v>5446</v>
      </c>
      <c r="M44" s="50">
        <v>532992</v>
      </c>
    </row>
    <row r="45" spans="1:13">
      <c r="A45" s="50" t="s">
        <v>26</v>
      </c>
      <c r="B45" s="50">
        <v>1</v>
      </c>
      <c r="C45" s="50">
        <v>105</v>
      </c>
      <c r="D45" s="50">
        <v>5</v>
      </c>
      <c r="E45" s="50">
        <v>12</v>
      </c>
      <c r="F45" s="50">
        <v>87968</v>
      </c>
      <c r="G45" s="50">
        <v>2059503</v>
      </c>
      <c r="H45" s="50">
        <v>14586980</v>
      </c>
      <c r="I45" s="50">
        <v>39490</v>
      </c>
      <c r="J45" s="50">
        <v>0</v>
      </c>
      <c r="K45" s="50">
        <v>197479</v>
      </c>
      <c r="L45" s="50">
        <v>6391</v>
      </c>
      <c r="M45" s="50">
        <v>525969</v>
      </c>
    </row>
    <row r="46" spans="1:13">
      <c r="A46" s="50" t="s">
        <v>27</v>
      </c>
      <c r="B46" s="50">
        <v>5</v>
      </c>
      <c r="C46" s="50">
        <v>217</v>
      </c>
      <c r="D46" s="50">
        <v>2</v>
      </c>
      <c r="E46" s="50">
        <v>21</v>
      </c>
      <c r="F46" s="50">
        <v>121540</v>
      </c>
      <c r="G46" s="50">
        <v>3206211</v>
      </c>
      <c r="H46" s="50">
        <v>22957624</v>
      </c>
      <c r="I46" s="50">
        <v>107004</v>
      </c>
      <c r="J46" s="50">
        <v>0</v>
      </c>
      <c r="K46" s="50">
        <v>295558</v>
      </c>
      <c r="L46" s="50">
        <v>12137</v>
      </c>
      <c r="M46" s="50">
        <v>967654</v>
      </c>
    </row>
    <row r="47" spans="1:13">
      <c r="A47" s="50" t="s">
        <v>25</v>
      </c>
      <c r="B47" s="50">
        <v>4</v>
      </c>
      <c r="C47" s="50">
        <v>187</v>
      </c>
      <c r="D47" s="50">
        <v>6</v>
      </c>
      <c r="E47" s="50">
        <v>21</v>
      </c>
      <c r="F47" s="50">
        <v>140085</v>
      </c>
      <c r="G47" s="50">
        <v>2217329</v>
      </c>
      <c r="H47" s="50">
        <v>21875138</v>
      </c>
      <c r="I47" s="50">
        <v>13208</v>
      </c>
      <c r="J47" s="50">
        <v>0</v>
      </c>
      <c r="K47" s="50">
        <v>343846</v>
      </c>
      <c r="L47" s="50">
        <v>7943</v>
      </c>
      <c r="M47" s="50">
        <v>667336</v>
      </c>
    </row>
    <row r="48" spans="1:13">
      <c r="A48" s="50" t="s">
        <v>26</v>
      </c>
      <c r="B48" s="50">
        <v>1</v>
      </c>
      <c r="C48" s="50">
        <v>75</v>
      </c>
      <c r="D48" s="50">
        <v>0</v>
      </c>
      <c r="E48" s="50">
        <v>14</v>
      </c>
      <c r="F48" s="50">
        <v>50609</v>
      </c>
      <c r="G48" s="50">
        <v>1286000</v>
      </c>
      <c r="H48" s="50">
        <v>7861119</v>
      </c>
      <c r="I48" s="50">
        <v>3264</v>
      </c>
      <c r="J48" s="50">
        <v>0</v>
      </c>
      <c r="K48" s="50">
        <v>117838</v>
      </c>
      <c r="L48" s="50">
        <v>3331</v>
      </c>
      <c r="M48" s="50">
        <v>560929</v>
      </c>
    </row>
    <row r="49" spans="1:13">
      <c r="A49" s="50" t="s">
        <v>27</v>
      </c>
      <c r="B49" s="50">
        <v>4</v>
      </c>
      <c r="C49" s="50">
        <v>133</v>
      </c>
      <c r="D49" s="50">
        <v>3</v>
      </c>
      <c r="E49" s="50">
        <v>12</v>
      </c>
      <c r="F49" s="50">
        <v>68531</v>
      </c>
      <c r="G49" s="50">
        <v>2685718</v>
      </c>
      <c r="H49" s="50">
        <v>12090813</v>
      </c>
      <c r="I49" s="50">
        <v>55668</v>
      </c>
      <c r="J49" s="50">
        <v>0</v>
      </c>
      <c r="K49" s="50">
        <v>228544</v>
      </c>
      <c r="L49" s="50">
        <v>7751</v>
      </c>
      <c r="M49" s="50">
        <v>923006</v>
      </c>
    </row>
    <row r="50" spans="1:13">
      <c r="A50" s="50" t="s">
        <v>25</v>
      </c>
      <c r="B50" s="50">
        <v>4</v>
      </c>
      <c r="C50" s="50">
        <v>170</v>
      </c>
      <c r="D50" s="50">
        <v>5</v>
      </c>
      <c r="E50" s="50">
        <v>17</v>
      </c>
      <c r="F50" s="50">
        <v>119240</v>
      </c>
      <c r="G50" s="50">
        <v>2537301</v>
      </c>
      <c r="H50" s="50">
        <v>20020056</v>
      </c>
      <c r="I50" s="50">
        <v>38872</v>
      </c>
      <c r="J50" s="50">
        <v>0</v>
      </c>
      <c r="K50" s="50">
        <v>441646</v>
      </c>
      <c r="L50" s="50">
        <v>8622</v>
      </c>
      <c r="M50" s="50">
        <v>604866</v>
      </c>
    </row>
    <row r="51" spans="1:13">
      <c r="A51" s="50" t="s">
        <v>26</v>
      </c>
      <c r="B51" s="50">
        <v>2</v>
      </c>
      <c r="C51" s="50">
        <v>87</v>
      </c>
      <c r="D51" s="50">
        <v>1</v>
      </c>
      <c r="E51" s="50">
        <v>19</v>
      </c>
      <c r="F51" s="50">
        <v>77247</v>
      </c>
      <c r="G51" s="50">
        <v>1556090</v>
      </c>
      <c r="H51" s="50">
        <v>13002103</v>
      </c>
      <c r="I51" s="50">
        <v>14492</v>
      </c>
      <c r="J51" s="50">
        <v>0</v>
      </c>
      <c r="K51" s="50">
        <v>220313</v>
      </c>
      <c r="L51" s="50">
        <v>4857</v>
      </c>
      <c r="M51" s="50">
        <v>507094</v>
      </c>
    </row>
    <row r="52" spans="1:13">
      <c r="A52" s="50" t="s">
        <v>27</v>
      </c>
      <c r="B52" s="50">
        <v>3</v>
      </c>
      <c r="C52" s="50">
        <v>138</v>
      </c>
      <c r="D52" s="50">
        <v>3</v>
      </c>
      <c r="E52" s="50">
        <v>19</v>
      </c>
      <c r="F52" s="50">
        <v>84071</v>
      </c>
      <c r="G52" s="50">
        <v>2627796</v>
      </c>
      <c r="H52" s="50">
        <v>15746055</v>
      </c>
      <c r="I52" s="50">
        <v>30724</v>
      </c>
      <c r="J52" s="50">
        <v>0</v>
      </c>
      <c r="K52" s="50">
        <v>176100</v>
      </c>
      <c r="L52" s="50">
        <v>7312</v>
      </c>
      <c r="M52" s="50">
        <v>875751</v>
      </c>
    </row>
    <row r="53" spans="1:13">
      <c r="A53" s="50" t="s">
        <v>25</v>
      </c>
      <c r="B53" s="50">
        <v>3</v>
      </c>
      <c r="C53" s="50">
        <v>145</v>
      </c>
      <c r="D53" s="50">
        <v>5</v>
      </c>
      <c r="E53" s="50">
        <v>14</v>
      </c>
      <c r="F53" s="50">
        <v>100719</v>
      </c>
      <c r="G53" s="50">
        <v>2638254</v>
      </c>
      <c r="H53" s="50">
        <v>18124755</v>
      </c>
      <c r="I53" s="50">
        <v>103610</v>
      </c>
      <c r="J53" s="50">
        <v>0</v>
      </c>
      <c r="K53" s="50">
        <v>390069</v>
      </c>
      <c r="L53" s="50">
        <v>10007</v>
      </c>
      <c r="M53" s="50">
        <v>807675</v>
      </c>
    </row>
    <row r="54" spans="1:13">
      <c r="A54" s="50" t="s">
        <v>26</v>
      </c>
      <c r="B54" s="50">
        <v>3</v>
      </c>
      <c r="C54" s="50">
        <v>102</v>
      </c>
      <c r="D54" s="50">
        <v>2</v>
      </c>
      <c r="E54" s="50">
        <v>14</v>
      </c>
      <c r="F54" s="50">
        <v>76977</v>
      </c>
      <c r="G54" s="50">
        <v>2120358</v>
      </c>
      <c r="H54" s="50">
        <v>13793003</v>
      </c>
      <c r="I54" s="50">
        <v>23850</v>
      </c>
      <c r="J54" s="50">
        <v>24464</v>
      </c>
      <c r="K54" s="50">
        <v>159285</v>
      </c>
      <c r="L54" s="50">
        <v>6244</v>
      </c>
      <c r="M54" s="50">
        <v>644475</v>
      </c>
    </row>
    <row r="55" spans="1:13">
      <c r="A55" s="50" t="s">
        <v>27</v>
      </c>
      <c r="B55" s="50">
        <v>3</v>
      </c>
      <c r="C55" s="50">
        <v>148</v>
      </c>
      <c r="D55" s="50">
        <v>3</v>
      </c>
      <c r="E55" s="50">
        <v>17</v>
      </c>
      <c r="F55" s="50">
        <v>96830</v>
      </c>
      <c r="G55" s="50">
        <v>2854510</v>
      </c>
      <c r="H55" s="50">
        <v>17751654</v>
      </c>
      <c r="I55" s="50">
        <v>98142</v>
      </c>
      <c r="J55" s="50">
        <v>0</v>
      </c>
      <c r="K55" s="50">
        <v>491250</v>
      </c>
      <c r="L55" s="50">
        <v>10083</v>
      </c>
      <c r="M55" s="50">
        <v>817661</v>
      </c>
    </row>
    <row r="56" spans="1:13">
      <c r="A56" s="50" t="s">
        <v>25</v>
      </c>
      <c r="B56" s="50">
        <v>2</v>
      </c>
      <c r="C56" s="50">
        <v>103</v>
      </c>
      <c r="D56" s="50">
        <v>1</v>
      </c>
      <c r="E56" s="50">
        <v>18</v>
      </c>
      <c r="F56" s="50">
        <v>64625</v>
      </c>
      <c r="G56" s="50">
        <v>1454935</v>
      </c>
      <c r="H56" s="50">
        <v>12311636</v>
      </c>
      <c r="I56" s="50">
        <v>11382</v>
      </c>
      <c r="J56" s="50">
        <v>0</v>
      </c>
      <c r="K56" s="50">
        <v>96265</v>
      </c>
      <c r="L56" s="50">
        <v>4628</v>
      </c>
      <c r="M56" s="50">
        <v>367210</v>
      </c>
    </row>
    <row r="57" spans="1:13">
      <c r="A57" s="50" t="s">
        <v>26</v>
      </c>
      <c r="B57" s="50">
        <v>4</v>
      </c>
      <c r="C57" s="50">
        <v>182</v>
      </c>
      <c r="D57" s="50">
        <v>6</v>
      </c>
      <c r="E57" s="50">
        <v>18</v>
      </c>
      <c r="F57" s="50">
        <v>125735</v>
      </c>
      <c r="G57" s="50">
        <v>2426479</v>
      </c>
      <c r="H57" s="50">
        <v>22438303</v>
      </c>
      <c r="I57" s="50">
        <v>56142</v>
      </c>
      <c r="J57" s="50">
        <v>0</v>
      </c>
      <c r="K57" s="50">
        <v>275190</v>
      </c>
      <c r="L57" s="50">
        <v>9340</v>
      </c>
      <c r="M57" s="50">
        <v>696442</v>
      </c>
    </row>
    <row r="58" spans="1:13">
      <c r="A58" s="50" t="s">
        <v>27</v>
      </c>
      <c r="B58" s="50">
        <v>3</v>
      </c>
      <c r="C58" s="50">
        <v>110</v>
      </c>
      <c r="D58" s="50">
        <v>3</v>
      </c>
      <c r="E58" s="50">
        <v>16</v>
      </c>
      <c r="F58" s="50">
        <v>87478</v>
      </c>
      <c r="G58" s="50">
        <v>1993945</v>
      </c>
      <c r="H58" s="50">
        <v>15423834</v>
      </c>
      <c r="I58" s="50">
        <v>29628</v>
      </c>
      <c r="J58" s="50">
        <v>0</v>
      </c>
      <c r="K58" s="50">
        <v>201335</v>
      </c>
      <c r="L58" s="50">
        <v>6363</v>
      </c>
      <c r="M58" s="50">
        <v>747681</v>
      </c>
    </row>
    <row r="59" spans="1:13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</row>
    <row r="60" spans="1:13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</row>
    <row r="61" spans="1:13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</row>
  </sheetData>
  <conditionalFormatting sqref="F26:F28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{4b2f6629-973c-411e-a9c2-b569f3d36c66}</x14:id>
        </ext>
      </extLst>
    </cfRule>
  </conditionalFormatting>
  <conditionalFormatting sqref="F29:F31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{a3125938-7494-4f4b-b5eb-d2717ffb9c89}</x14:id>
        </ext>
      </extLst>
    </cfRule>
  </conditionalFormatting>
  <conditionalFormatting sqref="F32:F3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{bcfe84b3-f382-4551-9e1f-8c25b0fdc06e}</x14:id>
        </ext>
      </extLst>
    </cfRule>
  </conditionalFormatting>
  <conditionalFormatting sqref="G26:G28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{e9f29991-9bd3-48ba-8e63-8fb0649bc06c}</x14:id>
        </ext>
      </extLst>
    </cfRule>
  </conditionalFormatting>
  <conditionalFormatting sqref="G29:G3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{3733540e-dec7-4fee-b1a6-7750d49f8389}</x14:id>
        </ext>
      </extLst>
    </cfRule>
  </conditionalFormatting>
  <conditionalFormatting sqref="G32:G34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{bf12dd1d-6049-4338-a6d3-21b569ae5405}</x14:id>
        </ext>
      </extLst>
    </cfRule>
  </conditionalFormatting>
  <conditionalFormatting sqref="N26:N34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{fb966497-5b11-42ad-9229-175b9e460db4}</x14:id>
        </ext>
      </extLst>
    </cfRule>
  </conditionalFormatting>
  <conditionalFormatting sqref="O2:O19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{73a3892b-dabb-40f3-b2b0-96e310e3c869}</x14:id>
        </ext>
      </extLst>
    </cfRule>
  </conditionalFormatting>
  <conditionalFormatting sqref="O20:O22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{1d5ef4fb-d5ab-4c83-b08f-fcfdad637d76}</x14:id>
        </ext>
      </extLst>
    </cfRule>
  </conditionalFormatting>
  <conditionalFormatting sqref="P2:P19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{64d9ec19-ec06-437a-a5b7-01a52d6cda20}</x14:id>
        </ext>
      </extLst>
    </cfRule>
  </conditionalFormatting>
  <conditionalFormatting sqref="P20:P2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{7fe280d4-d189-4eb1-b5b8-b855f925b04a}</x14:id>
        </ext>
      </extLst>
    </cfRule>
  </conditionalFormatting>
  <conditionalFormatting sqref="P26:P33">
    <cfRule type="cellIs" dxfId="37" priority="1" operator="equal">
      <formula>$S$26</formula>
    </cfRule>
  </conditionalFormatting>
  <conditionalFormatting sqref="Q2:Q22">
    <cfRule type="cellIs" dxfId="38" priority="8" operator="equal">
      <formula>配置!$D$4</formula>
    </cfRule>
    <cfRule type="cellIs" dxfId="39" priority="9" operator="equal">
      <formula>配置!$D$3</formula>
    </cfRule>
    <cfRule type="cellIs" dxfId="37" priority="10" operator="equal">
      <formula>配置!$D$2</formula>
    </cfRule>
  </conditionalFormatting>
  <conditionalFormatting sqref="R26:R29">
    <cfRule type="cellIs" dxfId="37" priority="2" operator="equal">
      <formula>$S$26</formula>
    </cfRule>
  </conditionalFormatting>
  <conditionalFormatting sqref="O23:O24 Q1:R1 Q2 Q4:Q5 Q7:Q8 Q10:Q11 Q13:Q14 Q16:Q17 Q19:Q20 Q22">
    <cfRule type="cellIs" dxfId="37" priority="18" operator="equal">
      <formula>配置!$D$2</formula>
    </cfRule>
  </conditionalFormatting>
  <conditionalFormatting sqref="Q2 Q4:Q5 Q7:Q8 Q10:Q11 Q13:Q14 Q16:Q17 Q19:Q20 Q22">
    <cfRule type="cellIs" dxfId="38" priority="17" operator="equal">
      <formula>配置!$D$4</formula>
    </cfRule>
  </conditionalFormatting>
  <dataValidations count="1">
    <dataValidation type="list" allowBlank="1" showInputMessage="1" showErrorMessage="1" sqref="Q2:Q22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b2f6629-973c-411e-a9c2-b569f3d36c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a3125938-7494-4f4b-b5eb-d2717ffb9c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bcfe84b3-f382-4551-9e1f-8c25b0fdc0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e9f29991-9bd3-48ba-8e63-8fb0649bc0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3733540e-dec7-4fee-b1a6-7750d49f83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bf12dd1d-6049-4338-a6d3-21b569ae54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fb966497-5b11-42ad-9229-175b9e460d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N26:N34</xm:sqref>
        </x14:conditionalFormatting>
        <x14:conditionalFormatting xmlns:xm="http://schemas.microsoft.com/office/excel/2006/main">
          <x14:cfRule type="dataBar" id="{73a3892b-dabb-40f3-b2b0-96e310e3c8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1d5ef4fb-d5ab-4c83-b08f-fcfdad637d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64d9ec19-ec06-437a-a5b7-01a52d6cda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7fe280d4-d189-4eb1-b5b8-b855f925b0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</x14:conditionalFormatting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7"/>
  <sheetViews>
    <sheetView topLeftCell="A19" workbookViewId="0">
      <selection activeCell="R38" sqref="R38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1">
        <v>115</v>
      </c>
      <c r="B2" s="371">
        <f>VLOOKUP(表1_86121822242652[[#This Row],[区服]],$P$29:$Q$36,2,FALSE)</f>
        <v>53</v>
      </c>
      <c r="C2" s="372" t="s">
        <v>98</v>
      </c>
      <c r="D2" s="373" t="str">
        <f>表1_86121822242652[[#This Row],[目标国家]]</f>
        <v>魏</v>
      </c>
      <c r="E2" s="374">
        <f>(VLOOKUP(表1_86121822242652[[#This Row],[目标区服]],$R$29:$S$32,2,FALSE)-表1_86121822242652[[#This Row],[开服天数]])*配置!$B$1</f>
        <v>1000</v>
      </c>
      <c r="F2" s="374">
        <f>表1_86121822242652[[#This Row],[补偿Coin]]*(表1_86121822242652[[#This Row],[活跃高战玩家数]]+表1_86121822242652[[#This Row],[活跃中坚玩家数]])</f>
        <v>26000</v>
      </c>
      <c r="G2" s="374">
        <f>(VLOOKUP(表1_86121822242652[[#This Row],[目标区服]],$R$29:$S$32,2,FALSE)-表1_86121822242652[[#This Row],[开服天数]])*配置!$B$2</f>
        <v>10</v>
      </c>
      <c r="H2" s="376" t="s">
        <v>25</v>
      </c>
      <c r="I2" s="376">
        <f>IF(表1_86121822242652[[#This Row],[原国家]]="魏",0,IF(表1_86121822242652[[#This Row],[原国家]]="蜀",1,2))</f>
        <v>0</v>
      </c>
      <c r="J2" s="380">
        <v>4</v>
      </c>
      <c r="K2" s="380">
        <v>192</v>
      </c>
      <c r="L2" s="380">
        <v>4</v>
      </c>
      <c r="M2" s="380">
        <v>22</v>
      </c>
      <c r="N2" s="380">
        <v>119173</v>
      </c>
      <c r="O2" s="380">
        <v>2841530</v>
      </c>
      <c r="P2" s="381">
        <v>25087080</v>
      </c>
      <c r="Q2" s="31" t="s">
        <v>25</v>
      </c>
      <c r="R2" s="376">
        <f>IF(表1_86121822242652[[#This Row],[目标国家]]="魏",0,IF(表1_86121822242652[[#This Row],[目标国家]]="蜀",1,2))</f>
        <v>0</v>
      </c>
      <c r="S2" s="380">
        <v>27432</v>
      </c>
      <c r="T2" s="380">
        <v>30</v>
      </c>
      <c r="U2" s="380">
        <v>698585</v>
      </c>
      <c r="V2" s="380">
        <v>9438</v>
      </c>
      <c r="W2" s="374">
        <v>822759</v>
      </c>
      <c r="X2" s="387" t="str">
        <f>"{"&amp;"'coin':"&amp;表1_86121822242652[[#This Row],[补偿Coin]]&amp;",'"&amp;配置!$A$2&amp;"':"&amp;表1_86121822242652[[#This Row],[补偿辎重]]&amp;"},"</f>
        <v>{'coin':1000,'item036':10},</v>
      </c>
      <c r="Y2" s="388" t="str">
        <f>"      '"&amp;表1_86121822242652[[#This Row],[区服]]&amp;"':{"</f>
        <v>      '115':{</v>
      </c>
    </row>
    <row r="3" s="354" customFormat="1" ht="14.25" customHeight="1" spans="1:25">
      <c r="A3" s="375">
        <v>115</v>
      </c>
      <c r="B3" s="371">
        <f>VLOOKUP(表1_86121822242652[[#This Row],[区服]],$P$29:$Q$36,2,FALSE)</f>
        <v>53</v>
      </c>
      <c r="C3" s="372" t="s">
        <v>98</v>
      </c>
      <c r="D3" s="376" t="str">
        <f>表1_86121822242652[[#This Row],[目标国家]]</f>
        <v>蜀</v>
      </c>
      <c r="E3" s="380">
        <f>(VLOOKUP(表1_86121822242652[[#This Row],[目标区服]],$R$29:$S$32,2,FALSE)-表1_86121822242652[[#This Row],[开服天数]])*配置!$B$1</f>
        <v>1000</v>
      </c>
      <c r="F3" s="380">
        <f>表1_86121822242652[[#This Row],[补偿Coin]]*(表1_86121822242652[[#This Row],[活跃高战玩家数]]+表1_86121822242652[[#This Row],[活跃中坚玩家数]])</f>
        <v>19000</v>
      </c>
      <c r="G3" s="380">
        <f>(VLOOKUP(表1_86121822242652[[#This Row],[目标区服]],$R$29:$S$32,2,FALSE)-表1_86121822242652[[#This Row],[开服天数]])*配置!$B$2</f>
        <v>10</v>
      </c>
      <c r="H3" s="376" t="s">
        <v>26</v>
      </c>
      <c r="I3" s="376">
        <f>IF(表1_86121822242652[[#This Row],[原国家]]="魏",0,IF(表1_86121822242652[[#This Row],[原国家]]="蜀",1,2))</f>
        <v>1</v>
      </c>
      <c r="J3" s="380">
        <v>2</v>
      </c>
      <c r="K3" s="380">
        <v>100</v>
      </c>
      <c r="L3" s="380">
        <v>2</v>
      </c>
      <c r="M3" s="380">
        <v>17</v>
      </c>
      <c r="N3" s="380">
        <v>78977</v>
      </c>
      <c r="O3" s="380">
        <v>2342398</v>
      </c>
      <c r="P3" s="381">
        <v>17189251</v>
      </c>
      <c r="Q3" s="31" t="s">
        <v>26</v>
      </c>
      <c r="R3" s="376">
        <f>IF(表1_86121822242652[[#This Row],[目标国家]]="魏",0,IF(表1_86121822242652[[#This Row],[目标国家]]="蜀",1,2))</f>
        <v>1</v>
      </c>
      <c r="S3" s="380">
        <v>40508</v>
      </c>
      <c r="T3" s="380">
        <v>0</v>
      </c>
      <c r="U3" s="380">
        <v>197247</v>
      </c>
      <c r="V3" s="380">
        <v>6970</v>
      </c>
      <c r="W3" s="374">
        <v>834719</v>
      </c>
      <c r="X3" s="387" t="str">
        <f>"{"&amp;"'coin':"&amp;表1_86121822242652[[#This Row],[补偿Coin]]&amp;",'"&amp;配置!$A$2&amp;"':"&amp;表1_86121822242652[[#This Row],[补偿辎重]]&amp;"},"</f>
        <v>{'coin':1000,'item036':10},</v>
      </c>
      <c r="Y3" s="388" t="str">
        <f>"            'to_zone':'"&amp;表1_86121822242652[[#This Row],[目标区服]]&amp;"',
            'reward':"&amp;表1_86121822242652[[#This Row],[辅助导出]]&amp;"
            'country':["&amp;R2&amp;","&amp;R3&amp;","&amp;R4&amp;"],"</f>
        <v>            'to_zone':'h1_48',
            'reward':{'coin':1000,'item036':10},
            'country':[0,1,2],</v>
      </c>
    </row>
    <row r="4" s="354" customFormat="1" ht="14.25" customHeight="1" spans="1:25">
      <c r="A4" s="375">
        <v>115</v>
      </c>
      <c r="B4" s="371">
        <f>VLOOKUP(表1_86121822242652[[#This Row],[区服]],$P$29:$Q$36,2,FALSE)</f>
        <v>53</v>
      </c>
      <c r="C4" s="372" t="s">
        <v>98</v>
      </c>
      <c r="D4" s="376" t="str">
        <f>表1_86121822242652[[#This Row],[目标国家]]</f>
        <v>吴</v>
      </c>
      <c r="E4" s="380">
        <f>(VLOOKUP(表1_86121822242652[[#This Row],[目标区服]],$R$29:$S$32,2,FALSE)-表1_86121822242652[[#This Row],[开服天数]])*配置!$B$1</f>
        <v>1000</v>
      </c>
      <c r="F4" s="380">
        <f>表1_86121822242652[[#This Row],[补偿Coin]]*(表1_86121822242652[[#This Row],[活跃高战玩家数]]+表1_86121822242652[[#This Row],[活跃中坚玩家数]])</f>
        <v>23000</v>
      </c>
      <c r="G4" s="380">
        <f>(VLOOKUP(表1_86121822242652[[#This Row],[目标区服]],$R$29:$S$32,2,FALSE)-表1_86121822242652[[#This Row],[开服天数]])*配置!$B$2</f>
        <v>10</v>
      </c>
      <c r="H4" s="376" t="s">
        <v>27</v>
      </c>
      <c r="I4" s="376">
        <f>IF(表1_86121822242652[[#This Row],[原国家]]="魏",0,IF(表1_86121822242652[[#This Row],[原国家]]="蜀",1,2))</f>
        <v>2</v>
      </c>
      <c r="J4" s="380">
        <v>3</v>
      </c>
      <c r="K4" s="380">
        <v>103</v>
      </c>
      <c r="L4" s="380">
        <v>4</v>
      </c>
      <c r="M4" s="380">
        <v>19</v>
      </c>
      <c r="N4" s="380">
        <v>99813</v>
      </c>
      <c r="O4" s="380">
        <v>2558938</v>
      </c>
      <c r="P4" s="381">
        <v>21721546</v>
      </c>
      <c r="Q4" s="31" t="s">
        <v>27</v>
      </c>
      <c r="R4" s="376">
        <f>IF(表1_86121822242652[[#This Row],[目标国家]]="魏",0,IF(表1_86121822242652[[#This Row],[目标国家]]="蜀",1,2))</f>
        <v>2</v>
      </c>
      <c r="S4" s="380">
        <v>60302</v>
      </c>
      <c r="T4" s="380">
        <v>0</v>
      </c>
      <c r="U4" s="380">
        <v>439694</v>
      </c>
      <c r="V4" s="380">
        <v>8589</v>
      </c>
      <c r="W4" s="374">
        <v>819356</v>
      </c>
      <c r="X4" s="387" t="str">
        <f>"{"&amp;"'coin':"&amp;表1_86121822242652[[#This Row],[补偿Coin]]&amp;",'"&amp;配置!$A$2&amp;"':"&amp;表1_86121822242652[[#This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5">
        <v>116</v>
      </c>
      <c r="B5" s="371">
        <f>VLOOKUP(表1_86121822242652[[#This Row],[区服]],$P$29:$Q$36,2,FALSE)</f>
        <v>52</v>
      </c>
      <c r="C5" s="372" t="s">
        <v>98</v>
      </c>
      <c r="D5" s="376" t="str">
        <f>表1_86121822242652[[#This Row],[目标国家]]</f>
        <v>魏</v>
      </c>
      <c r="E5" s="380">
        <f>(VLOOKUP(表1_86121822242652[[#This Row],[目标区服]],$R$29:$S$32,2,FALSE)-表1_86121822242652[[#This Row],[开服天数]])*配置!$B$1</f>
        <v>1500</v>
      </c>
      <c r="F5" s="380">
        <f>表1_86121822242652[[#This Row],[补偿Coin]]*(表1_86121822242652[[#This Row],[活跃高战玩家数]]+表1_86121822242652[[#This Row],[活跃中坚玩家数]])</f>
        <v>37500</v>
      </c>
      <c r="G5" s="380">
        <f>(VLOOKUP(表1_86121822242652[[#This Row],[目标区服]],$R$29:$S$32,2,FALSE)-表1_86121822242652[[#This Row],[开服天数]])*配置!$B$2</f>
        <v>15</v>
      </c>
      <c r="H5" s="376" t="s">
        <v>25</v>
      </c>
      <c r="I5" s="376">
        <f>IF(表1_86121822242652[[#This Row],[原国家]]="魏",0,IF(表1_86121822242652[[#This Row],[原国家]]="蜀",1,2))</f>
        <v>0</v>
      </c>
      <c r="J5" s="380">
        <v>5</v>
      </c>
      <c r="K5" s="380">
        <v>213</v>
      </c>
      <c r="L5" s="380">
        <v>5</v>
      </c>
      <c r="M5" s="380">
        <v>20</v>
      </c>
      <c r="N5" s="380">
        <v>97429</v>
      </c>
      <c r="O5" s="380">
        <v>3727032</v>
      </c>
      <c r="P5" s="381">
        <v>25650743</v>
      </c>
      <c r="Q5" s="31" t="s">
        <v>25</v>
      </c>
      <c r="R5" s="376">
        <f>IF(表1_86121822242652[[#This Row],[目标国家]]="魏",0,IF(表1_86121822242652[[#This Row],[目标国家]]="蜀",1,2))</f>
        <v>0</v>
      </c>
      <c r="S5" s="380">
        <v>131594</v>
      </c>
      <c r="T5" s="380">
        <v>0</v>
      </c>
      <c r="U5" s="380">
        <v>435034</v>
      </c>
      <c r="V5" s="380">
        <v>13574</v>
      </c>
      <c r="W5" s="374">
        <v>1066167</v>
      </c>
      <c r="X5" s="387" t="str">
        <f>"{"&amp;"'coin':"&amp;表1_86121822242652[[#This Row],[补偿Coin]]&amp;",'"&amp;配置!$A$2&amp;"':"&amp;表1_86121822242652[[#This Row],[补偿辎重]]&amp;"},"</f>
        <v>{'coin':1500,'item036':15},</v>
      </c>
      <c r="Y5" s="388" t="str">
        <f>"      '"&amp;表1_86121822242652[[#This Row],[区服]]&amp;"':{"</f>
        <v>      '116':{</v>
      </c>
    </row>
    <row r="6" s="354" customFormat="1" ht="14.25" customHeight="1" spans="1:25">
      <c r="A6" s="371">
        <v>116</v>
      </c>
      <c r="B6" s="371">
        <f>VLOOKUP(表1_86121822242652[[#This Row],[区服]],$P$29:$Q$36,2,FALSE)</f>
        <v>52</v>
      </c>
      <c r="C6" s="372" t="s">
        <v>98</v>
      </c>
      <c r="D6" s="376" t="str">
        <f>表1_86121822242652[[#This Row],[目标国家]]</f>
        <v>蜀</v>
      </c>
      <c r="E6" s="380">
        <f>(VLOOKUP(表1_86121822242652[[#This Row],[目标区服]],$R$29:$S$32,2,FALSE)-表1_86121822242652[[#This Row],[开服天数]])*配置!$B$1</f>
        <v>1500</v>
      </c>
      <c r="F6" s="380">
        <f>表1_86121822242652[[#This Row],[补偿Coin]]*(表1_86121822242652[[#This Row],[活跃高战玩家数]]+表1_86121822242652[[#This Row],[活跃中坚玩家数]])</f>
        <v>36000</v>
      </c>
      <c r="G6" s="380">
        <f>(VLOOKUP(表1_86121822242652[[#This Row],[目标区服]],$R$29:$S$32,2,FALSE)-表1_86121822242652[[#This Row],[开服天数]])*配置!$B$2</f>
        <v>15</v>
      </c>
      <c r="H6" s="376" t="s">
        <v>26</v>
      </c>
      <c r="I6" s="376">
        <f>IF(表1_86121822242652[[#This Row],[原国家]]="魏",0,IF(表1_86121822242652[[#This Row],[原国家]]="蜀",1,2))</f>
        <v>1</v>
      </c>
      <c r="J6" s="380">
        <v>3</v>
      </c>
      <c r="K6" s="380">
        <v>124</v>
      </c>
      <c r="L6" s="380">
        <v>2</v>
      </c>
      <c r="M6" s="380">
        <v>22</v>
      </c>
      <c r="N6" s="380">
        <v>99800</v>
      </c>
      <c r="O6" s="380">
        <v>3778975</v>
      </c>
      <c r="P6" s="381">
        <v>22735159</v>
      </c>
      <c r="Q6" s="31" t="s">
        <v>26</v>
      </c>
      <c r="R6" s="376">
        <f>IF(表1_86121822242652[[#This Row],[目标国家]]="魏",0,IF(表1_86121822242652[[#This Row],[目标国家]]="蜀",1,2))</f>
        <v>1</v>
      </c>
      <c r="S6" s="380">
        <v>86504</v>
      </c>
      <c r="T6" s="380">
        <v>0</v>
      </c>
      <c r="U6" s="380">
        <v>314822</v>
      </c>
      <c r="V6" s="380">
        <v>10844</v>
      </c>
      <c r="W6" s="374">
        <v>1139670</v>
      </c>
      <c r="X6" s="387" t="str">
        <f>"{"&amp;"'coin':"&amp;表1_86121822242652[[#This Row],[补偿Coin]]&amp;",'"&amp;配置!$A$2&amp;"':"&amp;表1_86121822242652[[#This Row],[补偿辎重]]&amp;"},"</f>
        <v>{'coin':1500,'item036':15},</v>
      </c>
      <c r="Y6" s="388" t="str">
        <f>"            'to_zone':'"&amp;表1_86121822242652[[#This Row],[目标区服]]&amp;"',
            'reward':"&amp;表1_86121822242652[[#This Row],[辅助导出]]&amp;"
            'country':["&amp;R5&amp;","&amp;R6&amp;","&amp;R7&amp;"],"</f>
        <v>            'to_zone':'h1_48',
            'reward':{'coin':1500,'item036':15},
            'country':[0,1,2],</v>
      </c>
    </row>
    <row r="7" s="354" customFormat="1" ht="14.25" customHeight="1" spans="1:25">
      <c r="A7" s="371">
        <v>116</v>
      </c>
      <c r="B7" s="371">
        <f>VLOOKUP(表1_86121822242652[[#This Row],[区服]],$P$29:$Q$36,2,FALSE)</f>
        <v>52</v>
      </c>
      <c r="C7" s="372" t="s">
        <v>98</v>
      </c>
      <c r="D7" s="376" t="str">
        <f>表1_86121822242652[[#This Row],[目标国家]]</f>
        <v>吴</v>
      </c>
      <c r="E7" s="380">
        <f>(VLOOKUP(表1_86121822242652[[#This Row],[目标区服]],$R$29:$S$32,2,FALSE)-表1_86121822242652[[#This Row],[开服天数]])*配置!$B$1</f>
        <v>1500</v>
      </c>
      <c r="F7" s="380">
        <f>表1_86121822242652[[#This Row],[补偿Coin]]*(表1_86121822242652[[#This Row],[活跃高战玩家数]]+表1_86121822242652[[#This Row],[活跃中坚玩家数]])</f>
        <v>19500</v>
      </c>
      <c r="G7" s="380">
        <f>(VLOOKUP(表1_86121822242652[[#This Row],[目标区服]],$R$29:$S$32,2,FALSE)-表1_86121822242652[[#This Row],[开服天数]])*配置!$B$2</f>
        <v>15</v>
      </c>
      <c r="H7" s="376" t="s">
        <v>27</v>
      </c>
      <c r="I7" s="376">
        <f>IF(表1_86121822242652[[#This Row],[原国家]]="魏",0,IF(表1_86121822242652[[#This Row],[原国家]]="蜀",1,2))</f>
        <v>2</v>
      </c>
      <c r="J7" s="380">
        <v>1</v>
      </c>
      <c r="K7" s="380">
        <v>58</v>
      </c>
      <c r="L7" s="380">
        <v>2</v>
      </c>
      <c r="M7" s="380">
        <v>11</v>
      </c>
      <c r="N7" s="380">
        <v>59003</v>
      </c>
      <c r="O7" s="380">
        <v>2817804</v>
      </c>
      <c r="P7" s="381">
        <v>12902896</v>
      </c>
      <c r="Q7" s="31" t="s">
        <v>27</v>
      </c>
      <c r="R7" s="376">
        <f>IF(表1_86121822242652[[#This Row],[目标国家]]="魏",0,IF(表1_86121822242652[[#This Row],[目标国家]]="蜀",1,2))</f>
        <v>2</v>
      </c>
      <c r="S7" s="380">
        <v>24006</v>
      </c>
      <c r="T7" s="380">
        <v>34622</v>
      </c>
      <c r="U7" s="380">
        <v>180090</v>
      </c>
      <c r="V7" s="380">
        <v>6239</v>
      </c>
      <c r="W7" s="374">
        <v>964831</v>
      </c>
      <c r="X7" s="387" t="str">
        <f>"{"&amp;"'coin':"&amp;表1_86121822242652[[#This Row],[补偿Coin]]&amp;",'"&amp;配置!$A$2&amp;"':"&amp;表1_86121822242652[[#This Row],[补偿辎重]]&amp;"},"</f>
        <v>{'coin':1500,'item036':15},</v>
      </c>
      <c r="Y7" s="388" t="str">
        <f t="shared" ref="Y7" si="0">"      },"</f>
        <v>      },</v>
      </c>
    </row>
    <row r="8" s="354" customFormat="1" ht="14.25" customHeight="1" spans="1:25">
      <c r="A8" s="259">
        <v>117</v>
      </c>
      <c r="B8" s="210">
        <f>VLOOKUP(表1_86121822242652[[#This Row],[区服]],$P$29:$Q$36,2,FALSE)</f>
        <v>51</v>
      </c>
      <c r="C8" s="296" t="s">
        <v>99</v>
      </c>
      <c r="D8" s="212" t="str">
        <f>表1_86121822242652[[#This Row],[目标国家]]</f>
        <v>魏</v>
      </c>
      <c r="E8" s="213">
        <f>(VLOOKUP(表1_86121822242652[[#This Row],[目标区服]],$R$29:$S$32,2,FALSE)-表1_86121822242652[[#This Row],[开服天数]])*配置!$B$1</f>
        <v>1000</v>
      </c>
      <c r="F8" s="213">
        <f>表1_86121822242652[[#This Row],[补偿Coin]]*(表1_86121822242652[[#This Row],[活跃高战玩家数]]+表1_86121822242652[[#This Row],[活跃中坚玩家数]])</f>
        <v>15000</v>
      </c>
      <c r="G8" s="260">
        <f>(VLOOKUP(表1_86121822242652[[#This Row],[目标区服]],$R$29:$S$32,2,FALSE)-表1_86121822242652[[#This Row],[开服天数]])*配置!$B$2</f>
        <v>10</v>
      </c>
      <c r="H8" s="212" t="s">
        <v>25</v>
      </c>
      <c r="I8" s="268">
        <f>IF(表1_86121822242652[[#This Row],[原国家]]="魏",0,IF(表1_86121822242652[[#This Row],[原国家]]="蜀",1,2))</f>
        <v>0</v>
      </c>
      <c r="J8" s="213">
        <v>2</v>
      </c>
      <c r="K8" s="213">
        <v>81</v>
      </c>
      <c r="L8" s="213">
        <v>3</v>
      </c>
      <c r="M8" s="213">
        <v>12</v>
      </c>
      <c r="N8" s="213">
        <v>58461</v>
      </c>
      <c r="O8" s="419">
        <v>3004233</v>
      </c>
      <c r="P8" s="420">
        <v>14340447</v>
      </c>
      <c r="Q8" s="31" t="s">
        <v>25</v>
      </c>
      <c r="R8" s="212">
        <f>IF(表1_86121822242652[[#This Row],[目标国家]]="魏",0,IF(表1_86121822242652[[#This Row],[目标国家]]="蜀",1,2))</f>
        <v>0</v>
      </c>
      <c r="S8" s="213">
        <v>57524</v>
      </c>
      <c r="T8" s="213">
        <v>0</v>
      </c>
      <c r="U8" s="213">
        <v>337894</v>
      </c>
      <c r="V8" s="213">
        <v>7635</v>
      </c>
      <c r="W8" s="213">
        <v>960022</v>
      </c>
      <c r="X8" s="278" t="str">
        <f>"{"&amp;"'coin':"&amp;表1_86121822242652[[#This Row],[补偿Coin]]&amp;",'"&amp;配置!$A$2&amp;"':"&amp;表1_86121822242652[[#This Row],[补偿辎重]]&amp;"},"</f>
        <v>{'coin':1000,'item036':10},</v>
      </c>
      <c r="Y8" s="278" t="str">
        <f>"      '"&amp;表1_86121822242652[[#This Row],[区服]]&amp;"':{"</f>
        <v>      '117':{</v>
      </c>
    </row>
    <row r="9" s="354" customFormat="1" ht="14.25" customHeight="1" spans="1:25">
      <c r="A9" s="259">
        <v>117</v>
      </c>
      <c r="B9" s="210">
        <f>VLOOKUP(表1_86121822242652[[#This Row],[区服]],$P$29:$Q$36,2,FALSE)</f>
        <v>51</v>
      </c>
      <c r="C9" s="296" t="s">
        <v>99</v>
      </c>
      <c r="D9" s="212" t="str">
        <f>表1_86121822242652[[#This Row],[目标国家]]</f>
        <v>蜀</v>
      </c>
      <c r="E9" s="213">
        <f>(VLOOKUP(表1_86121822242652[[#This Row],[目标区服]],$R$29:$S$32,2,FALSE)-表1_86121822242652[[#This Row],[开服天数]])*配置!$B$1</f>
        <v>1000</v>
      </c>
      <c r="F9" s="213">
        <f>表1_86121822242652[[#This Row],[补偿Coin]]*(表1_86121822242652[[#This Row],[活跃高战玩家数]]+表1_86121822242652[[#This Row],[活跃中坚玩家数]])</f>
        <v>27000</v>
      </c>
      <c r="G9" s="260">
        <f>(VLOOKUP(表1_86121822242652[[#This Row],[目标区服]],$R$29:$S$32,2,FALSE)-表1_86121822242652[[#This Row],[开服天数]])*配置!$B$2</f>
        <v>10</v>
      </c>
      <c r="H9" s="212" t="s">
        <v>26</v>
      </c>
      <c r="I9" s="268">
        <f>IF(表1_86121822242652[[#This Row],[原国家]]="魏",0,IF(表1_86121822242652[[#This Row],[原国家]]="蜀",1,2))</f>
        <v>1</v>
      </c>
      <c r="J9" s="213">
        <v>4</v>
      </c>
      <c r="K9" s="213">
        <v>205</v>
      </c>
      <c r="L9" s="213">
        <v>4</v>
      </c>
      <c r="M9" s="213">
        <v>23</v>
      </c>
      <c r="N9" s="213">
        <v>113482</v>
      </c>
      <c r="O9" s="419">
        <v>3697841</v>
      </c>
      <c r="P9" s="420">
        <v>28585136</v>
      </c>
      <c r="Q9" s="31" t="s">
        <v>26</v>
      </c>
      <c r="R9" s="212">
        <f>IF(表1_86121822242652[[#This Row],[目标国家]]="魏",0,IF(表1_86121822242652[[#This Row],[目标国家]]="蜀",1,2))</f>
        <v>1</v>
      </c>
      <c r="S9" s="213">
        <v>111186</v>
      </c>
      <c r="T9" s="213">
        <v>0</v>
      </c>
      <c r="U9" s="213">
        <v>749906</v>
      </c>
      <c r="V9" s="213">
        <v>13284</v>
      </c>
      <c r="W9" s="213">
        <v>1058669</v>
      </c>
      <c r="X9" s="278" t="str">
        <f>"{"&amp;"'coin':"&amp;表1_86121822242652[[#This Row],[补偿Coin]]&amp;",'"&amp;配置!$A$2&amp;"':"&amp;表1_86121822242652[[#This Row],[补偿辎重]]&amp;"},"</f>
        <v>{'coin':1000,'item036':10},</v>
      </c>
      <c r="Y9" s="278" t="str">
        <f>"            'to_zone':'"&amp;表1_86121822242652[[#This Row],[目标区服]]&amp;"',
            'reward':"&amp;表1_86121822242652[[#This Row],[辅助导出]]&amp;"
            'country':["&amp;R8&amp;","&amp;R9&amp;","&amp;R10&amp;"],"</f>
        <v>            'to_zone':'h1_49',
            'reward':{'coin':1000,'item036':10},
            'country':[0,1,2],</v>
      </c>
    </row>
    <row r="10" s="354" customFormat="1" ht="14.25" customHeight="1" spans="1:25">
      <c r="A10" s="259">
        <v>117</v>
      </c>
      <c r="B10" s="210">
        <f>VLOOKUP(表1_86121822242652[[#This Row],[区服]],$P$29:$Q$36,2,FALSE)</f>
        <v>51</v>
      </c>
      <c r="C10" s="296" t="s">
        <v>99</v>
      </c>
      <c r="D10" s="212" t="str">
        <f>表1_86121822242652[[#This Row],[目标国家]]</f>
        <v>吴</v>
      </c>
      <c r="E10" s="213">
        <f>(VLOOKUP(表1_86121822242652[[#This Row],[目标区服]],$R$29:$S$32,2,FALSE)-表1_86121822242652[[#This Row],[开服天数]])*配置!$B$1</f>
        <v>1000</v>
      </c>
      <c r="F10" s="213">
        <f>表1_86121822242652[[#This Row],[补偿Coin]]*(表1_86121822242652[[#This Row],[活跃高战玩家数]]+表1_86121822242652[[#This Row],[活跃中坚玩家数]])</f>
        <v>20000</v>
      </c>
      <c r="G10" s="260">
        <f>(VLOOKUP(表1_86121822242652[[#This Row],[目标区服]],$R$29:$S$32,2,FALSE)-表1_86121822242652[[#This Row],[开服天数]])*配置!$B$2</f>
        <v>10</v>
      </c>
      <c r="H10" s="212" t="s">
        <v>27</v>
      </c>
      <c r="I10" s="268">
        <f>IF(表1_86121822242652[[#This Row],[原国家]]="魏",0,IF(表1_86121822242652[[#This Row],[原国家]]="蜀",1,2))</f>
        <v>2</v>
      </c>
      <c r="J10" s="213">
        <v>3</v>
      </c>
      <c r="K10" s="213">
        <v>109</v>
      </c>
      <c r="L10" s="213">
        <v>1</v>
      </c>
      <c r="M10" s="213">
        <v>19</v>
      </c>
      <c r="N10" s="213">
        <v>92891</v>
      </c>
      <c r="O10" s="419">
        <v>3412246</v>
      </c>
      <c r="P10" s="420">
        <v>21546270</v>
      </c>
      <c r="Q10" s="31" t="s">
        <v>27</v>
      </c>
      <c r="R10" s="212">
        <f>IF(表1_86121822242652[[#This Row],[目标国家]]="魏",0,IF(表1_86121822242652[[#This Row],[目标国家]]="蜀",1,2))</f>
        <v>2</v>
      </c>
      <c r="S10" s="213">
        <v>93822</v>
      </c>
      <c r="T10" s="213">
        <v>7314</v>
      </c>
      <c r="U10" s="213">
        <v>377286</v>
      </c>
      <c r="V10" s="213">
        <v>10497</v>
      </c>
      <c r="W10" s="213">
        <v>1088394</v>
      </c>
      <c r="X10" s="278" t="str">
        <f>"{"&amp;"'coin':"&amp;表1_86121822242652[[#This Row],[补偿Coin]]&amp;",'"&amp;配置!$A$2&amp;"':"&amp;表1_86121822242652[[#This Row],[补偿辎重]]&amp;"},"</f>
        <v>{'coin':1000,'item036':10},</v>
      </c>
      <c r="Y10" s="278" t="str">
        <f>"      },"</f>
        <v>      },</v>
      </c>
    </row>
    <row r="11" s="354" customFormat="1" ht="14.25" customHeight="1" spans="1:25">
      <c r="A11" s="259">
        <v>118</v>
      </c>
      <c r="B11" s="210">
        <f>VLOOKUP(表1_86121822242652[[#This Row],[区服]],$P$29:$Q$36,2,FALSE)</f>
        <v>50</v>
      </c>
      <c r="C11" s="296" t="s">
        <v>99</v>
      </c>
      <c r="D11" s="212" t="str">
        <f>表1_86121822242652[[#This Row],[目标国家]]</f>
        <v>蜀</v>
      </c>
      <c r="E11" s="213">
        <f>(VLOOKUP(表1_86121822242652[[#This Row],[目标区服]],$R$29:$S$32,2,FALSE)-表1_86121822242652[[#This Row],[开服天数]])*配置!$B$1</f>
        <v>1500</v>
      </c>
      <c r="F11" s="213">
        <f>表1_86121822242652[[#This Row],[补偿Coin]]*(表1_86121822242652[[#This Row],[活跃高战玩家数]]+表1_86121822242652[[#This Row],[活跃中坚玩家数]])</f>
        <v>25500</v>
      </c>
      <c r="G11" s="260">
        <f>(VLOOKUP(表1_86121822242652[[#This Row],[目标区服]],$R$29:$S$32,2,FALSE)-表1_86121822242652[[#This Row],[开服天数]])*配置!$B$2</f>
        <v>15</v>
      </c>
      <c r="H11" s="212" t="s">
        <v>25</v>
      </c>
      <c r="I11" s="268">
        <f>IF(表1_86121822242652[[#This Row],[原国家]]="魏",0,IF(表1_86121822242652[[#This Row],[原国家]]="蜀",1,2))</f>
        <v>0</v>
      </c>
      <c r="J11" s="213">
        <v>2</v>
      </c>
      <c r="K11" s="213">
        <v>83</v>
      </c>
      <c r="L11" s="213">
        <v>2</v>
      </c>
      <c r="M11" s="213">
        <v>15</v>
      </c>
      <c r="N11" s="213">
        <v>49672</v>
      </c>
      <c r="O11" s="419">
        <v>1657024</v>
      </c>
      <c r="P11" s="420">
        <v>11302551</v>
      </c>
      <c r="Q11" s="31" t="s">
        <v>26</v>
      </c>
      <c r="R11" s="212">
        <f>IF(表1_86121822242652[[#This Row],[目标国家]]="魏",0,IF(表1_86121822242652[[#This Row],[目标国家]]="蜀",1,2))</f>
        <v>1</v>
      </c>
      <c r="S11" s="213">
        <v>3786</v>
      </c>
      <c r="T11" s="213">
        <v>0</v>
      </c>
      <c r="U11" s="213">
        <v>137799</v>
      </c>
      <c r="V11" s="213">
        <v>4248</v>
      </c>
      <c r="W11" s="213">
        <v>508622</v>
      </c>
      <c r="X11" s="278" t="str">
        <f>"{"&amp;"'coin':"&amp;表1_86121822242652[[#This Row],[补偿Coin]]&amp;",'"&amp;配置!$A$2&amp;"':"&amp;表1_86121822242652[[#This Row],[补偿辎重]]&amp;"},"</f>
        <v>{'coin':1500,'item036':15},</v>
      </c>
      <c r="Y11" s="278" t="str">
        <f>"      '"&amp;表1_86121822242652[[#This Row],[区服]]&amp;"':{"</f>
        <v>      '118':{</v>
      </c>
    </row>
    <row r="12" s="354" customFormat="1" ht="14.25" customHeight="1" spans="1:25">
      <c r="A12" s="259">
        <v>118</v>
      </c>
      <c r="B12" s="210">
        <f>VLOOKUP(表1_86121822242652[[#This Row],[区服]],$P$29:$Q$36,2,FALSE)</f>
        <v>50</v>
      </c>
      <c r="C12" s="296" t="s">
        <v>99</v>
      </c>
      <c r="D12" s="212" t="str">
        <f>表1_86121822242652[[#This Row],[目标国家]]</f>
        <v>魏</v>
      </c>
      <c r="E12" s="213">
        <f>(VLOOKUP(表1_86121822242652[[#This Row],[目标区服]],$R$29:$S$32,2,FALSE)-表1_86121822242652[[#This Row],[开服天数]])*配置!$B$1</f>
        <v>1500</v>
      </c>
      <c r="F12" s="213">
        <f>表1_86121822242652[[#This Row],[补偿Coin]]*(表1_86121822242652[[#This Row],[活跃高战玩家数]]+表1_86121822242652[[#This Row],[活跃中坚玩家数]])</f>
        <v>40500</v>
      </c>
      <c r="G12" s="260">
        <f>(VLOOKUP(表1_86121822242652[[#This Row],[目标区服]],$R$29:$S$32,2,FALSE)-表1_86121822242652[[#This Row],[开服天数]])*配置!$B$2</f>
        <v>15</v>
      </c>
      <c r="H12" s="212" t="s">
        <v>26</v>
      </c>
      <c r="I12" s="268">
        <f>IF(表1_86121822242652[[#This Row],[原国家]]="魏",0,IF(表1_86121822242652[[#This Row],[原国家]]="蜀",1,2))</f>
        <v>1</v>
      </c>
      <c r="J12" s="213">
        <v>4</v>
      </c>
      <c r="K12" s="213">
        <v>194</v>
      </c>
      <c r="L12" s="213">
        <v>7</v>
      </c>
      <c r="M12" s="213">
        <v>20</v>
      </c>
      <c r="N12" s="213">
        <v>146772</v>
      </c>
      <c r="O12" s="419">
        <v>3006473</v>
      </c>
      <c r="P12" s="420">
        <v>29241119</v>
      </c>
      <c r="Q12" s="31" t="s">
        <v>25</v>
      </c>
      <c r="R12" s="212">
        <f>IF(表1_86121822242652[[#This Row],[目标国家]]="魏",0,IF(表1_86121822242652[[#This Row],[目标国家]]="蜀",1,2))</f>
        <v>0</v>
      </c>
      <c r="S12" s="213">
        <v>64022</v>
      </c>
      <c r="T12" s="213">
        <v>128</v>
      </c>
      <c r="U12" s="213">
        <v>649013</v>
      </c>
      <c r="V12" s="213">
        <v>11250</v>
      </c>
      <c r="W12" s="213">
        <v>820156</v>
      </c>
      <c r="X12" s="278" t="str">
        <f>"{"&amp;"'coin':"&amp;表1_86121822242652[[#This Row],[补偿Coin]]&amp;",'"&amp;配置!$A$2&amp;"':"&amp;表1_86121822242652[[#This Row],[补偿辎重]]&amp;"},"</f>
        <v>{'coin':1500,'item036':15},</v>
      </c>
      <c r="Y12" s="278" t="str">
        <f>"            'to_zone':'"&amp;表1_86121822242652[[#This Row],[目标区服]]&amp;"',
            'reward':"&amp;表1_86121822242652[[#This Row],[辅助导出]]&amp;"
            'country':["&amp;R11&amp;","&amp;R12&amp;","&amp;R13&amp;"],"</f>
        <v>            'to_zone':'h1_49',
            'reward':{'coin':1500,'item036':15},
            'country':[1,0,2],</v>
      </c>
    </row>
    <row r="13" s="354" customFormat="1" ht="14.25" customHeight="1" spans="1:25">
      <c r="A13" s="259">
        <v>118</v>
      </c>
      <c r="B13" s="210">
        <f>VLOOKUP(表1_86121822242652[[#This Row],[区服]],$P$29:$Q$36,2,FALSE)</f>
        <v>50</v>
      </c>
      <c r="C13" s="296" t="s">
        <v>99</v>
      </c>
      <c r="D13" s="212" t="str">
        <f>表1_86121822242652[[#This Row],[目标国家]]</f>
        <v>吴</v>
      </c>
      <c r="E13" s="213">
        <f>(VLOOKUP(表1_86121822242652[[#This Row],[目标区服]],$R$29:$S$32,2,FALSE)-表1_86121822242652[[#This Row],[开服天数]])*配置!$B$1</f>
        <v>1500</v>
      </c>
      <c r="F13" s="213">
        <f>表1_86121822242652[[#This Row],[补偿Coin]]*(表1_86121822242652[[#This Row],[活跃高战玩家数]]+表1_86121822242652[[#This Row],[活跃中坚玩家数]])</f>
        <v>42000</v>
      </c>
      <c r="G13" s="260">
        <f>(VLOOKUP(表1_86121822242652[[#This Row],[目标区服]],$R$29:$S$32,2,FALSE)-表1_86121822242652[[#This Row],[开服天数]])*配置!$B$2</f>
        <v>15</v>
      </c>
      <c r="H13" s="212" t="s">
        <v>27</v>
      </c>
      <c r="I13" s="268">
        <f>IF(表1_86121822242652[[#This Row],[原国家]]="魏",0,IF(表1_86121822242652[[#This Row],[原国家]]="蜀",1,2))</f>
        <v>2</v>
      </c>
      <c r="J13" s="213">
        <v>3</v>
      </c>
      <c r="K13" s="213">
        <v>118</v>
      </c>
      <c r="L13" s="213">
        <v>1</v>
      </c>
      <c r="M13" s="213">
        <v>27</v>
      </c>
      <c r="N13" s="213">
        <v>105451</v>
      </c>
      <c r="O13" s="419">
        <v>2066748</v>
      </c>
      <c r="P13" s="420">
        <v>21895587</v>
      </c>
      <c r="Q13" s="31" t="s">
        <v>27</v>
      </c>
      <c r="R13" s="212">
        <f>IF(表1_86121822242652[[#This Row],[目标国家]]="魏",0,IF(表1_86121822242652[[#This Row],[目标国家]]="蜀",1,2))</f>
        <v>2</v>
      </c>
      <c r="S13" s="213">
        <v>22336</v>
      </c>
      <c r="T13" s="213">
        <v>0</v>
      </c>
      <c r="U13" s="213">
        <v>398921</v>
      </c>
      <c r="V13" s="213">
        <v>7133</v>
      </c>
      <c r="W13" s="213">
        <v>706189</v>
      </c>
      <c r="X13" s="278" t="str">
        <f>"{"&amp;"'coin':"&amp;表1_86121822242652[[#This Row],[补偿Coin]]&amp;",'"&amp;配置!$A$2&amp;"':"&amp;表1_86121822242652[[#This Row],[补偿辎重]]&amp;"},"</f>
        <v>{'coin':1500,'item036':15},</v>
      </c>
      <c r="Y13" s="278" t="str">
        <f t="shared" ref="Y13" si="1">"      },"</f>
        <v>      },</v>
      </c>
    </row>
    <row r="14" ht="14.25" customHeight="1" spans="1:25">
      <c r="A14" s="17">
        <v>119</v>
      </c>
      <c r="B14" s="17">
        <f>VLOOKUP(表1_86121822242652[[#This Row],[区服]],$P$29:$Q$36,2,FALSE)</f>
        <v>49</v>
      </c>
      <c r="C14" s="18" t="s">
        <v>100</v>
      </c>
      <c r="D14" s="19" t="str">
        <f>表1_86121822242652[[#This Row],[目标国家]]</f>
        <v>吴</v>
      </c>
      <c r="E14" s="20">
        <f>(VLOOKUP(表1_86121822242652[[#This Row],[目标区服]],$R$29:$S$32,2,FALSE)-表1_86121822242652[[#This Row],[开服天数]])*配置!$B$1</f>
        <v>1000</v>
      </c>
      <c r="F14" s="20">
        <f>表1_86121822242652[[#This Row],[补偿Coin]]*(表1_86121822242652[[#This Row],[活跃高战玩家数]]+表1_86121822242652[[#This Row],[活跃中坚玩家数]])</f>
        <v>31000</v>
      </c>
      <c r="G14" s="20">
        <f>(VLOOKUP(表1_86121822242652[[#This Row],[目标区服]],$R$29:$S$32,2,FALSE)-表1_86121822242652[[#This Row],[开服天数]])*配置!$B$2</f>
        <v>10</v>
      </c>
      <c r="H14" s="19" t="s">
        <v>25</v>
      </c>
      <c r="I14" s="19">
        <f>IF(表1_86121822242652[[#This Row],[原国家]]="魏",0,IF(表1_86121822242652[[#This Row],[原国家]]="蜀",1,2))</f>
        <v>0</v>
      </c>
      <c r="J14" s="20">
        <v>3</v>
      </c>
      <c r="K14" s="20">
        <v>110</v>
      </c>
      <c r="L14" s="20">
        <v>3</v>
      </c>
      <c r="M14" s="20">
        <v>28</v>
      </c>
      <c r="N14" s="20">
        <v>137408</v>
      </c>
      <c r="O14" s="20">
        <v>2334761</v>
      </c>
      <c r="P14" s="26">
        <v>27360561</v>
      </c>
      <c r="Q14" s="31" t="s">
        <v>27</v>
      </c>
      <c r="R14" s="19">
        <f>IF(表1_86121822242652[[#This Row],[目标国家]]="魏",0,IF(表1_86121822242652[[#This Row],[目标国家]]="蜀",1,2))</f>
        <v>2</v>
      </c>
      <c r="S14" s="20">
        <v>29130</v>
      </c>
      <c r="T14" s="20">
        <v>13856</v>
      </c>
      <c r="U14" s="20">
        <v>856967</v>
      </c>
      <c r="V14" s="20">
        <v>8598</v>
      </c>
      <c r="W14" s="32">
        <v>654274</v>
      </c>
      <c r="X14" s="33" t="str">
        <f>"{"&amp;"'coin':"&amp;表1_86121822242652[[#This Row],[补偿Coin]]&amp;",'"&amp;配置!$A$2&amp;"':"&amp;表1_86121822242652[[#This Row],[补偿辎重]]&amp;"},"</f>
        <v>{'coin':1000,'item036':10},</v>
      </c>
      <c r="Y14" s="34" t="str">
        <f>"      '"&amp;表1_86121822242652[[#This Row],[区服]]&amp;"':{"</f>
        <v>      '119':{</v>
      </c>
    </row>
    <row r="15" ht="14.25" customHeight="1" spans="1:25">
      <c r="A15" s="17">
        <v>119</v>
      </c>
      <c r="B15" s="17">
        <f>VLOOKUP(表1_86121822242652[[#This Row],[区服]],$P$29:$Q$36,2,FALSE)</f>
        <v>49</v>
      </c>
      <c r="C15" s="18" t="s">
        <v>100</v>
      </c>
      <c r="D15" s="19" t="str">
        <f>表1_86121822242652[[#This Row],[目标国家]]</f>
        <v>蜀</v>
      </c>
      <c r="E15" s="20">
        <f>(VLOOKUP(表1_86121822242652[[#This Row],[目标区服]],$R$29:$S$32,2,FALSE)-表1_86121822242652[[#This Row],[开服天数]])*配置!$B$1</f>
        <v>1000</v>
      </c>
      <c r="F15" s="20">
        <f>表1_86121822242652[[#This Row],[补偿Coin]]*(表1_86121822242652[[#This Row],[活跃高战玩家数]]+表1_86121822242652[[#This Row],[活跃中坚玩家数]])</f>
        <v>23000</v>
      </c>
      <c r="G15" s="20">
        <f>(VLOOKUP(表1_86121822242652[[#This Row],[目标区服]],$R$29:$S$32,2,FALSE)-表1_86121822242652[[#This Row],[开服天数]])*配置!$B$2</f>
        <v>10</v>
      </c>
      <c r="H15" s="19" t="s">
        <v>26</v>
      </c>
      <c r="I15" s="19">
        <f>IF(表1_86121822242652[[#This Row],[原国家]]="魏",0,IF(表1_86121822242652[[#This Row],[原国家]]="蜀",1,2))</f>
        <v>1</v>
      </c>
      <c r="J15" s="20">
        <v>3</v>
      </c>
      <c r="K15" s="20">
        <v>162</v>
      </c>
      <c r="L15" s="20">
        <v>3</v>
      </c>
      <c r="M15" s="20">
        <v>20</v>
      </c>
      <c r="N15" s="20">
        <v>89687</v>
      </c>
      <c r="O15" s="20">
        <v>2951327</v>
      </c>
      <c r="P15" s="26">
        <v>20876835</v>
      </c>
      <c r="Q15" s="31" t="s">
        <v>26</v>
      </c>
      <c r="R15" s="19">
        <f>IF(表1_86121822242652[[#This Row],[目标国家]]="魏",0,IF(表1_86121822242652[[#This Row],[目标国家]]="蜀",1,2))</f>
        <v>1</v>
      </c>
      <c r="S15" s="20">
        <v>64452</v>
      </c>
      <c r="T15" s="20">
        <v>0</v>
      </c>
      <c r="U15" s="20">
        <v>359125</v>
      </c>
      <c r="V15" s="20">
        <v>9520</v>
      </c>
      <c r="W15" s="32">
        <v>955145</v>
      </c>
      <c r="X15" s="33" t="str">
        <f>"{"&amp;"'coin':"&amp;表1_86121822242652[[#This Row],[补偿Coin]]&amp;",'"&amp;配置!$A$2&amp;"':"&amp;表1_86121822242652[[#This Row],[补偿辎重]]&amp;"},"</f>
        <v>{'coin':1000,'item036':10},</v>
      </c>
      <c r="Y15" s="34" t="str">
        <f>"            'to_zone':'"&amp;表1_86121822242652[[#This Row],[目标区服]]&amp;"',
            'reward':"&amp;表1_86121822242652[[#This Row],[辅助导出]]&amp;"
            'country':["&amp;R14&amp;","&amp;R15&amp;","&amp;R16&amp;"],"</f>
        <v>            'to_zone':'h1_50',
            'reward':{'coin':1000,'item036':10},
            'country':[2,1,2],</v>
      </c>
    </row>
    <row r="16" ht="14.25" customHeight="1" spans="1:25">
      <c r="A16" s="17">
        <v>119</v>
      </c>
      <c r="B16" s="17">
        <f>VLOOKUP(表1_86121822242652[[#This Row],[区服]],$P$29:$Q$36,2,FALSE)</f>
        <v>49</v>
      </c>
      <c r="C16" s="18" t="s">
        <v>100</v>
      </c>
      <c r="D16" s="19" t="str">
        <f>表1_86121822242652[[#This Row],[目标国家]]</f>
        <v>吴</v>
      </c>
      <c r="E16" s="20">
        <f>(VLOOKUP(表1_86121822242652[[#This Row],[目标区服]],$R$29:$S$32,2,FALSE)-表1_86121822242652[[#This Row],[开服天数]])*配置!$B$1</f>
        <v>1000</v>
      </c>
      <c r="F16" s="20">
        <f>表1_86121822242652[[#This Row],[补偿Coin]]*(表1_86121822242652[[#This Row],[活跃高战玩家数]]+表1_86121822242652[[#This Row],[活跃中坚玩家数]])</f>
        <v>15000</v>
      </c>
      <c r="G16" s="20">
        <f>(VLOOKUP(表1_86121822242652[[#This Row],[目标区服]],$R$29:$S$32,2,FALSE)-表1_86121822242652[[#This Row],[开服天数]])*配置!$B$2</f>
        <v>10</v>
      </c>
      <c r="H16" s="19" t="s">
        <v>27</v>
      </c>
      <c r="I16" s="19">
        <f>IF(表1_86121822242652[[#This Row],[原国家]]="魏",0,IF(表1_86121822242652[[#This Row],[原国家]]="蜀",1,2))</f>
        <v>2</v>
      </c>
      <c r="J16" s="20">
        <v>3</v>
      </c>
      <c r="K16" s="20">
        <v>123</v>
      </c>
      <c r="L16" s="20">
        <v>4</v>
      </c>
      <c r="M16" s="20">
        <v>11</v>
      </c>
      <c r="N16" s="20">
        <v>66248</v>
      </c>
      <c r="O16" s="20">
        <v>2888233</v>
      </c>
      <c r="P16" s="26">
        <v>14987775</v>
      </c>
      <c r="Q16" s="31" t="s">
        <v>27</v>
      </c>
      <c r="R16" s="19">
        <f>IF(表1_86121822242652[[#This Row],[目标国家]]="魏",0,IF(表1_86121822242652[[#This Row],[目标国家]]="蜀",1,2))</f>
        <v>2</v>
      </c>
      <c r="S16" s="20">
        <v>66378</v>
      </c>
      <c r="T16" s="20">
        <v>0</v>
      </c>
      <c r="U16" s="20">
        <v>424309</v>
      </c>
      <c r="V16" s="20">
        <v>8451</v>
      </c>
      <c r="W16" s="32">
        <v>882641</v>
      </c>
      <c r="X16" s="33" t="str">
        <f>"{"&amp;"'coin':"&amp;表1_86121822242652[[#This Row],[补偿Coin]]&amp;",'"&amp;配置!$A$2&amp;"':"&amp;表1_86121822242652[[#This Row],[补偿辎重]]&amp;"},"</f>
        <v>{'coin':1000,'item036':10},</v>
      </c>
      <c r="Y16" s="34" t="str">
        <f t="shared" ref="Y16" si="2">"      },"</f>
        <v>      },</v>
      </c>
    </row>
    <row r="17" ht="14.25" customHeight="1" spans="1:25">
      <c r="A17" s="17">
        <v>120</v>
      </c>
      <c r="B17" s="17">
        <f>VLOOKUP(表1_86121822242652[[#This Row],[区服]],$P$29:$Q$36,2,FALSE)</f>
        <v>48</v>
      </c>
      <c r="C17" s="18" t="s">
        <v>100</v>
      </c>
      <c r="D17" s="19" t="str">
        <f>表1_86121822242652[[#This Row],[目标国家]]</f>
        <v>魏</v>
      </c>
      <c r="E17" s="20">
        <f>(VLOOKUP(表1_86121822242652[[#This Row],[目标区服]],$R$29:$S$32,2,FALSE)-表1_86121822242652[[#This Row],[开服天数]])*配置!$B$1</f>
        <v>1500</v>
      </c>
      <c r="F17" s="20">
        <f>表1_86121822242652[[#This Row],[补偿Coin]]*(表1_86121822242652[[#This Row],[活跃高战玩家数]]+表1_86121822242652[[#This Row],[活跃中坚玩家数]])</f>
        <v>15000</v>
      </c>
      <c r="G17" s="20">
        <f>(VLOOKUP(表1_86121822242652[[#This Row],[目标区服]],$R$29:$S$32,2,FALSE)-表1_86121822242652[[#This Row],[开服天数]])*配置!$B$2</f>
        <v>15</v>
      </c>
      <c r="H17" s="19" t="s">
        <v>25</v>
      </c>
      <c r="I17" s="19">
        <f>IF(表1_86121822242652[[#This Row],[原国家]]="魏",0,IF(表1_86121822242652[[#This Row],[原国家]]="蜀",1,2))</f>
        <v>0</v>
      </c>
      <c r="J17" s="20">
        <v>1</v>
      </c>
      <c r="K17" s="20">
        <v>70</v>
      </c>
      <c r="L17" s="20">
        <v>0</v>
      </c>
      <c r="M17" s="20">
        <v>10</v>
      </c>
      <c r="N17" s="20">
        <v>30924</v>
      </c>
      <c r="O17" s="20">
        <v>1076019</v>
      </c>
      <c r="P17" s="26">
        <v>6810211</v>
      </c>
      <c r="Q17" s="31" t="s">
        <v>25</v>
      </c>
      <c r="R17" s="19">
        <f>IF(表1_86121822242652[[#This Row],[目标国家]]="魏",0,IF(表1_86121822242652[[#This Row],[目标国家]]="蜀",1,2))</f>
        <v>0</v>
      </c>
      <c r="S17" s="20">
        <v>3048</v>
      </c>
      <c r="T17" s="20">
        <v>0</v>
      </c>
      <c r="U17" s="20">
        <v>63286</v>
      </c>
      <c r="V17" s="20">
        <v>2834</v>
      </c>
      <c r="W17" s="32">
        <v>487051</v>
      </c>
      <c r="X17" s="33" t="str">
        <f>"{"&amp;"'coin':"&amp;表1_86121822242652[[#This Row],[补偿Coin]]&amp;",'"&amp;配置!$A$2&amp;"':"&amp;表1_86121822242652[[#This Row],[补偿辎重]]&amp;"},"</f>
        <v>{'coin':1500,'item036':15},</v>
      </c>
      <c r="Y17" s="34" t="str">
        <f>"      '"&amp;表1_86121822242652[[#This Row],[区服]]&amp;"':{"</f>
        <v>      '120':{</v>
      </c>
    </row>
    <row r="18" ht="14.25" customHeight="1" spans="1:25">
      <c r="A18" s="17">
        <v>120</v>
      </c>
      <c r="B18" s="17">
        <f>VLOOKUP(表1_86121822242652[[#This Row],[区服]],$P$29:$Q$36,2,FALSE)</f>
        <v>48</v>
      </c>
      <c r="C18" s="18" t="s">
        <v>100</v>
      </c>
      <c r="D18" s="19" t="str">
        <f>表1_86121822242652[[#This Row],[目标国家]]</f>
        <v>魏</v>
      </c>
      <c r="E18" s="20">
        <f>(VLOOKUP(表1_86121822242652[[#This Row],[目标区服]],$R$29:$S$32,2,FALSE)-表1_86121822242652[[#This Row],[开服天数]])*配置!$B$1</f>
        <v>1500</v>
      </c>
      <c r="F18" s="20">
        <f>表1_86121822242652[[#This Row],[补偿Coin]]*(表1_86121822242652[[#This Row],[活跃高战玩家数]]+表1_86121822242652[[#This Row],[活跃中坚玩家数]])</f>
        <v>51000</v>
      </c>
      <c r="G18" s="20">
        <f>(VLOOKUP(表1_86121822242652[[#This Row],[目标区服]],$R$29:$S$32,2,FALSE)-表1_86121822242652[[#This Row],[开服天数]])*配置!$B$2</f>
        <v>15</v>
      </c>
      <c r="H18" s="19" t="s">
        <v>26</v>
      </c>
      <c r="I18" s="19">
        <f>IF(表1_86121822242652[[#This Row],[原国家]]="魏",0,IF(表1_86121822242652[[#This Row],[原国家]]="蜀",1,2))</f>
        <v>1</v>
      </c>
      <c r="J18" s="20">
        <v>5</v>
      </c>
      <c r="K18" s="20">
        <v>194</v>
      </c>
      <c r="L18" s="20">
        <v>7</v>
      </c>
      <c r="M18" s="20">
        <v>27</v>
      </c>
      <c r="N18" s="20">
        <v>153008</v>
      </c>
      <c r="O18" s="20">
        <v>2713618</v>
      </c>
      <c r="P18" s="26">
        <v>31360383</v>
      </c>
      <c r="Q18" s="31" t="s">
        <v>25</v>
      </c>
      <c r="R18" s="19">
        <f>IF(表1_86121822242652[[#This Row],[目标国家]]="魏",0,IF(表1_86121822242652[[#This Row],[目标国家]]="蜀",1,2))</f>
        <v>0</v>
      </c>
      <c r="S18" s="20">
        <v>79554</v>
      </c>
      <c r="T18" s="20">
        <v>0</v>
      </c>
      <c r="U18" s="20">
        <v>563735</v>
      </c>
      <c r="V18" s="20">
        <v>11723</v>
      </c>
      <c r="W18" s="32">
        <v>701187</v>
      </c>
      <c r="X18" s="33" t="str">
        <f>"{"&amp;"'coin':"&amp;表1_86121822242652[[#This Row],[补偿Coin]]&amp;",'"&amp;配置!$A$2&amp;"':"&amp;表1_86121822242652[[#This Row],[补偿辎重]]&amp;"},"</f>
        <v>{'coin':1500,'item036':15},</v>
      </c>
      <c r="Y18" s="34" t="str">
        <f>"            'to_zone':'"&amp;表1_86121822242652[[#This Row],[目标区服]]&amp;"',
            'reward':"&amp;表1_86121822242652[[#This Row],[辅助导出]]&amp;"
            'country':["&amp;R17&amp;","&amp;R18&amp;","&amp;R19&amp;"],"</f>
        <v>            'to_zone':'h1_50',
            'reward':{'coin':1500,'item036':15},
            'country':[0,0,1],</v>
      </c>
    </row>
    <row r="19" ht="14.25" customHeight="1" spans="1:25">
      <c r="A19" s="17">
        <v>120</v>
      </c>
      <c r="B19" s="17">
        <f>VLOOKUP(表1_86121822242652[[#This Row],[区服]],$P$29:$Q$36,2,FALSE)</f>
        <v>48</v>
      </c>
      <c r="C19" s="18" t="s">
        <v>100</v>
      </c>
      <c r="D19" s="19" t="str">
        <f>表1_86121822242652[[#This Row],[目标国家]]</f>
        <v>蜀</v>
      </c>
      <c r="E19" s="20">
        <f>(VLOOKUP(表1_86121822242652[[#This Row],[目标区服]],$R$29:$S$32,2,FALSE)-表1_86121822242652[[#This Row],[开服天数]])*配置!$B$1</f>
        <v>1500</v>
      </c>
      <c r="F19" s="20">
        <f>表1_86121822242652[[#This Row],[补偿Coin]]*(表1_86121822242652[[#This Row],[活跃高战玩家数]]+表1_86121822242652[[#This Row],[活跃中坚玩家数]])</f>
        <v>37500</v>
      </c>
      <c r="G19" s="20">
        <f>(VLOOKUP(表1_86121822242652[[#This Row],[目标区服]],$R$29:$S$32,2,FALSE)-表1_86121822242652[[#This Row],[开服天数]])*配置!$B$2</f>
        <v>15</v>
      </c>
      <c r="H19" s="19" t="s">
        <v>27</v>
      </c>
      <c r="I19" s="19">
        <f>IF(表1_86121822242652[[#This Row],[原国家]]="魏",0,IF(表1_86121822242652[[#This Row],[原国家]]="蜀",1,2))</f>
        <v>2</v>
      </c>
      <c r="J19" s="20">
        <v>3</v>
      </c>
      <c r="K19" s="20">
        <v>131</v>
      </c>
      <c r="L19" s="20">
        <v>1</v>
      </c>
      <c r="M19" s="20">
        <v>24</v>
      </c>
      <c r="N19" s="20">
        <v>85251</v>
      </c>
      <c r="O19" s="20">
        <v>1644539</v>
      </c>
      <c r="P19" s="26">
        <v>18019911</v>
      </c>
      <c r="Q19" s="31" t="s">
        <v>26</v>
      </c>
      <c r="R19" s="19">
        <f>IF(表1_86121822242652[[#This Row],[目标国家]]="魏",0,IF(表1_86121822242652[[#This Row],[目标国家]]="蜀",1,2))</f>
        <v>1</v>
      </c>
      <c r="S19" s="20">
        <v>13582</v>
      </c>
      <c r="T19" s="20">
        <v>0</v>
      </c>
      <c r="U19" s="20">
        <v>180820</v>
      </c>
      <c r="V19" s="20">
        <v>5980</v>
      </c>
      <c r="W19" s="32">
        <v>529680</v>
      </c>
      <c r="X19" s="33" t="str">
        <f>"{"&amp;"'coin':"&amp;表1_86121822242652[[#This Row],[补偿Coin]]&amp;",'"&amp;配置!$A$2&amp;"':"&amp;表1_86121822242652[[#This Row],[补偿辎重]]&amp;"},"</f>
        <v>{'coin':1500,'item036':15},</v>
      </c>
      <c r="Y19" s="34" t="str">
        <f t="shared" ref="Y19" si="3">"      },"</f>
        <v>      },</v>
      </c>
    </row>
    <row r="20" ht="14.25" customHeight="1" spans="1:25">
      <c r="A20" s="515">
        <v>121</v>
      </c>
      <c r="B20" s="515">
        <f>VLOOKUP(表1_86121822242652[[#This Row],[区服]],$P$29:$Q$36,2,FALSE)</f>
        <v>47</v>
      </c>
      <c r="C20" s="589" t="s">
        <v>101</v>
      </c>
      <c r="D20" s="517" t="str">
        <f>表1_86121822242652[[#This Row],[目标国家]]</f>
        <v>魏</v>
      </c>
      <c r="E20" s="519">
        <f>(VLOOKUP(表1_86121822242652[[#This Row],[目标区服]],$R$29:$S$32,2,FALSE)-表1_86121822242652[[#This Row],[开服天数]])*配置!$B$1</f>
        <v>1000</v>
      </c>
      <c r="F20" s="519">
        <f>表1_86121822242652[[#This Row],[补偿Coin]]*(表1_86121822242652[[#This Row],[活跃高战玩家数]]+表1_86121822242652[[#This Row],[活跃中坚玩家数]])</f>
        <v>33000</v>
      </c>
      <c r="G20" s="519">
        <f>(VLOOKUP(表1_86121822242652[[#This Row],[目标区服]],$R$29:$S$32,2,FALSE)-表1_86121822242652[[#This Row],[开服天数]])*配置!$B$2</f>
        <v>10</v>
      </c>
      <c r="H20" s="517" t="s">
        <v>25</v>
      </c>
      <c r="I20" s="517">
        <f>IF(表1_86121822242652[[#This Row],[原国家]]="魏",0,IF(表1_86121822242652[[#This Row],[原国家]]="蜀",1,2))</f>
        <v>0</v>
      </c>
      <c r="J20" s="519">
        <v>3</v>
      </c>
      <c r="K20" s="519">
        <v>134</v>
      </c>
      <c r="L20" s="519">
        <v>7</v>
      </c>
      <c r="M20" s="519">
        <v>26</v>
      </c>
      <c r="N20" s="519">
        <v>183227</v>
      </c>
      <c r="O20" s="519">
        <v>2529281</v>
      </c>
      <c r="P20" s="529">
        <v>30070002</v>
      </c>
      <c r="Q20" s="532" t="s">
        <v>25</v>
      </c>
      <c r="R20" s="517">
        <f>IF(表1_86121822242652[[#This Row],[目标国家]]="魏",0,IF(表1_86121822242652[[#This Row],[目标国家]]="蜀",1,2))</f>
        <v>0</v>
      </c>
      <c r="S20" s="519">
        <v>44650</v>
      </c>
      <c r="T20" s="519">
        <v>39322</v>
      </c>
      <c r="U20" s="519">
        <v>771807</v>
      </c>
      <c r="V20" s="519">
        <v>10211</v>
      </c>
      <c r="W20" s="535">
        <v>765975</v>
      </c>
      <c r="X20" s="623" t="str">
        <f>"{"&amp;"'coin':"&amp;表1_86121822242652[[#This Row],[补偿Coin]]&amp;",'"&amp;配置!$A$2&amp;"':"&amp;表1_86121822242652[[#This Row],[补偿辎重]]&amp;"},"</f>
        <v>{'coin':1000,'item036':10},</v>
      </c>
      <c r="Y20" s="536" t="str">
        <f>"      '"&amp;表1_86121822242652[[#This Row],[区服]]&amp;"':{"</f>
        <v>      '121':{</v>
      </c>
    </row>
    <row r="21" ht="14.25" customHeight="1" spans="1:25">
      <c r="A21" s="515">
        <v>121</v>
      </c>
      <c r="B21" s="515">
        <f>VLOOKUP(表1_86121822242652[[#This Row],[区服]],$P$29:$Q$36,2,FALSE)</f>
        <v>47</v>
      </c>
      <c r="C21" s="589" t="s">
        <v>101</v>
      </c>
      <c r="D21" s="517" t="str">
        <f>表1_86121822242652[[#This Row],[目标国家]]</f>
        <v>蜀</v>
      </c>
      <c r="E21" s="519">
        <f>(VLOOKUP(表1_86121822242652[[#This Row],[目标区服]],$R$29:$S$32,2,FALSE)-表1_86121822242652[[#This Row],[开服天数]])*配置!$B$1</f>
        <v>1000</v>
      </c>
      <c r="F21" s="519">
        <f>表1_86121822242652[[#This Row],[补偿Coin]]*(表1_86121822242652[[#This Row],[活跃高战玩家数]]+表1_86121822242652[[#This Row],[活跃中坚玩家数]])</f>
        <v>17000</v>
      </c>
      <c r="G21" s="519">
        <f>(VLOOKUP(表1_86121822242652[[#This Row],[目标区服]],$R$29:$S$32,2,FALSE)-表1_86121822242652[[#This Row],[开服天数]])*配置!$B$2</f>
        <v>10</v>
      </c>
      <c r="H21" s="517" t="s">
        <v>26</v>
      </c>
      <c r="I21" s="517">
        <f>IF(表1_86121822242652[[#This Row],[原国家]]="魏",0,IF(表1_86121822242652[[#This Row],[原国家]]="蜀",1,2))</f>
        <v>1</v>
      </c>
      <c r="J21" s="519">
        <v>4</v>
      </c>
      <c r="K21" s="519">
        <v>174</v>
      </c>
      <c r="L21" s="519">
        <v>3</v>
      </c>
      <c r="M21" s="519">
        <v>14</v>
      </c>
      <c r="N21" s="519">
        <v>60577</v>
      </c>
      <c r="O21" s="519">
        <v>1534423</v>
      </c>
      <c r="P21" s="529">
        <v>10760884</v>
      </c>
      <c r="Q21" s="532" t="s">
        <v>26</v>
      </c>
      <c r="R21" s="517">
        <f>IF(表1_86121822242652[[#This Row],[目标国家]]="魏",0,IF(表1_86121822242652[[#This Row],[目标国家]]="蜀",1,2))</f>
        <v>1</v>
      </c>
      <c r="S21" s="519">
        <v>14046</v>
      </c>
      <c r="T21" s="519">
        <v>0</v>
      </c>
      <c r="U21" s="519">
        <v>187123</v>
      </c>
      <c r="V21" s="519">
        <v>5568</v>
      </c>
      <c r="W21" s="535">
        <v>501812</v>
      </c>
      <c r="X21" s="623" t="str">
        <f>"{"&amp;"'coin':"&amp;表1_86121822242652[[#This Row],[补偿Coin]]&amp;",'"&amp;配置!$A$2&amp;"':"&amp;表1_86121822242652[[#This Row],[补偿辎重]]&amp;"},"</f>
        <v>{'coin':1000,'item036':10},</v>
      </c>
      <c r="Y21" s="536" t="str">
        <f>"            'to_zone':'"&amp;表1_86121822242652[[#This Row],[目标区服]]&amp;"',
            'reward':"&amp;表1_86121822242652[[#This Row],[辅助导出]]&amp;"
            'country':["&amp;R20&amp;","&amp;R21&amp;","&amp;R22&amp;"],"</f>
        <v>            'to_zone':'h1_51',
            'reward':{'coin':1000,'item036':10},
            'country':[0,1,2],</v>
      </c>
    </row>
    <row r="22" ht="14.25" customHeight="1" spans="1:25">
      <c r="A22" s="515">
        <v>121</v>
      </c>
      <c r="B22" s="515">
        <f>VLOOKUP(表1_86121822242652[[#This Row],[区服]],$P$29:$Q$36,2,FALSE)</f>
        <v>47</v>
      </c>
      <c r="C22" s="589" t="s">
        <v>101</v>
      </c>
      <c r="D22" s="517" t="str">
        <f>表1_86121822242652[[#This Row],[目标国家]]</f>
        <v>吴</v>
      </c>
      <c r="E22" s="519">
        <f>(VLOOKUP(表1_86121822242652[[#This Row],[目标区服]],$R$29:$S$32,2,FALSE)-表1_86121822242652[[#This Row],[开服天数]])*配置!$B$1</f>
        <v>1000</v>
      </c>
      <c r="F22" s="519">
        <f>表1_86121822242652[[#This Row],[补偿Coin]]*(表1_86121822242652[[#This Row],[活跃高战玩家数]]+表1_86121822242652[[#This Row],[活跃中坚玩家数]])</f>
        <v>13000</v>
      </c>
      <c r="G22" s="519">
        <f>(VLOOKUP(表1_86121822242652[[#This Row],[目标区服]],$R$29:$S$32,2,FALSE)-表1_86121822242652[[#This Row],[开服天数]])*配置!$B$2</f>
        <v>10</v>
      </c>
      <c r="H22" s="517" t="s">
        <v>27</v>
      </c>
      <c r="I22" s="517">
        <f>IF(表1_86121822242652[[#This Row],[原国家]]="魏",0,IF(表1_86121822242652[[#This Row],[原国家]]="蜀",1,2))</f>
        <v>2</v>
      </c>
      <c r="J22" s="519">
        <v>2</v>
      </c>
      <c r="K22" s="519">
        <v>87</v>
      </c>
      <c r="L22" s="519">
        <v>0</v>
      </c>
      <c r="M22" s="519">
        <v>13</v>
      </c>
      <c r="N22" s="519">
        <v>39124</v>
      </c>
      <c r="O22" s="519">
        <v>1125514</v>
      </c>
      <c r="P22" s="529">
        <v>7603431</v>
      </c>
      <c r="Q22" s="532" t="s">
        <v>27</v>
      </c>
      <c r="R22" s="517">
        <f>IF(表1_86121822242652[[#This Row],[目标国家]]="魏",0,IF(表1_86121822242652[[#This Row],[目标国家]]="蜀",1,2))</f>
        <v>2</v>
      </c>
      <c r="S22" s="519">
        <v>5292</v>
      </c>
      <c r="T22" s="519">
        <v>0</v>
      </c>
      <c r="U22" s="519">
        <v>32541</v>
      </c>
      <c r="V22" s="519">
        <v>3326</v>
      </c>
      <c r="W22" s="535">
        <v>295357</v>
      </c>
      <c r="X22" s="623" t="str">
        <f>"{"&amp;"'coin':"&amp;表1_86121822242652[[#This Row],[补偿Coin]]&amp;",'"&amp;配置!$A$2&amp;"':"&amp;表1_86121822242652[[#This Row],[补偿辎重]]&amp;"},"</f>
        <v>{'coin':1000,'item036':10},</v>
      </c>
      <c r="Y22" s="536" t="str">
        <f t="shared" ref="Y22" si="4">"      },"</f>
        <v>      },</v>
      </c>
    </row>
    <row r="23" ht="14.25" customHeight="1" spans="1:25">
      <c r="A23" s="515">
        <v>122</v>
      </c>
      <c r="B23" s="515">
        <f>VLOOKUP(表1_86121822242652[[#This Row],[区服]],$P$29:$Q$36,2,FALSE)</f>
        <v>46</v>
      </c>
      <c r="C23" s="589" t="s">
        <v>101</v>
      </c>
      <c r="D23" s="517" t="str">
        <f>表1_86121822242652[[#This Row],[目标国家]]</f>
        <v>蜀</v>
      </c>
      <c r="E23" s="519">
        <f>(VLOOKUP(表1_86121822242652[[#This Row],[目标区服]],$R$29:$S$32,2,FALSE)-表1_86121822242652[[#This Row],[开服天数]])*配置!$B$1</f>
        <v>1500</v>
      </c>
      <c r="F23" s="519">
        <f>表1_86121822242652[[#This Row],[补偿Coin]]*(表1_86121822242652[[#This Row],[活跃高战玩家数]]+表1_86121822242652[[#This Row],[活跃中坚玩家数]])</f>
        <v>30000</v>
      </c>
      <c r="G23" s="519">
        <f>(VLOOKUP(表1_86121822242652[[#This Row],[目标区服]],$R$29:$S$32,2,FALSE)-表1_86121822242652[[#This Row],[开服天数]])*配置!$B$2</f>
        <v>15</v>
      </c>
      <c r="H23" s="517" t="s">
        <v>25</v>
      </c>
      <c r="I23" s="517">
        <f>IF(表1_86121822242652[[#This Row],[原国家]]="魏",0,IF(表1_86121822242652[[#This Row],[原国家]]="蜀",1,2))</f>
        <v>0</v>
      </c>
      <c r="J23" s="519">
        <v>1</v>
      </c>
      <c r="K23" s="519">
        <v>85</v>
      </c>
      <c r="L23" s="519">
        <v>4</v>
      </c>
      <c r="M23" s="519">
        <v>16</v>
      </c>
      <c r="N23" s="519">
        <v>88421</v>
      </c>
      <c r="O23" s="519">
        <v>2085084</v>
      </c>
      <c r="P23" s="529">
        <v>16818842</v>
      </c>
      <c r="Q23" s="532" t="s">
        <v>26</v>
      </c>
      <c r="R23" s="517">
        <f>IF(表1_86121822242652[[#This Row],[目标国家]]="魏",0,IF(表1_86121822242652[[#This Row],[目标国家]]="蜀",1,2))</f>
        <v>1</v>
      </c>
      <c r="S23" s="519">
        <v>48984</v>
      </c>
      <c r="T23" s="519">
        <v>0</v>
      </c>
      <c r="U23" s="519">
        <v>261584</v>
      </c>
      <c r="V23" s="519">
        <v>6759</v>
      </c>
      <c r="W23" s="535">
        <v>701928</v>
      </c>
      <c r="X23" s="623" t="str">
        <f>"{"&amp;"'coin':"&amp;表1_86121822242652[[#This Row],[补偿Coin]]&amp;",'"&amp;配置!$A$2&amp;"':"&amp;表1_86121822242652[[#This Row],[补偿辎重]]&amp;"},"</f>
        <v>{'coin':1500,'item036':15},</v>
      </c>
      <c r="Y23" s="536" t="str">
        <f>"      '"&amp;表1_86121822242652[[#This Row],[区服]]&amp;"':{"</f>
        <v>      '122':{</v>
      </c>
    </row>
    <row r="24" ht="14.25" customHeight="1" spans="1:25">
      <c r="A24" s="515">
        <v>122</v>
      </c>
      <c r="B24" s="515">
        <f>VLOOKUP(表1_86121822242652[[#This Row],[区服]],$P$29:$Q$36,2,FALSE)</f>
        <v>46</v>
      </c>
      <c r="C24" s="589" t="s">
        <v>101</v>
      </c>
      <c r="D24" s="517" t="str">
        <f>表1_86121822242652[[#This Row],[目标国家]]</f>
        <v>魏</v>
      </c>
      <c r="E24" s="519">
        <f>(VLOOKUP(表1_86121822242652[[#This Row],[目标区服]],$R$29:$S$32,2,FALSE)-表1_86121822242652[[#This Row],[开服天数]])*配置!$B$1</f>
        <v>1500</v>
      </c>
      <c r="F24" s="519">
        <f>表1_86121822242652[[#This Row],[补偿Coin]]*(表1_86121822242652[[#This Row],[活跃高战玩家数]]+表1_86121822242652[[#This Row],[活跃中坚玩家数]])</f>
        <v>21000</v>
      </c>
      <c r="G24" s="519">
        <f>(VLOOKUP(表1_86121822242652[[#This Row],[目标区服]],$R$29:$S$32,2,FALSE)-表1_86121822242652[[#This Row],[开服天数]])*配置!$B$2</f>
        <v>15</v>
      </c>
      <c r="H24" s="517" t="s">
        <v>26</v>
      </c>
      <c r="I24" s="517">
        <f>IF(表1_86121822242652[[#This Row],[原国家]]="魏",0,IF(表1_86121822242652[[#This Row],[原国家]]="蜀",1,2))</f>
        <v>1</v>
      </c>
      <c r="J24" s="519">
        <v>1</v>
      </c>
      <c r="K24" s="519">
        <v>78</v>
      </c>
      <c r="L24" s="519">
        <v>1</v>
      </c>
      <c r="M24" s="519">
        <v>13</v>
      </c>
      <c r="N24" s="519">
        <v>31351</v>
      </c>
      <c r="O24" s="519">
        <v>1569967</v>
      </c>
      <c r="P24" s="529">
        <v>8523566</v>
      </c>
      <c r="Q24" s="532" t="s">
        <v>25</v>
      </c>
      <c r="R24" s="517">
        <f>IF(表1_86121822242652[[#This Row],[目标国家]]="魏",0,IF(表1_86121822242652[[#This Row],[目标国家]]="蜀",1,2))</f>
        <v>0</v>
      </c>
      <c r="S24" s="519">
        <v>10432</v>
      </c>
      <c r="T24" s="519">
        <v>0</v>
      </c>
      <c r="U24" s="519">
        <v>97396</v>
      </c>
      <c r="V24" s="519">
        <v>3820</v>
      </c>
      <c r="W24" s="535">
        <v>710445</v>
      </c>
      <c r="X24" s="623" t="str">
        <f>"{"&amp;"'coin':"&amp;表1_86121822242652[[#This Row],[补偿Coin]]&amp;",'"&amp;配置!$A$2&amp;"':"&amp;表1_86121822242652[[#This Row],[补偿辎重]]&amp;"},"</f>
        <v>{'coin':1500,'item036':15},</v>
      </c>
      <c r="Y24" s="536" t="str">
        <f>"            'to_zone':'"&amp;表1_86121822242652[[#This Row],[目标区服]]&amp;"',
            'reward':"&amp;表1_86121822242652[[#This Row],[辅助导出]]&amp;"
            'country':["&amp;R23&amp;","&amp;R24&amp;","&amp;R25&amp;"],"</f>
        <v>            'to_zone':'h1_51',
            'reward':{'coin':1500,'item036':15},
            'country':[1,0,2],</v>
      </c>
    </row>
    <row r="25" ht="14.25" customHeight="1" spans="1:25">
      <c r="A25" s="515">
        <v>122</v>
      </c>
      <c r="B25" s="515">
        <f>VLOOKUP(表1_86121822242652[[#This Row],[区服]],$P$29:$Q$36,2,FALSE)</f>
        <v>46</v>
      </c>
      <c r="C25" s="589" t="s">
        <v>101</v>
      </c>
      <c r="D25" s="517" t="str">
        <f>表1_86121822242652[[#This Row],[目标国家]]</f>
        <v>吴</v>
      </c>
      <c r="E25" s="519">
        <f>(VLOOKUP(表1_86121822242652[[#This Row],[目标区服]],$R$29:$S$32,2,FALSE)-表1_86121822242652[[#This Row],[开服天数]])*配置!$B$1</f>
        <v>1500</v>
      </c>
      <c r="F25" s="519">
        <f>表1_86121822242652[[#This Row],[补偿Coin]]*(表1_86121822242652[[#This Row],[活跃高战玩家数]]+表1_86121822242652[[#This Row],[活跃中坚玩家数]])</f>
        <v>52500</v>
      </c>
      <c r="G25" s="519">
        <f>(VLOOKUP(表1_86121822242652[[#This Row],[目标区服]],$R$29:$S$32,2,FALSE)-表1_86121822242652[[#This Row],[开服天数]])*配置!$B$2</f>
        <v>15</v>
      </c>
      <c r="H25" s="517" t="s">
        <v>27</v>
      </c>
      <c r="I25" s="517">
        <f>IF(表1_86121822242652[[#This Row],[原国家]]="魏",0,IF(表1_86121822242652[[#This Row],[原国家]]="蜀",1,2))</f>
        <v>2</v>
      </c>
      <c r="J25" s="519">
        <v>7</v>
      </c>
      <c r="K25" s="519">
        <v>232</v>
      </c>
      <c r="L25" s="519">
        <v>5</v>
      </c>
      <c r="M25" s="519">
        <v>30</v>
      </c>
      <c r="N25" s="519">
        <v>158020</v>
      </c>
      <c r="O25" s="519">
        <v>2985568</v>
      </c>
      <c r="P25" s="529">
        <v>30730935</v>
      </c>
      <c r="Q25" s="532" t="s">
        <v>27</v>
      </c>
      <c r="R25" s="517">
        <f>IF(表1_86121822242652[[#This Row],[目标国家]]="魏",0,IF(表1_86121822242652[[#This Row],[目标国家]]="蜀",1,2))</f>
        <v>2</v>
      </c>
      <c r="S25" s="519">
        <v>62660</v>
      </c>
      <c r="T25" s="519">
        <v>0</v>
      </c>
      <c r="U25" s="519">
        <v>699047</v>
      </c>
      <c r="V25" s="519">
        <v>12098</v>
      </c>
      <c r="W25" s="535">
        <v>825926</v>
      </c>
      <c r="X25" s="623" t="str">
        <f>"{"&amp;"'coin':"&amp;表1_86121822242652[[#This Row],[补偿Coin]]&amp;",'"&amp;配置!$A$2&amp;"':"&amp;表1_86121822242652[[#This Row],[补偿辎重]]&amp;"},"</f>
        <v>{'coin':1500,'item036':15},</v>
      </c>
      <c r="Y25" s="536" t="str">
        <f t="shared" ref="Y25" si="5">"      },"</f>
        <v>      },</v>
      </c>
    </row>
    <row r="28" ht="37.5" customHeight="1" spans="1:19">
      <c r="A28" s="36" t="s">
        <v>28</v>
      </c>
      <c r="B28" s="37" t="s">
        <v>29</v>
      </c>
      <c r="C28" s="38" t="s">
        <v>30</v>
      </c>
      <c r="D28" s="38" t="s">
        <v>31</v>
      </c>
      <c r="E28" s="38" t="s">
        <v>32</v>
      </c>
      <c r="F28" s="38" t="s">
        <v>33</v>
      </c>
      <c r="G28" s="38" t="s">
        <v>15</v>
      </c>
      <c r="H28" s="37" t="s">
        <v>18</v>
      </c>
      <c r="I28" s="37" t="s">
        <v>19</v>
      </c>
      <c r="J28" s="37" t="s">
        <v>34</v>
      </c>
      <c r="K28" s="38" t="s">
        <v>35</v>
      </c>
      <c r="L28" s="38" t="s">
        <v>36</v>
      </c>
      <c r="M28" s="38" t="s">
        <v>37</v>
      </c>
      <c r="N28" s="38" t="s">
        <v>88</v>
      </c>
      <c r="P28" s="51" t="s">
        <v>0</v>
      </c>
      <c r="Q28" s="51" t="s">
        <v>1</v>
      </c>
      <c r="R28" s="51"/>
      <c r="S28" s="51" t="s">
        <v>38</v>
      </c>
    </row>
    <row r="29" ht="15.75" customHeight="1" spans="1:19">
      <c r="A29" s="39" t="s">
        <v>98</v>
      </c>
      <c r="B29" s="39" t="s">
        <v>25</v>
      </c>
      <c r="C29" s="39">
        <f>COUNTIFS(表1_86121822242652[目标区服],表2_97131923252753[[#This Row],[合区区服]],表1_86121822242652[目标国家（映射）],表2_97131923252753[[#This Row],[国家]])</f>
        <v>2</v>
      </c>
      <c r="D29" s="39">
        <f>SUMIFS(表1_86121822242652[活跃高战玩家数],表1_86121822242652[目标区服],表2_97131923252753[[#This Row],[合区区服]],表1_86121822242652[目标国家（映射）],表2_97131923252753[[#This Row],[国家]])</f>
        <v>9</v>
      </c>
      <c r="E29" s="39">
        <f>SUMIFS(表1_86121822242652[活跃中坚玩家数],表1_86121822242652[目标区服],表2_97131923252753[[#This Row],[合区区服]],表1_86121822242652[目标国家（映射）],表2_97131923252753[[#This Row],[国家]])</f>
        <v>42</v>
      </c>
      <c r="F29" s="39">
        <f t="array" ref="F29">MAX((表1_86121822242652[目标区服]=表2_97131923252753[[#This Row],[合区区服]])*(表1_86121822242652[目标国家（映射）]=表2_97131923252753[[#This Row],[国家]])*表1_86121822242652[活跃尖端战力])</f>
        <v>3727032</v>
      </c>
      <c r="G29" s="40">
        <f>SUMIFS(表1_86121822242652[活跃总战力],表1_86121822242652[目标区服],表2_97131923252753[[#This Row],[合区区服]],表1_86121822242652[目标国家（映射）],表2_97131923252753[[#This Row],[国家]])</f>
        <v>50737823</v>
      </c>
      <c r="H29" s="39">
        <f>SUMIFS(表1_86121822242652[活跃实际充值],表1_86121822242652[目标区服],表2_97131923252753[[#This Row],[合区区服]],表1_86121822242652[目标国家（映射）],表2_97131923252753[[#This Row],[国家]])</f>
        <v>159026</v>
      </c>
      <c r="I29" s="39">
        <f>SUMIFS(表1_86121822242652[活跃虚拟充值],表1_86121822242652[目标区服],表2_97131923252753[[#This Row],[合区区服]],表1_86121822242652[目标国家（映射）],表2_97131923252753[[#This Row],[国家]])</f>
        <v>30</v>
      </c>
      <c r="J29" s="39">
        <f>SUMIFS(表1_86121822242652[活跃Coin],表1_86121822242652[目标区服],表2_97131923252753[[#This Row],[合区区服]],表1_86121822242652[目标国家（映射）],表2_97131923252753[[#This Row],[国家]])</f>
        <v>1133619</v>
      </c>
      <c r="K29" s="39">
        <f>SUMIFS(表1_86121822242652[共计补偿Coin],表1_86121822242652[目标区服],表2_97131923252753[[#This Row],[合区区服]],表1_86121822242652[目标国家（映射）],表2_97131923252753[[#This Row],[国家]])</f>
        <v>63500</v>
      </c>
      <c r="L29" s="39">
        <f>表2_97131923252753[[#This Row],[活跃Coin]]+表2_97131923252753[[#This Row],[共计补偿Coin]]</f>
        <v>1197119</v>
      </c>
      <c r="M29" s="39">
        <f>SUMIFS(表1_86121822242652[综合国力],表1_86121822242652[目标区服],表2_97131923252753[[#This Row],[合区区服]],表1_86121822242652[目标国家（映射）],表2_97131923252753[[#This Row],[国家]])</f>
        <v>23012</v>
      </c>
      <c r="N29" s="39">
        <f t="array" ref="N29">MAX((表1_86121822242652[目标区服]=表2_97131923252753[[#This Row],[合区区服]])*(表1_86121822242652[目标国家（映射）]=表2_97131923252753[[#This Row],[国家]])*表1_86121822242652[单将最高战力])</f>
        <v>1066167</v>
      </c>
      <c r="P29" s="51">
        <v>115</v>
      </c>
      <c r="Q29" s="51">
        <v>53</v>
      </c>
      <c r="R29" s="51" t="s">
        <v>98</v>
      </c>
      <c r="S29" s="51">
        <v>55</v>
      </c>
    </row>
    <row r="30" ht="15" spans="1:19">
      <c r="A30" s="39" t="s">
        <v>98</v>
      </c>
      <c r="B30" s="39" t="s">
        <v>26</v>
      </c>
      <c r="C30" s="39">
        <f>COUNTIFS(表1_86121822242652[目标区服],表2_97131923252753[[#This Row],[合区区服]],表1_86121822242652[目标国家（映射）],表2_97131923252753[[#This Row],[国家]])</f>
        <v>2</v>
      </c>
      <c r="D30" s="39">
        <f>SUMIFS(表1_86121822242652[活跃高战玩家数],表1_86121822242652[目标区服],表2_97131923252753[[#This Row],[合区区服]],表1_86121822242652[目标国家（映射）],表2_97131923252753[[#This Row],[国家]])</f>
        <v>4</v>
      </c>
      <c r="E30" s="39">
        <f>SUMIFS(表1_86121822242652[活跃中坚玩家数],表1_86121822242652[目标区服],表2_97131923252753[[#This Row],[合区区服]],表1_86121822242652[目标国家（映射）],表2_97131923252753[[#This Row],[国家]])</f>
        <v>39</v>
      </c>
      <c r="F30" s="39">
        <f t="array" ref="F30">MAX((表1_86121822242652[目标区服]=表2_97131923252753[[#This Row],[合区区服]])*(表1_86121822242652[目标国家（映射）]=表2_97131923252753[[#This Row],[国家]])*表1_86121822242652[活跃尖端战力])</f>
        <v>3778975</v>
      </c>
      <c r="G30" s="40">
        <f>SUMIFS(表1_86121822242652[活跃总战力],表1_86121822242652[目标区服],表2_97131923252753[[#This Row],[合区区服]],表1_86121822242652[目标国家（映射）],表2_97131923252753[[#This Row],[国家]])</f>
        <v>39924410</v>
      </c>
      <c r="H30" s="39">
        <f>SUMIFS(表1_86121822242652[活跃实际充值],表1_86121822242652[目标区服],表2_97131923252753[[#This Row],[合区区服]],表1_86121822242652[目标国家（映射）],表2_97131923252753[[#This Row],[国家]])</f>
        <v>127012</v>
      </c>
      <c r="I30" s="39">
        <f>SUMIFS(表1_86121822242652[活跃虚拟充值],表1_86121822242652[目标区服],表2_97131923252753[[#This Row],[合区区服]],表1_86121822242652[目标国家（映射）],表2_97131923252753[[#This Row],[国家]])</f>
        <v>0</v>
      </c>
      <c r="J30" s="39">
        <f>SUMIFS(表1_86121822242652[活跃Coin],表1_86121822242652[目标区服],表2_97131923252753[[#This Row],[合区区服]],表1_86121822242652[目标国家（映射）],表2_97131923252753[[#This Row],[国家]])</f>
        <v>512069</v>
      </c>
      <c r="K30" s="39">
        <f>SUMIFS(表1_86121822242652[共计补偿Coin],表1_86121822242652[目标区服],表2_97131923252753[[#This Row],[合区区服]],表1_86121822242652[目标国家（映射）],表2_97131923252753[[#This Row],[国家]])</f>
        <v>55000</v>
      </c>
      <c r="L30" s="39">
        <f>表2_97131923252753[[#This Row],[活跃Coin]]+表2_97131923252753[[#This Row],[共计补偿Coin]]</f>
        <v>567069</v>
      </c>
      <c r="M30" s="39">
        <f>SUMIFS(表1_86121822242652[综合国力],表1_86121822242652[目标区服],表2_97131923252753[[#This Row],[合区区服]],表1_86121822242652[目标国家（映射）],表2_97131923252753[[#This Row],[国家]])</f>
        <v>17814</v>
      </c>
      <c r="N30" s="39">
        <f t="array" ref="N30">MAX((表1_86121822242652[目标区服]=表2_97131923252753[[#This Row],[合区区服]])*(表1_86121822242652[目标国家（映射）]=表2_97131923252753[[#This Row],[国家]])*表1_86121822242652[单将最高战力])</f>
        <v>1139670</v>
      </c>
      <c r="P30" s="51">
        <v>116</v>
      </c>
      <c r="Q30" s="51">
        <v>52</v>
      </c>
      <c r="R30" s="51" t="s">
        <v>99</v>
      </c>
      <c r="S30" s="51">
        <v>53</v>
      </c>
    </row>
    <row r="31" ht="15" spans="1:19">
      <c r="A31" s="39" t="s">
        <v>98</v>
      </c>
      <c r="B31" s="39" t="s">
        <v>27</v>
      </c>
      <c r="C31" s="39">
        <f>COUNTIFS(表1_86121822242652[目标区服],表2_97131923252753[[#This Row],[合区区服]],表1_86121822242652[目标国家（映射）],表2_97131923252753[[#This Row],[国家]])</f>
        <v>2</v>
      </c>
      <c r="D31" s="39">
        <f>SUMIFS(表1_86121822242652[活跃高战玩家数],表1_86121822242652[目标区服],表2_97131923252753[[#This Row],[合区区服]],表1_86121822242652[目标国家（映射）],表2_97131923252753[[#This Row],[国家]])</f>
        <v>6</v>
      </c>
      <c r="E31" s="39">
        <f>SUMIFS(表1_86121822242652[活跃中坚玩家数],表1_86121822242652[目标区服],表2_97131923252753[[#This Row],[合区区服]],表1_86121822242652[目标国家（映射）],表2_97131923252753[[#This Row],[国家]])</f>
        <v>30</v>
      </c>
      <c r="F31" s="39">
        <f t="array" ref="F31">MAX((表1_86121822242652[目标区服]=表2_97131923252753[[#This Row],[合区区服]])*(表1_86121822242652[目标国家（映射）]=表2_97131923252753[[#This Row],[国家]])*表1_86121822242652[活跃尖端战力])</f>
        <v>2817804</v>
      </c>
      <c r="G31" s="40">
        <f>SUMIFS(表1_86121822242652[活跃总战力],表1_86121822242652[目标区服],表2_97131923252753[[#This Row],[合区区服]],表1_86121822242652[目标国家（映射）],表2_97131923252753[[#This Row],[国家]])</f>
        <v>34624442</v>
      </c>
      <c r="H31" s="39">
        <f>SUMIFS(表1_86121822242652[活跃实际充值],表1_86121822242652[目标区服],表2_97131923252753[[#This Row],[合区区服]],表1_86121822242652[目标国家（映射）],表2_97131923252753[[#This Row],[国家]])</f>
        <v>84308</v>
      </c>
      <c r="I31" s="39">
        <f>SUMIFS(表1_86121822242652[活跃虚拟充值],表1_86121822242652[目标区服],表2_97131923252753[[#This Row],[合区区服]],表1_86121822242652[目标国家（映射）],表2_97131923252753[[#This Row],[国家]])</f>
        <v>34622</v>
      </c>
      <c r="J31" s="39">
        <f>SUMIFS(表1_86121822242652[活跃Coin],表1_86121822242652[目标区服],表2_97131923252753[[#This Row],[合区区服]],表1_86121822242652[目标国家（映射）],表2_97131923252753[[#This Row],[国家]])</f>
        <v>619784</v>
      </c>
      <c r="K31" s="39">
        <f>SUMIFS(表1_86121822242652[共计补偿Coin],表1_86121822242652[目标区服],表2_97131923252753[[#This Row],[合区区服]],表1_86121822242652[目标国家（映射）],表2_97131923252753[[#This Row],[国家]])</f>
        <v>42500</v>
      </c>
      <c r="L31" s="39">
        <f>表2_97131923252753[[#This Row],[活跃Coin]]+表2_97131923252753[[#This Row],[共计补偿Coin]]</f>
        <v>662284</v>
      </c>
      <c r="M31" s="39">
        <f>SUMIFS(表1_86121822242652[综合国力],表1_86121822242652[目标区服],表2_97131923252753[[#This Row],[合区区服]],表1_86121822242652[目标国家（映射）],表2_97131923252753[[#This Row],[国家]])</f>
        <v>14828</v>
      </c>
      <c r="N31" s="39">
        <f t="array" ref="N31">MAX((表1_86121822242652[目标区服]=表2_97131923252753[[#This Row],[合区区服]])*(表1_86121822242652[目标国家（映射）]=表2_97131923252753[[#This Row],[国家]])*表1_86121822242652[单将最高战力])</f>
        <v>964831</v>
      </c>
      <c r="P31" s="51">
        <v>117</v>
      </c>
      <c r="Q31" s="51">
        <v>51</v>
      </c>
      <c r="R31" s="51" t="s">
        <v>100</v>
      </c>
      <c r="S31" s="51">
        <v>51</v>
      </c>
    </row>
    <row r="32" ht="15" spans="1:19">
      <c r="A32" s="41" t="s">
        <v>99</v>
      </c>
      <c r="B32" s="41" t="s">
        <v>25</v>
      </c>
      <c r="C32" s="41">
        <f>COUNTIFS(表1_86121822242652[目标区服],表2_97131923252753[[#This Row],[合区区服]],表1_86121822242652[目标国家（映射）],表2_97131923252753[[#This Row],[国家]])</f>
        <v>2</v>
      </c>
      <c r="D32" s="41">
        <f>SUMIFS(表1_86121822242652[活跃高战玩家数],表1_86121822242652[目标区服],表2_97131923252753[[#This Row],[合区区服]],表1_86121822242652[目标国家（映射）],表2_97131923252753[[#This Row],[国家]])</f>
        <v>10</v>
      </c>
      <c r="E32" s="41">
        <f>SUMIFS(表1_86121822242652[活跃中坚玩家数],表1_86121822242652[目标区服],表2_97131923252753[[#This Row],[合区区服]],表1_86121822242652[目标国家（映射）],表2_97131923252753[[#This Row],[国家]])</f>
        <v>32</v>
      </c>
      <c r="F32" s="41">
        <f t="array" ref="F32">MAX((表1_86121822242652[目标区服]=表2_97131923252753[[#This Row],[合区区服]])*(表1_86121822242652[目标国家（映射）]=表2_97131923252753[[#This Row],[国家]])*表1_86121822242652[活跃尖端战力])</f>
        <v>3006473</v>
      </c>
      <c r="G32" s="42">
        <f>SUMIFS(表1_86121822242652[活跃总战力],表1_86121822242652[目标区服],表2_97131923252753[[#This Row],[合区区服]],表1_86121822242652[目标国家（映射）],表2_97131923252753[[#This Row],[国家]])</f>
        <v>43581566</v>
      </c>
      <c r="H32" s="41">
        <f>SUMIFS(表1_86121822242652[活跃实际充值],表1_86121822242652[目标区服],表2_97131923252753[[#This Row],[合区区服]],表1_86121822242652[目标国家（映射）],表2_97131923252753[[#This Row],[国家]])</f>
        <v>121546</v>
      </c>
      <c r="I32" s="41">
        <f>SUMIFS(表1_86121822242652[活跃虚拟充值],表1_86121822242652[目标区服],表2_97131923252753[[#This Row],[合区区服]],表1_86121822242652[目标国家（映射）],表2_97131923252753[[#This Row],[国家]])</f>
        <v>128</v>
      </c>
      <c r="J32" s="41">
        <f>SUMIFS(表1_86121822242652[活跃Coin],表1_86121822242652[目标区服],表2_97131923252753[[#This Row],[合区区服]],表1_86121822242652[目标国家（映射）],表2_97131923252753[[#This Row],[国家]])</f>
        <v>986907</v>
      </c>
      <c r="K32" s="41">
        <f>SUMIFS(表1_86121822242652[共计补偿Coin],表1_86121822242652[目标区服],表2_97131923252753[[#This Row],[合区区服]],表1_86121822242652[目标国家（映射）],表2_97131923252753[[#This Row],[国家]])</f>
        <v>55500</v>
      </c>
      <c r="L32" s="41">
        <f>表2_97131923252753[[#This Row],[活跃Coin]]+表2_97131923252753[[#This Row],[共计补偿Coin]]</f>
        <v>1042407</v>
      </c>
      <c r="M32" s="41">
        <f>SUMIFS(表1_86121822242652[综合国力],表1_86121822242652[目标区服],表2_97131923252753[[#This Row],[合区区服]],表1_86121822242652[目标国家（映射）],表2_97131923252753[[#This Row],[国家]])</f>
        <v>18885</v>
      </c>
      <c r="N32" s="41">
        <f t="array" ref="N32">MAX((表1_86121822242652[目标区服]=表2_97131923252753[[#This Row],[合区区服]])*(表1_86121822242652[目标国家（映射）]=表2_97131923252753[[#This Row],[国家]])*表1_86121822242652[单将最高战力])</f>
        <v>960022</v>
      </c>
      <c r="P32" s="51">
        <v>118</v>
      </c>
      <c r="Q32" s="51">
        <v>50</v>
      </c>
      <c r="R32" s="51" t="s">
        <v>101</v>
      </c>
      <c r="S32" s="51">
        <v>49</v>
      </c>
    </row>
    <row r="33" ht="15" spans="1:17">
      <c r="A33" s="41" t="s">
        <v>99</v>
      </c>
      <c r="B33" s="41" t="s">
        <v>26</v>
      </c>
      <c r="C33" s="41">
        <f>COUNTIFS(表1_86121822242652[目标区服],表2_97131923252753[[#This Row],[合区区服]],表1_86121822242652[目标国家（映射）],表2_97131923252753[[#This Row],[国家]])</f>
        <v>2</v>
      </c>
      <c r="D33" s="41">
        <f>SUMIFS(表1_86121822242652[活跃高战玩家数],表1_86121822242652[目标区服],表2_97131923252753[[#This Row],[合区区服]],表1_86121822242652[目标国家（映射）],表2_97131923252753[[#This Row],[国家]])</f>
        <v>6</v>
      </c>
      <c r="E33" s="41">
        <f>SUMIFS(表1_86121822242652[活跃中坚玩家数],表1_86121822242652[目标区服],表2_97131923252753[[#This Row],[合区区服]],表1_86121822242652[目标国家（映射）],表2_97131923252753[[#This Row],[国家]])</f>
        <v>38</v>
      </c>
      <c r="F33" s="41">
        <f t="array" ref="F33">MAX((表1_86121822242652[目标区服]=表2_97131923252753[[#This Row],[合区区服]])*(表1_86121822242652[目标国家（映射）]=表2_97131923252753[[#This Row],[国家]])*表1_86121822242652[活跃尖端战力])</f>
        <v>3697841</v>
      </c>
      <c r="G33" s="42">
        <f>SUMIFS(表1_86121822242652[活跃总战力],表1_86121822242652[目标区服],表2_97131923252753[[#This Row],[合区区服]],表1_86121822242652[目标国家（映射）],表2_97131923252753[[#This Row],[国家]])</f>
        <v>39887687</v>
      </c>
      <c r="H33" s="41">
        <f>SUMIFS(表1_86121822242652[活跃实际充值],表1_86121822242652[目标区服],表2_97131923252753[[#This Row],[合区区服]],表1_86121822242652[目标国家（映射）],表2_97131923252753[[#This Row],[国家]])</f>
        <v>114972</v>
      </c>
      <c r="I33" s="41">
        <f>SUMIFS(表1_86121822242652[活跃虚拟充值],表1_86121822242652[目标区服],表2_97131923252753[[#This Row],[合区区服]],表1_86121822242652[目标国家（映射）],表2_97131923252753[[#This Row],[国家]])</f>
        <v>0</v>
      </c>
      <c r="J33" s="41">
        <f>SUMIFS(表1_86121822242652[活跃Coin],表1_86121822242652[目标区服],表2_97131923252753[[#This Row],[合区区服]],表1_86121822242652[目标国家（映射）],表2_97131923252753[[#This Row],[国家]])</f>
        <v>887705</v>
      </c>
      <c r="K33" s="41">
        <f>SUMIFS(表1_86121822242652[共计补偿Coin],表1_86121822242652[目标区服],表2_97131923252753[[#This Row],[合区区服]],表1_86121822242652[目标国家（映射）],表2_97131923252753[[#This Row],[国家]])</f>
        <v>52500</v>
      </c>
      <c r="L33" s="41">
        <f>表2_97131923252753[[#This Row],[活跃Coin]]+表2_97131923252753[[#This Row],[共计补偿Coin]]</f>
        <v>940205</v>
      </c>
      <c r="M33" s="41">
        <f>SUMIFS(表1_86121822242652[综合国力],表1_86121822242652[目标区服],表2_97131923252753[[#This Row],[合区区服]],表1_86121822242652[目标国家（映射）],表2_97131923252753[[#This Row],[国家]])</f>
        <v>17532</v>
      </c>
      <c r="N33" s="41">
        <f t="array" ref="N33">MAX((表1_86121822242652[目标区服]=表2_97131923252753[[#This Row],[合区区服]])*(表1_86121822242652[目标国家（映射）]=表2_97131923252753[[#This Row],[国家]])*表1_86121822242652[单将最高战力])</f>
        <v>1058669</v>
      </c>
      <c r="P33" s="51">
        <v>119</v>
      </c>
      <c r="Q33" s="51">
        <v>49</v>
      </c>
    </row>
    <row r="34" ht="15" spans="1:17">
      <c r="A34" s="41" t="s">
        <v>99</v>
      </c>
      <c r="B34" s="43" t="s">
        <v>27</v>
      </c>
      <c r="C34" s="43">
        <f>COUNTIFS(表1_86121822242652[目标区服],表2_97131923252753[[#This Row],[合区区服]],表1_86121822242652[目标国家（映射）],表2_97131923252753[[#This Row],[国家]])</f>
        <v>2</v>
      </c>
      <c r="D34" s="43">
        <f>SUMIFS(表1_86121822242652[活跃高战玩家数],表1_86121822242652[目标区服],表2_97131923252753[[#This Row],[合区区服]],表1_86121822242652[目标国家（映射）],表2_97131923252753[[#This Row],[国家]])</f>
        <v>2</v>
      </c>
      <c r="E34" s="43">
        <f>SUMIFS(表1_86121822242652[活跃中坚玩家数],表1_86121822242652[目标区服],表2_97131923252753[[#This Row],[合区区服]],表1_86121822242652[目标国家（映射）],表2_97131923252753[[#This Row],[国家]])</f>
        <v>46</v>
      </c>
      <c r="F34" s="43">
        <f t="array" ref="F34">MAX((表1_86121822242652[目标区服]=表2_97131923252753[[#This Row],[合区区服]])*(表1_86121822242652[目标国家（映射）]=表2_97131923252753[[#This Row],[国家]])*表1_86121822242652[活跃尖端战力])</f>
        <v>3412246</v>
      </c>
      <c r="G34" s="44">
        <f>SUMIFS(表1_86121822242652[活跃总战力],表1_86121822242652[目标区服],表2_97131923252753[[#This Row],[合区区服]],表1_86121822242652[目标国家（映射）],表2_97131923252753[[#This Row],[国家]])</f>
        <v>43441857</v>
      </c>
      <c r="H34" s="43">
        <f>SUMIFS(表1_86121822242652[活跃实际充值],表1_86121822242652[目标区服],表2_97131923252753[[#This Row],[合区区服]],表1_86121822242652[目标国家（映射）],表2_97131923252753[[#This Row],[国家]])</f>
        <v>116158</v>
      </c>
      <c r="I34" s="43">
        <f>SUMIFS(表1_86121822242652[活跃虚拟充值],表1_86121822242652[目标区服],表2_97131923252753[[#This Row],[合区区服]],表1_86121822242652[目标国家（映射）],表2_97131923252753[[#This Row],[国家]])</f>
        <v>7314</v>
      </c>
      <c r="J34" s="43">
        <f>SUMIFS(表1_86121822242652[活跃Coin],表1_86121822242652[目标区服],表2_97131923252753[[#This Row],[合区区服]],表1_86121822242652[目标国家（映射）],表2_97131923252753[[#This Row],[国家]])</f>
        <v>776207</v>
      </c>
      <c r="K34" s="43">
        <f>SUMIFS(表1_86121822242652[共计补偿Coin],表1_86121822242652[目标区服],表2_97131923252753[[#This Row],[合区区服]],表1_86121822242652[目标国家（映射）],表2_97131923252753[[#This Row],[国家]])</f>
        <v>62000</v>
      </c>
      <c r="L34" s="43">
        <f>表2_97131923252753[[#This Row],[活跃Coin]]+表2_97131923252753[[#This Row],[共计补偿Coin]]</f>
        <v>838207</v>
      </c>
      <c r="M34" s="43">
        <f>SUMIFS(表1_86121822242652[综合国力],表1_86121822242652[目标区服],表2_97131923252753[[#This Row],[合区区服]],表1_86121822242652[目标国家（映射）],表2_97131923252753[[#This Row],[国家]])</f>
        <v>17630</v>
      </c>
      <c r="N34" s="41">
        <f t="array" ref="N34">MAX((表1_86121822242652[目标区服]=表2_97131923252753[[#This Row],[合区区服]])*(表1_86121822242652[目标国家（映射）]=表2_97131923252753[[#This Row],[国家]])*表1_86121822242652[单将最高战力])</f>
        <v>1088394</v>
      </c>
      <c r="P34" s="51">
        <v>120</v>
      </c>
      <c r="Q34" s="51">
        <v>48</v>
      </c>
    </row>
    <row r="35" ht="15" spans="1:17">
      <c r="A35" s="45" t="s">
        <v>100</v>
      </c>
      <c r="B35" s="46" t="s">
        <v>25</v>
      </c>
      <c r="C35" s="46">
        <f>COUNTIFS(表1_86121822242652[目标区服],表2_97131923252753[[#This Row],[合区区服]],表1_86121822242652[目标国家（映射）],表2_97131923252753[[#This Row],[国家]])</f>
        <v>2</v>
      </c>
      <c r="D35" s="46">
        <f>SUMIFS(表1_86121822242652[活跃高战玩家数],表1_86121822242652[目标区服],表2_97131923252753[[#This Row],[合区区服]],表1_86121822242652[目标国家（映射）],表2_97131923252753[[#This Row],[国家]])</f>
        <v>7</v>
      </c>
      <c r="E35" s="46">
        <f>SUMIFS(表1_86121822242652[活跃中坚玩家数],表1_86121822242652[目标区服],表2_97131923252753[[#This Row],[合区区服]],表1_86121822242652[目标国家（映射）],表2_97131923252753[[#This Row],[国家]])</f>
        <v>37</v>
      </c>
      <c r="F35" s="46">
        <f t="array" ref="F35">MAX((表1_86121822242652[目标区服]=表2_97131923252753[[#This Row],[合区区服]])*(表1_86121822242652[目标国家（映射）]=表2_97131923252753[[#This Row],[国家]])*表1_86121822242652[活跃尖端战力])</f>
        <v>2713618</v>
      </c>
      <c r="G35" s="47">
        <f>SUMIFS(表1_86121822242652[活跃总战力],表1_86121822242652[目标区服],表2_97131923252753[[#This Row],[合区区服]],表1_86121822242652[目标国家（映射）],表2_97131923252753[[#This Row],[国家]])</f>
        <v>38170594</v>
      </c>
      <c r="H35" s="46">
        <f>SUMIFS(表1_86121822242652[活跃实际充值],表1_86121822242652[目标区服],表2_97131923252753[[#This Row],[合区区服]],表1_86121822242652[目标国家（映射）],表2_97131923252753[[#This Row],[国家]])</f>
        <v>82602</v>
      </c>
      <c r="I35" s="46">
        <f>SUMIFS(表1_86121822242652[活跃虚拟充值],表1_86121822242652[目标区服],表2_97131923252753[[#This Row],[合区区服]],表1_86121822242652[目标国家（映射）],表2_97131923252753[[#This Row],[国家]])</f>
        <v>0</v>
      </c>
      <c r="J35" s="46">
        <f>SUMIFS(表1_86121822242652[活跃Coin],表1_86121822242652[目标区服],表2_97131923252753[[#This Row],[合区区服]],表1_86121822242652[目标国家（映射）],表2_97131923252753[[#This Row],[国家]])</f>
        <v>627021</v>
      </c>
      <c r="K35" s="46">
        <f>SUMIFS(表1_86121822242652[共计补偿Coin],表1_86121822242652[目标区服],表2_97131923252753[[#This Row],[合区区服]],表1_86121822242652[目标国家（映射）],表2_97131923252753[[#This Row],[国家]])</f>
        <v>66000</v>
      </c>
      <c r="L35" s="46">
        <f>表2_97131923252753[[#This Row],[活跃Coin]]+表2_97131923252753[[#This Row],[共计补偿Coin]]</f>
        <v>693021</v>
      </c>
      <c r="M35" s="46">
        <f>SUMIFS(表1_86121822242652[综合国力],表1_86121822242652[目标区服],表2_97131923252753[[#This Row],[合区区服]],表1_86121822242652[目标国家（映射）],表2_97131923252753[[#This Row],[国家]])</f>
        <v>14557</v>
      </c>
      <c r="N35" s="46">
        <f t="array" ref="N35">MAX((表1_86121822242652[目标区服]=表2_97131923252753[[#This Row],[合区区服]])*(表1_86121822242652[目标国家（映射）]=表2_97131923252753[[#This Row],[国家]])*表1_86121822242652[单将最高战力])</f>
        <v>701187</v>
      </c>
      <c r="P35" s="51">
        <v>121</v>
      </c>
      <c r="Q35" s="51">
        <v>47</v>
      </c>
    </row>
    <row r="36" ht="15" spans="1:17">
      <c r="A36" s="45" t="s">
        <v>100</v>
      </c>
      <c r="B36" s="46" t="s">
        <v>26</v>
      </c>
      <c r="C36" s="46">
        <f>COUNTIFS(表1_86121822242652[目标区服],表2_97131923252753[[#This Row],[合区区服]],表1_86121822242652[目标国家（映射）],表2_97131923252753[[#This Row],[国家]])</f>
        <v>2</v>
      </c>
      <c r="D36" s="46">
        <f>SUMIFS(表1_86121822242652[活跃高战玩家数],表1_86121822242652[目标区服],表2_97131923252753[[#This Row],[合区区服]],表1_86121822242652[目标国家（映射）],表2_97131923252753[[#This Row],[国家]])</f>
        <v>4</v>
      </c>
      <c r="E36" s="46">
        <f>SUMIFS(表1_86121822242652[活跃中坚玩家数],表1_86121822242652[目标区服],表2_97131923252753[[#This Row],[合区区服]],表1_86121822242652[目标国家（映射）],表2_97131923252753[[#This Row],[国家]])</f>
        <v>44</v>
      </c>
      <c r="F36" s="46">
        <f t="array" ref="F36">MAX((表1_86121822242652[目标区服]=表2_97131923252753[[#This Row],[合区区服]])*(表1_86121822242652[目标国家（映射）]=表2_97131923252753[[#This Row],[国家]])*表1_86121822242652[活跃尖端战力])</f>
        <v>2951327</v>
      </c>
      <c r="G36" s="47">
        <f>SUMIFS(表1_86121822242652[活跃总战力],表1_86121822242652[目标区服],表2_97131923252753[[#This Row],[合区区服]],表1_86121822242652[目标国家（映射）],表2_97131923252753[[#This Row],[国家]])</f>
        <v>38896746</v>
      </c>
      <c r="H36" s="46">
        <f>SUMIFS(表1_86121822242652[活跃实际充值],表1_86121822242652[目标区服],表2_97131923252753[[#This Row],[合区区服]],表1_86121822242652[目标国家（映射）],表2_97131923252753[[#This Row],[国家]])</f>
        <v>78034</v>
      </c>
      <c r="I36" s="46">
        <f>SUMIFS(表1_86121822242652[活跃虚拟充值],表1_86121822242652[目标区服],表2_97131923252753[[#This Row],[合区区服]],表1_86121822242652[目标国家（映射）],表2_97131923252753[[#This Row],[国家]])</f>
        <v>0</v>
      </c>
      <c r="J36" s="46">
        <f>SUMIFS(表1_86121822242652[活跃Coin],表1_86121822242652[目标区服],表2_97131923252753[[#This Row],[合区区服]],表1_86121822242652[目标国家（映射）],表2_97131923252753[[#This Row],[国家]])</f>
        <v>539945</v>
      </c>
      <c r="K36" s="46">
        <f>SUMIFS(表1_86121822242652[共计补偿Coin],表1_86121822242652[目标区服],表2_97131923252753[[#This Row],[合区区服]],表1_86121822242652[目标国家（映射）],表2_97131923252753[[#This Row],[国家]])</f>
        <v>60500</v>
      </c>
      <c r="L36" s="46">
        <f>表2_97131923252753[[#This Row],[活跃Coin]]+表2_97131923252753[[#This Row],[共计补偿Coin]]</f>
        <v>600445</v>
      </c>
      <c r="M36" s="46">
        <f>SUMIFS(表1_86121822242652[综合国力],表1_86121822242652[目标区服],表2_97131923252753[[#This Row],[合区区服]],表1_86121822242652[目标国家（映射）],表2_97131923252753[[#This Row],[国家]])</f>
        <v>15500</v>
      </c>
      <c r="N36" s="46">
        <f t="array" ref="N36">MAX((表1_86121822242652[目标区服]=表2_97131923252753[[#This Row],[合区区服]])*(表1_86121822242652[目标国家（映射）]=表2_97131923252753[[#This Row],[国家]])*表1_86121822242652[单将最高战力])</f>
        <v>955145</v>
      </c>
      <c r="P36" s="51">
        <v>122</v>
      </c>
      <c r="Q36" s="51">
        <v>46</v>
      </c>
    </row>
    <row r="37" ht="15" spans="1:14">
      <c r="A37" s="45" t="s">
        <v>100</v>
      </c>
      <c r="B37" s="48" t="s">
        <v>27</v>
      </c>
      <c r="C37" s="48">
        <f>COUNTIFS(表1_86121822242652[目标区服],表2_97131923252753[[#This Row],[合区区服]],表1_86121822242652[目标国家（映射）],表2_97131923252753[[#This Row],[国家]])</f>
        <v>2</v>
      </c>
      <c r="D37" s="48">
        <f>SUMIFS(表1_86121822242652[活跃高战玩家数],表1_86121822242652[目标区服],表2_97131923252753[[#This Row],[合区区服]],表1_86121822242652[目标国家（映射）],表2_97131923252753[[#This Row],[国家]])</f>
        <v>7</v>
      </c>
      <c r="E37" s="48">
        <f>SUMIFS(表1_86121822242652[活跃中坚玩家数],表1_86121822242652[目标区服],表2_97131923252753[[#This Row],[合区区服]],表1_86121822242652[目标国家（映射）],表2_97131923252753[[#This Row],[国家]])</f>
        <v>39</v>
      </c>
      <c r="F37" s="48">
        <f t="array" ref="F37">MAX((表1_86121822242652[目标区服]=表2_97131923252753[[#This Row],[合区区服]])*(表1_86121822242652[目标国家（映射）]=表2_97131923252753[[#This Row],[国家]])*表1_86121822242652[活跃尖端战力])</f>
        <v>2888233</v>
      </c>
      <c r="G37" s="458">
        <f>SUMIFS(表1_86121822242652[活跃总战力],表1_86121822242652[目标区服],表2_97131923252753[[#This Row],[合区区服]],表1_86121822242652[目标国家（映射）],表2_97131923252753[[#This Row],[国家]])</f>
        <v>42348336</v>
      </c>
      <c r="H37" s="48">
        <f>SUMIFS(表1_86121822242652[活跃实际充值],表1_86121822242652[目标区服],表2_97131923252753[[#This Row],[合区区服]],表1_86121822242652[目标国家（映射）],表2_97131923252753[[#This Row],[国家]])</f>
        <v>95508</v>
      </c>
      <c r="I37" s="48">
        <f>SUMIFS(表1_86121822242652[活跃虚拟充值],表1_86121822242652[目标区服],表2_97131923252753[[#This Row],[合区区服]],表1_86121822242652[目标国家（映射）],表2_97131923252753[[#This Row],[国家]])</f>
        <v>13856</v>
      </c>
      <c r="J37" s="48">
        <f>SUMIFS(表1_86121822242652[活跃Coin],表1_86121822242652[目标区服],表2_97131923252753[[#This Row],[合区区服]],表1_86121822242652[目标国家（映射）],表2_97131923252753[[#This Row],[国家]])</f>
        <v>1281276</v>
      </c>
      <c r="K37" s="48">
        <f>SUMIFS(表1_86121822242652[共计补偿Coin],表1_86121822242652[目标区服],表2_97131923252753[[#This Row],[合区区服]],表1_86121822242652[目标国家（映射）],表2_97131923252753[[#This Row],[国家]])</f>
        <v>46000</v>
      </c>
      <c r="L37" s="48">
        <f>表2_97131923252753[[#This Row],[活跃Coin]]+表2_97131923252753[[#This Row],[共计补偿Coin]]</f>
        <v>1327276</v>
      </c>
      <c r="M37" s="48">
        <f>SUMIFS(表1_86121822242652[综合国力],表1_86121822242652[目标区服],表2_97131923252753[[#This Row],[合区区服]],表1_86121822242652[目标国家（映射）],表2_97131923252753[[#This Row],[国家]])</f>
        <v>17049</v>
      </c>
      <c r="N37" s="46">
        <f t="array" ref="N37">MAX((表1_86121822242652[目标区服]=表2_97131923252753[[#This Row],[合区区服]])*(表1_86121822242652[目标国家（映射）]=表2_97131923252753[[#This Row],[国家]])*表1_86121822242652[单将最高战力])</f>
        <v>882641</v>
      </c>
    </row>
    <row r="38" ht="15" spans="1:14">
      <c r="A38" s="521" t="s">
        <v>101</v>
      </c>
      <c r="B38" s="522" t="s">
        <v>25</v>
      </c>
      <c r="C38" s="522">
        <f>COUNTIFS(表1_86121822242652[目标区服],表2_97131923252753[[#This Row],[合区区服]],表1_86121822242652[目标国家（映射）],表2_97131923252753[[#This Row],[国家]])</f>
        <v>2</v>
      </c>
      <c r="D38" s="522">
        <f>SUMIFS(表1_86121822242652[活跃高战玩家数],表1_86121822242652[目标区服],表2_97131923252753[[#This Row],[合区区服]],表1_86121822242652[目标国家（映射）],表2_97131923252753[[#This Row],[国家]])</f>
        <v>8</v>
      </c>
      <c r="E38" s="522">
        <f>SUMIFS(表1_86121822242652[活跃中坚玩家数],表1_86121822242652[目标区服],表2_97131923252753[[#This Row],[合区区服]],表1_86121822242652[目标国家（映射）],表2_97131923252753[[#This Row],[国家]])</f>
        <v>39</v>
      </c>
      <c r="F38" s="522">
        <f t="array" ref="F38">MAX((表1_86121822242652[目标区服]=表2_97131923252753[[#This Row],[合区区服]])*(表1_86121822242652[目标国家（映射）]=表2_97131923252753[[#This Row],[国家]])*表1_86121822242652[活跃尖端战力])</f>
        <v>2529281</v>
      </c>
      <c r="G38" s="523">
        <f>SUMIFS(表1_86121822242652[活跃总战力],表1_86121822242652[目标区服],表2_97131923252753[[#This Row],[合区区服]],表1_86121822242652[目标国家（映射）],表2_97131923252753[[#This Row],[国家]])</f>
        <v>38593568</v>
      </c>
      <c r="H38" s="522">
        <f>SUMIFS(表1_86121822242652[活跃实际充值],表1_86121822242652[目标区服],表2_97131923252753[[#This Row],[合区区服]],表1_86121822242652[目标国家（映射）],表2_97131923252753[[#This Row],[国家]])</f>
        <v>55082</v>
      </c>
      <c r="I38" s="522">
        <f>SUMIFS(表1_86121822242652[活跃虚拟充值],表1_86121822242652[目标区服],表2_97131923252753[[#This Row],[合区区服]],表1_86121822242652[目标国家（映射）],表2_97131923252753[[#This Row],[国家]])</f>
        <v>39322</v>
      </c>
      <c r="J38" s="522">
        <f>SUMIFS(表1_86121822242652[活跃Coin],表1_86121822242652[目标区服],表2_97131923252753[[#This Row],[合区区服]],表1_86121822242652[目标国家（映射）],表2_97131923252753[[#This Row],[国家]])</f>
        <v>869203</v>
      </c>
      <c r="K38" s="522">
        <f>SUMIFS(表1_86121822242652[共计补偿Coin],表1_86121822242652[目标区服],表2_97131923252753[[#This Row],[合区区服]],表1_86121822242652[目标国家（映射）],表2_97131923252753[[#This Row],[国家]])</f>
        <v>54000</v>
      </c>
      <c r="L38" s="522">
        <f>表2_97131923252753[[#This Row],[活跃Coin]]+表2_97131923252753[[#This Row],[共计补偿Coin]]</f>
        <v>923203</v>
      </c>
      <c r="M38" s="522">
        <f>SUMIFS(表1_86121822242652[综合国力],表1_86121822242652[目标区服],表2_97131923252753[[#This Row],[合区区服]],表1_86121822242652[目标国家（映射）],表2_97131923252753[[#This Row],[国家]])</f>
        <v>14031</v>
      </c>
      <c r="N38" s="530">
        <f t="array" ref="N38">MAX((表1_86121822242652[目标区服]=表2_97131923252753[[#This Row],[合区区服]])*(表1_86121822242652[目标国家（映射）]=表2_97131923252753[[#This Row],[国家]])*表1_86121822242652[单将最高战力])</f>
        <v>765975</v>
      </c>
    </row>
    <row r="39" ht="15" spans="1:14">
      <c r="A39" s="521" t="s">
        <v>101</v>
      </c>
      <c r="B39" s="522" t="s">
        <v>26</v>
      </c>
      <c r="C39" s="522">
        <f>COUNTIFS(表1_86121822242652[目标区服],表2_97131923252753[[#This Row],[合区区服]],表1_86121822242652[目标国家（映射）],表2_97131923252753[[#This Row],[国家]])</f>
        <v>2</v>
      </c>
      <c r="D39" s="522">
        <f>SUMIFS(表1_86121822242652[活跃高战玩家数],表1_86121822242652[目标区服],表2_97131923252753[[#This Row],[合区区服]],表1_86121822242652[目标国家（映射）],表2_97131923252753[[#This Row],[国家]])</f>
        <v>7</v>
      </c>
      <c r="E39" s="522">
        <f>SUMIFS(表1_86121822242652[活跃中坚玩家数],表1_86121822242652[目标区服],表2_97131923252753[[#This Row],[合区区服]],表1_86121822242652[目标国家（映射）],表2_97131923252753[[#This Row],[国家]])</f>
        <v>30</v>
      </c>
      <c r="F39" s="522">
        <f t="array" ref="F39">MAX((表1_86121822242652[目标区服]=表2_97131923252753[[#This Row],[合区区服]])*(表1_86121822242652[目标国家（映射）]=表2_97131923252753[[#This Row],[国家]])*表1_86121822242652[活跃尖端战力])</f>
        <v>2085084</v>
      </c>
      <c r="G39" s="523">
        <f>SUMIFS(表1_86121822242652[活跃总战力],表1_86121822242652[目标区服],表2_97131923252753[[#This Row],[合区区服]],表1_86121822242652[目标国家（映射）],表2_97131923252753[[#This Row],[国家]])</f>
        <v>27579726</v>
      </c>
      <c r="H39" s="522">
        <f>SUMIFS(表1_86121822242652[活跃实际充值],表1_86121822242652[目标区服],表2_97131923252753[[#This Row],[合区区服]],表1_86121822242652[目标国家（映射）],表2_97131923252753[[#This Row],[国家]])</f>
        <v>63030</v>
      </c>
      <c r="I39" s="522">
        <f>SUMIFS(表1_86121822242652[活跃虚拟充值],表1_86121822242652[目标区服],表2_97131923252753[[#This Row],[合区区服]],表1_86121822242652[目标国家（映射）],表2_97131923252753[[#This Row],[国家]])</f>
        <v>0</v>
      </c>
      <c r="J39" s="522">
        <f>SUMIFS(表1_86121822242652[活跃Coin],表1_86121822242652[目标区服],表2_97131923252753[[#This Row],[合区区服]],表1_86121822242652[目标国家（映射）],表2_97131923252753[[#This Row],[国家]])</f>
        <v>448707</v>
      </c>
      <c r="K39" s="522">
        <f>SUMIFS(表1_86121822242652[共计补偿Coin],表1_86121822242652[目标区服],表2_97131923252753[[#This Row],[合区区服]],表1_86121822242652[目标国家（映射）],表2_97131923252753[[#This Row],[国家]])</f>
        <v>47000</v>
      </c>
      <c r="L39" s="522">
        <f>表2_97131923252753[[#This Row],[活跃Coin]]+表2_97131923252753[[#This Row],[共计补偿Coin]]</f>
        <v>495707</v>
      </c>
      <c r="M39" s="522">
        <f>SUMIFS(表1_86121822242652[综合国力],表1_86121822242652[目标区服],表2_97131923252753[[#This Row],[合区区服]],表1_86121822242652[目标国家（映射）],表2_97131923252753[[#This Row],[国家]])</f>
        <v>12327</v>
      </c>
      <c r="N39" s="530">
        <f t="array" ref="N39">MAX((表1_86121822242652[目标区服]=表2_97131923252753[[#This Row],[合区区服]])*(表1_86121822242652[目标国家（映射）]=表2_97131923252753[[#This Row],[国家]])*表1_86121822242652[单将最高战力])</f>
        <v>701928</v>
      </c>
    </row>
    <row r="40" ht="15" spans="1:14">
      <c r="A40" s="524" t="s">
        <v>101</v>
      </c>
      <c r="B40" s="525" t="s">
        <v>27</v>
      </c>
      <c r="C40" s="525">
        <f>COUNTIFS(表1_86121822242652[目标区服],表2_97131923252753[[#This Row],[合区区服]],表1_86121822242652[目标国家（映射）],表2_97131923252753[[#This Row],[国家]])</f>
        <v>2</v>
      </c>
      <c r="D40" s="525">
        <f>SUMIFS(表1_86121822242652[活跃高战玩家数],表1_86121822242652[目标区服],表2_97131923252753[[#This Row],[合区区服]],表1_86121822242652[目标国家（映射）],表2_97131923252753[[#This Row],[国家]])</f>
        <v>5</v>
      </c>
      <c r="E40" s="525">
        <f>SUMIFS(表1_86121822242652[活跃中坚玩家数],表1_86121822242652[目标区服],表2_97131923252753[[#This Row],[合区区服]],表1_86121822242652[目标国家（映射）],表2_97131923252753[[#This Row],[国家]])</f>
        <v>43</v>
      </c>
      <c r="F40" s="525">
        <f t="array" ref="F40">MAX((表1_86121822242652[目标区服]=表2_97131923252753[[#This Row],[合区区服]])*(表1_86121822242652[目标国家（映射）]=表2_97131923252753[[#This Row],[国家]])*表1_86121822242652[活跃尖端战力])</f>
        <v>2985568</v>
      </c>
      <c r="G40" s="526">
        <f>SUMIFS(表1_86121822242652[活跃总战力],表1_86121822242652[目标区服],表2_97131923252753[[#This Row],[合区区服]],表1_86121822242652[目标国家（映射）],表2_97131923252753[[#This Row],[国家]])</f>
        <v>38334366</v>
      </c>
      <c r="H40" s="525">
        <f>SUMIFS(表1_86121822242652[活跃实际充值],表1_86121822242652[目标区服],表2_97131923252753[[#This Row],[合区区服]],表1_86121822242652[目标国家（映射）],表2_97131923252753[[#This Row],[国家]])</f>
        <v>67952</v>
      </c>
      <c r="I40" s="525">
        <f>SUMIFS(表1_86121822242652[活跃虚拟充值],表1_86121822242652[目标区服],表2_97131923252753[[#This Row],[合区区服]],表1_86121822242652[目标国家（映射）],表2_97131923252753[[#This Row],[国家]])</f>
        <v>0</v>
      </c>
      <c r="J40" s="525">
        <f>SUMIFS(表1_86121822242652[活跃Coin],表1_86121822242652[目标区服],表2_97131923252753[[#This Row],[合区区服]],表1_86121822242652[目标国家（映射）],表2_97131923252753[[#This Row],[国家]])</f>
        <v>731588</v>
      </c>
      <c r="K40" s="525">
        <f>SUMIFS(表1_86121822242652[共计补偿Coin],表1_86121822242652[目标区服],表2_97131923252753[[#This Row],[合区区服]],表1_86121822242652[目标国家（映射）],表2_97131923252753[[#This Row],[国家]])</f>
        <v>65500</v>
      </c>
      <c r="L40" s="525">
        <f>表2_97131923252753[[#This Row],[活跃Coin]]+表2_97131923252753[[#This Row],[共计补偿Coin]]</f>
        <v>797088</v>
      </c>
      <c r="M40" s="525">
        <f>SUMIFS(表1_86121822242652[综合国力],表1_86121822242652[目标区服],表2_97131923252753[[#This Row],[合区区服]],表1_86121822242652[目标国家（映射）],表2_97131923252753[[#This Row],[国家]])</f>
        <v>15424</v>
      </c>
      <c r="N40" s="531">
        <f t="array" ref="N40">MAX((表1_86121822242652[目标区服]=表2_97131923252753[[#This Row],[合区区服]])*(表1_86121822242652[目标国家（映射）]=表2_97131923252753[[#This Row],[国家]])*表1_86121822242652[单将最高战力])</f>
        <v>825926</v>
      </c>
    </row>
    <row r="43" ht="27" spans="1:13">
      <c r="A43" s="49"/>
      <c r="B43" s="50" t="s">
        <v>9</v>
      </c>
      <c r="C43" s="50" t="s">
        <v>10</v>
      </c>
      <c r="D43" s="50" t="s">
        <v>11</v>
      </c>
      <c r="E43" s="50" t="s">
        <v>12</v>
      </c>
      <c r="F43" s="50" t="s">
        <v>13</v>
      </c>
      <c r="G43" s="50" t="s">
        <v>14</v>
      </c>
      <c r="H43" s="50" t="s">
        <v>15</v>
      </c>
      <c r="I43" s="50" t="s">
        <v>18</v>
      </c>
      <c r="J43" s="50" t="s">
        <v>19</v>
      </c>
      <c r="K43" s="50" t="s">
        <v>20</v>
      </c>
      <c r="L43" s="50" t="s">
        <v>21</v>
      </c>
      <c r="M43" s="50" t="s">
        <v>82</v>
      </c>
    </row>
    <row r="44" spans="1:13">
      <c r="A44" s="50" t="s">
        <v>25</v>
      </c>
      <c r="B44" s="50">
        <v>4</v>
      </c>
      <c r="C44" s="50">
        <v>192</v>
      </c>
      <c r="D44" s="50">
        <v>4</v>
      </c>
      <c r="E44" s="50">
        <v>22</v>
      </c>
      <c r="F44" s="50">
        <v>119173</v>
      </c>
      <c r="G44" s="50">
        <v>2841530</v>
      </c>
      <c r="H44" s="50">
        <v>25087080</v>
      </c>
      <c r="I44" s="50">
        <v>27432</v>
      </c>
      <c r="J44" s="50">
        <v>30</v>
      </c>
      <c r="K44" s="50">
        <v>698585</v>
      </c>
      <c r="L44" s="50">
        <v>9438</v>
      </c>
      <c r="M44" s="50">
        <v>822759</v>
      </c>
    </row>
    <row r="45" spans="1:13">
      <c r="A45" s="50" t="s">
        <v>26</v>
      </c>
      <c r="B45" s="50">
        <v>2</v>
      </c>
      <c r="C45" s="50">
        <v>100</v>
      </c>
      <c r="D45" s="50">
        <v>2</v>
      </c>
      <c r="E45" s="50">
        <v>17</v>
      </c>
      <c r="F45" s="50">
        <v>78977</v>
      </c>
      <c r="G45" s="50">
        <v>2342398</v>
      </c>
      <c r="H45" s="50">
        <v>17189251</v>
      </c>
      <c r="I45" s="50">
        <v>40508</v>
      </c>
      <c r="J45" s="50">
        <v>0</v>
      </c>
      <c r="K45" s="50">
        <v>197247</v>
      </c>
      <c r="L45" s="50">
        <v>6970</v>
      </c>
      <c r="M45" s="50">
        <v>834719</v>
      </c>
    </row>
    <row r="46" spans="1:13">
      <c r="A46" s="50" t="s">
        <v>27</v>
      </c>
      <c r="B46" s="50">
        <v>3</v>
      </c>
      <c r="C46" s="50">
        <v>103</v>
      </c>
      <c r="D46" s="50">
        <v>4</v>
      </c>
      <c r="E46" s="50">
        <v>19</v>
      </c>
      <c r="F46" s="50">
        <v>99813</v>
      </c>
      <c r="G46" s="50">
        <v>2558938</v>
      </c>
      <c r="H46" s="50">
        <v>21721546</v>
      </c>
      <c r="I46" s="50">
        <v>60302</v>
      </c>
      <c r="J46" s="50">
        <v>0</v>
      </c>
      <c r="K46" s="50">
        <v>439694</v>
      </c>
      <c r="L46" s="50">
        <v>8589</v>
      </c>
      <c r="M46" s="50">
        <v>819356</v>
      </c>
    </row>
    <row r="47" spans="1:13">
      <c r="A47" s="50" t="s">
        <v>25</v>
      </c>
      <c r="B47" s="50">
        <v>5</v>
      </c>
      <c r="C47" s="50">
        <v>213</v>
      </c>
      <c r="D47" s="50">
        <v>5</v>
      </c>
      <c r="E47" s="50">
        <v>20</v>
      </c>
      <c r="F47" s="50">
        <v>97429</v>
      </c>
      <c r="G47" s="50">
        <v>3727032</v>
      </c>
      <c r="H47" s="50">
        <v>25650743</v>
      </c>
      <c r="I47" s="50">
        <v>131594</v>
      </c>
      <c r="J47" s="50">
        <v>0</v>
      </c>
      <c r="K47" s="50">
        <v>435034</v>
      </c>
      <c r="L47" s="50">
        <v>13574</v>
      </c>
      <c r="M47" s="50">
        <v>1066167</v>
      </c>
    </row>
    <row r="48" spans="1:13">
      <c r="A48" s="50" t="s">
        <v>26</v>
      </c>
      <c r="B48" s="50">
        <v>3</v>
      </c>
      <c r="C48" s="50">
        <v>124</v>
      </c>
      <c r="D48" s="50">
        <v>2</v>
      </c>
      <c r="E48" s="50">
        <v>22</v>
      </c>
      <c r="F48" s="50">
        <v>99800</v>
      </c>
      <c r="G48" s="50">
        <v>3778975</v>
      </c>
      <c r="H48" s="50">
        <v>22735159</v>
      </c>
      <c r="I48" s="50">
        <v>86504</v>
      </c>
      <c r="J48" s="50">
        <v>0</v>
      </c>
      <c r="K48" s="50">
        <v>314822</v>
      </c>
      <c r="L48" s="50">
        <v>10844</v>
      </c>
      <c r="M48" s="50">
        <v>1139670</v>
      </c>
    </row>
    <row r="49" spans="1:13">
      <c r="A49" s="50" t="s">
        <v>27</v>
      </c>
      <c r="B49" s="50">
        <v>1</v>
      </c>
      <c r="C49" s="50">
        <v>58</v>
      </c>
      <c r="D49" s="50">
        <v>2</v>
      </c>
      <c r="E49" s="50">
        <v>11</v>
      </c>
      <c r="F49" s="50">
        <v>59003</v>
      </c>
      <c r="G49" s="50">
        <v>2817804</v>
      </c>
      <c r="H49" s="50">
        <v>12902896</v>
      </c>
      <c r="I49" s="50">
        <v>24006</v>
      </c>
      <c r="J49" s="50">
        <v>34622</v>
      </c>
      <c r="K49" s="50">
        <v>180090</v>
      </c>
      <c r="L49" s="50">
        <v>6239</v>
      </c>
      <c r="M49" s="50">
        <v>964831</v>
      </c>
    </row>
    <row r="50" spans="1:13">
      <c r="A50" s="50" t="s">
        <v>25</v>
      </c>
      <c r="B50" s="50">
        <v>2</v>
      </c>
      <c r="C50" s="50">
        <v>81</v>
      </c>
      <c r="D50" s="50">
        <v>3</v>
      </c>
      <c r="E50" s="50">
        <v>12</v>
      </c>
      <c r="F50" s="50">
        <v>58461</v>
      </c>
      <c r="G50" s="50">
        <v>3004233</v>
      </c>
      <c r="H50" s="50">
        <v>14340447</v>
      </c>
      <c r="I50" s="50">
        <v>57524</v>
      </c>
      <c r="J50" s="50">
        <v>0</v>
      </c>
      <c r="K50" s="50">
        <v>337894</v>
      </c>
      <c r="L50" s="50">
        <v>7635</v>
      </c>
      <c r="M50" s="50">
        <v>960022</v>
      </c>
    </row>
    <row r="51" spans="1:13">
      <c r="A51" s="50" t="s">
        <v>26</v>
      </c>
      <c r="B51" s="50">
        <v>4</v>
      </c>
      <c r="C51" s="50">
        <v>205</v>
      </c>
      <c r="D51" s="50">
        <v>4</v>
      </c>
      <c r="E51" s="50">
        <v>23</v>
      </c>
      <c r="F51" s="50">
        <v>113482</v>
      </c>
      <c r="G51" s="50">
        <v>3697841</v>
      </c>
      <c r="H51" s="50">
        <v>28585136</v>
      </c>
      <c r="I51" s="50">
        <v>111186</v>
      </c>
      <c r="J51" s="50">
        <v>0</v>
      </c>
      <c r="K51" s="50">
        <v>749906</v>
      </c>
      <c r="L51" s="50">
        <v>13284</v>
      </c>
      <c r="M51" s="50">
        <v>1058669</v>
      </c>
    </row>
    <row r="52" spans="1:13">
      <c r="A52" s="50" t="s">
        <v>27</v>
      </c>
      <c r="B52" s="50">
        <v>3</v>
      </c>
      <c r="C52" s="50">
        <v>109</v>
      </c>
      <c r="D52" s="50">
        <v>1</v>
      </c>
      <c r="E52" s="50">
        <v>19</v>
      </c>
      <c r="F52" s="50">
        <v>92891</v>
      </c>
      <c r="G52" s="50">
        <v>3412246</v>
      </c>
      <c r="H52" s="50">
        <v>21546270</v>
      </c>
      <c r="I52" s="50">
        <v>93822</v>
      </c>
      <c r="J52" s="50">
        <v>7314</v>
      </c>
      <c r="K52" s="50">
        <v>377286</v>
      </c>
      <c r="L52" s="50">
        <v>10497</v>
      </c>
      <c r="M52" s="50">
        <v>1088394</v>
      </c>
    </row>
    <row r="53" spans="1:13">
      <c r="A53" s="50" t="s">
        <v>25</v>
      </c>
      <c r="B53" s="50">
        <v>2</v>
      </c>
      <c r="C53" s="50">
        <v>83</v>
      </c>
      <c r="D53" s="50">
        <v>2</v>
      </c>
      <c r="E53" s="50">
        <v>15</v>
      </c>
      <c r="F53" s="50">
        <v>49672</v>
      </c>
      <c r="G53" s="50">
        <v>1657024</v>
      </c>
      <c r="H53" s="50">
        <v>11302551</v>
      </c>
      <c r="I53" s="50">
        <v>3786</v>
      </c>
      <c r="J53" s="50">
        <v>0</v>
      </c>
      <c r="K53" s="50">
        <v>137799</v>
      </c>
      <c r="L53" s="50">
        <v>4248</v>
      </c>
      <c r="M53" s="50">
        <v>508622</v>
      </c>
    </row>
    <row r="54" spans="1:13">
      <c r="A54" s="50" t="s">
        <v>26</v>
      </c>
      <c r="B54" s="50">
        <v>4</v>
      </c>
      <c r="C54" s="50">
        <v>194</v>
      </c>
      <c r="D54" s="50">
        <v>7</v>
      </c>
      <c r="E54" s="50">
        <v>20</v>
      </c>
      <c r="F54" s="50">
        <v>146772</v>
      </c>
      <c r="G54" s="50">
        <v>3006473</v>
      </c>
      <c r="H54" s="50">
        <v>29241119</v>
      </c>
      <c r="I54" s="50">
        <v>64022</v>
      </c>
      <c r="J54" s="50">
        <v>128</v>
      </c>
      <c r="K54" s="50">
        <v>649013</v>
      </c>
      <c r="L54" s="50">
        <v>11250</v>
      </c>
      <c r="M54" s="50">
        <v>820156</v>
      </c>
    </row>
    <row r="55" spans="1:13">
      <c r="A55" s="50" t="s">
        <v>27</v>
      </c>
      <c r="B55" s="50">
        <v>3</v>
      </c>
      <c r="C55" s="50">
        <v>118</v>
      </c>
      <c r="D55" s="50">
        <v>1</v>
      </c>
      <c r="E55" s="50">
        <v>27</v>
      </c>
      <c r="F55" s="50">
        <v>105451</v>
      </c>
      <c r="G55" s="50">
        <v>2066748</v>
      </c>
      <c r="H55" s="50">
        <v>21895587</v>
      </c>
      <c r="I55" s="50">
        <v>22336</v>
      </c>
      <c r="J55" s="50">
        <v>0</v>
      </c>
      <c r="K55" s="50">
        <v>398921</v>
      </c>
      <c r="L55" s="50">
        <v>7133</v>
      </c>
      <c r="M55" s="50">
        <v>706189</v>
      </c>
    </row>
    <row r="56" spans="1:13">
      <c r="A56" s="50" t="s">
        <v>25</v>
      </c>
      <c r="B56" s="50">
        <v>3</v>
      </c>
      <c r="C56" s="50">
        <v>110</v>
      </c>
      <c r="D56" s="50">
        <v>3</v>
      </c>
      <c r="E56" s="50">
        <v>28</v>
      </c>
      <c r="F56" s="50">
        <v>137408</v>
      </c>
      <c r="G56" s="50">
        <v>2334761</v>
      </c>
      <c r="H56" s="50">
        <v>27360561</v>
      </c>
      <c r="I56" s="50">
        <v>29130</v>
      </c>
      <c r="J56" s="50">
        <v>13856</v>
      </c>
      <c r="K56" s="50">
        <v>856967</v>
      </c>
      <c r="L56" s="50">
        <v>8598</v>
      </c>
      <c r="M56" s="50">
        <v>654274</v>
      </c>
    </row>
    <row r="57" spans="1:13">
      <c r="A57" s="50" t="s">
        <v>26</v>
      </c>
      <c r="B57" s="50">
        <v>3</v>
      </c>
      <c r="C57" s="50">
        <v>162</v>
      </c>
      <c r="D57" s="50">
        <v>3</v>
      </c>
      <c r="E57" s="50">
        <v>20</v>
      </c>
      <c r="F57" s="50">
        <v>89687</v>
      </c>
      <c r="G57" s="50">
        <v>2951327</v>
      </c>
      <c r="H57" s="50">
        <v>20876835</v>
      </c>
      <c r="I57" s="50">
        <v>64452</v>
      </c>
      <c r="J57" s="50">
        <v>0</v>
      </c>
      <c r="K57" s="50">
        <v>359125</v>
      </c>
      <c r="L57" s="50">
        <v>9520</v>
      </c>
      <c r="M57" s="50">
        <v>955145</v>
      </c>
    </row>
    <row r="58" spans="1:13">
      <c r="A58" s="50" t="s">
        <v>27</v>
      </c>
      <c r="B58" s="50">
        <v>3</v>
      </c>
      <c r="C58" s="50">
        <v>123</v>
      </c>
      <c r="D58" s="50">
        <v>4</v>
      </c>
      <c r="E58" s="50">
        <v>11</v>
      </c>
      <c r="F58" s="50">
        <v>66248</v>
      </c>
      <c r="G58" s="50">
        <v>2888233</v>
      </c>
      <c r="H58" s="50">
        <v>14987775</v>
      </c>
      <c r="I58" s="50">
        <v>66378</v>
      </c>
      <c r="J58" s="50">
        <v>0</v>
      </c>
      <c r="K58" s="50">
        <v>424309</v>
      </c>
      <c r="L58" s="50">
        <v>8451</v>
      </c>
      <c r="M58" s="50">
        <v>882641</v>
      </c>
    </row>
    <row r="59" spans="1:13">
      <c r="A59" s="50" t="s">
        <v>25</v>
      </c>
      <c r="B59" s="50">
        <v>1</v>
      </c>
      <c r="C59" s="50">
        <v>70</v>
      </c>
      <c r="D59" s="50">
        <v>0</v>
      </c>
      <c r="E59" s="50">
        <v>10</v>
      </c>
      <c r="F59" s="50">
        <v>30924</v>
      </c>
      <c r="G59" s="50">
        <v>1076019</v>
      </c>
      <c r="H59" s="50">
        <v>6810211</v>
      </c>
      <c r="I59" s="50">
        <v>3048</v>
      </c>
      <c r="J59" s="50">
        <v>0</v>
      </c>
      <c r="K59" s="50">
        <v>63286</v>
      </c>
      <c r="L59" s="50">
        <v>2834</v>
      </c>
      <c r="M59" s="50">
        <v>487051</v>
      </c>
    </row>
    <row r="60" spans="1:13">
      <c r="A60" s="50" t="s">
        <v>26</v>
      </c>
      <c r="B60" s="50">
        <v>5</v>
      </c>
      <c r="C60" s="50">
        <v>194</v>
      </c>
      <c r="D60" s="50">
        <v>7</v>
      </c>
      <c r="E60" s="50">
        <v>27</v>
      </c>
      <c r="F60" s="50">
        <v>153008</v>
      </c>
      <c r="G60" s="50">
        <v>2713618</v>
      </c>
      <c r="H60" s="50">
        <v>31360383</v>
      </c>
      <c r="I60" s="50">
        <v>79554</v>
      </c>
      <c r="J60" s="50">
        <v>0</v>
      </c>
      <c r="K60" s="50">
        <v>563735</v>
      </c>
      <c r="L60" s="50">
        <v>11723</v>
      </c>
      <c r="M60" s="50">
        <v>701187</v>
      </c>
    </row>
    <row r="61" spans="1:13">
      <c r="A61" s="50" t="s">
        <v>27</v>
      </c>
      <c r="B61" s="50">
        <v>3</v>
      </c>
      <c r="C61" s="50">
        <v>131</v>
      </c>
      <c r="D61" s="50">
        <v>1</v>
      </c>
      <c r="E61" s="50">
        <v>24</v>
      </c>
      <c r="F61" s="50">
        <v>85251</v>
      </c>
      <c r="G61" s="50">
        <v>1644539</v>
      </c>
      <c r="H61" s="50">
        <v>18019911</v>
      </c>
      <c r="I61" s="50">
        <v>13582</v>
      </c>
      <c r="J61" s="50">
        <v>0</v>
      </c>
      <c r="K61" s="50">
        <v>180820</v>
      </c>
      <c r="L61" s="50">
        <v>5980</v>
      </c>
      <c r="M61" s="50">
        <v>529680</v>
      </c>
    </row>
    <row r="62" spans="1:13">
      <c r="A62" s="50" t="s">
        <v>25</v>
      </c>
      <c r="B62" s="50">
        <v>3</v>
      </c>
      <c r="C62" s="50">
        <v>134</v>
      </c>
      <c r="D62" s="50">
        <v>7</v>
      </c>
      <c r="E62" s="50">
        <v>26</v>
      </c>
      <c r="F62" s="50">
        <v>183227</v>
      </c>
      <c r="G62" s="50">
        <v>2529281</v>
      </c>
      <c r="H62" s="50">
        <v>30070002</v>
      </c>
      <c r="I62" s="50">
        <v>44650</v>
      </c>
      <c r="J62" s="50">
        <v>39322</v>
      </c>
      <c r="K62" s="50">
        <v>771807</v>
      </c>
      <c r="L62" s="50">
        <v>10211</v>
      </c>
      <c r="M62" s="50">
        <v>765975</v>
      </c>
    </row>
    <row r="63" spans="1:13">
      <c r="A63" s="50" t="s">
        <v>26</v>
      </c>
      <c r="B63" s="50">
        <v>4</v>
      </c>
      <c r="C63" s="50">
        <v>174</v>
      </c>
      <c r="D63" s="50">
        <v>3</v>
      </c>
      <c r="E63" s="50">
        <v>14</v>
      </c>
      <c r="F63" s="50">
        <v>60577</v>
      </c>
      <c r="G63" s="50">
        <v>1534423</v>
      </c>
      <c r="H63" s="50">
        <v>10760884</v>
      </c>
      <c r="I63" s="50">
        <v>14046</v>
      </c>
      <c r="J63" s="50">
        <v>0</v>
      </c>
      <c r="K63" s="50">
        <v>187123</v>
      </c>
      <c r="L63" s="50">
        <v>5568</v>
      </c>
      <c r="M63" s="50">
        <v>501812</v>
      </c>
    </row>
    <row r="64" spans="1:13">
      <c r="A64" s="50" t="s">
        <v>27</v>
      </c>
      <c r="B64" s="50">
        <v>2</v>
      </c>
      <c r="C64" s="50">
        <v>87</v>
      </c>
      <c r="D64" s="50">
        <v>0</v>
      </c>
      <c r="E64" s="50">
        <v>13</v>
      </c>
      <c r="F64" s="50">
        <v>39124</v>
      </c>
      <c r="G64" s="50">
        <v>1125514</v>
      </c>
      <c r="H64" s="50">
        <v>7603431</v>
      </c>
      <c r="I64" s="50">
        <v>5292</v>
      </c>
      <c r="J64" s="50">
        <v>0</v>
      </c>
      <c r="K64" s="50">
        <v>32541</v>
      </c>
      <c r="L64" s="50">
        <v>3326</v>
      </c>
      <c r="M64" s="50">
        <v>295357</v>
      </c>
    </row>
    <row r="65" spans="1:13">
      <c r="A65" s="50" t="s">
        <v>25</v>
      </c>
      <c r="B65" s="50">
        <v>1</v>
      </c>
      <c r="C65" s="50">
        <v>85</v>
      </c>
      <c r="D65" s="50">
        <v>4</v>
      </c>
      <c r="E65" s="50">
        <v>16</v>
      </c>
      <c r="F65" s="50">
        <v>88421</v>
      </c>
      <c r="G65" s="50">
        <v>2085084</v>
      </c>
      <c r="H65" s="50">
        <v>16818842</v>
      </c>
      <c r="I65" s="50">
        <v>48984</v>
      </c>
      <c r="J65" s="50">
        <v>0</v>
      </c>
      <c r="K65" s="50">
        <v>261584</v>
      </c>
      <c r="L65" s="50">
        <v>6759</v>
      </c>
      <c r="M65" s="50">
        <v>701928</v>
      </c>
    </row>
    <row r="66" spans="1:13">
      <c r="A66" s="50" t="s">
        <v>26</v>
      </c>
      <c r="B66" s="50">
        <v>1</v>
      </c>
      <c r="C66" s="50">
        <v>78</v>
      </c>
      <c r="D66" s="50">
        <v>1</v>
      </c>
      <c r="E66" s="50">
        <v>13</v>
      </c>
      <c r="F66" s="50">
        <v>31351</v>
      </c>
      <c r="G66" s="50">
        <v>1569967</v>
      </c>
      <c r="H66" s="50">
        <v>8523566</v>
      </c>
      <c r="I66" s="50">
        <v>10432</v>
      </c>
      <c r="J66" s="50">
        <v>0</v>
      </c>
      <c r="K66" s="50">
        <v>97396</v>
      </c>
      <c r="L66" s="50">
        <v>3820</v>
      </c>
      <c r="M66" s="50">
        <v>710445</v>
      </c>
    </row>
    <row r="67" spans="1:13">
      <c r="A67" s="50" t="s">
        <v>27</v>
      </c>
      <c r="B67" s="50">
        <v>7</v>
      </c>
      <c r="C67" s="50">
        <v>232</v>
      </c>
      <c r="D67" s="50">
        <v>5</v>
      </c>
      <c r="E67" s="50">
        <v>30</v>
      </c>
      <c r="F67" s="50">
        <v>158020</v>
      </c>
      <c r="G67" s="50">
        <v>2985568</v>
      </c>
      <c r="H67" s="50">
        <v>30730935</v>
      </c>
      <c r="I67" s="50">
        <v>62660</v>
      </c>
      <c r="J67" s="50">
        <v>0</v>
      </c>
      <c r="K67" s="50">
        <v>699047</v>
      </c>
      <c r="L67" s="50">
        <v>12098</v>
      </c>
      <c r="M67" s="50">
        <v>825926</v>
      </c>
    </row>
  </sheetData>
  <conditionalFormatting sqref="F29:F31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{ff7a8bc0-e013-4f8b-9a54-31242855f10f}</x14:id>
        </ext>
      </extLst>
    </cfRule>
  </conditionalFormatting>
  <conditionalFormatting sqref="F32:F34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{820eaaee-4de6-4acc-85ab-38e6ad7eae09}</x14:id>
        </ext>
      </extLst>
    </cfRule>
  </conditionalFormatting>
  <conditionalFormatting sqref="F35:F37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{62517444-8fcc-43fd-aead-72919a306eeb}</x14:id>
        </ext>
      </extLst>
    </cfRule>
  </conditionalFormatting>
  <conditionalFormatting sqref="F38:F4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{a755049c-3b75-4121-95d3-c6e4f9e9e374}</x14:id>
        </ext>
      </extLst>
    </cfRule>
  </conditionalFormatting>
  <conditionalFormatting sqref="G29:G31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{19847c7b-d3ef-46ee-8fb8-4afabfcf47c3}</x14:id>
        </ext>
      </extLst>
    </cfRule>
  </conditionalFormatting>
  <conditionalFormatting sqref="G32:G34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{9e614622-b7a8-44f7-845d-68e961594448}</x14:id>
        </ext>
      </extLst>
    </cfRule>
  </conditionalFormatting>
  <conditionalFormatting sqref="G35:G37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{e7767ff5-1f4c-42d4-85a1-3b55283c60c3}</x14:id>
        </ext>
      </extLst>
    </cfRule>
  </conditionalFormatting>
  <conditionalFormatting sqref="G38:G4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{49240400-d5af-4c6d-bd74-7ed9934c29c4}</x14:id>
        </ext>
      </extLst>
    </cfRule>
  </conditionalFormatting>
  <conditionalFormatting sqref="N29:N40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{36766292-793e-478c-a7f0-48bdb83b6758}</x14:id>
        </ext>
      </extLst>
    </cfRule>
  </conditionalFormatting>
  <conditionalFormatting sqref="N38:N4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{9997be6a-34d6-42e8-a2e9-75d129fd569c}</x14:id>
        </ext>
      </extLst>
    </cfRule>
  </conditionalFormatting>
  <conditionalFormatting sqref="O2:O19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{84204c8d-aad8-4a16-8f98-fbcf3d47041d}</x14:id>
        </ext>
      </extLst>
    </cfRule>
  </conditionalFormatting>
  <conditionalFormatting sqref="O20:O22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{95c699de-e9d3-4559-8787-73d72d5d33d9}</x14:id>
        </ext>
      </extLst>
    </cfRule>
  </conditionalFormatting>
  <conditionalFormatting sqref="O23:O25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{8493d7e9-c47e-4653-89e8-9cce4cbe68ba}</x14:id>
        </ext>
      </extLst>
    </cfRule>
  </conditionalFormatting>
  <conditionalFormatting sqref="P2:P19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{fbb6b110-f8fb-41f4-b95d-6e13af031cea}</x14:id>
        </ext>
      </extLst>
    </cfRule>
  </conditionalFormatting>
  <conditionalFormatting sqref="P20:P2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{eae8bd07-82a5-4d37-b0dd-294a11fbd7ca}</x14:id>
        </ext>
      </extLst>
    </cfRule>
  </conditionalFormatting>
  <conditionalFormatting sqref="P23:P2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{eed74bf6-1bfe-438e-9285-a3cfa4618763}</x14:id>
        </ext>
      </extLst>
    </cfRule>
  </conditionalFormatting>
  <conditionalFormatting sqref="P29:P36">
    <cfRule type="cellIs" dxfId="37" priority="11" operator="equal">
      <formula>$S$29</formula>
    </cfRule>
  </conditionalFormatting>
  <conditionalFormatting sqref="Q20:Q22">
    <cfRule type="cellIs" dxfId="38" priority="6" operator="equal">
      <formula>配置!$D$4</formula>
    </cfRule>
    <cfRule type="cellIs" dxfId="39" priority="7" operator="equal">
      <formula>配置!$D$3</formula>
    </cfRule>
    <cfRule type="cellIs" dxfId="37" priority="8" operator="equal">
      <formula>配置!$D$2</formula>
    </cfRule>
  </conditionalFormatting>
  <conditionalFormatting sqref="R29:R32">
    <cfRule type="cellIs" dxfId="37" priority="12" operator="equal">
      <formula>$S$29</formula>
    </cfRule>
  </conditionalFormatting>
  <conditionalFormatting sqref="O26:O27 Q1:R1 Q2 Q4:Q5 Q7:Q8 Q10:Q11 Q13:Q14 Q16:Q17 Q19 Q25 Q23">
    <cfRule type="cellIs" dxfId="37" priority="28" operator="equal">
      <formula>配置!$D$2</formula>
    </cfRule>
  </conditionalFormatting>
  <conditionalFormatting sqref="Q2 Q4:Q5 Q7:Q8 Q10:Q11 Q13:Q14 Q16:Q17 Q19 Q25 Q23">
    <cfRule type="cellIs" dxfId="38" priority="27" operator="equal">
      <formula>配置!$D$4</formula>
    </cfRule>
  </conditionalFormatting>
  <conditionalFormatting sqref="Q2:Q19 Q23:Q25">
    <cfRule type="cellIs" dxfId="38" priority="18" operator="equal">
      <formula>配置!$D$4</formula>
    </cfRule>
    <cfRule type="cellIs" dxfId="39" priority="19" operator="equal">
      <formula>配置!$D$3</formula>
    </cfRule>
    <cfRule type="cellIs" dxfId="37" priority="20" operator="equal">
      <formula>配置!$D$2</formula>
    </cfRule>
  </conditionalFormatting>
  <conditionalFormatting sqref="Q22 Q20">
    <cfRule type="cellIs" dxfId="38" priority="9" operator="equal">
      <formula>配置!$D$4</formula>
    </cfRule>
    <cfRule type="cellIs" dxfId="37" priority="10" operator="equal">
      <formula>配置!$D$2</formula>
    </cfRule>
  </conditionalFormatting>
  <dataValidations count="1">
    <dataValidation type="list" allowBlank="1" showInputMessage="1" showErrorMessage="1" sqref="Q2:Q25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f7a8bc0-e013-4f8b-9a54-31242855f1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820eaaee-4de6-4acc-85ab-38e6ad7eae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62517444-8fcc-43fd-aead-72919a306e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F35:F37</xm:sqref>
        </x14:conditionalFormatting>
        <x14:conditionalFormatting xmlns:xm="http://schemas.microsoft.com/office/excel/2006/main">
          <x14:cfRule type="dataBar" id="{a755049c-3b75-4121-95d3-c6e4f9e9e3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F38:F40</xm:sqref>
        </x14:conditionalFormatting>
        <x14:conditionalFormatting xmlns:xm="http://schemas.microsoft.com/office/excel/2006/main">
          <x14:cfRule type="dataBar" id="{19847c7b-d3ef-46ee-8fb8-4afabfcf47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9e614622-b7a8-44f7-845d-68e9615944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e7767ff5-1f4c-42d4-85a1-3b55283c60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G35:G37</xm:sqref>
        </x14:conditionalFormatting>
        <x14:conditionalFormatting xmlns:xm="http://schemas.microsoft.com/office/excel/2006/main">
          <x14:cfRule type="dataBar" id="{49240400-d5af-4c6d-bd74-7ed9934c29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G38:G40</xm:sqref>
        </x14:conditionalFormatting>
        <x14:conditionalFormatting xmlns:xm="http://schemas.microsoft.com/office/excel/2006/main">
          <x14:cfRule type="dataBar" id="{36766292-793e-478c-a7f0-48bdb83b67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N29:N40</xm:sqref>
        </x14:conditionalFormatting>
        <x14:conditionalFormatting xmlns:xm="http://schemas.microsoft.com/office/excel/2006/main">
          <x14:cfRule type="dataBar" id="{9997be6a-34d6-42e8-a2e9-75d129fd56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N38:N40</xm:sqref>
        </x14:conditionalFormatting>
        <x14:conditionalFormatting xmlns:xm="http://schemas.microsoft.com/office/excel/2006/main">
          <x14:cfRule type="dataBar" id="{84204c8d-aad8-4a16-8f98-fbcf3d4704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95c699de-e9d3-4559-8787-73d72d5d33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8493d7e9-c47e-4653-89e8-9cce4cbe68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O23:O25</xm:sqref>
        </x14:conditionalFormatting>
        <x14:conditionalFormatting xmlns:xm="http://schemas.microsoft.com/office/excel/2006/main">
          <x14:cfRule type="dataBar" id="{fbb6b110-f8fb-41f4-b95d-6e13af031c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eae8bd07-82a5-4d37-b0dd-294a11fbd7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  <x14:conditionalFormatting xmlns:xm="http://schemas.microsoft.com/office/excel/2006/main">
          <x14:cfRule type="dataBar" id="{eed74bf6-1bfe-438e-9285-a3cfa46187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P23:P25</xm:sqref>
        </x14:conditionalFormatting>
      </x14:conditionalFormatting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6"/>
  <sheetViews>
    <sheetView topLeftCell="A10" workbookViewId="0">
      <selection activeCell="T37" sqref="T37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5">
        <v>5022</v>
      </c>
      <c r="B2" s="371">
        <f>VLOOKUP(表1_86121822242654[[#This Row],[区服]],$P$32:$Q$40,2,FALSE)</f>
        <v>49</v>
      </c>
      <c r="C2" s="372" t="s">
        <v>102</v>
      </c>
      <c r="D2" s="373" t="str">
        <f>表1_86121822242654[[#This Row],[目标国家]]</f>
        <v>吴</v>
      </c>
      <c r="E2" s="374">
        <f>(VLOOKUP(表1_86121822242654[[#This Row],[目标区服]],$R$32:$S$35,2,FALSE)-表1_86121822242654[[#This Row],[开服天数]])*配置!$B$1</f>
        <v>1000</v>
      </c>
      <c r="F2" s="374">
        <f>表1_86121822242654[[#This Row],[补偿Coin]]*(表1_86121822242654[[#This Row],[活跃高战玩家数]]+表1_86121822242654[[#This Row],[活跃中坚玩家数]])</f>
        <v>14000</v>
      </c>
      <c r="G2" s="374">
        <f>(VLOOKUP(表1_86121822242654[[#This Row],[目标区服]],$R$32:$S$35,2,FALSE)-表1_86121822242654[[#This Row],[开服天数]])*配置!$B$2</f>
        <v>10</v>
      </c>
      <c r="H2" s="376" t="s">
        <v>25</v>
      </c>
      <c r="I2" s="376">
        <f>IF(表1_86121822242654[[#This Row],[原国家]]="魏",0,IF(表1_86121822242654[[#This Row],[原国家]]="蜀",1,2))</f>
        <v>0</v>
      </c>
      <c r="J2" s="380">
        <v>0</v>
      </c>
      <c r="K2" s="380">
        <v>23</v>
      </c>
      <c r="L2" s="380">
        <v>1</v>
      </c>
      <c r="M2" s="380">
        <v>13</v>
      </c>
      <c r="N2" s="380">
        <v>62206</v>
      </c>
      <c r="O2" s="380">
        <v>1430885</v>
      </c>
      <c r="P2" s="381">
        <v>8148043</v>
      </c>
      <c r="Q2" s="31" t="s">
        <v>27</v>
      </c>
      <c r="R2" s="376">
        <f>IF(表1_86121822242654[[#This Row],[目标国家]]="魏",0,IF(表1_86121822242654[[#This Row],[目标国家]]="蜀",1,2))</f>
        <v>2</v>
      </c>
      <c r="S2" s="380">
        <v>4664</v>
      </c>
      <c r="T2" s="380">
        <v>0</v>
      </c>
      <c r="U2" s="380">
        <v>196680</v>
      </c>
      <c r="V2" s="380">
        <v>3024</v>
      </c>
      <c r="W2" s="374">
        <v>495879</v>
      </c>
      <c r="X2" s="387" t="str">
        <f>"{"&amp;"'coin':"&amp;表1_86121822242654[[#This Row],[补偿Coin]]&amp;",'"&amp;配置!$A$2&amp;"':"&amp;表1_86121822242654[[#This Row],[补偿辎重]]&amp;"},"</f>
        <v>{'coin':1000,'item036':10},</v>
      </c>
      <c r="Y2" s="388" t="str">
        <f>"      '"&amp;表1_86121822242654[[#This Row],[区服]]&amp;"':{"</f>
        <v>      '5022':{</v>
      </c>
    </row>
    <row r="3" s="354" customFormat="1" ht="14.25" customHeight="1" spans="1:25">
      <c r="A3" s="375">
        <v>5022</v>
      </c>
      <c r="B3" s="371">
        <f>VLOOKUP(表1_86121822242654[[#This Row],[区服]],$P$32:$Q$40,2,FALSE)</f>
        <v>49</v>
      </c>
      <c r="C3" s="372" t="s">
        <v>102</v>
      </c>
      <c r="D3" s="376" t="str">
        <f>表1_86121822242654[[#This Row],[目标国家]]</f>
        <v>魏</v>
      </c>
      <c r="E3" s="380">
        <f>(VLOOKUP(表1_86121822242654[[#This Row],[目标区服]],$R$32:$S$35,2,FALSE)-表1_86121822242654[[#This Row],[开服天数]])*配置!$B$1</f>
        <v>1000</v>
      </c>
      <c r="F3" s="380">
        <f>表1_86121822242654[[#This Row],[补偿Coin]]*(表1_86121822242654[[#This Row],[活跃高战玩家数]]+表1_86121822242654[[#This Row],[活跃中坚玩家数]])</f>
        <v>31000</v>
      </c>
      <c r="G3" s="380">
        <f>(VLOOKUP(表1_86121822242654[[#This Row],[目标区服]],$R$32:$S$35,2,FALSE)-表1_86121822242654[[#This Row],[开服天数]])*配置!$B$2</f>
        <v>10</v>
      </c>
      <c r="H3" s="376" t="s">
        <v>26</v>
      </c>
      <c r="I3" s="376">
        <f>IF(表1_86121822242654[[#This Row],[原国家]]="魏",0,IF(表1_86121822242654[[#This Row],[原国家]]="蜀",1,2))</f>
        <v>1</v>
      </c>
      <c r="J3" s="380">
        <v>9</v>
      </c>
      <c r="K3" s="380">
        <v>347</v>
      </c>
      <c r="L3" s="380">
        <v>9</v>
      </c>
      <c r="M3" s="380">
        <v>22</v>
      </c>
      <c r="N3" s="380">
        <v>196327</v>
      </c>
      <c r="O3" s="380">
        <v>2556793</v>
      </c>
      <c r="P3" s="381">
        <v>27549469</v>
      </c>
      <c r="Q3" s="31" t="s">
        <v>25</v>
      </c>
      <c r="R3" s="376">
        <f>IF(表1_86121822242654[[#This Row],[目标国家]]="魏",0,IF(表1_86121822242654[[#This Row],[目标国家]]="蜀",1,2))</f>
        <v>0</v>
      </c>
      <c r="S3" s="380">
        <v>57528</v>
      </c>
      <c r="T3" s="380">
        <v>0</v>
      </c>
      <c r="U3" s="380">
        <v>652753</v>
      </c>
      <c r="V3" s="380">
        <v>12715</v>
      </c>
      <c r="W3" s="374">
        <v>887144</v>
      </c>
      <c r="X3" s="387" t="str">
        <f>"{"&amp;"'coin':"&amp;表1_86121822242654[[#This Row],[补偿Coin]]&amp;",'"&amp;配置!$A$2&amp;"':"&amp;表1_86121822242654[[#This Row],[补偿辎重]]&amp;"},"</f>
        <v>{'coin':1000,'item036':10},</v>
      </c>
      <c r="Y3" s="388" t="str">
        <f>"            'to_zone':'"&amp;表1_86121822242654[[#This Row],[目标区服]]&amp;"',
            'reward':"&amp;表1_86121822242654[[#This Row],[辅助导出]]&amp;"
            'country':["&amp;R2&amp;","&amp;R3&amp;","&amp;R4&amp;"],"</f>
        <v>            'to_zone':'h1_511',
            'reward':{'coin':1000,'item036':10},
            'country':[2,0,2],</v>
      </c>
    </row>
    <row r="4" s="354" customFormat="1" ht="14.25" customHeight="1" spans="1:25">
      <c r="A4" s="375">
        <v>5022</v>
      </c>
      <c r="B4" s="371">
        <f>VLOOKUP(表1_86121822242654[[#This Row],[区服]],$P$32:$Q$40,2,FALSE)</f>
        <v>49</v>
      </c>
      <c r="C4" s="372" t="s">
        <v>102</v>
      </c>
      <c r="D4" s="376" t="str">
        <f>表1_86121822242654[[#This Row],[目标国家]]</f>
        <v>吴</v>
      </c>
      <c r="E4" s="380">
        <f>(VLOOKUP(表1_86121822242654[[#This Row],[目标区服]],$R$32:$S$35,2,FALSE)-表1_86121822242654[[#This Row],[开服天数]])*配置!$B$1</f>
        <v>1000</v>
      </c>
      <c r="F4" s="380">
        <f>表1_86121822242654[[#This Row],[补偿Coin]]*(表1_86121822242654[[#This Row],[活跃高战玩家数]]+表1_86121822242654[[#This Row],[活跃中坚玩家数]])</f>
        <v>8000</v>
      </c>
      <c r="G4" s="380">
        <f>(VLOOKUP(表1_86121822242654[[#This Row],[目标区服]],$R$32:$S$35,2,FALSE)-表1_86121822242654[[#This Row],[开服天数]])*配置!$B$2</f>
        <v>10</v>
      </c>
      <c r="H4" s="376" t="s">
        <v>27</v>
      </c>
      <c r="I4" s="376">
        <f>IF(表1_86121822242654[[#This Row],[原国家]]="魏",0,IF(表1_86121822242654[[#This Row],[原国家]]="蜀",1,2))</f>
        <v>2</v>
      </c>
      <c r="J4" s="380">
        <v>0</v>
      </c>
      <c r="K4" s="380">
        <v>25</v>
      </c>
      <c r="L4" s="380">
        <v>0</v>
      </c>
      <c r="M4" s="380">
        <v>8</v>
      </c>
      <c r="N4" s="380">
        <v>19311</v>
      </c>
      <c r="O4" s="380">
        <v>733909</v>
      </c>
      <c r="P4" s="381">
        <v>2703110</v>
      </c>
      <c r="Q4" s="31" t="s">
        <v>27</v>
      </c>
      <c r="R4" s="376">
        <f>IF(表1_86121822242654[[#This Row],[目标国家]]="魏",0,IF(表1_86121822242654[[#This Row],[目标国家]]="蜀",1,2))</f>
        <v>2</v>
      </c>
      <c r="S4" s="380">
        <v>2632</v>
      </c>
      <c r="T4" s="380">
        <v>0</v>
      </c>
      <c r="U4" s="380">
        <v>112883</v>
      </c>
      <c r="V4" s="380">
        <v>1486</v>
      </c>
      <c r="W4" s="374">
        <v>243006</v>
      </c>
      <c r="X4" s="387" t="str">
        <f>"{"&amp;"'coin':"&amp;表1_86121822242654[[#This Row],[补偿Coin]]&amp;",'"&amp;配置!$A$2&amp;"':"&amp;表1_86121822242654[[#This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5">
        <v>5023</v>
      </c>
      <c r="B5" s="371">
        <f>VLOOKUP(表1_86121822242654[[#This Row],[区服]],$P$32:$Q$40,2,FALSE)</f>
        <v>48</v>
      </c>
      <c r="C5" s="372" t="s">
        <v>102</v>
      </c>
      <c r="D5" s="376" t="str">
        <f>表1_86121822242654[[#This Row],[目标国家]]</f>
        <v>吴</v>
      </c>
      <c r="E5" s="380">
        <f>(VLOOKUP(表1_86121822242654[[#This Row],[目标区服]],$R$32:$S$35,2,FALSE)-表1_86121822242654[[#This Row],[开服天数]])*配置!$B$1</f>
        <v>1500</v>
      </c>
      <c r="F5" s="380">
        <f>表1_86121822242654[[#This Row],[补偿Coin]]*(表1_86121822242654[[#This Row],[活跃高战玩家数]]+表1_86121822242654[[#This Row],[活跃中坚玩家数]])</f>
        <v>19500</v>
      </c>
      <c r="G5" s="380">
        <f>(VLOOKUP(表1_86121822242654[[#This Row],[目标区服]],$R$32:$S$35,2,FALSE)-表1_86121822242654[[#This Row],[开服天数]])*配置!$B$2</f>
        <v>15</v>
      </c>
      <c r="H5" s="376" t="s">
        <v>25</v>
      </c>
      <c r="I5" s="376">
        <f>IF(表1_86121822242654[[#This Row],[原国家]]="魏",0,IF(表1_86121822242654[[#This Row],[原国家]]="蜀",1,2))</f>
        <v>0</v>
      </c>
      <c r="J5" s="380">
        <v>0</v>
      </c>
      <c r="K5" s="380">
        <v>38</v>
      </c>
      <c r="L5" s="380">
        <v>0</v>
      </c>
      <c r="M5" s="380">
        <v>13</v>
      </c>
      <c r="N5" s="380">
        <v>51537</v>
      </c>
      <c r="O5" s="380">
        <v>1019403</v>
      </c>
      <c r="P5" s="381">
        <v>5954527</v>
      </c>
      <c r="Q5" s="31" t="s">
        <v>27</v>
      </c>
      <c r="R5" s="376">
        <f>IF(表1_86121822242654[[#This Row],[目标国家]]="魏",0,IF(表1_86121822242654[[#This Row],[目标国家]]="蜀",1,2))</f>
        <v>2</v>
      </c>
      <c r="S5" s="380">
        <v>1778</v>
      </c>
      <c r="T5" s="380">
        <v>0</v>
      </c>
      <c r="U5" s="380">
        <v>108961</v>
      </c>
      <c r="V5" s="380">
        <v>2360</v>
      </c>
      <c r="W5" s="374">
        <v>353055</v>
      </c>
      <c r="X5" s="387" t="str">
        <f>"{"&amp;"'coin':"&amp;表1_86121822242654[[#This Row],[补偿Coin]]&amp;",'"&amp;配置!$A$2&amp;"':"&amp;表1_86121822242654[[#This Row],[补偿辎重]]&amp;"},"</f>
        <v>{'coin':1500,'item036':15},</v>
      </c>
      <c r="Y5" s="388" t="str">
        <f>"      '"&amp;表1_86121822242654[[#This Row],[区服]]&amp;"':{"</f>
        <v>      '5023':{</v>
      </c>
    </row>
    <row r="6" s="354" customFormat="1" ht="14.25" customHeight="1" spans="1:25">
      <c r="A6" s="371">
        <v>5023</v>
      </c>
      <c r="B6" s="371">
        <f>VLOOKUP(表1_86121822242654[[#This Row],[区服]],$P$32:$Q$40,2,FALSE)</f>
        <v>48</v>
      </c>
      <c r="C6" s="372" t="s">
        <v>102</v>
      </c>
      <c r="D6" s="376" t="str">
        <f>表1_86121822242654[[#This Row],[目标国家]]</f>
        <v>蜀</v>
      </c>
      <c r="E6" s="380">
        <f>(VLOOKUP(表1_86121822242654[[#This Row],[目标区服]],$R$32:$S$35,2,FALSE)-表1_86121822242654[[#This Row],[开服天数]])*配置!$B$1</f>
        <v>1500</v>
      </c>
      <c r="F6" s="380">
        <f>表1_86121822242654[[#This Row],[补偿Coin]]*(表1_86121822242654[[#This Row],[活跃高战玩家数]]+表1_86121822242654[[#This Row],[活跃中坚玩家数]])</f>
        <v>36000</v>
      </c>
      <c r="G6" s="380">
        <f>(VLOOKUP(表1_86121822242654[[#This Row],[目标区服]],$R$32:$S$35,2,FALSE)-表1_86121822242654[[#This Row],[开服天数]])*配置!$B$2</f>
        <v>15</v>
      </c>
      <c r="H6" s="376" t="s">
        <v>26</v>
      </c>
      <c r="I6" s="376">
        <f>IF(表1_86121822242654[[#This Row],[原国家]]="魏",0,IF(表1_86121822242654[[#This Row],[原国家]]="蜀",1,2))</f>
        <v>1</v>
      </c>
      <c r="J6" s="380">
        <v>9</v>
      </c>
      <c r="K6" s="380">
        <v>322</v>
      </c>
      <c r="L6" s="380">
        <v>7</v>
      </c>
      <c r="M6" s="380">
        <v>17</v>
      </c>
      <c r="N6" s="380">
        <v>148668</v>
      </c>
      <c r="O6" s="380">
        <v>2093522</v>
      </c>
      <c r="P6" s="381">
        <v>19544035</v>
      </c>
      <c r="Q6" s="31" t="s">
        <v>26</v>
      </c>
      <c r="R6" s="376">
        <f>IF(表1_86121822242654[[#This Row],[目标国家]]="魏",0,IF(表1_86121822242654[[#This Row],[目标国家]]="蜀",1,2))</f>
        <v>1</v>
      </c>
      <c r="S6" s="380">
        <v>36756</v>
      </c>
      <c r="T6" s="380">
        <v>0</v>
      </c>
      <c r="U6" s="380">
        <v>694148</v>
      </c>
      <c r="V6" s="380">
        <v>10361</v>
      </c>
      <c r="W6" s="374">
        <v>622948</v>
      </c>
      <c r="X6" s="387" t="str">
        <f>"{"&amp;"'coin':"&amp;表1_86121822242654[[#This Row],[补偿Coin]]&amp;",'"&amp;配置!$A$2&amp;"':"&amp;表1_86121822242654[[#This Row],[补偿辎重]]&amp;"},"</f>
        <v>{'coin':1500,'item036':15},</v>
      </c>
      <c r="Y6" s="388" t="str">
        <f>"            'to_zone':'"&amp;表1_86121822242654[[#This Row],[目标区服]]&amp;"',
            'reward':"&amp;表1_86121822242654[[#This Row],[辅助导出]]&amp;"
            'country':["&amp;R5&amp;","&amp;R6&amp;","&amp;R7&amp;"],"</f>
        <v>            'to_zone':'h1_511',
            'reward':{'coin':1500,'item036':15},
            'country':[2,1,2],</v>
      </c>
    </row>
    <row r="7" s="354" customFormat="1" ht="14.25" customHeight="1" spans="1:25">
      <c r="A7" s="371">
        <v>5023</v>
      </c>
      <c r="B7" s="371">
        <f>VLOOKUP(表1_86121822242654[[#This Row],[区服]],$P$32:$Q$40,2,FALSE)</f>
        <v>48</v>
      </c>
      <c r="C7" s="372" t="s">
        <v>102</v>
      </c>
      <c r="D7" s="376" t="str">
        <f>表1_86121822242654[[#This Row],[目标国家]]</f>
        <v>吴</v>
      </c>
      <c r="E7" s="380">
        <f>(VLOOKUP(表1_86121822242654[[#This Row],[目标区服]],$R$32:$S$35,2,FALSE)-表1_86121822242654[[#This Row],[开服天数]])*配置!$B$1</f>
        <v>1500</v>
      </c>
      <c r="F7" s="380">
        <f>表1_86121822242654[[#This Row],[补偿Coin]]*(表1_86121822242654[[#This Row],[活跃高战玩家数]]+表1_86121822242654[[#This Row],[活跃中坚玩家数]])</f>
        <v>15000</v>
      </c>
      <c r="G7" s="380">
        <f>(VLOOKUP(表1_86121822242654[[#This Row],[目标区服]],$R$32:$S$35,2,FALSE)-表1_86121822242654[[#This Row],[开服天数]])*配置!$B$2</f>
        <v>15</v>
      </c>
      <c r="H7" s="376" t="s">
        <v>27</v>
      </c>
      <c r="I7" s="376">
        <f>IF(表1_86121822242654[[#This Row],[原国家]]="魏",0,IF(表1_86121822242654[[#This Row],[原国家]]="蜀",1,2))</f>
        <v>2</v>
      </c>
      <c r="J7" s="380">
        <v>0</v>
      </c>
      <c r="K7" s="380">
        <v>35</v>
      </c>
      <c r="L7" s="380">
        <v>0</v>
      </c>
      <c r="M7" s="380">
        <v>10</v>
      </c>
      <c r="N7" s="380">
        <v>37328</v>
      </c>
      <c r="O7" s="380">
        <v>735684</v>
      </c>
      <c r="P7" s="381">
        <v>4051728</v>
      </c>
      <c r="Q7" s="31" t="s">
        <v>27</v>
      </c>
      <c r="R7" s="376">
        <f>IF(表1_86121822242654[[#This Row],[目标国家]]="魏",0,IF(表1_86121822242654[[#This Row],[目标国家]]="蜀",1,2))</f>
        <v>2</v>
      </c>
      <c r="S7" s="380">
        <v>2506</v>
      </c>
      <c r="T7" s="380">
        <v>0</v>
      </c>
      <c r="U7" s="380">
        <v>109230</v>
      </c>
      <c r="V7" s="380">
        <v>1807</v>
      </c>
      <c r="W7" s="374">
        <v>191403</v>
      </c>
      <c r="X7" s="387" t="str">
        <f>"{"&amp;"'coin':"&amp;表1_86121822242654[[#This Row],[补偿Coin]]&amp;",'"&amp;配置!$A$2&amp;"':"&amp;表1_86121822242654[[#This Row],[补偿辎重]]&amp;"},"</f>
        <v>{'coin':1500,'item036':15},</v>
      </c>
      <c r="Y7" s="388" t="str">
        <f t="shared" ref="Y7" si="0">"      },"</f>
        <v>      },</v>
      </c>
    </row>
    <row r="8" s="354" customFormat="1" ht="14.25" customHeight="1" spans="1:25">
      <c r="A8" s="375">
        <v>5024</v>
      </c>
      <c r="B8" s="371">
        <f>VLOOKUP(表1_86121822242654[[#This Row],[区服]],$P$32:$Q$40,2,FALSE)</f>
        <v>47</v>
      </c>
      <c r="C8" s="372" t="s">
        <v>102</v>
      </c>
      <c r="D8" s="373" t="str">
        <f>表1_86121822242654[[#This Row],[目标国家]]</f>
        <v>魏</v>
      </c>
      <c r="E8" s="374">
        <f>(VLOOKUP(表1_86121822242654[[#This Row],[目标区服]],$R$32:$S$35,2,FALSE)-表1_86121822242654[[#This Row],[开服天数]])*配置!$B$1</f>
        <v>2000</v>
      </c>
      <c r="F8" s="374">
        <f>表1_86121822242654[[#This Row],[补偿Coin]]*(表1_86121822242654[[#This Row],[活跃高战玩家数]]+表1_86121822242654[[#This Row],[活跃中坚玩家数]])</f>
        <v>10000</v>
      </c>
      <c r="G8" s="374">
        <f>(VLOOKUP(表1_86121822242654[[#This Row],[目标区服]],$R$32:$S$35,2,FALSE)-表1_86121822242654[[#This Row],[开服天数]])*配置!$B$2</f>
        <v>20</v>
      </c>
      <c r="H8" s="376" t="s">
        <v>25</v>
      </c>
      <c r="I8" s="376">
        <f>IF(表1_86121822242654[[#This Row],[原国家]]="魏",0,IF(表1_86121822242654[[#This Row],[原国家]]="蜀",1,2))</f>
        <v>0</v>
      </c>
      <c r="J8" s="380">
        <v>0</v>
      </c>
      <c r="K8" s="380">
        <v>42</v>
      </c>
      <c r="L8" s="380">
        <v>1</v>
      </c>
      <c r="M8" s="380">
        <v>4</v>
      </c>
      <c r="N8" s="380">
        <v>25502</v>
      </c>
      <c r="O8" s="380">
        <v>1197248</v>
      </c>
      <c r="P8" s="381">
        <v>3375718</v>
      </c>
      <c r="Q8" s="31" t="s">
        <v>25</v>
      </c>
      <c r="R8" s="376">
        <f>IF(表1_86121822242654[[#This Row],[目标国家]]="魏",0,IF(表1_86121822242654[[#This Row],[目标国家]]="蜀",1,2))</f>
        <v>0</v>
      </c>
      <c r="S8" s="380">
        <v>3424</v>
      </c>
      <c r="T8" s="380">
        <v>0</v>
      </c>
      <c r="U8" s="380">
        <v>110375</v>
      </c>
      <c r="V8" s="380">
        <v>2240</v>
      </c>
      <c r="W8" s="374">
        <v>441145</v>
      </c>
      <c r="X8" s="387" t="str">
        <f>"{"&amp;"'coin':"&amp;表1_86121822242654[[#This Row],[补偿Coin]]&amp;",'"&amp;配置!$A$2&amp;"':"&amp;表1_86121822242654[[#This Row],[补偿辎重]]&amp;"},"</f>
        <v>{'coin':2000,'item036':20},</v>
      </c>
      <c r="Y8" s="388" t="str">
        <f>"      '"&amp;表1_86121822242654[[#This Row],[区服]]&amp;"':{"</f>
        <v>      '5024':{</v>
      </c>
    </row>
    <row r="9" s="354" customFormat="1" ht="14.25" customHeight="1" spans="1:25">
      <c r="A9" s="375">
        <v>5024</v>
      </c>
      <c r="B9" s="371">
        <f>VLOOKUP(表1_86121822242654[[#This Row],[区服]],$P$32:$Q$40,2,FALSE)</f>
        <v>47</v>
      </c>
      <c r="C9" s="372" t="s">
        <v>102</v>
      </c>
      <c r="D9" s="376" t="str">
        <f>表1_86121822242654[[#This Row],[目标国家]]</f>
        <v>蜀</v>
      </c>
      <c r="E9" s="380">
        <f>(VLOOKUP(表1_86121822242654[[#This Row],[目标区服]],$R$32:$S$35,2,FALSE)-表1_86121822242654[[#This Row],[开服天数]])*配置!$B$1</f>
        <v>2000</v>
      </c>
      <c r="F9" s="380">
        <f>表1_86121822242654[[#This Row],[补偿Coin]]*(表1_86121822242654[[#This Row],[活跃高战玩家数]]+表1_86121822242654[[#This Row],[活跃中坚玩家数]])</f>
        <v>38000</v>
      </c>
      <c r="G9" s="380">
        <f>(VLOOKUP(表1_86121822242654[[#This Row],[目标区服]],$R$32:$S$35,2,FALSE)-表1_86121822242654[[#This Row],[开服天数]])*配置!$B$2</f>
        <v>20</v>
      </c>
      <c r="H9" s="376" t="s">
        <v>26</v>
      </c>
      <c r="I9" s="376">
        <f>IF(表1_86121822242654[[#This Row],[原国家]]="魏",0,IF(表1_86121822242654[[#This Row],[原国家]]="蜀",1,2))</f>
        <v>1</v>
      </c>
      <c r="J9" s="380">
        <v>6</v>
      </c>
      <c r="K9" s="380">
        <v>191</v>
      </c>
      <c r="L9" s="380">
        <v>6</v>
      </c>
      <c r="M9" s="380">
        <v>13</v>
      </c>
      <c r="N9" s="380">
        <v>125762</v>
      </c>
      <c r="O9" s="380">
        <v>2202430</v>
      </c>
      <c r="P9" s="381">
        <v>19223523</v>
      </c>
      <c r="Q9" s="31" t="s">
        <v>26</v>
      </c>
      <c r="R9" s="376">
        <f>IF(表1_86121822242654[[#This Row],[目标国家]]="魏",0,IF(表1_86121822242654[[#This Row],[目标国家]]="蜀",1,2))</f>
        <v>1</v>
      </c>
      <c r="S9" s="380">
        <v>33118</v>
      </c>
      <c r="T9" s="380">
        <v>0</v>
      </c>
      <c r="U9" s="380">
        <v>395563</v>
      </c>
      <c r="V9" s="380">
        <v>8454</v>
      </c>
      <c r="W9" s="374">
        <v>604826</v>
      </c>
      <c r="X9" s="387" t="str">
        <f>"{"&amp;"'coin':"&amp;表1_86121822242654[[#This Row],[补偿Coin]]&amp;",'"&amp;配置!$A$2&amp;"':"&amp;表1_86121822242654[[#This Row],[补偿辎重]]&amp;"},"</f>
        <v>{'coin':2000,'item036':20},</v>
      </c>
      <c r="Y9" s="388" t="str">
        <f>"            'to_zone':'"&amp;表1_86121822242654[[#This Row],[目标区服]]&amp;"',
            'reward':"&amp;表1_86121822242654[[#This Row],[辅助导出]]&amp;"
            'country':["&amp;R8&amp;","&amp;R9&amp;","&amp;R10&amp;"],"</f>
        <v>            'to_zone':'h1_511',
            'reward':{'coin':2000,'item036':20},
            'country':[0,1,2],</v>
      </c>
    </row>
    <row r="10" s="354" customFormat="1" ht="14.25" customHeight="1" spans="1:25">
      <c r="A10" s="375">
        <v>5024</v>
      </c>
      <c r="B10" s="371">
        <f>VLOOKUP(表1_86121822242654[[#This Row],[区服]],$P$32:$Q$40,2,FALSE)</f>
        <v>47</v>
      </c>
      <c r="C10" s="372" t="s">
        <v>102</v>
      </c>
      <c r="D10" s="376" t="str">
        <f>表1_86121822242654[[#This Row],[目标国家]]</f>
        <v>吴</v>
      </c>
      <c r="E10" s="380">
        <f>(VLOOKUP(表1_86121822242654[[#This Row],[目标区服]],$R$32:$S$35,2,FALSE)-表1_86121822242654[[#This Row],[开服天数]])*配置!$B$1</f>
        <v>2000</v>
      </c>
      <c r="F10" s="380">
        <f>表1_86121822242654[[#This Row],[补偿Coin]]*(表1_86121822242654[[#This Row],[活跃高战玩家数]]+表1_86121822242654[[#This Row],[活跃中坚玩家数]])</f>
        <v>36000</v>
      </c>
      <c r="G10" s="380">
        <f>(VLOOKUP(表1_86121822242654[[#This Row],[目标区服]],$R$32:$S$35,2,FALSE)-表1_86121822242654[[#This Row],[开服天数]])*配置!$B$2</f>
        <v>20</v>
      </c>
      <c r="H10" s="376" t="s">
        <v>27</v>
      </c>
      <c r="I10" s="376">
        <f>IF(表1_86121822242654[[#This Row],[原国家]]="魏",0,IF(表1_86121822242654[[#This Row],[原国家]]="蜀",1,2))</f>
        <v>2</v>
      </c>
      <c r="J10" s="380">
        <v>3</v>
      </c>
      <c r="K10" s="380">
        <v>162</v>
      </c>
      <c r="L10" s="380">
        <v>3</v>
      </c>
      <c r="M10" s="380">
        <v>15</v>
      </c>
      <c r="N10" s="380">
        <v>104704</v>
      </c>
      <c r="O10" s="380">
        <v>2220257</v>
      </c>
      <c r="P10" s="381">
        <v>15056539</v>
      </c>
      <c r="Q10" s="31" t="s">
        <v>27</v>
      </c>
      <c r="R10" s="376">
        <f>IF(表1_86121822242654[[#This Row],[目标国家]]="魏",0,IF(表1_86121822242654[[#This Row],[目标国家]]="蜀",1,2))</f>
        <v>2</v>
      </c>
      <c r="S10" s="380">
        <v>39314</v>
      </c>
      <c r="T10" s="380">
        <v>0</v>
      </c>
      <c r="U10" s="380">
        <v>405844</v>
      </c>
      <c r="V10" s="380">
        <v>7551</v>
      </c>
      <c r="W10" s="374">
        <v>646491</v>
      </c>
      <c r="X10" s="387" t="str">
        <f>"{"&amp;"'coin':"&amp;表1_86121822242654[[#This Row],[补偿Coin]]&amp;",'"&amp;配置!$A$2&amp;"':"&amp;表1_86121822242654[[#This Row],[补偿辎重]]&amp;"},"</f>
        <v>{'coin':2000,'item036':20},</v>
      </c>
      <c r="Y10" s="388" t="str">
        <f>"      },"</f>
        <v>      },</v>
      </c>
    </row>
    <row r="11" s="354" customFormat="1" ht="14.25" customHeight="1" spans="1:25">
      <c r="A11" s="259">
        <v>5025</v>
      </c>
      <c r="B11" s="210">
        <f>VLOOKUP(表1_86121822242654[[#This Row],[区服]],$P$32:$Q$40,2,FALSE)</f>
        <v>46</v>
      </c>
      <c r="C11" s="296" t="s">
        <v>103</v>
      </c>
      <c r="D11" s="212" t="str">
        <f>表1_86121822242654[[#This Row],[目标国家]]</f>
        <v>魏</v>
      </c>
      <c r="E11" s="213">
        <f>(VLOOKUP(表1_86121822242654[[#This Row],[目标区服]],$R$32:$S$35,2,FALSE)-表1_86121822242654[[#This Row],[开服天数]])*配置!$B$1</f>
        <v>1000</v>
      </c>
      <c r="F11" s="213">
        <f>表1_86121822242654[[#This Row],[补偿Coin]]*(表1_86121822242654[[#This Row],[活跃高战玩家数]]+表1_86121822242654[[#This Row],[活跃中坚玩家数]])</f>
        <v>2000</v>
      </c>
      <c r="G11" s="260">
        <f>(VLOOKUP(表1_86121822242654[[#This Row],[目标区服]],$R$32:$S$35,2,FALSE)-表1_86121822242654[[#This Row],[开服天数]])*配置!$B$2</f>
        <v>10</v>
      </c>
      <c r="H11" s="212" t="s">
        <v>25</v>
      </c>
      <c r="I11" s="268">
        <f>IF(表1_86121822242654[[#This Row],[原国家]]="魏",0,IF(表1_86121822242654[[#This Row],[原国家]]="蜀",1,2))</f>
        <v>0</v>
      </c>
      <c r="J11" s="213">
        <v>0</v>
      </c>
      <c r="K11" s="213">
        <v>76</v>
      </c>
      <c r="L11" s="213">
        <v>0</v>
      </c>
      <c r="M11" s="213">
        <v>2</v>
      </c>
      <c r="N11" s="213">
        <v>11817</v>
      </c>
      <c r="O11" s="419">
        <v>475453</v>
      </c>
      <c r="P11" s="420">
        <v>1102294</v>
      </c>
      <c r="Q11" s="31" t="s">
        <v>25</v>
      </c>
      <c r="R11" s="657">
        <f>IF(表1_86121822242654[[#This Row],[目标国家]]="魏",0,IF(表1_86121822242654[[#This Row],[目标国家]]="蜀",1,2))</f>
        <v>0</v>
      </c>
      <c r="S11" s="657">
        <v>410</v>
      </c>
      <c r="T11" s="657">
        <v>0</v>
      </c>
      <c r="U11" s="657">
        <v>72963</v>
      </c>
      <c r="V11" s="657">
        <v>1453</v>
      </c>
      <c r="W11" s="657">
        <v>170458</v>
      </c>
      <c r="X11" s="657" t="str">
        <f>"{"&amp;"'coin':"&amp;表1_86121822242654[[#This Row],[补偿Coin]]&amp;",'"&amp;配置!$A$2&amp;"':"&amp;表1_86121822242654[[#This Row],[补偿辎重]]&amp;"},"</f>
        <v>{'coin':1000,'item036':10},</v>
      </c>
      <c r="Y11" s="657" t="str">
        <f>"      '"&amp;表1_86121822242654[[#This Row],[区服]]&amp;"':{"</f>
        <v>      '5025':{</v>
      </c>
    </row>
    <row r="12" s="354" customFormat="1" ht="14.25" customHeight="1" spans="1:25">
      <c r="A12" s="259">
        <v>5025</v>
      </c>
      <c r="B12" s="210">
        <f>VLOOKUP(表1_86121822242654[[#This Row],[区服]],$P$32:$Q$40,2,FALSE)</f>
        <v>46</v>
      </c>
      <c r="C12" s="296" t="s">
        <v>103</v>
      </c>
      <c r="D12" s="212" t="str">
        <f>表1_86121822242654[[#This Row],[目标国家]]</f>
        <v>吴</v>
      </c>
      <c r="E12" s="213">
        <f>(VLOOKUP(表1_86121822242654[[#This Row],[目标区服]],$R$32:$S$35,2,FALSE)-表1_86121822242654[[#This Row],[开服天数]])*配置!$B$1</f>
        <v>1000</v>
      </c>
      <c r="F12" s="213">
        <f>表1_86121822242654[[#This Row],[补偿Coin]]*(表1_86121822242654[[#This Row],[活跃高战玩家数]]+表1_86121822242654[[#This Row],[活跃中坚玩家数]])</f>
        <v>12000</v>
      </c>
      <c r="G12" s="260">
        <f>(VLOOKUP(表1_86121822242654[[#This Row],[目标区服]],$R$32:$S$35,2,FALSE)-表1_86121822242654[[#This Row],[开服天数]])*配置!$B$2</f>
        <v>10</v>
      </c>
      <c r="H12" s="212" t="s">
        <v>26</v>
      </c>
      <c r="I12" s="268">
        <f>IF(表1_86121822242654[[#This Row],[原国家]]="魏",0,IF(表1_86121822242654[[#This Row],[原国家]]="蜀",1,2))</f>
        <v>1</v>
      </c>
      <c r="J12" s="213">
        <v>7</v>
      </c>
      <c r="K12" s="213">
        <v>195</v>
      </c>
      <c r="L12" s="213">
        <v>6</v>
      </c>
      <c r="M12" s="213">
        <v>6</v>
      </c>
      <c r="N12" s="213">
        <v>87803</v>
      </c>
      <c r="O12" s="419">
        <v>2575735</v>
      </c>
      <c r="P12" s="420">
        <v>12894217</v>
      </c>
      <c r="Q12" s="31" t="s">
        <v>27</v>
      </c>
      <c r="R12" s="657">
        <f>IF(表1_86121822242654[[#This Row],[目标国家]]="魏",0,IF(表1_86121822242654[[#This Row],[目标国家]]="蜀",1,2))</f>
        <v>2</v>
      </c>
      <c r="S12" s="657">
        <v>38350</v>
      </c>
      <c r="T12" s="657">
        <v>0</v>
      </c>
      <c r="U12" s="657">
        <v>161753</v>
      </c>
      <c r="V12" s="657">
        <v>8185</v>
      </c>
      <c r="W12" s="657">
        <v>708605</v>
      </c>
      <c r="X12" s="657" t="str">
        <f>"{"&amp;"'coin':"&amp;表1_86121822242654[[#This Row],[补偿Coin]]&amp;",'"&amp;配置!$A$2&amp;"':"&amp;表1_86121822242654[[#This Row],[补偿辎重]]&amp;"},"</f>
        <v>{'coin':1000,'item036':10},</v>
      </c>
      <c r="Y12" s="657" t="str">
        <f>"            'to_zone':'"&amp;表1_86121822242654[[#This Row],[目标区服]]&amp;"',
            'reward':"&amp;表1_86121822242654[[#This Row],[辅助导出]]&amp;"
            'country':["&amp;R11&amp;","&amp;R12&amp;","&amp;R13&amp;"],"</f>
        <v>            'to_zone':'h1_512',
            'reward':{'coin':1000,'item036':10},
            'country':[0,2,1],</v>
      </c>
    </row>
    <row r="13" s="354" customFormat="1" ht="14.25" customHeight="1" spans="1:25">
      <c r="A13" s="259">
        <v>5025</v>
      </c>
      <c r="B13" s="210">
        <f>VLOOKUP(表1_86121822242654[[#This Row],[区服]],$P$32:$Q$40,2,FALSE)</f>
        <v>46</v>
      </c>
      <c r="C13" s="296" t="s">
        <v>103</v>
      </c>
      <c r="D13" s="212" t="str">
        <f>表1_86121822242654[[#This Row],[目标国家]]</f>
        <v>蜀</v>
      </c>
      <c r="E13" s="213">
        <f>(VLOOKUP(表1_86121822242654[[#This Row],[目标区服]],$R$32:$S$35,2,FALSE)-表1_86121822242654[[#This Row],[开服天数]])*配置!$B$1</f>
        <v>1000</v>
      </c>
      <c r="F13" s="213">
        <f>表1_86121822242654[[#This Row],[补偿Coin]]*(表1_86121822242654[[#This Row],[活跃高战玩家数]]+表1_86121822242654[[#This Row],[活跃中坚玩家数]])</f>
        <v>13000</v>
      </c>
      <c r="G13" s="260">
        <f>(VLOOKUP(表1_86121822242654[[#This Row],[目标区服]],$R$32:$S$35,2,FALSE)-表1_86121822242654[[#This Row],[开服天数]])*配置!$B$2</f>
        <v>10</v>
      </c>
      <c r="H13" s="212" t="s">
        <v>27</v>
      </c>
      <c r="I13" s="268">
        <f>IF(表1_86121822242654[[#This Row],[原国家]]="魏",0,IF(表1_86121822242654[[#This Row],[原国家]]="蜀",1,2))</f>
        <v>2</v>
      </c>
      <c r="J13" s="213">
        <v>2</v>
      </c>
      <c r="K13" s="213">
        <v>124</v>
      </c>
      <c r="L13" s="213">
        <v>4</v>
      </c>
      <c r="M13" s="213">
        <v>9</v>
      </c>
      <c r="N13" s="213">
        <v>87889</v>
      </c>
      <c r="O13" s="419">
        <v>2415459</v>
      </c>
      <c r="P13" s="420">
        <v>12223548</v>
      </c>
      <c r="Q13" s="31" t="s">
        <v>26</v>
      </c>
      <c r="R13" s="657">
        <f>IF(表1_86121822242654[[#This Row],[目标国家]]="魏",0,IF(表1_86121822242654[[#This Row],[目标国家]]="蜀",1,2))</f>
        <v>1</v>
      </c>
      <c r="S13" s="657">
        <v>53562</v>
      </c>
      <c r="T13" s="657">
        <v>0</v>
      </c>
      <c r="U13" s="657">
        <v>137491</v>
      </c>
      <c r="V13" s="657">
        <v>7192</v>
      </c>
      <c r="W13" s="657">
        <v>755373</v>
      </c>
      <c r="X13" s="657" t="str">
        <f>"{"&amp;"'coin':"&amp;表1_86121822242654[[#This Row],[补偿Coin]]&amp;",'"&amp;配置!$A$2&amp;"':"&amp;表1_86121822242654[[#This Row],[补偿辎重]]&amp;"},"</f>
        <v>{'coin':1000,'item036':10},</v>
      </c>
      <c r="Y13" s="657" t="str">
        <f t="shared" ref="Y13" si="1">"      },"</f>
        <v>      },</v>
      </c>
    </row>
    <row r="14" ht="14.25" customHeight="1" spans="1:25">
      <c r="A14" s="259">
        <v>5026</v>
      </c>
      <c r="B14" s="210">
        <f>VLOOKUP(表1_86121822242654[[#This Row],[区服]],$P$32:$Q$40,2,FALSE)</f>
        <v>45</v>
      </c>
      <c r="C14" s="296" t="s">
        <v>103</v>
      </c>
      <c r="D14" s="212" t="str">
        <f>表1_86121822242654[[#This Row],[目标国家]]</f>
        <v>蜀</v>
      </c>
      <c r="E14" s="213">
        <f>(VLOOKUP(表1_86121822242654[[#This Row],[目标区服]],$R$32:$S$35,2,FALSE)-表1_86121822242654[[#This Row],[开服天数]])*配置!$B$1</f>
        <v>1500</v>
      </c>
      <c r="F14" s="213">
        <f>表1_86121822242654[[#This Row],[补偿Coin]]*(表1_86121822242654[[#This Row],[活跃高战玩家数]]+表1_86121822242654[[#This Row],[活跃中坚玩家数]])</f>
        <v>9000</v>
      </c>
      <c r="G14" s="260">
        <f>(VLOOKUP(表1_86121822242654[[#This Row],[目标区服]],$R$32:$S$35,2,FALSE)-表1_86121822242654[[#This Row],[开服天数]])*配置!$B$2</f>
        <v>15</v>
      </c>
      <c r="H14" s="212" t="s">
        <v>25</v>
      </c>
      <c r="I14" s="268">
        <f>IF(表1_86121822242654[[#This Row],[原国家]]="魏",0,IF(表1_86121822242654[[#This Row],[原国家]]="蜀",1,2))</f>
        <v>0</v>
      </c>
      <c r="J14" s="213">
        <v>0</v>
      </c>
      <c r="K14" s="213">
        <v>39</v>
      </c>
      <c r="L14" s="213">
        <v>0</v>
      </c>
      <c r="M14" s="213">
        <v>6</v>
      </c>
      <c r="N14" s="213">
        <v>28672</v>
      </c>
      <c r="O14" s="419">
        <v>659216</v>
      </c>
      <c r="P14" s="420">
        <v>2628087</v>
      </c>
      <c r="Q14" s="31" t="s">
        <v>26</v>
      </c>
      <c r="R14" s="657">
        <f>IF(表1_86121822242654[[#This Row],[目标国家]]="魏",0,IF(表1_86121822242654[[#This Row],[目标国家]]="蜀",1,2))</f>
        <v>1</v>
      </c>
      <c r="S14" s="657">
        <v>890</v>
      </c>
      <c r="T14" s="657">
        <v>0</v>
      </c>
      <c r="U14" s="657">
        <v>54906</v>
      </c>
      <c r="V14" s="657">
        <v>1509</v>
      </c>
      <c r="W14" s="657">
        <v>207701</v>
      </c>
      <c r="X14" s="657" t="str">
        <f>"{"&amp;"'coin':"&amp;表1_86121822242654[[#This Row],[补偿Coin]]&amp;",'"&amp;配置!$A$2&amp;"':"&amp;表1_86121822242654[[#This Row],[补偿辎重]]&amp;"},"</f>
        <v>{'coin':1500,'item036':15},</v>
      </c>
      <c r="Y14" s="657" t="str">
        <f>"      '"&amp;表1_86121822242654[[#This Row],[区服]]&amp;"':{"</f>
        <v>      '5026':{</v>
      </c>
    </row>
    <row r="15" ht="14.25" customHeight="1" spans="1:25">
      <c r="A15" s="259">
        <v>5026</v>
      </c>
      <c r="B15" s="210">
        <f>VLOOKUP(表1_86121822242654[[#This Row],[区服]],$P$32:$Q$40,2,FALSE)</f>
        <v>45</v>
      </c>
      <c r="C15" s="296" t="s">
        <v>103</v>
      </c>
      <c r="D15" s="212" t="str">
        <f>表1_86121822242654[[#This Row],[目标国家]]</f>
        <v>魏</v>
      </c>
      <c r="E15" s="213">
        <f>(VLOOKUP(表1_86121822242654[[#This Row],[目标区服]],$R$32:$S$35,2,FALSE)-表1_86121822242654[[#This Row],[开服天数]])*配置!$B$1</f>
        <v>1500</v>
      </c>
      <c r="F15" s="213">
        <f>表1_86121822242654[[#This Row],[补偿Coin]]*(表1_86121822242654[[#This Row],[活跃高战玩家数]]+表1_86121822242654[[#This Row],[活跃中坚玩家数]])</f>
        <v>15000</v>
      </c>
      <c r="G15" s="260">
        <f>(VLOOKUP(表1_86121822242654[[#This Row],[目标区服]],$R$32:$S$35,2,FALSE)-表1_86121822242654[[#This Row],[开服天数]])*配置!$B$2</f>
        <v>15</v>
      </c>
      <c r="H15" s="212" t="s">
        <v>26</v>
      </c>
      <c r="I15" s="268">
        <f>IF(表1_86121822242654[[#This Row],[原国家]]="魏",0,IF(表1_86121822242654[[#This Row],[原国家]]="蜀",1,2))</f>
        <v>1</v>
      </c>
      <c r="J15" s="213">
        <v>0</v>
      </c>
      <c r="K15" s="213">
        <v>72</v>
      </c>
      <c r="L15" s="213">
        <v>3</v>
      </c>
      <c r="M15" s="213">
        <v>7</v>
      </c>
      <c r="N15" s="213">
        <v>66444</v>
      </c>
      <c r="O15" s="419">
        <v>1809818</v>
      </c>
      <c r="P15" s="420">
        <v>7737070</v>
      </c>
      <c r="Q15" s="31" t="s">
        <v>25</v>
      </c>
      <c r="R15" s="657">
        <f>IF(表1_86121822242654[[#This Row],[目标国家]]="魏",0,IF(表1_86121822242654[[#This Row],[目标国家]]="蜀",1,2))</f>
        <v>0</v>
      </c>
      <c r="S15" s="657">
        <v>23620</v>
      </c>
      <c r="T15" s="657">
        <v>0</v>
      </c>
      <c r="U15" s="657">
        <v>174069</v>
      </c>
      <c r="V15" s="657">
        <v>4431</v>
      </c>
      <c r="W15" s="657">
        <v>558560</v>
      </c>
      <c r="X15" s="657" t="str">
        <f>"{"&amp;"'coin':"&amp;表1_86121822242654[[#This Row],[补偿Coin]]&amp;",'"&amp;配置!$A$2&amp;"':"&amp;表1_86121822242654[[#This Row],[补偿辎重]]&amp;"},"</f>
        <v>{'coin':1500,'item036':15},</v>
      </c>
      <c r="Y15" s="657" t="str">
        <f>"            'to_zone':'"&amp;表1_86121822242654[[#This Row],[目标区服]]&amp;"',
            'reward':"&amp;表1_86121822242654[[#This Row],[辅助导出]]&amp;"
            'country':["&amp;R14&amp;","&amp;R15&amp;","&amp;R16&amp;"],"</f>
        <v>            'to_zone':'h1_512',
            'reward':{'coin':1500,'item036':15},
            'country':[1,0,2],</v>
      </c>
    </row>
    <row r="16" ht="14.25" customHeight="1" spans="1:25">
      <c r="A16" s="259">
        <v>5026</v>
      </c>
      <c r="B16" s="210">
        <f>VLOOKUP(表1_86121822242654[[#This Row],[区服]],$P$32:$Q$40,2,FALSE)</f>
        <v>45</v>
      </c>
      <c r="C16" s="296" t="s">
        <v>103</v>
      </c>
      <c r="D16" s="212" t="str">
        <f>表1_86121822242654[[#This Row],[目标国家]]</f>
        <v>吴</v>
      </c>
      <c r="E16" s="213">
        <f>(VLOOKUP(表1_86121822242654[[#This Row],[目标区服]],$R$32:$S$35,2,FALSE)-表1_86121822242654[[#This Row],[开服天数]])*配置!$B$1</f>
        <v>1500</v>
      </c>
      <c r="F16" s="213">
        <f>表1_86121822242654[[#This Row],[补偿Coin]]*(表1_86121822242654[[#This Row],[活跃高战玩家数]]+表1_86121822242654[[#This Row],[活跃中坚玩家数]])</f>
        <v>34500</v>
      </c>
      <c r="G16" s="260">
        <f>(VLOOKUP(表1_86121822242654[[#This Row],[目标区服]],$R$32:$S$35,2,FALSE)-表1_86121822242654[[#This Row],[开服天数]])*配置!$B$2</f>
        <v>15</v>
      </c>
      <c r="H16" s="212" t="s">
        <v>27</v>
      </c>
      <c r="I16" s="268">
        <f>IF(表1_86121822242654[[#This Row],[原国家]]="魏",0,IF(表1_86121822242654[[#This Row],[原国家]]="蜀",1,2))</f>
        <v>2</v>
      </c>
      <c r="J16" s="213">
        <v>9</v>
      </c>
      <c r="K16" s="213">
        <v>284</v>
      </c>
      <c r="L16" s="213">
        <v>7</v>
      </c>
      <c r="M16" s="213">
        <v>16</v>
      </c>
      <c r="N16" s="213">
        <v>146572</v>
      </c>
      <c r="O16" s="419">
        <v>2359779</v>
      </c>
      <c r="P16" s="420">
        <v>18436922</v>
      </c>
      <c r="Q16" s="31" t="s">
        <v>27</v>
      </c>
      <c r="R16" s="657">
        <f>IF(表1_86121822242654[[#This Row],[目标国家]]="魏",0,IF(表1_86121822242654[[#This Row],[目标国家]]="蜀",1,2))</f>
        <v>2</v>
      </c>
      <c r="S16" s="657">
        <v>21664</v>
      </c>
      <c r="T16" s="657">
        <v>0</v>
      </c>
      <c r="U16" s="657">
        <v>469486</v>
      </c>
      <c r="V16" s="657">
        <v>9560</v>
      </c>
      <c r="W16" s="657">
        <v>642226</v>
      </c>
      <c r="X16" s="657" t="str">
        <f>"{"&amp;"'coin':"&amp;表1_86121822242654[[#This Row],[补偿Coin]]&amp;",'"&amp;配置!$A$2&amp;"':"&amp;表1_86121822242654[[#This Row],[补偿辎重]]&amp;"},"</f>
        <v>{'coin':1500,'item036':15},</v>
      </c>
      <c r="Y16" s="657" t="str">
        <f t="shared" ref="Y16" si="2">"      },"</f>
        <v>      },</v>
      </c>
    </row>
    <row r="17" ht="14.25" customHeight="1" spans="1:25">
      <c r="A17" s="259">
        <v>5027</v>
      </c>
      <c r="B17" s="210">
        <f>VLOOKUP(表1_86121822242654[[#This Row],[区服]],$P$32:$Q$40,2,FALSE)</f>
        <v>44</v>
      </c>
      <c r="C17" s="296" t="s">
        <v>103</v>
      </c>
      <c r="D17" s="212" t="str">
        <f>表1_86121822242654[[#This Row],[目标国家]]</f>
        <v>魏</v>
      </c>
      <c r="E17" s="213">
        <f>(VLOOKUP(表1_86121822242654[[#This Row],[目标区服]],$R$32:$S$35,2,FALSE)-表1_86121822242654[[#This Row],[开服天数]])*配置!$B$1</f>
        <v>2000</v>
      </c>
      <c r="F17" s="213">
        <f>表1_86121822242654[[#This Row],[补偿Coin]]*(表1_86121822242654[[#This Row],[活跃高战玩家数]]+表1_86121822242654[[#This Row],[活跃中坚玩家数]])</f>
        <v>30000</v>
      </c>
      <c r="G17" s="260">
        <f>(VLOOKUP(表1_86121822242654[[#This Row],[目标区服]],$R$32:$S$35,2,FALSE)-表1_86121822242654[[#This Row],[开服天数]])*配置!$B$2</f>
        <v>20</v>
      </c>
      <c r="H17" s="212" t="s">
        <v>25</v>
      </c>
      <c r="I17" s="268">
        <f>IF(表1_86121822242654[[#This Row],[原国家]]="魏",0,IF(表1_86121822242654[[#This Row],[原国家]]="蜀",1,2))</f>
        <v>0</v>
      </c>
      <c r="J17" s="213">
        <v>2</v>
      </c>
      <c r="K17" s="213">
        <v>77</v>
      </c>
      <c r="L17" s="213">
        <v>1</v>
      </c>
      <c r="M17" s="213">
        <v>14</v>
      </c>
      <c r="N17" s="213">
        <v>59526</v>
      </c>
      <c r="O17" s="419">
        <v>1620041</v>
      </c>
      <c r="P17" s="420">
        <v>8740442</v>
      </c>
      <c r="Q17" s="31" t="s">
        <v>25</v>
      </c>
      <c r="R17" s="657">
        <f>IF(表1_86121822242654[[#This Row],[目标国家]]="魏",0,IF(表1_86121822242654[[#This Row],[目标国家]]="蜀",1,2))</f>
        <v>0</v>
      </c>
      <c r="S17" s="657">
        <v>28076</v>
      </c>
      <c r="T17" s="657">
        <v>0</v>
      </c>
      <c r="U17" s="657">
        <v>87782</v>
      </c>
      <c r="V17" s="657">
        <v>4647</v>
      </c>
      <c r="W17" s="657">
        <v>531747</v>
      </c>
      <c r="X17" s="657" t="str">
        <f>"{"&amp;"'coin':"&amp;表1_86121822242654[[#This Row],[补偿Coin]]&amp;",'"&amp;配置!$A$2&amp;"':"&amp;表1_86121822242654[[#This Row],[补偿辎重]]&amp;"},"</f>
        <v>{'coin':2000,'item036':20},</v>
      </c>
      <c r="Y17" s="657" t="str">
        <f>"      '"&amp;表1_86121822242654[[#This Row],[区服]]&amp;"':{"</f>
        <v>      '5027':{</v>
      </c>
    </row>
    <row r="18" ht="14.25" customHeight="1" spans="1:25">
      <c r="A18" s="259">
        <v>5027</v>
      </c>
      <c r="B18" s="210">
        <f>VLOOKUP(表1_86121822242654[[#This Row],[区服]],$P$32:$Q$40,2,FALSE)</f>
        <v>44</v>
      </c>
      <c r="C18" s="296" t="s">
        <v>103</v>
      </c>
      <c r="D18" s="212" t="str">
        <f>表1_86121822242654[[#This Row],[目标国家]]</f>
        <v>魏</v>
      </c>
      <c r="E18" s="213">
        <f>(VLOOKUP(表1_86121822242654[[#This Row],[目标区服]],$R$32:$S$35,2,FALSE)-表1_86121822242654[[#This Row],[开服天数]])*配置!$B$1</f>
        <v>2000</v>
      </c>
      <c r="F18" s="213">
        <f>表1_86121822242654[[#This Row],[补偿Coin]]*(表1_86121822242654[[#This Row],[活跃高战玩家数]]+表1_86121822242654[[#This Row],[活跃中坚玩家数]])</f>
        <v>44000</v>
      </c>
      <c r="G18" s="260">
        <f>(VLOOKUP(表1_86121822242654[[#This Row],[目标区服]],$R$32:$S$35,2,FALSE)-表1_86121822242654[[#This Row],[开服天数]])*配置!$B$2</f>
        <v>20</v>
      </c>
      <c r="H18" s="212" t="s">
        <v>26</v>
      </c>
      <c r="I18" s="268">
        <f>IF(表1_86121822242654[[#This Row],[原国家]]="魏",0,IF(表1_86121822242654[[#This Row],[原国家]]="蜀",1,2))</f>
        <v>1</v>
      </c>
      <c r="J18" s="213">
        <v>4</v>
      </c>
      <c r="K18" s="213">
        <v>173</v>
      </c>
      <c r="L18" s="213">
        <v>4</v>
      </c>
      <c r="M18" s="213">
        <v>18</v>
      </c>
      <c r="N18" s="213">
        <v>110518</v>
      </c>
      <c r="O18" s="419">
        <v>2390229</v>
      </c>
      <c r="P18" s="420">
        <v>16205784</v>
      </c>
      <c r="Q18" s="31" t="s">
        <v>25</v>
      </c>
      <c r="R18" s="657">
        <f>IF(表1_86121822242654[[#This Row],[目标国家]]="魏",0,IF(表1_86121822242654[[#This Row],[目标国家]]="蜀",1,2))</f>
        <v>0</v>
      </c>
      <c r="S18" s="657">
        <v>20994</v>
      </c>
      <c r="T18" s="657">
        <v>0</v>
      </c>
      <c r="U18" s="657">
        <v>377003</v>
      </c>
      <c r="V18" s="657">
        <v>7511</v>
      </c>
      <c r="W18" s="657">
        <v>711331</v>
      </c>
      <c r="X18" s="657" t="str">
        <f>"{"&amp;"'coin':"&amp;表1_86121822242654[[#This Row],[补偿Coin]]&amp;",'"&amp;配置!$A$2&amp;"':"&amp;表1_86121822242654[[#This Row],[补偿辎重]]&amp;"},"</f>
        <v>{'coin':2000,'item036':20},</v>
      </c>
      <c r="Y18" s="657" t="str">
        <f>"            'to_zone':'"&amp;表1_86121822242654[[#This Row],[目标区服]]&amp;"',
            'reward':"&amp;表1_86121822242654[[#This Row],[辅助导出]]&amp;"
            'country':["&amp;R17&amp;","&amp;R18&amp;","&amp;R19&amp;"],"</f>
        <v>            'to_zone':'h1_512',
            'reward':{'coin':2000,'item036':20},
            'country':[0,0,1],</v>
      </c>
    </row>
    <row r="19" ht="14.25" customHeight="1" spans="1:25">
      <c r="A19" s="259">
        <v>5027</v>
      </c>
      <c r="B19" s="210">
        <f>VLOOKUP(表1_86121822242654[[#This Row],[区服]],$P$32:$Q$40,2,FALSE)</f>
        <v>44</v>
      </c>
      <c r="C19" s="296" t="s">
        <v>103</v>
      </c>
      <c r="D19" s="212" t="str">
        <f>表1_86121822242654[[#This Row],[目标国家]]</f>
        <v>蜀</v>
      </c>
      <c r="E19" s="213">
        <f>(VLOOKUP(表1_86121822242654[[#This Row],[目标区服]],$R$32:$S$35,2,FALSE)-表1_86121822242654[[#This Row],[开服天数]])*配置!$B$1</f>
        <v>2000</v>
      </c>
      <c r="F19" s="213">
        <f>表1_86121822242654[[#This Row],[补偿Coin]]*(表1_86121822242654[[#This Row],[活跃高战玩家数]]+表1_86121822242654[[#This Row],[活跃中坚玩家数]])</f>
        <v>34000</v>
      </c>
      <c r="G19" s="260">
        <f>(VLOOKUP(表1_86121822242654[[#This Row],[目标区服]],$R$32:$S$35,2,FALSE)-表1_86121822242654[[#This Row],[开服天数]])*配置!$B$2</f>
        <v>20</v>
      </c>
      <c r="H19" s="212" t="s">
        <v>27</v>
      </c>
      <c r="I19" s="268">
        <f>IF(表1_86121822242654[[#This Row],[原国家]]="魏",0,IF(表1_86121822242654[[#This Row],[原国家]]="蜀",1,2))</f>
        <v>2</v>
      </c>
      <c r="J19" s="213">
        <v>3</v>
      </c>
      <c r="K19" s="213">
        <v>145</v>
      </c>
      <c r="L19" s="213">
        <v>4</v>
      </c>
      <c r="M19" s="213">
        <v>13</v>
      </c>
      <c r="N19" s="213">
        <v>96658</v>
      </c>
      <c r="O19" s="419">
        <v>2168750</v>
      </c>
      <c r="P19" s="420">
        <v>13152958</v>
      </c>
      <c r="Q19" s="31" t="s">
        <v>26</v>
      </c>
      <c r="R19" s="657">
        <f>IF(表1_86121822242654[[#This Row],[目标国家]]="魏",0,IF(表1_86121822242654[[#This Row],[目标国家]]="蜀",1,2))</f>
        <v>1</v>
      </c>
      <c r="S19" s="657">
        <v>24864</v>
      </c>
      <c r="T19" s="657">
        <v>0</v>
      </c>
      <c r="U19" s="657">
        <v>248826</v>
      </c>
      <c r="V19" s="657">
        <v>6587</v>
      </c>
      <c r="W19" s="657">
        <v>624170</v>
      </c>
      <c r="X19" s="657" t="str">
        <f>"{"&amp;"'coin':"&amp;表1_86121822242654[[#This Row],[补偿Coin]]&amp;",'"&amp;配置!$A$2&amp;"':"&amp;表1_86121822242654[[#This Row],[补偿辎重]]&amp;"},"</f>
        <v>{'coin':2000,'item036':20},</v>
      </c>
      <c r="Y19" s="657" t="str">
        <f t="shared" ref="Y19" si="3">"      },"</f>
        <v>      },</v>
      </c>
    </row>
    <row r="20" ht="14.25" customHeight="1" spans="1:25">
      <c r="A20" s="17">
        <v>5028</v>
      </c>
      <c r="B20" s="17">
        <f>VLOOKUP(表1_86121822242654[[#This Row],[区服]],$P$32:$Q$40,2,FALSE)</f>
        <v>43</v>
      </c>
      <c r="C20" s="18" t="s">
        <v>104</v>
      </c>
      <c r="D20" s="19" t="str">
        <f>表1_86121822242654[[#This Row],[目标国家]]</f>
        <v>吴</v>
      </c>
      <c r="E20" s="20">
        <f>(VLOOKUP(表1_86121822242654[[#This Row],[目标区服]],$R$32:$S$35,2,FALSE)-表1_86121822242654[[#This Row],[开服天数]])*配置!$B$1</f>
        <v>1000</v>
      </c>
      <c r="F20" s="20">
        <f>表1_86121822242654[[#This Row],[补偿Coin]]*(表1_86121822242654[[#This Row],[活跃高战玩家数]]+表1_86121822242654[[#This Row],[活跃中坚玩家数]])</f>
        <v>14000</v>
      </c>
      <c r="G20" s="20">
        <f>(VLOOKUP(表1_86121822242654[[#This Row],[目标区服]],$R$32:$S$35,2,FALSE)-表1_86121822242654[[#This Row],[开服天数]])*配置!$B$2</f>
        <v>10</v>
      </c>
      <c r="H20" s="19" t="s">
        <v>25</v>
      </c>
      <c r="I20" s="19">
        <f>IF(表1_86121822242654[[#This Row],[原国家]]="魏",0,IF(表1_86121822242654[[#This Row],[原国家]]="蜀",1,2))</f>
        <v>0</v>
      </c>
      <c r="J20" s="20">
        <v>0</v>
      </c>
      <c r="K20" s="20">
        <v>50</v>
      </c>
      <c r="L20" s="20">
        <v>1</v>
      </c>
      <c r="M20" s="20">
        <v>13</v>
      </c>
      <c r="N20" s="20">
        <v>50443</v>
      </c>
      <c r="O20" s="20">
        <v>1102404</v>
      </c>
      <c r="P20" s="26">
        <v>6217434</v>
      </c>
      <c r="Q20" s="496" t="s">
        <v>27</v>
      </c>
      <c r="R20" s="19">
        <f>IF(表1_86121822242654[[#This Row],[目标国家]]="魏",0,IF(表1_86121822242654[[#This Row],[目标国家]]="蜀",1,2))</f>
        <v>2</v>
      </c>
      <c r="S20" s="20">
        <v>3942</v>
      </c>
      <c r="T20" s="20">
        <v>0</v>
      </c>
      <c r="U20" s="20">
        <v>115809</v>
      </c>
      <c r="V20" s="20">
        <v>2652</v>
      </c>
      <c r="W20" s="32">
        <v>341947</v>
      </c>
      <c r="X20" s="33" t="str">
        <f>"{"&amp;"'coin':"&amp;表1_86121822242654[[#This Row],[补偿Coin]]&amp;",'"&amp;配置!$A$2&amp;"':"&amp;表1_86121822242654[[#This Row],[补偿辎重]]&amp;"},"</f>
        <v>{'coin':1000,'item036':10},</v>
      </c>
      <c r="Y20" s="34" t="str">
        <f>"      '"&amp;表1_86121822242654[[#This Row],[区服]]&amp;"':{"</f>
        <v>      '5028':{</v>
      </c>
    </row>
    <row r="21" ht="14.25" customHeight="1" spans="1:25">
      <c r="A21" s="17">
        <v>5028</v>
      </c>
      <c r="B21" s="17">
        <f>VLOOKUP(表1_86121822242654[[#This Row],[区服]],$P$32:$Q$40,2,FALSE)</f>
        <v>43</v>
      </c>
      <c r="C21" s="18" t="s">
        <v>104</v>
      </c>
      <c r="D21" s="19" t="str">
        <f>表1_86121822242654[[#This Row],[目标国家]]</f>
        <v>蜀</v>
      </c>
      <c r="E21" s="20">
        <f>(VLOOKUP(表1_86121822242654[[#This Row],[目标区服]],$R$32:$S$35,2,FALSE)-表1_86121822242654[[#This Row],[开服天数]])*配置!$B$1</f>
        <v>1000</v>
      </c>
      <c r="F21" s="20">
        <f>表1_86121822242654[[#This Row],[补偿Coin]]*(表1_86121822242654[[#This Row],[活跃高战玩家数]]+表1_86121822242654[[#This Row],[活跃中坚玩家数]])</f>
        <v>23000</v>
      </c>
      <c r="G21" s="20">
        <f>(VLOOKUP(表1_86121822242654[[#This Row],[目标区服]],$R$32:$S$35,2,FALSE)-表1_86121822242654[[#This Row],[开服天数]])*配置!$B$2</f>
        <v>10</v>
      </c>
      <c r="H21" s="19" t="s">
        <v>26</v>
      </c>
      <c r="I21" s="19">
        <f>IF(表1_86121822242654[[#This Row],[原国家]]="魏",0,IF(表1_86121822242654[[#This Row],[原国家]]="蜀",1,2))</f>
        <v>1</v>
      </c>
      <c r="J21" s="20">
        <v>6</v>
      </c>
      <c r="K21" s="20">
        <v>203</v>
      </c>
      <c r="L21" s="20">
        <v>5</v>
      </c>
      <c r="M21" s="20">
        <v>18</v>
      </c>
      <c r="N21" s="20">
        <v>133167</v>
      </c>
      <c r="O21" s="20">
        <v>2406584</v>
      </c>
      <c r="P21" s="26">
        <v>18660401</v>
      </c>
      <c r="Q21" s="496" t="s">
        <v>26</v>
      </c>
      <c r="R21" s="19">
        <f>IF(表1_86121822242654[[#This Row],[目标国家]]="魏",0,IF(表1_86121822242654[[#This Row],[目标国家]]="蜀",1,2))</f>
        <v>1</v>
      </c>
      <c r="S21" s="20">
        <v>64276</v>
      </c>
      <c r="T21" s="20">
        <v>0</v>
      </c>
      <c r="U21" s="20">
        <v>481971</v>
      </c>
      <c r="V21" s="20">
        <v>9737</v>
      </c>
      <c r="W21" s="32">
        <v>618554</v>
      </c>
      <c r="X21" s="33" t="str">
        <f>"{"&amp;"'coin':"&amp;表1_86121822242654[[#This Row],[补偿Coin]]&amp;",'"&amp;配置!$A$2&amp;"':"&amp;表1_86121822242654[[#This Row],[补偿辎重]]&amp;"},"</f>
        <v>{'coin':1000,'item036':10},</v>
      </c>
      <c r="Y21" s="34" t="str">
        <f>"            'to_zone':'"&amp;表1_86121822242654[[#This Row],[目标区服]]&amp;"',
            'reward':"&amp;表1_86121822242654[[#This Row],[辅助导出]]&amp;"
            'country':["&amp;R20&amp;","&amp;R21&amp;","&amp;R22&amp;"],"</f>
        <v>            'to_zone':'h1_513',
            'reward':{'coin':1000,'item036':10},
            'country':[2,1,2],</v>
      </c>
    </row>
    <row r="22" ht="14.25" customHeight="1" spans="1:25">
      <c r="A22" s="17">
        <v>5028</v>
      </c>
      <c r="B22" s="17">
        <f>VLOOKUP(表1_86121822242654[[#This Row],[区服]],$P$32:$Q$40,2,FALSE)</f>
        <v>43</v>
      </c>
      <c r="C22" s="18" t="s">
        <v>104</v>
      </c>
      <c r="D22" s="19" t="str">
        <f>表1_86121822242654[[#This Row],[目标国家]]</f>
        <v>吴</v>
      </c>
      <c r="E22" s="20">
        <f>(VLOOKUP(表1_86121822242654[[#This Row],[目标区服]],$R$32:$S$35,2,FALSE)-表1_86121822242654[[#This Row],[开服天数]])*配置!$B$1</f>
        <v>1000</v>
      </c>
      <c r="F22" s="20">
        <f>表1_86121822242654[[#This Row],[补偿Coin]]*(表1_86121822242654[[#This Row],[活跃高战玩家数]]+表1_86121822242654[[#This Row],[活跃中坚玩家数]])</f>
        <v>14000</v>
      </c>
      <c r="G22" s="20">
        <f>(VLOOKUP(表1_86121822242654[[#This Row],[目标区服]],$R$32:$S$35,2,FALSE)-表1_86121822242654[[#This Row],[开服天数]])*配置!$B$2</f>
        <v>10</v>
      </c>
      <c r="H22" s="19" t="s">
        <v>27</v>
      </c>
      <c r="I22" s="19">
        <f>IF(表1_86121822242654[[#This Row],[原国家]]="魏",0,IF(表1_86121822242654[[#This Row],[原国家]]="蜀",1,2))</f>
        <v>2</v>
      </c>
      <c r="J22" s="20">
        <v>3</v>
      </c>
      <c r="K22" s="20">
        <v>142</v>
      </c>
      <c r="L22" s="20">
        <v>4</v>
      </c>
      <c r="M22" s="20">
        <v>10</v>
      </c>
      <c r="N22" s="20">
        <v>81277</v>
      </c>
      <c r="O22" s="20">
        <v>2126278</v>
      </c>
      <c r="P22" s="26">
        <v>11279086</v>
      </c>
      <c r="Q22" s="496" t="s">
        <v>27</v>
      </c>
      <c r="R22" s="19">
        <f>IF(表1_86121822242654[[#This Row],[目标国家]]="魏",0,IF(表1_86121822242654[[#This Row],[目标国家]]="蜀",1,2))</f>
        <v>2</v>
      </c>
      <c r="S22" s="20">
        <v>40672</v>
      </c>
      <c r="T22" s="20">
        <v>0</v>
      </c>
      <c r="U22" s="20">
        <v>290396</v>
      </c>
      <c r="V22" s="20">
        <v>6745</v>
      </c>
      <c r="W22" s="32">
        <v>599808</v>
      </c>
      <c r="X22" s="33" t="str">
        <f>"{"&amp;"'coin':"&amp;表1_86121822242654[[#This Row],[补偿Coin]]&amp;",'"&amp;配置!$A$2&amp;"':"&amp;表1_86121822242654[[#This Row],[补偿辎重]]&amp;"},"</f>
        <v>{'coin':1000,'item036':10},</v>
      </c>
      <c r="Y22" s="34" t="str">
        <f t="shared" ref="Y22" si="4">"      },"</f>
        <v>      },</v>
      </c>
    </row>
    <row r="23" ht="14.25" customHeight="1" spans="1:25">
      <c r="A23" s="17">
        <v>5029</v>
      </c>
      <c r="B23" s="17">
        <f>VLOOKUP(表1_86121822242654[[#This Row],[区服]],$P$32:$Q$40,2,FALSE)</f>
        <v>41</v>
      </c>
      <c r="C23" s="18" t="s">
        <v>104</v>
      </c>
      <c r="D23" s="19" t="str">
        <f>表1_86121822242654[[#This Row],[目标国家]]</f>
        <v>魏</v>
      </c>
      <c r="E23" s="20">
        <f>(VLOOKUP(表1_86121822242654[[#This Row],[目标区服]],$R$32:$S$35,2,FALSE)-表1_86121822242654[[#This Row],[开服天数]])*配置!$B$1</f>
        <v>2000</v>
      </c>
      <c r="F23" s="20">
        <f>表1_86121822242654[[#This Row],[补偿Coin]]*(表1_86121822242654[[#This Row],[活跃高战玩家数]]+表1_86121822242654[[#This Row],[活跃中坚玩家数]])</f>
        <v>28000</v>
      </c>
      <c r="G23" s="20">
        <f>(VLOOKUP(表1_86121822242654[[#This Row],[目标区服]],$R$32:$S$35,2,FALSE)-表1_86121822242654[[#This Row],[开服天数]])*配置!$B$2</f>
        <v>20</v>
      </c>
      <c r="H23" s="19" t="s">
        <v>25</v>
      </c>
      <c r="I23" s="19">
        <f>IF(表1_86121822242654[[#This Row],[原国家]]="魏",0,IF(表1_86121822242654[[#This Row],[原国家]]="蜀",1,2))</f>
        <v>0</v>
      </c>
      <c r="J23" s="20">
        <v>2</v>
      </c>
      <c r="K23" s="20">
        <v>65</v>
      </c>
      <c r="L23" s="20">
        <v>3</v>
      </c>
      <c r="M23" s="20">
        <v>11</v>
      </c>
      <c r="N23" s="20">
        <v>71834</v>
      </c>
      <c r="O23" s="20">
        <v>1954643</v>
      </c>
      <c r="P23" s="26">
        <v>10093813</v>
      </c>
      <c r="Q23" s="496" t="s">
        <v>25</v>
      </c>
      <c r="R23" s="19">
        <f>IF(表1_86121822242654[[#This Row],[目标国家]]="魏",0,IF(表1_86121822242654[[#This Row],[目标国家]]="蜀",1,2))</f>
        <v>0</v>
      </c>
      <c r="S23" s="20">
        <v>18596</v>
      </c>
      <c r="T23" s="20">
        <v>0</v>
      </c>
      <c r="U23" s="20">
        <v>303619</v>
      </c>
      <c r="V23" s="20">
        <v>4882</v>
      </c>
      <c r="W23" s="32">
        <v>584605</v>
      </c>
      <c r="X23" s="33" t="str">
        <f>"{"&amp;"'coin':"&amp;表1_86121822242654[[#This Row],[补偿Coin]]&amp;",'"&amp;配置!$A$2&amp;"':"&amp;表1_86121822242654[[#This Row],[补偿辎重]]&amp;"},"</f>
        <v>{'coin':2000,'item036':20},</v>
      </c>
      <c r="Y23" s="34" t="str">
        <f>"      '"&amp;表1_86121822242654[[#This Row],[区服]]&amp;"':{"</f>
        <v>      '5029':{</v>
      </c>
    </row>
    <row r="24" ht="14.25" customHeight="1" spans="1:25">
      <c r="A24" s="17">
        <v>5029</v>
      </c>
      <c r="B24" s="17">
        <f>VLOOKUP(表1_86121822242654[[#This Row],[区服]],$P$32:$Q$40,2,FALSE)</f>
        <v>41</v>
      </c>
      <c r="C24" s="18" t="s">
        <v>104</v>
      </c>
      <c r="D24" s="19" t="str">
        <f>表1_86121822242654[[#This Row],[目标国家]]</f>
        <v>蜀</v>
      </c>
      <c r="E24" s="20">
        <f>(VLOOKUP(表1_86121822242654[[#This Row],[目标区服]],$R$32:$S$35,2,FALSE)-表1_86121822242654[[#This Row],[开服天数]])*配置!$B$1</f>
        <v>2000</v>
      </c>
      <c r="F24" s="20">
        <f>表1_86121822242654[[#This Row],[补偿Coin]]*(表1_86121822242654[[#This Row],[活跃高战玩家数]]+表1_86121822242654[[#This Row],[活跃中坚玩家数]])</f>
        <v>32000</v>
      </c>
      <c r="G24" s="20">
        <f>(VLOOKUP(表1_86121822242654[[#This Row],[目标区服]],$R$32:$S$35,2,FALSE)-表1_86121822242654[[#This Row],[开服天数]])*配置!$B$2</f>
        <v>20</v>
      </c>
      <c r="H24" s="19" t="s">
        <v>26</v>
      </c>
      <c r="I24" s="19">
        <f>IF(表1_86121822242654[[#This Row],[原国家]]="魏",0,IF(表1_86121822242654[[#This Row],[原国家]]="蜀",1,2))</f>
        <v>1</v>
      </c>
      <c r="J24" s="20">
        <v>3</v>
      </c>
      <c r="K24" s="20">
        <v>131</v>
      </c>
      <c r="L24" s="20">
        <v>2</v>
      </c>
      <c r="M24" s="20">
        <v>14</v>
      </c>
      <c r="N24" s="20">
        <v>77140</v>
      </c>
      <c r="O24" s="20">
        <v>1813267</v>
      </c>
      <c r="P24" s="26">
        <v>10755962</v>
      </c>
      <c r="Q24" s="496" t="s">
        <v>26</v>
      </c>
      <c r="R24" s="19">
        <f>IF(表1_86121822242654[[#This Row],[目标国家]]="魏",0,IF(表1_86121822242654[[#This Row],[目标国家]]="蜀",1,2))</f>
        <v>1</v>
      </c>
      <c r="S24" s="20">
        <v>19852</v>
      </c>
      <c r="T24" s="20">
        <v>0</v>
      </c>
      <c r="U24" s="20">
        <v>212702</v>
      </c>
      <c r="V24" s="20">
        <v>5586</v>
      </c>
      <c r="W24" s="32">
        <v>587926</v>
      </c>
      <c r="X24" s="33" t="str">
        <f>"{"&amp;"'coin':"&amp;表1_86121822242654[[#This Row],[补偿Coin]]&amp;",'"&amp;配置!$A$2&amp;"':"&amp;表1_86121822242654[[#This Row],[补偿辎重]]&amp;"},"</f>
        <v>{'coin':2000,'item036':20},</v>
      </c>
      <c r="Y24" s="34" t="str">
        <f>"            'to_zone':'"&amp;表1_86121822242654[[#This Row],[目标区服]]&amp;"',
            'reward':"&amp;表1_86121822242654[[#This Row],[辅助导出]]&amp;"
            'country':["&amp;R23&amp;","&amp;R24&amp;","&amp;R25&amp;"],"</f>
        <v>            'to_zone':'h1_513',
            'reward':{'coin':2000,'item036':20},
            'country':[0,1,2],</v>
      </c>
    </row>
    <row r="25" ht="14.25" customHeight="1" spans="1:25">
      <c r="A25" s="17">
        <v>5029</v>
      </c>
      <c r="B25" s="17">
        <f>VLOOKUP(表1_86121822242654[[#This Row],[区服]],$P$32:$Q$40,2,FALSE)</f>
        <v>41</v>
      </c>
      <c r="C25" s="18" t="s">
        <v>104</v>
      </c>
      <c r="D25" s="19" t="str">
        <f>表1_86121822242654[[#This Row],[目标国家]]</f>
        <v>吴</v>
      </c>
      <c r="E25" s="20">
        <f>(VLOOKUP(表1_86121822242654[[#This Row],[目标区服]],$R$32:$S$35,2,FALSE)-表1_86121822242654[[#This Row],[开服天数]])*配置!$B$1</f>
        <v>2000</v>
      </c>
      <c r="F25" s="20">
        <f>表1_86121822242654[[#This Row],[补偿Coin]]*(表1_86121822242654[[#This Row],[活跃高战玩家数]]+表1_86121822242654[[#This Row],[活跃中坚玩家数]])</f>
        <v>46000</v>
      </c>
      <c r="G25" s="20">
        <f>(VLOOKUP(表1_86121822242654[[#This Row],[目标区服]],$R$32:$S$35,2,FALSE)-表1_86121822242654[[#This Row],[开服天数]])*配置!$B$2</f>
        <v>20</v>
      </c>
      <c r="H25" s="19" t="s">
        <v>27</v>
      </c>
      <c r="I25" s="19">
        <f>IF(表1_86121822242654[[#This Row],[原国家]]="魏",0,IF(表1_86121822242654[[#This Row],[原国家]]="蜀",1,2))</f>
        <v>2</v>
      </c>
      <c r="J25" s="20">
        <v>4</v>
      </c>
      <c r="K25" s="20">
        <v>199</v>
      </c>
      <c r="L25" s="20">
        <v>5</v>
      </c>
      <c r="M25" s="20">
        <v>18</v>
      </c>
      <c r="N25" s="20">
        <v>130116</v>
      </c>
      <c r="O25" s="20">
        <v>1911696</v>
      </c>
      <c r="P25" s="26">
        <v>17359614</v>
      </c>
      <c r="Q25" s="496" t="s">
        <v>27</v>
      </c>
      <c r="R25" s="19">
        <f>IF(表1_86121822242654[[#This Row],[目标国家]]="魏",0,IF(表1_86121822242654[[#This Row],[目标国家]]="蜀",1,2))</f>
        <v>2</v>
      </c>
      <c r="S25" s="20">
        <v>26562</v>
      </c>
      <c r="T25" s="20">
        <v>0</v>
      </c>
      <c r="U25" s="20">
        <v>379894</v>
      </c>
      <c r="V25" s="20">
        <v>7675</v>
      </c>
      <c r="W25" s="32">
        <v>606496</v>
      </c>
      <c r="X25" s="33" t="str">
        <f>"{"&amp;"'coin':"&amp;表1_86121822242654[[#This Row],[补偿Coin]]&amp;",'"&amp;配置!$A$2&amp;"':"&amp;表1_86121822242654[[#This Row],[补偿辎重]]&amp;"},"</f>
        <v>{'coin':2000,'item036':20},</v>
      </c>
      <c r="Y25" s="34" t="str">
        <f t="shared" ref="Y25" si="5">"      },"</f>
        <v>      },</v>
      </c>
    </row>
    <row r="26" ht="14.25" customHeight="1" spans="1:25">
      <c r="A26" s="500">
        <v>5030</v>
      </c>
      <c r="B26" s="17">
        <f>VLOOKUP(表1_86121822242654[[#This Row],[区服]],$P$32:$Q$40,2,FALSE)</f>
        <v>40</v>
      </c>
      <c r="C26" s="18" t="s">
        <v>104</v>
      </c>
      <c r="D26" s="19" t="str">
        <f>表1_86121822242654[[#This Row],[目标国家]]</f>
        <v>魏</v>
      </c>
      <c r="E26" s="20">
        <f>(VLOOKUP(表1_86121822242654[[#This Row],[目标区服]],$R$32:$S$35,2,FALSE)-表1_86121822242654[[#This Row],[开服天数]])*配置!$B$1</f>
        <v>2500</v>
      </c>
      <c r="F26" s="20">
        <f>表1_86121822242654[[#This Row],[补偿Coin]]*(表1_86121822242654[[#This Row],[活跃高战玩家数]]+表1_86121822242654[[#This Row],[活跃中坚玩家数]])</f>
        <v>35000</v>
      </c>
      <c r="G26" s="20">
        <f>(VLOOKUP(表1_86121822242654[[#This Row],[目标区服]],$R$32:$S$35,2,FALSE)-表1_86121822242654[[#This Row],[开服天数]])*配置!$B$2</f>
        <v>25</v>
      </c>
      <c r="H26" s="19" t="s">
        <v>25</v>
      </c>
      <c r="I26" s="19">
        <f>IF(表1_86121822242654[[#This Row],[原国家]]="魏",0,IF(表1_86121822242654[[#This Row],[原国家]]="蜀",1,2))</f>
        <v>0</v>
      </c>
      <c r="J26" s="20">
        <v>2</v>
      </c>
      <c r="K26" s="20">
        <v>65</v>
      </c>
      <c r="L26" s="20">
        <v>3</v>
      </c>
      <c r="M26" s="20">
        <v>11</v>
      </c>
      <c r="N26" s="20">
        <v>71834</v>
      </c>
      <c r="O26" s="20">
        <v>1954643</v>
      </c>
      <c r="P26" s="26">
        <v>10093813</v>
      </c>
      <c r="Q26" s="496" t="s">
        <v>25</v>
      </c>
      <c r="R26" s="19">
        <f>IF(表1_86121822242654[[#This Row],[目标国家]]="魏",0,IF(表1_86121822242654[[#This Row],[目标国家]]="蜀",1,2))</f>
        <v>0</v>
      </c>
      <c r="S26" s="20">
        <v>18596</v>
      </c>
      <c r="T26" s="20">
        <v>0</v>
      </c>
      <c r="U26" s="20">
        <v>303619</v>
      </c>
      <c r="V26" s="20">
        <v>4882</v>
      </c>
      <c r="W26" s="32">
        <v>584605</v>
      </c>
      <c r="X26" s="33" t="str">
        <f>"{"&amp;"'coin':"&amp;表1_86121822242654[[#This Row],[补偿Coin]]&amp;",'"&amp;配置!$A$2&amp;"':"&amp;表1_86121822242654[[#This Row],[补偿辎重]]&amp;"},"</f>
        <v>{'coin':2500,'item036':25},</v>
      </c>
      <c r="Y26" s="34" t="str">
        <f>"      '"&amp;表1_86121822242654[[#This Row],[区服]]&amp;"':{"</f>
        <v>      '5030':{</v>
      </c>
    </row>
    <row r="27" ht="14.25" customHeight="1" spans="1:25">
      <c r="A27" s="500">
        <v>5030</v>
      </c>
      <c r="B27" s="17">
        <f>VLOOKUP(表1_86121822242654[[#This Row],[区服]],$P$32:$Q$40,2,FALSE)</f>
        <v>40</v>
      </c>
      <c r="C27" s="18" t="s">
        <v>104</v>
      </c>
      <c r="D27" s="19" t="str">
        <f>表1_86121822242654[[#This Row],[目标国家]]</f>
        <v>蜀</v>
      </c>
      <c r="E27" s="20">
        <f>(VLOOKUP(表1_86121822242654[[#This Row],[目标区服]],$R$32:$S$35,2,FALSE)-表1_86121822242654[[#This Row],[开服天数]])*配置!$B$1</f>
        <v>2500</v>
      </c>
      <c r="F27" s="20">
        <f>表1_86121822242654[[#This Row],[补偿Coin]]*(表1_86121822242654[[#This Row],[活跃高战玩家数]]+表1_86121822242654[[#This Row],[活跃中坚玩家数]])</f>
        <v>40000</v>
      </c>
      <c r="G27" s="20">
        <f>(VLOOKUP(表1_86121822242654[[#This Row],[目标区服]],$R$32:$S$35,2,FALSE)-表1_86121822242654[[#This Row],[开服天数]])*配置!$B$2</f>
        <v>25</v>
      </c>
      <c r="H27" s="19" t="s">
        <v>26</v>
      </c>
      <c r="I27" s="19">
        <f>IF(表1_86121822242654[[#This Row],[原国家]]="魏",0,IF(表1_86121822242654[[#This Row],[原国家]]="蜀",1,2))</f>
        <v>1</v>
      </c>
      <c r="J27" s="20">
        <v>3</v>
      </c>
      <c r="K27" s="20">
        <v>131</v>
      </c>
      <c r="L27" s="20">
        <v>2</v>
      </c>
      <c r="M27" s="20">
        <v>14</v>
      </c>
      <c r="N27" s="20">
        <v>77140</v>
      </c>
      <c r="O27" s="20">
        <v>1813267</v>
      </c>
      <c r="P27" s="26">
        <v>10755962</v>
      </c>
      <c r="Q27" s="496" t="s">
        <v>26</v>
      </c>
      <c r="R27" s="19">
        <f>IF(表1_86121822242654[[#This Row],[目标国家]]="魏",0,IF(表1_86121822242654[[#This Row],[目标国家]]="蜀",1,2))</f>
        <v>1</v>
      </c>
      <c r="S27" s="20">
        <v>19852</v>
      </c>
      <c r="T27" s="20">
        <v>0</v>
      </c>
      <c r="U27" s="20">
        <v>212702</v>
      </c>
      <c r="V27" s="20">
        <v>5586</v>
      </c>
      <c r="W27" s="32">
        <v>587926</v>
      </c>
      <c r="X27" s="33" t="str">
        <f>"{"&amp;"'coin':"&amp;表1_86121822242654[[#This Row],[补偿Coin]]&amp;",'"&amp;配置!$A$2&amp;"':"&amp;表1_86121822242654[[#This Row],[补偿辎重]]&amp;"},"</f>
        <v>{'coin':2500,'item036':25},</v>
      </c>
      <c r="Y27" s="34" t="str">
        <f>"            'to_zone':'"&amp;表1_86121822242654[[#This Row],[目标区服]]&amp;"',
            'reward':"&amp;表1_86121822242654[[#This Row],[辅助导出]]&amp;"
            'country':["&amp;R26&amp;","&amp;R27&amp;","&amp;R28&amp;"],"</f>
        <v>            'to_zone':'h1_513',
            'reward':{'coin':2500,'item036':25},
            'country':[0,1,0],</v>
      </c>
    </row>
    <row r="28" ht="14.25" customHeight="1" spans="1:25">
      <c r="A28" s="500">
        <v>5030</v>
      </c>
      <c r="B28" s="17">
        <f>VLOOKUP(表1_86121822242654[[#This Row],[区服]],$P$32:$Q$40,2,FALSE)</f>
        <v>40</v>
      </c>
      <c r="C28" s="18" t="s">
        <v>104</v>
      </c>
      <c r="D28" s="19" t="str">
        <f>表1_86121822242654[[#This Row],[目标国家]]</f>
        <v>魏</v>
      </c>
      <c r="E28" s="20">
        <f>(VLOOKUP(表1_86121822242654[[#This Row],[目标区服]],$R$32:$S$35,2,FALSE)-表1_86121822242654[[#This Row],[开服天数]])*配置!$B$1</f>
        <v>2500</v>
      </c>
      <c r="F28" s="20">
        <f>表1_86121822242654[[#This Row],[补偿Coin]]*(表1_86121822242654[[#This Row],[活跃高战玩家数]]+表1_86121822242654[[#This Row],[活跃中坚玩家数]])</f>
        <v>57500</v>
      </c>
      <c r="G28" s="20">
        <f>(VLOOKUP(表1_86121822242654[[#This Row],[目标区服]],$R$32:$S$35,2,FALSE)-表1_86121822242654[[#This Row],[开服天数]])*配置!$B$2</f>
        <v>25</v>
      </c>
      <c r="H28" s="19" t="s">
        <v>27</v>
      </c>
      <c r="I28" s="19">
        <f>IF(表1_86121822242654[[#This Row],[原国家]]="魏",0,IF(表1_86121822242654[[#This Row],[原国家]]="蜀",1,2))</f>
        <v>2</v>
      </c>
      <c r="J28" s="20">
        <v>4</v>
      </c>
      <c r="K28" s="20">
        <v>199</v>
      </c>
      <c r="L28" s="20">
        <v>5</v>
      </c>
      <c r="M28" s="20">
        <v>18</v>
      </c>
      <c r="N28" s="20">
        <v>130116</v>
      </c>
      <c r="O28" s="20">
        <v>1911696</v>
      </c>
      <c r="P28" s="26">
        <v>17359614</v>
      </c>
      <c r="Q28" s="496" t="s">
        <v>25</v>
      </c>
      <c r="R28" s="19">
        <f>IF(表1_86121822242654[[#This Row],[目标国家]]="魏",0,IF(表1_86121822242654[[#This Row],[目标国家]]="蜀",1,2))</f>
        <v>0</v>
      </c>
      <c r="S28" s="20">
        <v>26562</v>
      </c>
      <c r="T28" s="20">
        <v>0</v>
      </c>
      <c r="U28" s="20">
        <v>379894</v>
      </c>
      <c r="V28" s="20">
        <v>7675</v>
      </c>
      <c r="W28" s="32">
        <v>606496</v>
      </c>
      <c r="X28" s="33" t="str">
        <f>"{"&amp;"'coin':"&amp;表1_86121822242654[[#This Row],[补偿Coin]]&amp;",'"&amp;配置!$A$2&amp;"':"&amp;表1_86121822242654[[#This Row],[补偿辎重]]&amp;"},"</f>
        <v>{'coin':2500,'item036':25},</v>
      </c>
      <c r="Y28" s="34" t="str">
        <f t="shared" ref="Y28" si="6">"      },"</f>
        <v>      },</v>
      </c>
    </row>
    <row r="31" ht="37.5" customHeight="1" spans="1:19">
      <c r="A31" s="36" t="s">
        <v>28</v>
      </c>
      <c r="B31" s="37" t="s">
        <v>29</v>
      </c>
      <c r="C31" s="38" t="s">
        <v>30</v>
      </c>
      <c r="D31" s="38" t="s">
        <v>31</v>
      </c>
      <c r="E31" s="38" t="s">
        <v>32</v>
      </c>
      <c r="F31" s="38" t="s">
        <v>33</v>
      </c>
      <c r="G31" s="38" t="s">
        <v>15</v>
      </c>
      <c r="H31" s="37" t="s">
        <v>18</v>
      </c>
      <c r="I31" s="37" t="s">
        <v>19</v>
      </c>
      <c r="J31" s="37" t="s">
        <v>34</v>
      </c>
      <c r="K31" s="38" t="s">
        <v>35</v>
      </c>
      <c r="L31" s="38" t="s">
        <v>36</v>
      </c>
      <c r="M31" s="38" t="s">
        <v>37</v>
      </c>
      <c r="N31" s="38" t="s">
        <v>88</v>
      </c>
      <c r="P31" s="51" t="s">
        <v>0</v>
      </c>
      <c r="Q31" s="51" t="s">
        <v>1</v>
      </c>
      <c r="R31" s="51"/>
      <c r="S31" s="51" t="s">
        <v>38</v>
      </c>
    </row>
    <row r="32" ht="15.75" customHeight="1" spans="1:19">
      <c r="A32" s="39" t="s">
        <v>102</v>
      </c>
      <c r="B32" s="39" t="s">
        <v>25</v>
      </c>
      <c r="C32" s="39">
        <f>COUNTIFS(表1_86121822242654[目标区服],表2_97131923252755[[#This Row],[合区区服]],表1_86121822242654[目标国家（映射）],表2_97131923252755[[#This Row],[国家]])</f>
        <v>2</v>
      </c>
      <c r="D32" s="39">
        <f>SUMIFS(表1_86121822242654[活跃高战玩家数],表1_86121822242654[目标区服],表2_97131923252755[[#This Row],[合区区服]],表1_86121822242654[目标国家（映射）],表2_97131923252755[[#This Row],[国家]])</f>
        <v>10</v>
      </c>
      <c r="E32" s="39">
        <f>SUMIFS(表1_86121822242654[活跃中坚玩家数],表1_86121822242654[目标区服],表2_97131923252755[[#This Row],[合区区服]],表1_86121822242654[目标国家（映射）],表2_97131923252755[[#This Row],[国家]])</f>
        <v>26</v>
      </c>
      <c r="F32" s="39">
        <f t="array" ref="F32">MAX((表1_86121822242654[目标区服]=表2_97131923252755[[#This Row],[合区区服]])*(表1_86121822242654[目标国家（映射）]=表2_97131923252755[[#This Row],[国家]])*表1_86121822242654[活跃尖端战力])</f>
        <v>2556793</v>
      </c>
      <c r="G32" s="40">
        <f>SUMIFS(表1_86121822242654[活跃总战力],表1_86121822242654[目标区服],表2_97131923252755[[#This Row],[合区区服]],表1_86121822242654[目标国家（映射）],表2_97131923252755[[#This Row],[国家]])</f>
        <v>30925187</v>
      </c>
      <c r="H32" s="39">
        <f>SUMIFS(表1_86121822242654[活跃实际充值],表1_86121822242654[目标区服],表2_97131923252755[[#This Row],[合区区服]],表1_86121822242654[目标国家（映射）],表2_97131923252755[[#This Row],[国家]])</f>
        <v>60952</v>
      </c>
      <c r="I32" s="39">
        <f>SUMIFS(表1_86121822242654[活跃虚拟充值],表1_86121822242654[目标区服],表2_97131923252755[[#This Row],[合区区服]],表1_86121822242654[目标国家（映射）],表2_97131923252755[[#This Row],[国家]])</f>
        <v>0</v>
      </c>
      <c r="J32" s="39">
        <f>SUMIFS(表1_86121822242654[活跃Coin],表1_86121822242654[目标区服],表2_97131923252755[[#This Row],[合区区服]],表1_86121822242654[目标国家（映射）],表2_97131923252755[[#This Row],[国家]])</f>
        <v>763128</v>
      </c>
      <c r="K32" s="39">
        <f>SUMIFS(表1_86121822242654[共计补偿Coin],表1_86121822242654[目标区服],表2_97131923252755[[#This Row],[合区区服]],表1_86121822242654[目标国家（映射）],表2_97131923252755[[#This Row],[国家]])</f>
        <v>41000</v>
      </c>
      <c r="L32" s="39">
        <f>表2_97131923252755[[#This Row],[活跃Coin]]+表2_97131923252755[[#This Row],[共计补偿Coin]]</f>
        <v>804128</v>
      </c>
      <c r="M32" s="39">
        <f>SUMIFS(表1_86121822242654[综合国力],表1_86121822242654[目标区服],表2_97131923252755[[#This Row],[合区区服]],表1_86121822242654[目标国家（映射）],表2_97131923252755[[#This Row],[国家]])</f>
        <v>14955</v>
      </c>
      <c r="N32" s="39">
        <f t="array" ref="N32">MAX((表1_86121822242654[目标区服]=表2_97131923252755[[#This Row],[合区区服]])*(表1_86121822242654[目标国家（映射）]=表2_97131923252755[[#This Row],[国家]])*表1_86121822242654[单将最高战力])</f>
        <v>887144</v>
      </c>
      <c r="P32" s="51">
        <v>5022</v>
      </c>
      <c r="Q32" s="51">
        <v>49</v>
      </c>
      <c r="R32" s="51" t="s">
        <v>102</v>
      </c>
      <c r="S32" s="51">
        <v>51</v>
      </c>
    </row>
    <row r="33" ht="15" spans="1:19">
      <c r="A33" s="39" t="s">
        <v>102</v>
      </c>
      <c r="B33" s="39" t="s">
        <v>26</v>
      </c>
      <c r="C33" s="39">
        <f>COUNTIFS(表1_86121822242654[目标区服],表2_97131923252755[[#This Row],[合区区服]],表1_86121822242654[目标国家（映射）],表2_97131923252755[[#This Row],[国家]])</f>
        <v>2</v>
      </c>
      <c r="D33" s="39">
        <f>SUMIFS(表1_86121822242654[活跃高战玩家数],表1_86121822242654[目标区服],表2_97131923252755[[#This Row],[合区区服]],表1_86121822242654[目标国家（映射）],表2_97131923252755[[#This Row],[国家]])</f>
        <v>13</v>
      </c>
      <c r="E33" s="39">
        <f>SUMIFS(表1_86121822242654[活跃中坚玩家数],表1_86121822242654[目标区服],表2_97131923252755[[#This Row],[合区区服]],表1_86121822242654[目标国家（映射）],表2_97131923252755[[#This Row],[国家]])</f>
        <v>30</v>
      </c>
      <c r="F33" s="39">
        <f t="array" ref="F33">MAX((表1_86121822242654[目标区服]=表2_97131923252755[[#This Row],[合区区服]])*(表1_86121822242654[目标国家（映射）]=表2_97131923252755[[#This Row],[国家]])*表1_86121822242654[活跃尖端战力])</f>
        <v>2202430</v>
      </c>
      <c r="G33" s="40">
        <f>SUMIFS(表1_86121822242654[活跃总战力],表1_86121822242654[目标区服],表2_97131923252755[[#This Row],[合区区服]],表1_86121822242654[目标国家（映射）],表2_97131923252755[[#This Row],[国家]])</f>
        <v>38767558</v>
      </c>
      <c r="H33" s="39">
        <f>SUMIFS(表1_86121822242654[活跃实际充值],表1_86121822242654[目标区服],表2_97131923252755[[#This Row],[合区区服]],表1_86121822242654[目标国家（映射）],表2_97131923252755[[#This Row],[国家]])</f>
        <v>69874</v>
      </c>
      <c r="I33" s="39">
        <f>SUMIFS(表1_86121822242654[活跃虚拟充值],表1_86121822242654[目标区服],表2_97131923252755[[#This Row],[合区区服]],表1_86121822242654[目标国家（映射）],表2_97131923252755[[#This Row],[国家]])</f>
        <v>0</v>
      </c>
      <c r="J33" s="39">
        <f>SUMIFS(表1_86121822242654[活跃Coin],表1_86121822242654[目标区服],表2_97131923252755[[#This Row],[合区区服]],表1_86121822242654[目标国家（映射）],表2_97131923252755[[#This Row],[国家]])</f>
        <v>1089711</v>
      </c>
      <c r="K33" s="39">
        <f>SUMIFS(表1_86121822242654[共计补偿Coin],表1_86121822242654[目标区服],表2_97131923252755[[#This Row],[合区区服]],表1_86121822242654[目标国家（映射）],表2_97131923252755[[#This Row],[国家]])</f>
        <v>74000</v>
      </c>
      <c r="L33" s="39">
        <f>表2_97131923252755[[#This Row],[活跃Coin]]+表2_97131923252755[[#This Row],[共计补偿Coin]]</f>
        <v>1163711</v>
      </c>
      <c r="M33" s="39">
        <f>SUMIFS(表1_86121822242654[综合国力],表1_86121822242654[目标区服],表2_97131923252755[[#This Row],[合区区服]],表1_86121822242654[目标国家（映射）],表2_97131923252755[[#This Row],[国家]])</f>
        <v>18815</v>
      </c>
      <c r="N33" s="39">
        <f t="array" ref="N33">MAX((表1_86121822242654[目标区服]=表2_97131923252755[[#This Row],[合区区服]])*(表1_86121822242654[目标国家（映射）]=表2_97131923252755[[#This Row],[国家]])*表1_86121822242654[单将最高战力])</f>
        <v>622948</v>
      </c>
      <c r="P33" s="51">
        <v>5023</v>
      </c>
      <c r="Q33" s="51">
        <v>48</v>
      </c>
      <c r="R33" s="51" t="s">
        <v>103</v>
      </c>
      <c r="S33" s="51">
        <v>48</v>
      </c>
    </row>
    <row r="34" ht="15" spans="1:19">
      <c r="A34" s="39" t="s">
        <v>102</v>
      </c>
      <c r="B34" s="39" t="s">
        <v>27</v>
      </c>
      <c r="C34" s="39">
        <f>COUNTIFS(表1_86121822242654[目标区服],表2_97131923252755[[#This Row],[合区区服]],表1_86121822242654[目标国家（映射）],表2_97131923252755[[#This Row],[国家]])</f>
        <v>5</v>
      </c>
      <c r="D34" s="39">
        <f>SUMIFS(表1_86121822242654[活跃高战玩家数],表1_86121822242654[目标区服],表2_97131923252755[[#This Row],[合区区服]],表1_86121822242654[目标国家（映射）],表2_97131923252755[[#This Row],[国家]])</f>
        <v>4</v>
      </c>
      <c r="E34" s="39">
        <f>SUMIFS(表1_86121822242654[活跃中坚玩家数],表1_86121822242654[目标区服],表2_97131923252755[[#This Row],[合区区服]],表1_86121822242654[目标国家（映射）],表2_97131923252755[[#This Row],[国家]])</f>
        <v>59</v>
      </c>
      <c r="F34" s="39">
        <f t="array" ref="F34">MAX((表1_86121822242654[目标区服]=表2_97131923252755[[#This Row],[合区区服]])*(表1_86121822242654[目标国家（映射）]=表2_97131923252755[[#This Row],[国家]])*表1_86121822242654[活跃尖端战力])</f>
        <v>2220257</v>
      </c>
      <c r="G34" s="40">
        <f>SUMIFS(表1_86121822242654[活跃总战力],表1_86121822242654[目标区服],表2_97131923252755[[#This Row],[合区区服]],表1_86121822242654[目标国家（映射）],表2_97131923252755[[#This Row],[国家]])</f>
        <v>35913947</v>
      </c>
      <c r="H34" s="39">
        <f>SUMIFS(表1_86121822242654[活跃实际充值],表1_86121822242654[目标区服],表2_97131923252755[[#This Row],[合区区服]],表1_86121822242654[目标国家（映射）],表2_97131923252755[[#This Row],[国家]])</f>
        <v>50894</v>
      </c>
      <c r="I34" s="39">
        <f>SUMIFS(表1_86121822242654[活跃虚拟充值],表1_86121822242654[目标区服],表2_97131923252755[[#This Row],[合区区服]],表1_86121822242654[目标国家（映射）],表2_97131923252755[[#This Row],[国家]])</f>
        <v>0</v>
      </c>
      <c r="J34" s="39">
        <f>SUMIFS(表1_86121822242654[活跃Coin],表1_86121822242654[目标区服],表2_97131923252755[[#This Row],[合区区服]],表1_86121822242654[目标国家（映射）],表2_97131923252755[[#This Row],[国家]])</f>
        <v>933598</v>
      </c>
      <c r="K34" s="39">
        <f>SUMIFS(表1_86121822242654[共计补偿Coin],表1_86121822242654[目标区服],表2_97131923252755[[#This Row],[合区区服]],表1_86121822242654[目标国家（映射）],表2_97131923252755[[#This Row],[国家]])</f>
        <v>92500</v>
      </c>
      <c r="L34" s="39">
        <f>表2_97131923252755[[#This Row],[活跃Coin]]+表2_97131923252755[[#This Row],[共计补偿Coin]]</f>
        <v>1026098</v>
      </c>
      <c r="M34" s="39">
        <f>SUMIFS(表1_86121822242654[综合国力],表1_86121822242654[目标区服],表2_97131923252755[[#This Row],[合区区服]],表1_86121822242654[目标国家（映射）],表2_97131923252755[[#This Row],[国家]])</f>
        <v>16228</v>
      </c>
      <c r="N34" s="39">
        <f t="array" ref="N34">MAX((表1_86121822242654[目标区服]=表2_97131923252755[[#This Row],[合区区服]])*(表1_86121822242654[目标国家（映射）]=表2_97131923252755[[#This Row],[国家]])*表1_86121822242654[单将最高战力])</f>
        <v>646491</v>
      </c>
      <c r="P34" s="51">
        <v>5024</v>
      </c>
      <c r="Q34" s="51">
        <v>47</v>
      </c>
      <c r="R34" s="51" t="s">
        <v>104</v>
      </c>
      <c r="S34" s="51">
        <v>45</v>
      </c>
    </row>
    <row r="35" ht="15" spans="1:19">
      <c r="A35" s="41" t="s">
        <v>103</v>
      </c>
      <c r="B35" s="41" t="s">
        <v>25</v>
      </c>
      <c r="C35" s="41">
        <f>COUNTIFS(表1_86121822242654[目标区服],表2_97131923252755[[#This Row],[合区区服]],表1_86121822242654[目标国家（映射）],表2_97131923252755[[#This Row],[国家]])</f>
        <v>4</v>
      </c>
      <c r="D35" s="41">
        <f>SUMIFS(表1_86121822242654[活跃高战玩家数],表1_86121822242654[目标区服],表2_97131923252755[[#This Row],[合区区服]],表1_86121822242654[目标国家（映射）],表2_97131923252755[[#This Row],[国家]])</f>
        <v>8</v>
      </c>
      <c r="E35" s="41">
        <f>SUMIFS(表1_86121822242654[活跃中坚玩家数],表1_86121822242654[目标区服],表2_97131923252755[[#This Row],[合区区服]],表1_86121822242654[目标国家（映射）],表2_97131923252755[[#This Row],[国家]])</f>
        <v>41</v>
      </c>
      <c r="F35" s="41">
        <f t="array" ref="F35">MAX((表1_86121822242654[目标区服]=表2_97131923252755[[#This Row],[合区区服]])*(表1_86121822242654[目标国家（映射）]=表2_97131923252755[[#This Row],[国家]])*表1_86121822242654[活跃尖端战力])</f>
        <v>2390229</v>
      </c>
      <c r="G35" s="42">
        <f>SUMIFS(表1_86121822242654[活跃总战力],表1_86121822242654[目标区服],表2_97131923252755[[#This Row],[合区区服]],表1_86121822242654[目标国家（映射）],表2_97131923252755[[#This Row],[国家]])</f>
        <v>33785590</v>
      </c>
      <c r="H35" s="41">
        <f>SUMIFS(表1_86121822242654[活跃实际充值],表1_86121822242654[目标区服],表2_97131923252755[[#This Row],[合区区服]],表1_86121822242654[目标国家（映射）],表2_97131923252755[[#This Row],[国家]])</f>
        <v>73100</v>
      </c>
      <c r="I35" s="41">
        <f>SUMIFS(表1_86121822242654[活跃虚拟充值],表1_86121822242654[目标区服],表2_97131923252755[[#This Row],[合区区服]],表1_86121822242654[目标国家（映射）],表2_97131923252755[[#This Row],[国家]])</f>
        <v>0</v>
      </c>
      <c r="J35" s="41">
        <f>SUMIFS(表1_86121822242654[活跃Coin],表1_86121822242654[目标区服],表2_97131923252755[[#This Row],[合区区服]],表1_86121822242654[目标国家（映射）],表2_97131923252755[[#This Row],[国家]])</f>
        <v>711817</v>
      </c>
      <c r="K35" s="41">
        <f>SUMIFS(表1_86121822242654[共计补偿Coin],表1_86121822242654[目标区服],表2_97131923252755[[#This Row],[合区区服]],表1_86121822242654[目标国家（映射）],表2_97131923252755[[#This Row],[国家]])</f>
        <v>91000</v>
      </c>
      <c r="L35" s="41">
        <f>表2_97131923252755[[#This Row],[活跃Coin]]+表2_97131923252755[[#This Row],[共计补偿Coin]]</f>
        <v>802817</v>
      </c>
      <c r="M35" s="41">
        <f>SUMIFS(表1_86121822242654[综合国力],表1_86121822242654[目标区服],表2_97131923252755[[#This Row],[合区区服]],表1_86121822242654[目标国家（映射）],表2_97131923252755[[#This Row],[国家]])</f>
        <v>18042</v>
      </c>
      <c r="N35" s="41">
        <f t="array" ref="N35">MAX((表1_86121822242654[目标区服]=表2_97131923252755[[#This Row],[合区区服]])*(表1_86121822242654[目标国家（映射）]=表2_97131923252755[[#This Row],[国家]])*表1_86121822242654[单将最高战力])</f>
        <v>711331</v>
      </c>
      <c r="P35" s="51">
        <v>5025</v>
      </c>
      <c r="Q35" s="51">
        <v>46</v>
      </c>
      <c r="R35" s="51"/>
      <c r="S35" s="51"/>
    </row>
    <row r="36" ht="15" spans="1:17">
      <c r="A36" s="41" t="s">
        <v>103</v>
      </c>
      <c r="B36" s="41" t="s">
        <v>26</v>
      </c>
      <c r="C36" s="41">
        <f>COUNTIFS(表1_86121822242654[目标区服],表2_97131923252755[[#This Row],[合区区服]],表1_86121822242654[目标国家（映射）],表2_97131923252755[[#This Row],[国家]])</f>
        <v>3</v>
      </c>
      <c r="D36" s="41">
        <f>SUMIFS(表1_86121822242654[活跃高战玩家数],表1_86121822242654[目标区服],表2_97131923252755[[#This Row],[合区区服]],表1_86121822242654[目标国家（映射）],表2_97131923252755[[#This Row],[国家]])</f>
        <v>8</v>
      </c>
      <c r="E36" s="41">
        <f>SUMIFS(表1_86121822242654[活跃中坚玩家数],表1_86121822242654[目标区服],表2_97131923252755[[#This Row],[合区区服]],表1_86121822242654[目标国家（映射）],表2_97131923252755[[#This Row],[国家]])</f>
        <v>28</v>
      </c>
      <c r="F36" s="41">
        <f t="array" ref="F36">MAX((表1_86121822242654[目标区服]=表2_97131923252755[[#This Row],[合区区服]])*(表1_86121822242654[目标国家（映射）]=表2_97131923252755[[#This Row],[国家]])*表1_86121822242654[活跃尖端战力])</f>
        <v>2415459</v>
      </c>
      <c r="G36" s="42">
        <f>SUMIFS(表1_86121822242654[活跃总战力],表1_86121822242654[目标区服],表2_97131923252755[[#This Row],[合区区服]],表1_86121822242654[目标国家（映射）],表2_97131923252755[[#This Row],[国家]])</f>
        <v>28004593</v>
      </c>
      <c r="H36" s="41">
        <f>SUMIFS(表1_86121822242654[活跃实际充值],表1_86121822242654[目标区服],表2_97131923252755[[#This Row],[合区区服]],表1_86121822242654[目标国家（映射）],表2_97131923252755[[#This Row],[国家]])</f>
        <v>79316</v>
      </c>
      <c r="I36" s="41">
        <f>SUMIFS(表1_86121822242654[活跃虚拟充值],表1_86121822242654[目标区服],表2_97131923252755[[#This Row],[合区区服]],表1_86121822242654[目标国家（映射）],表2_97131923252755[[#This Row],[国家]])</f>
        <v>0</v>
      </c>
      <c r="J36" s="41">
        <f>SUMIFS(表1_86121822242654[活跃Coin],表1_86121822242654[目标区服],表2_97131923252755[[#This Row],[合区区服]],表1_86121822242654[目标国家（映射）],表2_97131923252755[[#This Row],[国家]])</f>
        <v>441223</v>
      </c>
      <c r="K36" s="41">
        <f>SUMIFS(表1_86121822242654[共计补偿Coin],表1_86121822242654[目标区服],表2_97131923252755[[#This Row],[合区区服]],表1_86121822242654[目标国家（映射）],表2_97131923252755[[#This Row],[国家]])</f>
        <v>56000</v>
      </c>
      <c r="L36" s="41">
        <f>表2_97131923252755[[#This Row],[活跃Coin]]+表2_97131923252755[[#This Row],[共计补偿Coin]]</f>
        <v>497223</v>
      </c>
      <c r="M36" s="41">
        <f>SUMIFS(表1_86121822242654[综合国力],表1_86121822242654[目标区服],表2_97131923252755[[#This Row],[合区区服]],表1_86121822242654[目标国家（映射）],表2_97131923252755[[#This Row],[国家]])</f>
        <v>15288</v>
      </c>
      <c r="N36" s="41">
        <f t="array" ref="N36">MAX((表1_86121822242654[目标区服]=表2_97131923252755[[#This Row],[合区区服]])*(表1_86121822242654[目标国家（映射）]=表2_97131923252755[[#This Row],[国家]])*表1_86121822242654[单将最高战力])</f>
        <v>755373</v>
      </c>
      <c r="P36" s="51">
        <v>5026</v>
      </c>
      <c r="Q36" s="51">
        <v>45</v>
      </c>
    </row>
    <row r="37" ht="15" spans="1:17">
      <c r="A37" s="41" t="s">
        <v>103</v>
      </c>
      <c r="B37" s="43" t="s">
        <v>27</v>
      </c>
      <c r="C37" s="43">
        <f>COUNTIFS(表1_86121822242654[目标区服],表2_97131923252755[[#This Row],[合区区服]],表1_86121822242654[目标国家（映射）],表2_97131923252755[[#This Row],[国家]])</f>
        <v>2</v>
      </c>
      <c r="D37" s="43">
        <f>SUMIFS(表1_86121822242654[活跃高战玩家数],表1_86121822242654[目标区服],表2_97131923252755[[#This Row],[合区区服]],表1_86121822242654[目标国家（映射）],表2_97131923252755[[#This Row],[国家]])</f>
        <v>13</v>
      </c>
      <c r="E37" s="43">
        <f>SUMIFS(表1_86121822242654[活跃中坚玩家数],表1_86121822242654[目标区服],表2_97131923252755[[#This Row],[合区区服]],表1_86121822242654[目标国家（映射）],表2_97131923252755[[#This Row],[国家]])</f>
        <v>22</v>
      </c>
      <c r="F37" s="43">
        <f t="array" ref="F37">MAX((表1_86121822242654[目标区服]=表2_97131923252755[[#This Row],[合区区服]])*(表1_86121822242654[目标国家（映射）]=表2_97131923252755[[#This Row],[国家]])*表1_86121822242654[活跃尖端战力])</f>
        <v>2575735</v>
      </c>
      <c r="G37" s="44">
        <f>SUMIFS(表1_86121822242654[活跃总战力],表1_86121822242654[目标区服],表2_97131923252755[[#This Row],[合区区服]],表1_86121822242654[目标国家（映射）],表2_97131923252755[[#This Row],[国家]])</f>
        <v>31331139</v>
      </c>
      <c r="H37" s="43">
        <f>SUMIFS(表1_86121822242654[活跃实际充值],表1_86121822242654[目标区服],表2_97131923252755[[#This Row],[合区区服]],表1_86121822242654[目标国家（映射）],表2_97131923252755[[#This Row],[国家]])</f>
        <v>60014</v>
      </c>
      <c r="I37" s="43">
        <f>SUMIFS(表1_86121822242654[活跃虚拟充值],表1_86121822242654[目标区服],表2_97131923252755[[#This Row],[合区区服]],表1_86121822242654[目标国家（映射）],表2_97131923252755[[#This Row],[国家]])</f>
        <v>0</v>
      </c>
      <c r="J37" s="43">
        <f>SUMIFS(表1_86121822242654[活跃Coin],表1_86121822242654[目标区服],表2_97131923252755[[#This Row],[合区区服]],表1_86121822242654[目标国家（映射）],表2_97131923252755[[#This Row],[国家]])</f>
        <v>631239</v>
      </c>
      <c r="K37" s="43">
        <f>SUMIFS(表1_86121822242654[共计补偿Coin],表1_86121822242654[目标区服],表2_97131923252755[[#This Row],[合区区服]],表1_86121822242654[目标国家（映射）],表2_97131923252755[[#This Row],[国家]])</f>
        <v>46500</v>
      </c>
      <c r="L37" s="43">
        <f>表2_97131923252755[[#This Row],[活跃Coin]]+表2_97131923252755[[#This Row],[共计补偿Coin]]</f>
        <v>677739</v>
      </c>
      <c r="M37" s="43">
        <f>SUMIFS(表1_86121822242654[综合国力],表1_86121822242654[目标区服],表2_97131923252755[[#This Row],[合区区服]],表1_86121822242654[目标国家（映射）],表2_97131923252755[[#This Row],[国家]])</f>
        <v>17745</v>
      </c>
      <c r="N37" s="41">
        <f t="array" ref="N37">MAX((表1_86121822242654[目标区服]=表2_97131923252755[[#This Row],[合区区服]])*(表1_86121822242654[目标国家（映射）]=表2_97131923252755[[#This Row],[国家]])*表1_86121822242654[单将最高战力])</f>
        <v>708605</v>
      </c>
      <c r="P37" s="51">
        <v>5027</v>
      </c>
      <c r="Q37" s="51">
        <v>44</v>
      </c>
    </row>
    <row r="38" ht="15" spans="1:17">
      <c r="A38" s="45" t="s">
        <v>104</v>
      </c>
      <c r="B38" s="46" t="s">
        <v>25</v>
      </c>
      <c r="C38" s="46">
        <f>COUNTIFS(表1_86121822242654[目标区服],表2_97131923252755[[#This Row],[合区区服]],表1_86121822242654[目标国家（映射）],表2_97131923252755[[#This Row],[国家]])</f>
        <v>3</v>
      </c>
      <c r="D38" s="46">
        <f>SUMIFS(表1_86121822242654[活跃高战玩家数],表1_86121822242654[目标区服],表2_97131923252755[[#This Row],[合区区服]],表1_86121822242654[目标国家（映射）],表2_97131923252755[[#This Row],[国家]])</f>
        <v>11</v>
      </c>
      <c r="E38" s="46">
        <f>SUMIFS(表1_86121822242654[活跃中坚玩家数],表1_86121822242654[目标区服],表2_97131923252755[[#This Row],[合区区服]],表1_86121822242654[目标国家（映射）],表2_97131923252755[[#This Row],[国家]])</f>
        <v>40</v>
      </c>
      <c r="F38" s="46">
        <f t="array" ref="F38">MAX((表1_86121822242654[目标区服]=表2_97131923252755[[#This Row],[合区区服]])*(表1_86121822242654[目标国家（映射）]=表2_97131923252755[[#This Row],[国家]])*表1_86121822242654[活跃尖端战力])</f>
        <v>1954643</v>
      </c>
      <c r="G38" s="47">
        <f>SUMIFS(表1_86121822242654[活跃总战力],表1_86121822242654[目标区服],表2_97131923252755[[#This Row],[合区区服]],表1_86121822242654[目标国家（映射）],表2_97131923252755[[#This Row],[国家]])</f>
        <v>37547240</v>
      </c>
      <c r="H38" s="46">
        <f>SUMIFS(表1_86121822242654[活跃实际充值],表1_86121822242654[目标区服],表2_97131923252755[[#This Row],[合区区服]],表1_86121822242654[目标国家（映射）],表2_97131923252755[[#This Row],[国家]])</f>
        <v>63754</v>
      </c>
      <c r="I38" s="46">
        <f>SUMIFS(表1_86121822242654[活跃虚拟充值],表1_86121822242654[目标区服],表2_97131923252755[[#This Row],[合区区服]],表1_86121822242654[目标国家（映射）],表2_97131923252755[[#This Row],[国家]])</f>
        <v>0</v>
      </c>
      <c r="J38" s="46">
        <f>SUMIFS(表1_86121822242654[活跃Coin],表1_86121822242654[目标区服],表2_97131923252755[[#This Row],[合区区服]],表1_86121822242654[目标国家（映射）],表2_97131923252755[[#This Row],[国家]])</f>
        <v>987132</v>
      </c>
      <c r="K38" s="46">
        <f>SUMIFS(表1_86121822242654[共计补偿Coin],表1_86121822242654[目标区服],表2_97131923252755[[#This Row],[合区区服]],表1_86121822242654[目标国家（映射）],表2_97131923252755[[#This Row],[国家]])</f>
        <v>120500</v>
      </c>
      <c r="L38" s="46">
        <f>表2_97131923252755[[#This Row],[活跃Coin]]+表2_97131923252755[[#This Row],[共计补偿Coin]]</f>
        <v>1107632</v>
      </c>
      <c r="M38" s="46">
        <f>SUMIFS(表1_86121822242654[综合国力],表1_86121822242654[目标区服],表2_97131923252755[[#This Row],[合区区服]],表1_86121822242654[目标国家（映射）],表2_97131923252755[[#This Row],[国家]])</f>
        <v>17439</v>
      </c>
      <c r="N38" s="46">
        <f t="array" ref="N38">MAX((表1_86121822242654[目标区服]=表2_97131923252755[[#This Row],[合区区服]])*(表1_86121822242654[目标国家（映射）]=表2_97131923252755[[#This Row],[国家]])*表1_86121822242654[单将最高战力])</f>
        <v>606496</v>
      </c>
      <c r="P38" s="51">
        <v>5028</v>
      </c>
      <c r="Q38" s="51">
        <v>43</v>
      </c>
    </row>
    <row r="39" ht="15" spans="1:17">
      <c r="A39" s="45" t="s">
        <v>104</v>
      </c>
      <c r="B39" s="46" t="s">
        <v>26</v>
      </c>
      <c r="C39" s="46">
        <f>COUNTIFS(表1_86121822242654[目标区服],表2_97131923252755[[#This Row],[合区区服]],表1_86121822242654[目标国家（映射）],表2_97131923252755[[#This Row],[国家]])</f>
        <v>3</v>
      </c>
      <c r="D39" s="46">
        <f>SUMIFS(表1_86121822242654[活跃高战玩家数],表1_86121822242654[目标区服],表2_97131923252755[[#This Row],[合区区服]],表1_86121822242654[目标国家（映射）],表2_97131923252755[[#This Row],[国家]])</f>
        <v>9</v>
      </c>
      <c r="E39" s="46">
        <f>SUMIFS(表1_86121822242654[活跃中坚玩家数],表1_86121822242654[目标区服],表2_97131923252755[[#This Row],[合区区服]],表1_86121822242654[目标国家（映射）],表2_97131923252755[[#This Row],[国家]])</f>
        <v>46</v>
      </c>
      <c r="F39" s="46">
        <f t="array" ref="F39">MAX((表1_86121822242654[目标区服]=表2_97131923252755[[#This Row],[合区区服]])*(表1_86121822242654[目标国家（映射）]=表2_97131923252755[[#This Row],[国家]])*表1_86121822242654[活跃尖端战力])</f>
        <v>2406584</v>
      </c>
      <c r="G39" s="47">
        <f>SUMIFS(表1_86121822242654[活跃总战力],表1_86121822242654[目标区服],表2_97131923252755[[#This Row],[合区区服]],表1_86121822242654[目标国家（映射）],表2_97131923252755[[#This Row],[国家]])</f>
        <v>40172325</v>
      </c>
      <c r="H39" s="46">
        <f>SUMIFS(表1_86121822242654[活跃实际充值],表1_86121822242654[目标区服],表2_97131923252755[[#This Row],[合区区服]],表1_86121822242654[目标国家（映射）],表2_97131923252755[[#This Row],[国家]])</f>
        <v>103980</v>
      </c>
      <c r="I39" s="46">
        <f>SUMIFS(表1_86121822242654[活跃虚拟充值],表1_86121822242654[目标区服],表2_97131923252755[[#This Row],[合区区服]],表1_86121822242654[目标国家（映射）],表2_97131923252755[[#This Row],[国家]])</f>
        <v>0</v>
      </c>
      <c r="J39" s="46">
        <f>SUMIFS(表1_86121822242654[活跃Coin],表1_86121822242654[目标区服],表2_97131923252755[[#This Row],[合区区服]],表1_86121822242654[目标国家（映射）],表2_97131923252755[[#This Row],[国家]])</f>
        <v>907375</v>
      </c>
      <c r="K39" s="46">
        <f>SUMIFS(表1_86121822242654[共计补偿Coin],表1_86121822242654[目标区服],表2_97131923252755[[#This Row],[合区区服]],表1_86121822242654[目标国家（映射）],表2_97131923252755[[#This Row],[国家]])</f>
        <v>95000</v>
      </c>
      <c r="L39" s="46">
        <f>表2_97131923252755[[#This Row],[活跃Coin]]+表2_97131923252755[[#This Row],[共计补偿Coin]]</f>
        <v>1002375</v>
      </c>
      <c r="M39" s="46">
        <f>SUMIFS(表1_86121822242654[综合国力],表1_86121822242654[目标区服],表2_97131923252755[[#This Row],[合区区服]],表1_86121822242654[目标国家（映射）],表2_97131923252755[[#This Row],[国家]])</f>
        <v>20909</v>
      </c>
      <c r="N39" s="46">
        <f t="array" ref="N39">MAX((表1_86121822242654[目标区服]=表2_97131923252755[[#This Row],[合区区服]])*(表1_86121822242654[目标国家（映射）]=表2_97131923252755[[#This Row],[国家]])*表1_86121822242654[单将最高战力])</f>
        <v>618554</v>
      </c>
      <c r="P39" s="51">
        <v>5029</v>
      </c>
      <c r="Q39" s="51">
        <v>41</v>
      </c>
    </row>
    <row r="40" ht="15" spans="1:17">
      <c r="A40" s="45" t="s">
        <v>104</v>
      </c>
      <c r="B40" s="48" t="s">
        <v>27</v>
      </c>
      <c r="C40" s="48">
        <f>COUNTIFS(表1_86121822242654[目标区服],表2_97131923252755[[#This Row],[合区区服]],表1_86121822242654[目标国家（映射）],表2_97131923252755[[#This Row],[国家]])</f>
        <v>3</v>
      </c>
      <c r="D40" s="48">
        <f>SUMIFS(表1_86121822242654[活跃高战玩家数],表1_86121822242654[目标区服],表2_97131923252755[[#This Row],[合区区服]],表1_86121822242654[目标国家（映射）],表2_97131923252755[[#This Row],[国家]])</f>
        <v>10</v>
      </c>
      <c r="E40" s="48">
        <f>SUMIFS(表1_86121822242654[活跃中坚玩家数],表1_86121822242654[目标区服],表2_97131923252755[[#This Row],[合区区服]],表1_86121822242654[目标国家（映射）],表2_97131923252755[[#This Row],[国家]])</f>
        <v>41</v>
      </c>
      <c r="F40" s="48">
        <f t="array" ref="F40">MAX((表1_86121822242654[目标区服]=表2_97131923252755[[#This Row],[合区区服]])*(表1_86121822242654[目标国家（映射）]=表2_97131923252755[[#This Row],[国家]])*表1_86121822242654[活跃尖端战力])</f>
        <v>2126278</v>
      </c>
      <c r="G40" s="458">
        <f>SUMIFS(表1_86121822242654[活跃总战力],表1_86121822242654[目标区服],表2_97131923252755[[#This Row],[合区区服]],表1_86121822242654[目标国家（映射）],表2_97131923252755[[#This Row],[国家]])</f>
        <v>34856134</v>
      </c>
      <c r="H40" s="48">
        <f>SUMIFS(表1_86121822242654[活跃实际充值],表1_86121822242654[目标区服],表2_97131923252755[[#This Row],[合区区服]],表1_86121822242654[目标国家（映射）],表2_97131923252755[[#This Row],[国家]])</f>
        <v>71176</v>
      </c>
      <c r="I40" s="48">
        <f>SUMIFS(表1_86121822242654[活跃虚拟充值],表1_86121822242654[目标区服],表2_97131923252755[[#This Row],[合区区服]],表1_86121822242654[目标国家（映射）],表2_97131923252755[[#This Row],[国家]])</f>
        <v>0</v>
      </c>
      <c r="J40" s="48">
        <f>SUMIFS(表1_86121822242654[活跃Coin],表1_86121822242654[目标区服],表2_97131923252755[[#This Row],[合区区服]],表1_86121822242654[目标国家（映射）],表2_97131923252755[[#This Row],[国家]])</f>
        <v>786099</v>
      </c>
      <c r="K40" s="48">
        <f>SUMIFS(表1_86121822242654[共计补偿Coin],表1_86121822242654[目标区服],表2_97131923252755[[#This Row],[合区区服]],表1_86121822242654[目标国家（映射）],表2_97131923252755[[#This Row],[国家]])</f>
        <v>74000</v>
      </c>
      <c r="L40" s="48">
        <f>表2_97131923252755[[#This Row],[活跃Coin]]+表2_97131923252755[[#This Row],[共计补偿Coin]]</f>
        <v>860099</v>
      </c>
      <c r="M40" s="48">
        <f>SUMIFS(表1_86121822242654[综合国力],表1_86121822242654[目标区服],表2_97131923252755[[#This Row],[合区区服]],表1_86121822242654[目标国家（映射）],表2_97131923252755[[#This Row],[国家]])</f>
        <v>17072</v>
      </c>
      <c r="N40" s="46">
        <f t="array" ref="N40">MAX((表1_86121822242654[目标区服]=表2_97131923252755[[#This Row],[合区区服]])*(表1_86121822242654[目标国家（映射）]=表2_97131923252755[[#This Row],[国家]])*表1_86121822242654[单将最高战力])</f>
        <v>606496</v>
      </c>
      <c r="P40" s="51">
        <v>5030</v>
      </c>
      <c r="Q40" s="51">
        <v>40</v>
      </c>
    </row>
    <row r="41" ht="15" spans="1:14">
      <c r="A41" s="509"/>
      <c r="B41" s="39" t="s">
        <v>25</v>
      </c>
      <c r="C41" s="39">
        <f>COUNTIFS(表1_86121822242654[目标区服],表2_97131923252755[[#This Row],[合区区服]],表1_86121822242654[目标国家（映射）],表2_97131923252755[[#This Row],[国家]])</f>
        <v>0</v>
      </c>
      <c r="D41" s="39">
        <f>SUMIFS(表1_86121822242654[活跃高战玩家数],表1_86121822242654[目标区服],表2_97131923252755[[#This Row],[合区区服]],表1_86121822242654[目标国家（映射）],表2_97131923252755[[#This Row],[国家]])</f>
        <v>0</v>
      </c>
      <c r="E41" s="39">
        <f>SUMIFS(表1_86121822242654[活跃中坚玩家数],表1_86121822242654[目标区服],表2_97131923252755[[#This Row],[合区区服]],表1_86121822242654[目标国家（映射）],表2_97131923252755[[#This Row],[国家]])</f>
        <v>0</v>
      </c>
      <c r="F41" s="39">
        <f t="array" ref="F41">MAX((表1_86121822242654[目标区服]=表2_97131923252755[[#This Row],[合区区服]])*(表1_86121822242654[目标国家（映射）]=表2_97131923252755[[#This Row],[国家]])*表1_86121822242654[活跃尖端战力])</f>
        <v>0</v>
      </c>
      <c r="G41" s="40">
        <f>SUMIFS(表1_86121822242654[活跃总战力],表1_86121822242654[目标区服],表2_97131923252755[[#This Row],[合区区服]],表1_86121822242654[目标国家（映射）],表2_97131923252755[[#This Row],[国家]])</f>
        <v>0</v>
      </c>
      <c r="H41" s="39">
        <f>SUMIFS(表1_86121822242654[活跃实际充值],表1_86121822242654[目标区服],表2_97131923252755[[#This Row],[合区区服]],表1_86121822242654[目标国家（映射）],表2_97131923252755[[#This Row],[国家]])</f>
        <v>0</v>
      </c>
      <c r="I41" s="39">
        <f>SUMIFS(表1_86121822242654[活跃虚拟充值],表1_86121822242654[目标区服],表2_97131923252755[[#This Row],[合区区服]],表1_86121822242654[目标国家（映射）],表2_97131923252755[[#This Row],[国家]])</f>
        <v>0</v>
      </c>
      <c r="J41" s="39">
        <f>SUMIFS(表1_86121822242654[活跃Coin],表1_86121822242654[目标区服],表2_97131923252755[[#This Row],[合区区服]],表1_86121822242654[目标国家（映射）],表2_97131923252755[[#This Row],[国家]])</f>
        <v>0</v>
      </c>
      <c r="K41" s="39">
        <f>SUMIFS(表1_86121822242654[共计补偿Coin],表1_86121822242654[目标区服],表2_97131923252755[[#This Row],[合区区服]],表1_86121822242654[目标国家（映射）],表2_97131923252755[[#This Row],[国家]])</f>
        <v>0</v>
      </c>
      <c r="L41" s="39">
        <f>表2_97131923252755[[#This Row],[活跃Coin]]+表2_97131923252755[[#This Row],[共计补偿Coin]]</f>
        <v>0</v>
      </c>
      <c r="M41" s="39">
        <f>SUMIFS(表1_86121822242654[综合国力],表1_86121822242654[目标区服],表2_97131923252755[[#This Row],[合区区服]],表1_86121822242654[目标国家（映射）],表2_97131923252755[[#This Row],[国家]])</f>
        <v>0</v>
      </c>
      <c r="N41" s="512">
        <f t="array" ref="N41">MAX((表1_86121822242654[目标区服]=表2_97131923252755[[#This Row],[合区区服]])*(表1_86121822242654[目标国家（映射）]=表2_97131923252755[[#This Row],[国家]])*表1_86121822242654[单将最高战力])</f>
        <v>0</v>
      </c>
    </row>
    <row r="42" ht="15" spans="1:14">
      <c r="A42" s="509"/>
      <c r="B42" s="380" t="s">
        <v>26</v>
      </c>
      <c r="C42" s="39">
        <f>COUNTIFS(表1_86121822242654[目标区服],表2_97131923252755[[#This Row],[合区区服]],表1_86121822242654[目标国家（映射）],表2_97131923252755[[#This Row],[国家]])</f>
        <v>0</v>
      </c>
      <c r="D42" s="39">
        <f>SUMIFS(表1_86121822242654[活跃高战玩家数],表1_86121822242654[目标区服],表2_97131923252755[[#This Row],[合区区服]],表1_86121822242654[目标国家（映射）],表2_97131923252755[[#This Row],[国家]])</f>
        <v>0</v>
      </c>
      <c r="E42" s="39">
        <f>SUMIFS(表1_86121822242654[活跃中坚玩家数],表1_86121822242654[目标区服],表2_97131923252755[[#This Row],[合区区服]],表1_86121822242654[目标国家（映射）],表2_97131923252755[[#This Row],[国家]])</f>
        <v>0</v>
      </c>
      <c r="F42" s="39">
        <f t="array" ref="F42">MAX((表1_86121822242654[目标区服]=表2_97131923252755[[#This Row],[合区区服]])*(表1_86121822242654[目标国家（映射）]=表2_97131923252755[[#This Row],[国家]])*表1_86121822242654[活跃尖端战力])</f>
        <v>0</v>
      </c>
      <c r="G42" s="40">
        <f>SUMIFS(表1_86121822242654[活跃总战力],表1_86121822242654[目标区服],表2_97131923252755[[#This Row],[合区区服]],表1_86121822242654[目标国家（映射）],表2_97131923252755[[#This Row],[国家]])</f>
        <v>0</v>
      </c>
      <c r="H42" s="39">
        <f>SUMIFS(表1_86121822242654[活跃实际充值],表1_86121822242654[目标区服],表2_97131923252755[[#This Row],[合区区服]],表1_86121822242654[目标国家（映射）],表2_97131923252755[[#This Row],[国家]])</f>
        <v>0</v>
      </c>
      <c r="I42" s="39">
        <f>SUMIFS(表1_86121822242654[活跃虚拟充值],表1_86121822242654[目标区服],表2_97131923252755[[#This Row],[合区区服]],表1_86121822242654[目标国家（映射）],表2_97131923252755[[#This Row],[国家]])</f>
        <v>0</v>
      </c>
      <c r="J42" s="39">
        <f>SUMIFS(表1_86121822242654[活跃Coin],表1_86121822242654[目标区服],表2_97131923252755[[#This Row],[合区区服]],表1_86121822242654[目标国家（映射）],表2_97131923252755[[#This Row],[国家]])</f>
        <v>0</v>
      </c>
      <c r="K42" s="39">
        <f>SUMIFS(表1_86121822242654[共计补偿Coin],表1_86121822242654[目标区服],表2_97131923252755[[#This Row],[合区区服]],表1_86121822242654[目标国家（映射）],表2_97131923252755[[#This Row],[国家]])</f>
        <v>0</v>
      </c>
      <c r="L42" s="39">
        <f>表2_97131923252755[[#This Row],[活跃Coin]]+表2_97131923252755[[#This Row],[共计补偿Coin]]</f>
        <v>0</v>
      </c>
      <c r="M42" s="39">
        <f>SUMIFS(表1_86121822242654[综合国力],表1_86121822242654[目标区服],表2_97131923252755[[#This Row],[合区区服]],表1_86121822242654[目标国家（映射）],表2_97131923252755[[#This Row],[国家]])</f>
        <v>0</v>
      </c>
      <c r="N42" s="512">
        <f t="array" ref="N42">MAX((表1_86121822242654[目标区服]=表2_97131923252755[[#This Row],[合区区服]])*(表1_86121822242654[目标国家（映射）]=表2_97131923252755[[#This Row],[国家]])*表1_86121822242654[单将最高战力])</f>
        <v>0</v>
      </c>
    </row>
    <row r="43" ht="15" spans="1:14">
      <c r="A43" s="509"/>
      <c r="B43" s="510" t="s">
        <v>27</v>
      </c>
      <c r="C43" s="510">
        <f>COUNTIFS(表1_86121822242654[目标区服],表2_97131923252755[[#This Row],[合区区服]],表1_86121822242654[目标国家（映射）],表2_97131923252755[[#This Row],[国家]])</f>
        <v>0</v>
      </c>
      <c r="D43" s="510">
        <f>SUMIFS(表1_86121822242654[活跃高战玩家数],表1_86121822242654[目标区服],表2_97131923252755[[#This Row],[合区区服]],表1_86121822242654[目标国家（映射）],表2_97131923252755[[#This Row],[国家]])</f>
        <v>0</v>
      </c>
      <c r="E43" s="510">
        <f>SUMIFS(表1_86121822242654[活跃中坚玩家数],表1_86121822242654[目标区服],表2_97131923252755[[#This Row],[合区区服]],表1_86121822242654[目标国家（映射）],表2_97131923252755[[#This Row],[国家]])</f>
        <v>0</v>
      </c>
      <c r="F43" s="510">
        <f t="array" ref="F43">MAX((表1_86121822242654[目标区服]=表2_97131923252755[[#This Row],[合区区服]])*(表1_86121822242654[目标国家（映射）]=表2_97131923252755[[#This Row],[国家]])*表1_86121822242654[活跃尖端战力])</f>
        <v>0</v>
      </c>
      <c r="G43" s="511">
        <f>SUMIFS(表1_86121822242654[活跃总战力],表1_86121822242654[目标区服],表2_97131923252755[[#This Row],[合区区服]],表1_86121822242654[目标国家（映射）],表2_97131923252755[[#This Row],[国家]])</f>
        <v>0</v>
      </c>
      <c r="H43" s="510">
        <f>SUMIFS(表1_86121822242654[活跃实际充值],表1_86121822242654[目标区服],表2_97131923252755[[#This Row],[合区区服]],表1_86121822242654[目标国家（映射）],表2_97131923252755[[#This Row],[国家]])</f>
        <v>0</v>
      </c>
      <c r="I43" s="510">
        <f>SUMIFS(表1_86121822242654[活跃虚拟充值],表1_86121822242654[目标区服],表2_97131923252755[[#This Row],[合区区服]],表1_86121822242654[目标国家（映射）],表2_97131923252755[[#This Row],[国家]])</f>
        <v>0</v>
      </c>
      <c r="J43" s="510">
        <f>SUMIFS(表1_86121822242654[活跃Coin],表1_86121822242654[目标区服],表2_97131923252755[[#This Row],[合区区服]],表1_86121822242654[目标国家（映射）],表2_97131923252755[[#This Row],[国家]])</f>
        <v>0</v>
      </c>
      <c r="K43" s="510">
        <f>SUMIFS(表1_86121822242654[共计补偿Coin],表1_86121822242654[目标区服],表2_97131923252755[[#This Row],[合区区服]],表1_86121822242654[目标国家（映射）],表2_97131923252755[[#This Row],[国家]])</f>
        <v>0</v>
      </c>
      <c r="L43" s="510">
        <f>表2_97131923252755[[#This Row],[活跃Coin]]+表2_97131923252755[[#This Row],[共计补偿Coin]]</f>
        <v>0</v>
      </c>
      <c r="M43" s="510">
        <f>SUMIFS(表1_86121822242654[综合国力],表1_86121822242654[目标区服],表2_97131923252755[[#This Row],[合区区服]],表1_86121822242654[目标国家（映射）],表2_97131923252755[[#This Row],[国家]])</f>
        <v>0</v>
      </c>
      <c r="N43" s="513">
        <f t="array" ref="N43">MAX((表1_86121822242654[目标区服]=表2_97131923252755[[#This Row],[合区区服]])*(表1_86121822242654[目标国家（映射）]=表2_97131923252755[[#This Row],[国家]])*表1_86121822242654[单将最高战力])</f>
        <v>0</v>
      </c>
    </row>
    <row r="49" ht="27" spans="1:13">
      <c r="A49" s="49"/>
      <c r="B49" s="50" t="s">
        <v>9</v>
      </c>
      <c r="C49" s="50" t="s">
        <v>10</v>
      </c>
      <c r="D49" s="50" t="s">
        <v>11</v>
      </c>
      <c r="E49" s="50" t="s">
        <v>12</v>
      </c>
      <c r="F49" s="50" t="s">
        <v>13</v>
      </c>
      <c r="G49" s="50" t="s">
        <v>14</v>
      </c>
      <c r="H49" s="50" t="s">
        <v>15</v>
      </c>
      <c r="I49" s="50" t="s">
        <v>18</v>
      </c>
      <c r="J49" s="50" t="s">
        <v>19</v>
      </c>
      <c r="K49" s="50" t="s">
        <v>20</v>
      </c>
      <c r="L49" s="50" t="s">
        <v>21</v>
      </c>
      <c r="M49" s="50" t="s">
        <v>82</v>
      </c>
    </row>
    <row r="50" spans="1:13">
      <c r="A50" s="50" t="s">
        <v>25</v>
      </c>
      <c r="B50" s="50">
        <v>0</v>
      </c>
      <c r="C50" s="50">
        <v>23</v>
      </c>
      <c r="D50" s="50">
        <v>1</v>
      </c>
      <c r="E50" s="50">
        <v>13</v>
      </c>
      <c r="F50" s="50">
        <v>62206</v>
      </c>
      <c r="G50" s="50">
        <v>1430885</v>
      </c>
      <c r="H50" s="50">
        <v>8148043</v>
      </c>
      <c r="I50" s="50">
        <v>4664</v>
      </c>
      <c r="J50" s="50">
        <v>0</v>
      </c>
      <c r="K50" s="50">
        <v>196680</v>
      </c>
      <c r="L50" s="50">
        <v>3024</v>
      </c>
      <c r="M50" s="50">
        <v>495879</v>
      </c>
    </row>
    <row r="51" spans="1:13">
      <c r="A51" s="50" t="s">
        <v>26</v>
      </c>
      <c r="B51" s="50">
        <v>9</v>
      </c>
      <c r="C51" s="50">
        <v>347</v>
      </c>
      <c r="D51" s="50">
        <v>9</v>
      </c>
      <c r="E51" s="50">
        <v>22</v>
      </c>
      <c r="F51" s="50">
        <v>196327</v>
      </c>
      <c r="G51" s="50">
        <v>2556793</v>
      </c>
      <c r="H51" s="50">
        <v>27549469</v>
      </c>
      <c r="I51" s="50">
        <v>57528</v>
      </c>
      <c r="J51" s="50">
        <v>0</v>
      </c>
      <c r="K51" s="50">
        <v>652753</v>
      </c>
      <c r="L51" s="50">
        <v>12715</v>
      </c>
      <c r="M51" s="50">
        <v>887144</v>
      </c>
    </row>
    <row r="52" spans="1:13">
      <c r="A52" s="50" t="s">
        <v>27</v>
      </c>
      <c r="B52" s="50">
        <v>0</v>
      </c>
      <c r="C52" s="50">
        <v>25</v>
      </c>
      <c r="D52" s="50">
        <v>0</v>
      </c>
      <c r="E52" s="50">
        <v>8</v>
      </c>
      <c r="F52" s="50">
        <v>19311</v>
      </c>
      <c r="G52" s="50">
        <v>733909</v>
      </c>
      <c r="H52" s="50">
        <v>2703110</v>
      </c>
      <c r="I52" s="50">
        <v>2632</v>
      </c>
      <c r="J52" s="50">
        <v>0</v>
      </c>
      <c r="K52" s="50">
        <v>112883</v>
      </c>
      <c r="L52" s="50">
        <v>1486</v>
      </c>
      <c r="M52" s="50">
        <v>243006</v>
      </c>
    </row>
    <row r="53" spans="1:13">
      <c r="A53" s="50" t="s">
        <v>25</v>
      </c>
      <c r="B53" s="50">
        <v>0</v>
      </c>
      <c r="C53" s="50">
        <v>38</v>
      </c>
      <c r="D53" s="50">
        <v>0</v>
      </c>
      <c r="E53" s="50">
        <v>13</v>
      </c>
      <c r="F53" s="50">
        <v>51537</v>
      </c>
      <c r="G53" s="50">
        <v>1019403</v>
      </c>
      <c r="H53" s="50">
        <v>5954527</v>
      </c>
      <c r="I53" s="50">
        <v>1778</v>
      </c>
      <c r="J53" s="50">
        <v>0</v>
      </c>
      <c r="K53" s="50">
        <v>108961</v>
      </c>
      <c r="L53" s="50">
        <v>2360</v>
      </c>
      <c r="M53" s="50">
        <v>353055</v>
      </c>
    </row>
    <row r="54" spans="1:13">
      <c r="A54" s="50" t="s">
        <v>26</v>
      </c>
      <c r="B54" s="50">
        <v>9</v>
      </c>
      <c r="C54" s="50">
        <v>322</v>
      </c>
      <c r="D54" s="50">
        <v>7</v>
      </c>
      <c r="E54" s="50">
        <v>17</v>
      </c>
      <c r="F54" s="50">
        <v>148668</v>
      </c>
      <c r="G54" s="50">
        <v>2093522</v>
      </c>
      <c r="H54" s="50">
        <v>19544035</v>
      </c>
      <c r="I54" s="50">
        <v>36756</v>
      </c>
      <c r="J54" s="50">
        <v>0</v>
      </c>
      <c r="K54" s="50">
        <v>694148</v>
      </c>
      <c r="L54" s="50">
        <v>10361</v>
      </c>
      <c r="M54" s="50">
        <v>622948</v>
      </c>
    </row>
    <row r="55" spans="1:13">
      <c r="A55" s="50" t="s">
        <v>27</v>
      </c>
      <c r="B55" s="50">
        <v>0</v>
      </c>
      <c r="C55" s="50">
        <v>35</v>
      </c>
      <c r="D55" s="50">
        <v>0</v>
      </c>
      <c r="E55" s="50">
        <v>10</v>
      </c>
      <c r="F55" s="50">
        <v>37328</v>
      </c>
      <c r="G55" s="50">
        <v>735684</v>
      </c>
      <c r="H55" s="50">
        <v>4051728</v>
      </c>
      <c r="I55" s="50">
        <v>2506</v>
      </c>
      <c r="J55" s="50">
        <v>0</v>
      </c>
      <c r="K55" s="50">
        <v>109230</v>
      </c>
      <c r="L55" s="50">
        <v>1807</v>
      </c>
      <c r="M55" s="50">
        <v>191403</v>
      </c>
    </row>
    <row r="56" spans="1:13">
      <c r="A56" s="50" t="s">
        <v>25</v>
      </c>
      <c r="B56" s="50">
        <v>0</v>
      </c>
      <c r="C56" s="50">
        <v>42</v>
      </c>
      <c r="D56" s="50">
        <v>1</v>
      </c>
      <c r="E56" s="50">
        <v>4</v>
      </c>
      <c r="F56" s="50">
        <v>25502</v>
      </c>
      <c r="G56" s="50">
        <v>1197248</v>
      </c>
      <c r="H56" s="50">
        <v>3375718</v>
      </c>
      <c r="I56" s="50">
        <v>3424</v>
      </c>
      <c r="J56" s="50">
        <v>0</v>
      </c>
      <c r="K56" s="50">
        <v>110375</v>
      </c>
      <c r="L56" s="50">
        <v>2240</v>
      </c>
      <c r="M56" s="50">
        <v>441145</v>
      </c>
    </row>
    <row r="57" spans="1:13">
      <c r="A57" s="50" t="s">
        <v>26</v>
      </c>
      <c r="B57" s="50">
        <v>6</v>
      </c>
      <c r="C57" s="50">
        <v>191</v>
      </c>
      <c r="D57" s="50">
        <v>6</v>
      </c>
      <c r="E57" s="50">
        <v>13</v>
      </c>
      <c r="F57" s="50">
        <v>125762</v>
      </c>
      <c r="G57" s="50">
        <v>2202430</v>
      </c>
      <c r="H57" s="50">
        <v>19223523</v>
      </c>
      <c r="I57" s="50">
        <v>33118</v>
      </c>
      <c r="J57" s="50">
        <v>0</v>
      </c>
      <c r="K57" s="50">
        <v>395563</v>
      </c>
      <c r="L57" s="50">
        <v>8454</v>
      </c>
      <c r="M57" s="50">
        <v>604826</v>
      </c>
    </row>
    <row r="58" spans="1:13">
      <c r="A58" s="50" t="s">
        <v>27</v>
      </c>
      <c r="B58" s="50">
        <v>3</v>
      </c>
      <c r="C58" s="50">
        <v>162</v>
      </c>
      <c r="D58" s="50">
        <v>3</v>
      </c>
      <c r="E58" s="50">
        <v>15</v>
      </c>
      <c r="F58" s="50">
        <v>104704</v>
      </c>
      <c r="G58" s="50">
        <v>2220257</v>
      </c>
      <c r="H58" s="50">
        <v>15056539</v>
      </c>
      <c r="I58" s="50">
        <v>39314</v>
      </c>
      <c r="J58" s="50">
        <v>0</v>
      </c>
      <c r="K58" s="50">
        <v>405844</v>
      </c>
      <c r="L58" s="50">
        <v>7551</v>
      </c>
      <c r="M58" s="50">
        <v>646491</v>
      </c>
    </row>
    <row r="59" spans="1:13">
      <c r="A59" s="50" t="s">
        <v>25</v>
      </c>
      <c r="B59" s="50">
        <v>0</v>
      </c>
      <c r="C59" s="50">
        <v>76</v>
      </c>
      <c r="D59" s="50">
        <v>0</v>
      </c>
      <c r="E59" s="50">
        <v>2</v>
      </c>
      <c r="F59" s="50">
        <v>11817</v>
      </c>
      <c r="G59" s="50">
        <v>475453</v>
      </c>
      <c r="H59" s="50">
        <v>1102294</v>
      </c>
      <c r="I59" s="50">
        <v>410</v>
      </c>
      <c r="J59" s="50">
        <v>0</v>
      </c>
      <c r="K59" s="50">
        <v>72963</v>
      </c>
      <c r="L59" s="50">
        <v>1453</v>
      </c>
      <c r="M59" s="50">
        <v>170458</v>
      </c>
    </row>
    <row r="60" spans="1:13">
      <c r="A60" s="50" t="s">
        <v>26</v>
      </c>
      <c r="B60" s="50">
        <v>7</v>
      </c>
      <c r="C60" s="50">
        <v>195</v>
      </c>
      <c r="D60" s="50">
        <v>6</v>
      </c>
      <c r="E60" s="50">
        <v>6</v>
      </c>
      <c r="F60" s="50">
        <v>87803</v>
      </c>
      <c r="G60" s="50">
        <v>2575735</v>
      </c>
      <c r="H60" s="50">
        <v>12894217</v>
      </c>
      <c r="I60" s="50">
        <v>38350</v>
      </c>
      <c r="J60" s="50">
        <v>0</v>
      </c>
      <c r="K60" s="50">
        <v>161753</v>
      </c>
      <c r="L60" s="50">
        <v>8185</v>
      </c>
      <c r="M60" s="50">
        <v>708605</v>
      </c>
    </row>
    <row r="61" spans="1:13">
      <c r="A61" s="50" t="s">
        <v>27</v>
      </c>
      <c r="B61" s="50">
        <v>2</v>
      </c>
      <c r="C61" s="50">
        <v>124</v>
      </c>
      <c r="D61" s="50">
        <v>4</v>
      </c>
      <c r="E61" s="50">
        <v>9</v>
      </c>
      <c r="F61" s="50">
        <v>87889</v>
      </c>
      <c r="G61" s="50">
        <v>2415459</v>
      </c>
      <c r="H61" s="50">
        <v>12223548</v>
      </c>
      <c r="I61" s="50">
        <v>53562</v>
      </c>
      <c r="J61" s="50">
        <v>0</v>
      </c>
      <c r="K61" s="50">
        <v>137491</v>
      </c>
      <c r="L61" s="50">
        <v>7192</v>
      </c>
      <c r="M61" s="50">
        <v>755373</v>
      </c>
    </row>
    <row r="62" spans="1:13">
      <c r="A62" s="50" t="s">
        <v>25</v>
      </c>
      <c r="B62" s="50">
        <v>0</v>
      </c>
      <c r="C62" s="50">
        <v>39</v>
      </c>
      <c r="D62" s="50">
        <v>0</v>
      </c>
      <c r="E62" s="50">
        <v>6</v>
      </c>
      <c r="F62" s="50">
        <v>28672</v>
      </c>
      <c r="G62" s="50">
        <v>659216</v>
      </c>
      <c r="H62" s="50">
        <v>2628087</v>
      </c>
      <c r="I62" s="50">
        <v>890</v>
      </c>
      <c r="J62" s="50">
        <v>0</v>
      </c>
      <c r="K62" s="50">
        <v>54906</v>
      </c>
      <c r="L62" s="50">
        <v>1509</v>
      </c>
      <c r="M62" s="50">
        <v>207701</v>
      </c>
    </row>
    <row r="63" spans="1:13">
      <c r="A63" s="50" t="s">
        <v>26</v>
      </c>
      <c r="B63" s="50">
        <v>0</v>
      </c>
      <c r="C63" s="50">
        <v>72</v>
      </c>
      <c r="D63" s="50">
        <v>3</v>
      </c>
      <c r="E63" s="50">
        <v>7</v>
      </c>
      <c r="F63" s="50">
        <v>66444</v>
      </c>
      <c r="G63" s="50">
        <v>1809818</v>
      </c>
      <c r="H63" s="50">
        <v>7737070</v>
      </c>
      <c r="I63" s="50">
        <v>23620</v>
      </c>
      <c r="J63" s="50">
        <v>0</v>
      </c>
      <c r="K63" s="50">
        <v>174069</v>
      </c>
      <c r="L63" s="50">
        <v>4431</v>
      </c>
      <c r="M63" s="50">
        <v>558560</v>
      </c>
    </row>
    <row r="64" spans="1:13">
      <c r="A64" s="50" t="s">
        <v>27</v>
      </c>
      <c r="B64" s="50">
        <v>9</v>
      </c>
      <c r="C64" s="50">
        <v>284</v>
      </c>
      <c r="D64" s="50">
        <v>7</v>
      </c>
      <c r="E64" s="50">
        <v>16</v>
      </c>
      <c r="F64" s="50">
        <v>146572</v>
      </c>
      <c r="G64" s="50">
        <v>2359779</v>
      </c>
      <c r="H64" s="50">
        <v>18436922</v>
      </c>
      <c r="I64" s="50">
        <v>21664</v>
      </c>
      <c r="J64" s="50">
        <v>0</v>
      </c>
      <c r="K64" s="50">
        <v>469486</v>
      </c>
      <c r="L64" s="50">
        <v>9560</v>
      </c>
      <c r="M64" s="50">
        <v>642226</v>
      </c>
    </row>
    <row r="65" spans="1:13">
      <c r="A65" s="50" t="s">
        <v>25</v>
      </c>
      <c r="B65" s="50">
        <v>2</v>
      </c>
      <c r="C65" s="50">
        <v>77</v>
      </c>
      <c r="D65" s="50">
        <v>1</v>
      </c>
      <c r="E65" s="50">
        <v>14</v>
      </c>
      <c r="F65" s="50">
        <v>59526</v>
      </c>
      <c r="G65" s="50">
        <v>1620041</v>
      </c>
      <c r="H65" s="50">
        <v>8740442</v>
      </c>
      <c r="I65" s="50">
        <v>28076</v>
      </c>
      <c r="J65" s="50">
        <v>0</v>
      </c>
      <c r="K65" s="50">
        <v>87782</v>
      </c>
      <c r="L65" s="50">
        <v>4647</v>
      </c>
      <c r="M65" s="50">
        <v>531747</v>
      </c>
    </row>
    <row r="66" spans="1:13">
      <c r="A66" s="50" t="s">
        <v>26</v>
      </c>
      <c r="B66" s="50">
        <v>4</v>
      </c>
      <c r="C66" s="50">
        <v>173</v>
      </c>
      <c r="D66" s="50">
        <v>4</v>
      </c>
      <c r="E66" s="50">
        <v>18</v>
      </c>
      <c r="F66" s="50">
        <v>110518</v>
      </c>
      <c r="G66" s="50">
        <v>2390229</v>
      </c>
      <c r="H66" s="50">
        <v>16205784</v>
      </c>
      <c r="I66" s="50">
        <v>20994</v>
      </c>
      <c r="J66" s="50">
        <v>0</v>
      </c>
      <c r="K66" s="50">
        <v>377003</v>
      </c>
      <c r="L66" s="50">
        <v>7511</v>
      </c>
      <c r="M66" s="50">
        <v>711331</v>
      </c>
    </row>
    <row r="67" spans="1:13">
      <c r="A67" s="50" t="s">
        <v>27</v>
      </c>
      <c r="B67" s="50">
        <v>3</v>
      </c>
      <c r="C67" s="50">
        <v>145</v>
      </c>
      <c r="D67" s="50">
        <v>4</v>
      </c>
      <c r="E67" s="50">
        <v>13</v>
      </c>
      <c r="F67" s="50">
        <v>96658</v>
      </c>
      <c r="G67" s="50">
        <v>2168750</v>
      </c>
      <c r="H67" s="50">
        <v>13152958</v>
      </c>
      <c r="I67" s="50">
        <v>24864</v>
      </c>
      <c r="J67" s="50">
        <v>0</v>
      </c>
      <c r="K67" s="50">
        <v>248826</v>
      </c>
      <c r="L67" s="50">
        <v>6587</v>
      </c>
      <c r="M67" s="50">
        <v>624170</v>
      </c>
    </row>
    <row r="68" spans="1:13">
      <c r="A68" s="50" t="s">
        <v>25</v>
      </c>
      <c r="B68" s="50">
        <v>0</v>
      </c>
      <c r="C68" s="50">
        <v>50</v>
      </c>
      <c r="D68" s="50">
        <v>1</v>
      </c>
      <c r="E68" s="50">
        <v>13</v>
      </c>
      <c r="F68" s="50">
        <v>50443</v>
      </c>
      <c r="G68" s="50">
        <v>1102404</v>
      </c>
      <c r="H68" s="50">
        <v>6217434</v>
      </c>
      <c r="I68" s="50">
        <v>3942</v>
      </c>
      <c r="J68" s="50">
        <v>0</v>
      </c>
      <c r="K68" s="50">
        <v>115809</v>
      </c>
      <c r="L68" s="50">
        <v>2652</v>
      </c>
      <c r="M68" s="50">
        <v>341947</v>
      </c>
    </row>
    <row r="69" spans="1:13">
      <c r="A69" s="50" t="s">
        <v>26</v>
      </c>
      <c r="B69" s="50">
        <v>6</v>
      </c>
      <c r="C69" s="50">
        <v>203</v>
      </c>
      <c r="D69" s="50">
        <v>5</v>
      </c>
      <c r="E69" s="50">
        <v>18</v>
      </c>
      <c r="F69" s="50">
        <v>133167</v>
      </c>
      <c r="G69" s="50">
        <v>2406584</v>
      </c>
      <c r="H69" s="50">
        <v>18660401</v>
      </c>
      <c r="I69" s="50">
        <v>64276</v>
      </c>
      <c r="J69" s="50">
        <v>0</v>
      </c>
      <c r="K69" s="50">
        <v>481971</v>
      </c>
      <c r="L69" s="50">
        <v>9737</v>
      </c>
      <c r="M69" s="50">
        <v>618554</v>
      </c>
    </row>
    <row r="70" spans="1:13">
      <c r="A70" s="50" t="s">
        <v>27</v>
      </c>
      <c r="B70" s="50">
        <v>3</v>
      </c>
      <c r="C70" s="50">
        <v>142</v>
      </c>
      <c r="D70" s="50">
        <v>4</v>
      </c>
      <c r="E70" s="50">
        <v>10</v>
      </c>
      <c r="F70" s="50">
        <v>81277</v>
      </c>
      <c r="G70" s="50">
        <v>2126278</v>
      </c>
      <c r="H70" s="50">
        <v>11279086</v>
      </c>
      <c r="I70" s="50">
        <v>40672</v>
      </c>
      <c r="J70" s="50">
        <v>0</v>
      </c>
      <c r="K70" s="50">
        <v>290396</v>
      </c>
      <c r="L70" s="50">
        <v>6745</v>
      </c>
      <c r="M70" s="50">
        <v>599808</v>
      </c>
    </row>
    <row r="71" spans="1:13">
      <c r="A71" s="50" t="s">
        <v>25</v>
      </c>
      <c r="B71" s="50">
        <v>2</v>
      </c>
      <c r="C71" s="50">
        <v>65</v>
      </c>
      <c r="D71" s="50">
        <v>3</v>
      </c>
      <c r="E71" s="50">
        <v>11</v>
      </c>
      <c r="F71" s="50">
        <v>71834</v>
      </c>
      <c r="G71" s="50">
        <v>1954643</v>
      </c>
      <c r="H71" s="50">
        <v>10093813</v>
      </c>
      <c r="I71" s="50">
        <v>18596</v>
      </c>
      <c r="J71" s="50">
        <v>0</v>
      </c>
      <c r="K71" s="50">
        <v>303619</v>
      </c>
      <c r="L71" s="50">
        <v>4882</v>
      </c>
      <c r="M71" s="50">
        <v>584605</v>
      </c>
    </row>
    <row r="72" spans="1:13">
      <c r="A72" s="50" t="s">
        <v>26</v>
      </c>
      <c r="B72" s="50">
        <v>3</v>
      </c>
      <c r="C72" s="50">
        <v>131</v>
      </c>
      <c r="D72" s="50">
        <v>2</v>
      </c>
      <c r="E72" s="50">
        <v>14</v>
      </c>
      <c r="F72" s="50">
        <v>77140</v>
      </c>
      <c r="G72" s="50">
        <v>1813267</v>
      </c>
      <c r="H72" s="50">
        <v>10755962</v>
      </c>
      <c r="I72" s="50">
        <v>19852</v>
      </c>
      <c r="J72" s="50">
        <v>0</v>
      </c>
      <c r="K72" s="50">
        <v>212702</v>
      </c>
      <c r="L72" s="50">
        <v>5586</v>
      </c>
      <c r="M72" s="50">
        <v>587926</v>
      </c>
    </row>
    <row r="73" spans="1:13">
      <c r="A73" s="50" t="s">
        <v>27</v>
      </c>
      <c r="B73" s="50">
        <v>4</v>
      </c>
      <c r="C73" s="50">
        <v>199</v>
      </c>
      <c r="D73" s="50">
        <v>5</v>
      </c>
      <c r="E73" s="50">
        <v>18</v>
      </c>
      <c r="F73" s="50">
        <v>130116</v>
      </c>
      <c r="G73" s="50">
        <v>1911696</v>
      </c>
      <c r="H73" s="50">
        <v>17359614</v>
      </c>
      <c r="I73" s="50">
        <v>26562</v>
      </c>
      <c r="J73" s="50">
        <v>0</v>
      </c>
      <c r="K73" s="50">
        <v>379894</v>
      </c>
      <c r="L73" s="50">
        <v>7675</v>
      </c>
      <c r="M73" s="50">
        <v>606496</v>
      </c>
    </row>
    <row r="74" spans="1:13">
      <c r="A74" s="50" t="s">
        <v>25</v>
      </c>
      <c r="B74" s="50">
        <v>1</v>
      </c>
      <c r="C74" s="50">
        <v>63</v>
      </c>
      <c r="D74" s="50">
        <v>2</v>
      </c>
      <c r="E74" s="50">
        <v>7</v>
      </c>
      <c r="F74" s="50">
        <v>53349</v>
      </c>
      <c r="G74" s="50">
        <v>1843504</v>
      </c>
      <c r="H74" s="50">
        <v>6530314</v>
      </c>
      <c r="I74" s="50">
        <v>9360</v>
      </c>
      <c r="J74" s="50">
        <v>0</v>
      </c>
      <c r="K74" s="50">
        <v>67414</v>
      </c>
      <c r="L74" s="50">
        <v>3807</v>
      </c>
      <c r="M74" s="50">
        <v>573546</v>
      </c>
    </row>
    <row r="75" spans="1:13">
      <c r="A75" s="50" t="s">
        <v>26</v>
      </c>
      <c r="B75" s="50">
        <v>4</v>
      </c>
      <c r="C75" s="50">
        <v>160</v>
      </c>
      <c r="D75" s="50">
        <v>3</v>
      </c>
      <c r="E75" s="50">
        <v>14</v>
      </c>
      <c r="F75" s="50">
        <v>91994</v>
      </c>
      <c r="G75" s="50">
        <v>1895957</v>
      </c>
      <c r="H75" s="50">
        <v>11220577</v>
      </c>
      <c r="I75" s="50">
        <v>6106</v>
      </c>
      <c r="J75" s="50">
        <v>0</v>
      </c>
      <c r="K75" s="50">
        <v>178215</v>
      </c>
      <c r="L75" s="50">
        <v>5750</v>
      </c>
      <c r="M75" s="50">
        <v>556804</v>
      </c>
    </row>
    <row r="76" spans="1:13">
      <c r="A76" s="50" t="s">
        <v>27</v>
      </c>
      <c r="B76" s="50">
        <v>4</v>
      </c>
      <c r="C76" s="50">
        <v>172</v>
      </c>
      <c r="D76" s="50">
        <v>4</v>
      </c>
      <c r="E76" s="50">
        <v>19</v>
      </c>
      <c r="F76" s="50">
        <v>123669</v>
      </c>
      <c r="G76" s="50">
        <v>2608180</v>
      </c>
      <c r="H76" s="50">
        <v>17789788</v>
      </c>
      <c r="I76" s="50">
        <v>76770</v>
      </c>
      <c r="J76" s="50">
        <v>0</v>
      </c>
      <c r="K76" s="50">
        <v>357710</v>
      </c>
      <c r="L76" s="50">
        <v>9607</v>
      </c>
      <c r="M76" s="50">
        <v>927461</v>
      </c>
    </row>
  </sheetData>
  <conditionalFormatting sqref="F32:F3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{482a472d-389b-4233-bf1f-999c8fb3b023}</x14:id>
        </ext>
      </extLst>
    </cfRule>
  </conditionalFormatting>
  <conditionalFormatting sqref="F35:F37">
    <cfRule type="dataBar" priority="4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{fd4d236e-8b4c-45b7-aac2-af1dcaa22a7f}</x14:id>
        </ext>
      </extLst>
    </cfRule>
  </conditionalFormatting>
  <conditionalFormatting sqref="F38:F40">
    <cfRule type="dataBar" priority="4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{781e84f9-396c-4f3b-a106-875a3e3b439a}</x14:id>
        </ext>
      </extLst>
    </cfRule>
  </conditionalFormatting>
  <conditionalFormatting sqref="F41:F43">
    <cfRule type="dataBar" priority="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{3c97f2c5-d81d-495a-a5b0-4688cbe3e8e6}</x14:id>
        </ext>
      </extLst>
    </cfRule>
  </conditionalFormatting>
  <conditionalFormatting sqref="G32:G34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{cc2e67ef-ea9a-46e4-9ff0-ded2895bb9f5}</x14:id>
        </ext>
      </extLst>
    </cfRule>
  </conditionalFormatting>
  <conditionalFormatting sqref="G35:G37">
    <cfRule type="dataBar" priority="5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{b419824a-c9c7-47c5-881d-ecfff1cd9831}</x14:id>
        </ext>
      </extLst>
    </cfRule>
  </conditionalFormatting>
  <conditionalFormatting sqref="G38:G40">
    <cfRule type="dataBar" priority="4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{b3bea60a-2593-4b2e-8ca8-f52c8aa842c6}</x14:id>
        </ext>
      </extLst>
    </cfRule>
  </conditionalFormatting>
  <conditionalFormatting sqref="G41:G43">
    <cfRule type="dataBar" priority="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{0d042362-8f65-4a20-aefa-7fd2b6cdcb0c}</x14:id>
        </ext>
      </extLst>
    </cfRule>
  </conditionalFormatting>
  <conditionalFormatting sqref="N32:N43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{81a71a29-1bd4-41fb-b547-e28ad9bebd71}</x14:id>
        </ext>
      </extLst>
    </cfRule>
  </conditionalFormatting>
  <conditionalFormatting sqref="N41:N43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{ae8fb6a2-de7e-4de4-8d42-f718dd426dee}</x14:id>
        </ext>
      </extLst>
    </cfRule>
  </conditionalFormatting>
  <conditionalFormatting sqref="O8:O10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{092e8f9d-3ab2-4b4a-a6f7-944436a86490}</x14:id>
        </ext>
      </extLst>
    </cfRule>
  </conditionalFormatting>
  <conditionalFormatting sqref="O14:O19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{c25fda8c-0828-486b-9daa-da046ff58aac}</x14:id>
        </ext>
      </extLst>
    </cfRule>
  </conditionalFormatting>
  <conditionalFormatting sqref="O20:O22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{47ab8062-0cad-47a9-b8df-4d0be85a7f3d}</x14:id>
        </ext>
      </extLst>
    </cfRule>
  </conditionalFormatting>
  <conditionalFormatting sqref="O23:O25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{fd9968e1-0697-442d-9548-c4579fbbb191}</x14:id>
        </ext>
      </extLst>
    </cfRule>
  </conditionalFormatting>
  <conditionalFormatting sqref="O26:O28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{c9edae9f-027b-43fe-b920-cd5b11c529fc}</x14:id>
        </ext>
      </extLst>
    </cfRule>
  </conditionalFormatting>
  <conditionalFormatting sqref="P8:P10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{f14245de-2674-4a95-9c6d-fe999718f918}</x14:id>
        </ext>
      </extLst>
    </cfRule>
  </conditionalFormatting>
  <conditionalFormatting sqref="P14:P19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{478f6f94-d014-4555-b60c-4d7148bdc078}</x14:id>
        </ext>
      </extLst>
    </cfRule>
  </conditionalFormatting>
  <conditionalFormatting sqref="P20:P2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{878bd2f6-e226-431e-8ed8-1bfe987f0fd8}</x14:id>
        </ext>
      </extLst>
    </cfRule>
  </conditionalFormatting>
  <conditionalFormatting sqref="P23:P25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{ac53a591-dd72-4b00-9b80-2b8ad3cf6cef}</x14:id>
        </ext>
      </extLst>
    </cfRule>
  </conditionalFormatting>
  <conditionalFormatting sqref="P26:P2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{43735324-0c83-4367-9313-6c836e352001}</x14:id>
        </ext>
      </extLst>
    </cfRule>
  </conditionalFormatting>
  <conditionalFormatting sqref="P32:P40">
    <cfRule type="cellIs" dxfId="37" priority="39" operator="equal">
      <formula>$S$32</formula>
    </cfRule>
  </conditionalFormatting>
  <conditionalFormatting sqref="Q8:Q10">
    <cfRule type="cellIs" dxfId="38" priority="1" operator="equal">
      <formula>配置!$D$4</formula>
    </cfRule>
    <cfRule type="cellIs" dxfId="39" priority="2" operator="equal">
      <formula>配置!$D$3</formula>
    </cfRule>
    <cfRule type="cellIs" dxfId="37" priority="3" operator="equal">
      <formula>配置!$D$2</formula>
    </cfRule>
  </conditionalFormatting>
  <conditionalFormatting sqref="Q14:Q19">
    <cfRule type="cellIs" dxfId="38" priority="8" operator="equal">
      <formula>配置!$D$4</formula>
    </cfRule>
    <cfRule type="cellIs" dxfId="39" priority="9" operator="equal">
      <formula>配置!$D$3</formula>
    </cfRule>
    <cfRule type="cellIs" dxfId="37" priority="10" operator="equal">
      <formula>配置!$D$2</formula>
    </cfRule>
  </conditionalFormatting>
  <conditionalFormatting sqref="Q20:Q22">
    <cfRule type="cellIs" dxfId="38" priority="34" operator="equal">
      <formula>配置!$D$4</formula>
    </cfRule>
    <cfRule type="cellIs" dxfId="39" priority="35" operator="equal">
      <formula>配置!$D$3</formula>
    </cfRule>
    <cfRule type="cellIs" dxfId="37" priority="36" operator="equal">
      <formula>配置!$D$2</formula>
    </cfRule>
  </conditionalFormatting>
  <conditionalFormatting sqref="Q26:Q28">
    <cfRule type="cellIs" dxfId="38" priority="17" operator="equal">
      <formula>配置!$D$4</formula>
    </cfRule>
    <cfRule type="cellIs" dxfId="39" priority="18" operator="equal">
      <formula>配置!$D$3</formula>
    </cfRule>
    <cfRule type="cellIs" dxfId="37" priority="19" operator="equal">
      <formula>配置!$D$2</formula>
    </cfRule>
  </conditionalFormatting>
  <conditionalFormatting sqref="R32:R35">
    <cfRule type="cellIs" dxfId="37" priority="40" operator="equal">
      <formula>$S$32</formula>
    </cfRule>
  </conditionalFormatting>
  <conditionalFormatting sqref="O29:O30 Q1:R1 Q2 Q4:Q5 Q7 Q11 Q13 Q25 Q23">
    <cfRule type="cellIs" dxfId="37" priority="56" operator="equal">
      <formula>配置!$D$2</formula>
    </cfRule>
  </conditionalFormatting>
  <conditionalFormatting sqref="O2:O7 O11:O13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{d637a14e-ef75-4a00-9700-70442286b398}</x14:id>
        </ext>
      </extLst>
    </cfRule>
  </conditionalFormatting>
  <conditionalFormatting sqref="P2:P7 P11:P13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{121577d5-8401-4541-a0a8-48736eac0b10}</x14:id>
        </ext>
      </extLst>
    </cfRule>
  </conditionalFormatting>
  <conditionalFormatting sqref="Q2 Q4:Q5 Q7 Q11 Q13 Q25 Q23">
    <cfRule type="cellIs" dxfId="38" priority="55" operator="equal">
      <formula>配置!$D$4</formula>
    </cfRule>
  </conditionalFormatting>
  <conditionalFormatting sqref="Q2:Q7 Q23:Q25 Q11:Q13">
    <cfRule type="cellIs" dxfId="38" priority="46" operator="equal">
      <formula>配置!$D$4</formula>
    </cfRule>
    <cfRule type="cellIs" dxfId="39" priority="47" operator="equal">
      <formula>配置!$D$3</formula>
    </cfRule>
    <cfRule type="cellIs" dxfId="37" priority="48" operator="equal">
      <formula>配置!$D$2</formula>
    </cfRule>
  </conditionalFormatting>
  <conditionalFormatting sqref="Q8 Q10">
    <cfRule type="cellIs" dxfId="38" priority="6" operator="equal">
      <formula>配置!$D$4</formula>
    </cfRule>
    <cfRule type="cellIs" dxfId="37" priority="7" operator="equal">
      <formula>配置!$D$2</formula>
    </cfRule>
  </conditionalFormatting>
  <conditionalFormatting sqref="Q14 Q16:Q17 Q19">
    <cfRule type="cellIs" dxfId="38" priority="13" operator="equal">
      <formula>配置!$D$4</formula>
    </cfRule>
    <cfRule type="cellIs" dxfId="37" priority="14" operator="equal">
      <formula>配置!$D$2</formula>
    </cfRule>
  </conditionalFormatting>
  <conditionalFormatting sqref="Q22 Q20">
    <cfRule type="cellIs" dxfId="38" priority="37" operator="equal">
      <formula>配置!$D$4</formula>
    </cfRule>
    <cfRule type="cellIs" dxfId="37" priority="38" operator="equal">
      <formula>配置!$D$2</formula>
    </cfRule>
  </conditionalFormatting>
  <conditionalFormatting sqref="Q28 Q26">
    <cfRule type="cellIs" dxfId="38" priority="20" operator="equal">
      <formula>配置!$D$4</formula>
    </cfRule>
    <cfRule type="cellIs" dxfId="37" priority="21" operator="equal">
      <formula>配置!$D$2</formula>
    </cfRule>
  </conditionalFormatting>
  <dataValidations count="1">
    <dataValidation type="list" allowBlank="1" showInputMessage="1" showErrorMessage="1" sqref="Q2:Q28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82a472d-389b-4233-bf1f-999c8fb3b0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fd4d236e-8b4c-45b7-aac2-af1dcaa22a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F35:F37</xm:sqref>
        </x14:conditionalFormatting>
        <x14:conditionalFormatting xmlns:xm="http://schemas.microsoft.com/office/excel/2006/main">
          <x14:cfRule type="dataBar" id="{781e84f9-396c-4f3b-a106-875a3e3b43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F38:F40</xm:sqref>
        </x14:conditionalFormatting>
        <x14:conditionalFormatting xmlns:xm="http://schemas.microsoft.com/office/excel/2006/main">
          <x14:cfRule type="dataBar" id="{3c97f2c5-d81d-495a-a5b0-4688cbe3e8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F41:F43</xm:sqref>
        </x14:conditionalFormatting>
        <x14:conditionalFormatting xmlns:xm="http://schemas.microsoft.com/office/excel/2006/main">
          <x14:cfRule type="dataBar" id="{cc2e67ef-ea9a-46e4-9ff0-ded2895bb9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b419824a-c9c7-47c5-881d-ecfff1cd98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G35:G37</xm:sqref>
        </x14:conditionalFormatting>
        <x14:conditionalFormatting xmlns:xm="http://schemas.microsoft.com/office/excel/2006/main">
          <x14:cfRule type="dataBar" id="{b3bea60a-2593-4b2e-8ca8-f52c8aa842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G38:G40</xm:sqref>
        </x14:conditionalFormatting>
        <x14:conditionalFormatting xmlns:xm="http://schemas.microsoft.com/office/excel/2006/main">
          <x14:cfRule type="dataBar" id="{0d042362-8f65-4a20-aefa-7fd2b6cdcb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G41:G43</xm:sqref>
        </x14:conditionalFormatting>
        <x14:conditionalFormatting xmlns:xm="http://schemas.microsoft.com/office/excel/2006/main">
          <x14:cfRule type="dataBar" id="{81a71a29-1bd4-41fb-b547-e28ad9bebd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N32:N43</xm:sqref>
        </x14:conditionalFormatting>
        <x14:conditionalFormatting xmlns:xm="http://schemas.microsoft.com/office/excel/2006/main">
          <x14:cfRule type="dataBar" id="{ae8fb6a2-de7e-4de4-8d42-f718dd426d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N41:N43</xm:sqref>
        </x14:conditionalFormatting>
        <x14:conditionalFormatting xmlns:xm="http://schemas.microsoft.com/office/excel/2006/main">
          <x14:cfRule type="dataBar" id="{092e8f9d-3ab2-4b4a-a6f7-944436a864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O8:O10</xm:sqref>
        </x14:conditionalFormatting>
        <x14:conditionalFormatting xmlns:xm="http://schemas.microsoft.com/office/excel/2006/main">
          <x14:cfRule type="dataBar" id="{c25fda8c-0828-486b-9daa-da046ff58a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O14:O19</xm:sqref>
        </x14:conditionalFormatting>
        <x14:conditionalFormatting xmlns:xm="http://schemas.microsoft.com/office/excel/2006/main">
          <x14:cfRule type="dataBar" id="{47ab8062-0cad-47a9-b8df-4d0be85a7f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fd9968e1-0697-442d-9548-c4579fbbb1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O23:O25</xm:sqref>
        </x14:conditionalFormatting>
        <x14:conditionalFormatting xmlns:xm="http://schemas.microsoft.com/office/excel/2006/main">
          <x14:cfRule type="dataBar" id="{c9edae9f-027b-43fe-b920-cd5b11c529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O26:O28</xm:sqref>
        </x14:conditionalFormatting>
        <x14:conditionalFormatting xmlns:xm="http://schemas.microsoft.com/office/excel/2006/main">
          <x14:cfRule type="dataBar" id="{f14245de-2674-4a95-9c6d-fe999718f9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P8:P10</xm:sqref>
        </x14:conditionalFormatting>
        <x14:conditionalFormatting xmlns:xm="http://schemas.microsoft.com/office/excel/2006/main">
          <x14:cfRule type="dataBar" id="{478f6f94-d014-4555-b60c-4d7148bdc0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P14:P19</xm:sqref>
        </x14:conditionalFormatting>
        <x14:conditionalFormatting xmlns:xm="http://schemas.microsoft.com/office/excel/2006/main">
          <x14:cfRule type="dataBar" id="{878bd2f6-e226-431e-8ed8-1bfe987f0f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  <x14:conditionalFormatting xmlns:xm="http://schemas.microsoft.com/office/excel/2006/main">
          <x14:cfRule type="dataBar" id="{ac53a591-dd72-4b00-9b80-2b8ad3cf6c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P23:P25</xm:sqref>
        </x14:conditionalFormatting>
        <x14:conditionalFormatting xmlns:xm="http://schemas.microsoft.com/office/excel/2006/main">
          <x14:cfRule type="dataBar" id="{43735324-0c83-4367-9313-6c836e3520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P26:P28</xm:sqref>
        </x14:conditionalFormatting>
        <x14:conditionalFormatting xmlns:xm="http://schemas.microsoft.com/office/excel/2006/main">
          <x14:cfRule type="dataBar" id="{d637a14e-ef75-4a00-9700-70442286b3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O2:O7 O11:O13</xm:sqref>
        </x14:conditionalFormatting>
        <x14:conditionalFormatting xmlns:xm="http://schemas.microsoft.com/office/excel/2006/main">
          <x14:cfRule type="dataBar" id="{121577d5-8401-4541-a0a8-48736eac0b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P2:P7 P11:P13</xm:sqref>
        </x14:conditionalFormatting>
      </x14:conditionalFormatting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1"/>
  <sheetViews>
    <sheetView workbookViewId="0">
      <selection activeCell="H29" sqref="H29:H31"/>
    </sheetView>
  </sheetViews>
  <sheetFormatPr defaultColWidth="9" defaultRowHeight="13.5"/>
  <cols>
    <col min="7" max="7" width="9.5" customWidth="1"/>
  </cols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1">
        <v>123</v>
      </c>
      <c r="B2" s="371">
        <f>VLOOKUP(表1_86121822242656[[#This Row],[区服]],$P$26:$Q$33,2,FALSE)</f>
        <v>56</v>
      </c>
      <c r="C2" s="372" t="s">
        <v>105</v>
      </c>
      <c r="D2" s="373" t="str">
        <f>表1_86121822242656[[#This Row],[目标国家]]</f>
        <v>魏</v>
      </c>
      <c r="E2" s="374">
        <f>(VLOOKUP(表1_86121822242656[[#This Row],[目标区服]],$R$26:$S$29,2,FALSE)-表1_86121822242656[[#This Row],[开服天数]])*配置!$B$1</f>
        <v>1000</v>
      </c>
      <c r="F2" s="374">
        <f>表1_86121822242656[[#This Row],[补偿Coin]]*(表1_86121822242656[[#This Row],[活跃高战玩家数]]+表1_86121822242656[[#This Row],[活跃中坚玩家数]])</f>
        <v>16000</v>
      </c>
      <c r="G2" s="374">
        <f>(VLOOKUP(表1_86121822242656[[#This Row],[目标区服]],$R$26:$S$29,2,FALSE)-表1_86121822242656[[#This Row],[开服天数]])*配置!$B$2</f>
        <v>10</v>
      </c>
      <c r="H2" s="376" t="s">
        <v>25</v>
      </c>
      <c r="I2" s="376">
        <f>IF(表1_86121822242656[[#This Row],[原国家]]="魏",0,IF(表1_86121822242656[[#This Row],[原国家]]="蜀",1,2))</f>
        <v>0</v>
      </c>
      <c r="J2" s="380">
        <v>1</v>
      </c>
      <c r="K2" s="380">
        <v>57</v>
      </c>
      <c r="L2" s="380">
        <v>2</v>
      </c>
      <c r="M2" s="380">
        <v>14</v>
      </c>
      <c r="N2" s="380">
        <v>70853</v>
      </c>
      <c r="O2" s="380">
        <v>2601140</v>
      </c>
      <c r="P2" s="381">
        <v>16062494</v>
      </c>
      <c r="Q2" s="31" t="s">
        <v>25</v>
      </c>
      <c r="R2" s="376">
        <f>IF(表1_86121822242656[[#This Row],[目标国家]]="魏",0,IF(表1_86121822242656[[#This Row],[目标国家]]="蜀",1,2))</f>
        <v>0</v>
      </c>
      <c r="S2" s="380">
        <v>30614</v>
      </c>
      <c r="T2" s="380">
        <v>0</v>
      </c>
      <c r="U2" s="380">
        <v>422511</v>
      </c>
      <c r="V2" s="380">
        <v>6361</v>
      </c>
      <c r="W2" s="374">
        <v>790257</v>
      </c>
      <c r="X2" s="387" t="str">
        <f>"{"&amp;"'coin':"&amp;表1_86121822242656[[#This Row],[补偿Coin]]&amp;",'"&amp;配置!$A$2&amp;"':"&amp;表1_86121822242656[[#This Row],[补偿辎重]]&amp;"},"</f>
        <v>{'coin':1000,'item036':10},</v>
      </c>
      <c r="Y2" s="388" t="str">
        <f>"      '"&amp;表1_86121822242656[[#This Row],[区服]]&amp;"':{"</f>
        <v>      '123':{</v>
      </c>
    </row>
    <row r="3" s="354" customFormat="1" ht="14.25" customHeight="1" spans="1:25">
      <c r="A3" s="375">
        <v>123</v>
      </c>
      <c r="B3" s="371">
        <f>VLOOKUP(表1_86121822242656[[#This Row],[区服]],$P$26:$Q$33,2,FALSE)</f>
        <v>56</v>
      </c>
      <c r="C3" s="372" t="s">
        <v>105</v>
      </c>
      <c r="D3" s="376" t="str">
        <f>表1_86121822242656[[#This Row],[目标国家]]</f>
        <v>蜀</v>
      </c>
      <c r="E3" s="380">
        <f>(VLOOKUP(表1_86121822242656[[#This Row],[目标区服]],$R$26:$S$29,2,FALSE)-表1_86121822242656[[#This Row],[开服天数]])*配置!$B$1</f>
        <v>1000</v>
      </c>
      <c r="F3" s="380">
        <f>表1_86121822242656[[#This Row],[补偿Coin]]*(表1_86121822242656[[#This Row],[活跃高战玩家数]]+表1_86121822242656[[#This Row],[活跃中坚玩家数]])</f>
        <v>15000</v>
      </c>
      <c r="G3" s="380">
        <f>(VLOOKUP(表1_86121822242656[[#This Row],[目标区服]],$R$26:$S$29,2,FALSE)-表1_86121822242656[[#This Row],[开服天数]])*配置!$B$2</f>
        <v>10</v>
      </c>
      <c r="H3" s="376" t="s">
        <v>26</v>
      </c>
      <c r="I3" s="376">
        <f>IF(表1_86121822242656[[#This Row],[原国家]]="魏",0,IF(表1_86121822242656[[#This Row],[原国家]]="蜀",1,2))</f>
        <v>1</v>
      </c>
      <c r="J3" s="380">
        <v>2</v>
      </c>
      <c r="K3" s="380">
        <v>113</v>
      </c>
      <c r="L3" s="380">
        <v>1</v>
      </c>
      <c r="M3" s="380">
        <v>14</v>
      </c>
      <c r="N3" s="380">
        <v>69460</v>
      </c>
      <c r="O3" s="380">
        <v>2369395</v>
      </c>
      <c r="P3" s="381">
        <v>14985705</v>
      </c>
      <c r="Q3" s="31" t="s">
        <v>26</v>
      </c>
      <c r="R3" s="376">
        <f>IF(表1_86121822242656[[#This Row],[目标国家]]="魏",0,IF(表1_86121822242656[[#This Row],[目标国家]]="蜀",1,2))</f>
        <v>1</v>
      </c>
      <c r="S3" s="380">
        <v>17780</v>
      </c>
      <c r="T3" s="380">
        <v>0</v>
      </c>
      <c r="U3" s="380">
        <v>141734</v>
      </c>
      <c r="V3" s="380">
        <v>6149</v>
      </c>
      <c r="W3" s="374">
        <v>727016</v>
      </c>
      <c r="X3" s="387" t="str">
        <f>"{"&amp;"'coin':"&amp;表1_86121822242656[[#This Row],[补偿Coin]]&amp;",'"&amp;配置!$A$2&amp;"':"&amp;表1_86121822242656[[#This Row],[补偿辎重]]&amp;"},"</f>
        <v>{'coin':1000,'item036':10},</v>
      </c>
      <c r="Y3" s="388" t="str">
        <f>"            'to_zone':'"&amp;表1_86121822242656[[#This Row],[目标区服]]&amp;"',
            'reward':"&amp;表1_86121822242656[[#This Row],[辅助导出]]&amp;"
            'country':["&amp;R2&amp;","&amp;R3&amp;","&amp;R4&amp;"],"</f>
        <v>            'to_zone':'h1_52',
            'reward':{'coin':1000,'item036':10},
            'country':[0,1,2],</v>
      </c>
    </row>
    <row r="4" s="354" customFormat="1" ht="14.25" customHeight="1" spans="1:25">
      <c r="A4" s="375">
        <v>123</v>
      </c>
      <c r="B4" s="371">
        <f>VLOOKUP(表1_86121822242656[[#This Row],[区服]],$P$26:$Q$33,2,FALSE)</f>
        <v>56</v>
      </c>
      <c r="C4" s="372" t="s">
        <v>105</v>
      </c>
      <c r="D4" s="376" t="str">
        <f>表1_86121822242656[[#This Row],[目标国家]]</f>
        <v>吴</v>
      </c>
      <c r="E4" s="380">
        <f>(VLOOKUP(表1_86121822242656[[#This Row],[目标区服]],$R$26:$S$29,2,FALSE)-表1_86121822242656[[#This Row],[开服天数]])*配置!$B$1</f>
        <v>1000</v>
      </c>
      <c r="F4" s="380">
        <f>表1_86121822242656[[#This Row],[补偿Coin]]*(表1_86121822242656[[#This Row],[活跃高战玩家数]]+表1_86121822242656[[#This Row],[活跃中坚玩家数]])</f>
        <v>26000</v>
      </c>
      <c r="G4" s="380">
        <f>(VLOOKUP(表1_86121822242656[[#This Row],[目标区服]],$R$26:$S$29,2,FALSE)-表1_86121822242656[[#This Row],[开服天数]])*配置!$B$2</f>
        <v>10</v>
      </c>
      <c r="H4" s="376" t="s">
        <v>27</v>
      </c>
      <c r="I4" s="376">
        <f>IF(表1_86121822242656[[#This Row],[原国家]]="魏",0,IF(表1_86121822242656[[#This Row],[原国家]]="蜀",1,2))</f>
        <v>2</v>
      </c>
      <c r="J4" s="380">
        <v>6</v>
      </c>
      <c r="K4" s="380">
        <v>225</v>
      </c>
      <c r="L4" s="380">
        <v>7</v>
      </c>
      <c r="M4" s="380">
        <v>19</v>
      </c>
      <c r="N4" s="380">
        <v>125320</v>
      </c>
      <c r="O4" s="380">
        <v>3855320</v>
      </c>
      <c r="P4" s="381">
        <v>30931554</v>
      </c>
      <c r="Q4" s="31" t="s">
        <v>27</v>
      </c>
      <c r="R4" s="376">
        <f>IF(表1_86121822242656[[#This Row],[目标国家]]="魏",0,IF(表1_86121822242656[[#This Row],[目标国家]]="蜀",1,2))</f>
        <v>2</v>
      </c>
      <c r="S4" s="380">
        <v>147620</v>
      </c>
      <c r="T4" s="380">
        <v>0</v>
      </c>
      <c r="U4" s="380">
        <v>764765</v>
      </c>
      <c r="V4" s="380">
        <v>15236</v>
      </c>
      <c r="W4" s="374">
        <v>1255547</v>
      </c>
      <c r="X4" s="387" t="str">
        <f>"{"&amp;"'coin':"&amp;表1_86121822242656[[#This Row],[补偿Coin]]&amp;",'"&amp;配置!$A$2&amp;"':"&amp;表1_86121822242656[[#This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5">
        <v>125</v>
      </c>
      <c r="B5" s="371">
        <v>54</v>
      </c>
      <c r="C5" s="372" t="s">
        <v>105</v>
      </c>
      <c r="D5" s="376" t="str">
        <f>表1_86121822242656[[#This Row],[目标国家]]</f>
        <v>吴</v>
      </c>
      <c r="E5" s="380">
        <f>(VLOOKUP(表1_86121822242656[[#This Row],[目标区服]],$R$26:$S$29,2,FALSE)-表1_86121822242656[[#This Row],[开服天数]])*配置!$B$1</f>
        <v>2000</v>
      </c>
      <c r="F5" s="380">
        <f>表1_86121822242656[[#This Row],[补偿Coin]]*(表1_86121822242656[[#This Row],[活跃高战玩家数]]+表1_86121822242656[[#This Row],[活跃中坚玩家数]])</f>
        <v>38000</v>
      </c>
      <c r="G5" s="380">
        <f>(VLOOKUP(表1_86121822242656[[#This Row],[目标区服]],$R$26:$S$29,2,FALSE)-表1_86121822242656[[#This Row],[开服天数]])*配置!$B$2</f>
        <v>20</v>
      </c>
      <c r="H5" s="376" t="s">
        <v>25</v>
      </c>
      <c r="I5" s="376">
        <f>IF(表1_86121822242656[[#This Row],[原国家]]="魏",0,IF(表1_86121822242656[[#This Row],[原国家]]="蜀",1,2))</f>
        <v>0</v>
      </c>
      <c r="J5" s="380">
        <v>1</v>
      </c>
      <c r="K5" s="380">
        <v>77</v>
      </c>
      <c r="L5" s="380">
        <v>2</v>
      </c>
      <c r="M5" s="380">
        <v>17</v>
      </c>
      <c r="N5" s="380">
        <v>78991</v>
      </c>
      <c r="O5" s="380">
        <v>1917993</v>
      </c>
      <c r="P5" s="381">
        <v>15625310</v>
      </c>
      <c r="Q5" s="31" t="s">
        <v>27</v>
      </c>
      <c r="R5" s="376">
        <f>IF(表1_86121822242656[[#This Row],[目标国家]]="魏",0,IF(表1_86121822242656[[#This Row],[目标国家]]="蜀",1,2))</f>
        <v>2</v>
      </c>
      <c r="S5" s="380">
        <v>44096</v>
      </c>
      <c r="T5" s="380">
        <v>0</v>
      </c>
      <c r="U5" s="380">
        <v>327134</v>
      </c>
      <c r="V5" s="380">
        <v>6231</v>
      </c>
      <c r="W5" s="374">
        <v>502788</v>
      </c>
      <c r="X5" s="387" t="str">
        <f>"{"&amp;"'coin':"&amp;表1_86121822242656[[#This Row],[补偿Coin]]&amp;",'"&amp;配置!$A$2&amp;"':"&amp;表1_86121822242656[[#This Row],[补偿辎重]]&amp;"},"</f>
        <v>{'coin':2000,'item036':20},</v>
      </c>
      <c r="Y5" s="388" t="str">
        <f>"      '"&amp;表1_86121822242656[[#This Row],[区服]]&amp;"':{"</f>
        <v>      '125':{</v>
      </c>
    </row>
    <row r="6" s="354" customFormat="1" ht="14.25" customHeight="1" spans="1:25">
      <c r="A6" s="371">
        <v>125</v>
      </c>
      <c r="B6" s="371">
        <v>54</v>
      </c>
      <c r="C6" s="372" t="s">
        <v>105</v>
      </c>
      <c r="D6" s="376" t="str">
        <f>表1_86121822242656[[#This Row],[目标国家]]</f>
        <v>魏</v>
      </c>
      <c r="E6" s="380">
        <f>(VLOOKUP(表1_86121822242656[[#This Row],[目标区服]],$R$26:$S$29,2,FALSE)-表1_86121822242656[[#This Row],[开服天数]])*配置!$B$1</f>
        <v>2000</v>
      </c>
      <c r="F6" s="380">
        <f>表1_86121822242656[[#This Row],[补偿Coin]]*(表1_86121822242656[[#This Row],[活跃高战玩家数]]+表1_86121822242656[[#This Row],[活跃中坚玩家数]])</f>
        <v>74000</v>
      </c>
      <c r="G6" s="380">
        <f>(VLOOKUP(表1_86121822242656[[#This Row],[目标区服]],$R$26:$S$29,2,FALSE)-表1_86121822242656[[#This Row],[开服天数]])*配置!$B$2</f>
        <v>20</v>
      </c>
      <c r="H6" s="376" t="s">
        <v>26</v>
      </c>
      <c r="I6" s="376">
        <f>IF(表1_86121822242656[[#This Row],[原国家]]="魏",0,IF(表1_86121822242656[[#This Row],[原国家]]="蜀",1,2))</f>
        <v>1</v>
      </c>
      <c r="J6" s="380">
        <v>8</v>
      </c>
      <c r="K6" s="380">
        <v>264</v>
      </c>
      <c r="L6" s="380">
        <v>5</v>
      </c>
      <c r="M6" s="380">
        <v>32</v>
      </c>
      <c r="N6" s="380">
        <v>162403</v>
      </c>
      <c r="O6" s="380">
        <v>3289418</v>
      </c>
      <c r="P6" s="381">
        <v>34146282</v>
      </c>
      <c r="Q6" s="31" t="s">
        <v>25</v>
      </c>
      <c r="R6" s="376">
        <f>IF(表1_86121822242656[[#This Row],[目标国家]]="魏",0,IF(表1_86121822242656[[#This Row],[目标国家]]="蜀",1,2))</f>
        <v>0</v>
      </c>
      <c r="S6" s="380">
        <v>96458</v>
      </c>
      <c r="T6" s="380">
        <v>0</v>
      </c>
      <c r="U6" s="380">
        <v>1047841</v>
      </c>
      <c r="V6" s="380">
        <v>14373</v>
      </c>
      <c r="W6" s="374">
        <v>1005072</v>
      </c>
      <c r="X6" s="387" t="str">
        <f>"{"&amp;"'coin':"&amp;表1_86121822242656[[#This Row],[补偿Coin]]&amp;",'"&amp;配置!$A$2&amp;"':"&amp;表1_86121822242656[[#This Row],[补偿辎重]]&amp;"},"</f>
        <v>{'coin':2000,'item036':20},</v>
      </c>
      <c r="Y6" s="388" t="str">
        <f>"            'to_zone':'"&amp;表1_86121822242656[[#This Row],[目标区服]]&amp;"',
            'reward':"&amp;表1_86121822242656[[#This Row],[辅助导出]]&amp;"
            'country':["&amp;R5&amp;","&amp;R6&amp;","&amp;R7&amp;"],"</f>
        <v>            'to_zone':'h1_52',
            'reward':{'coin':2000,'item036':20},
            'country':[2,0,1],</v>
      </c>
    </row>
    <row r="7" s="354" customFormat="1" ht="14.25" customHeight="1" spans="1:25">
      <c r="A7" s="371">
        <v>125</v>
      </c>
      <c r="B7" s="371">
        <v>54</v>
      </c>
      <c r="C7" s="372" t="s">
        <v>105</v>
      </c>
      <c r="D7" s="376" t="str">
        <f>表1_86121822242656[[#This Row],[目标国家]]</f>
        <v>蜀</v>
      </c>
      <c r="E7" s="380">
        <f>(VLOOKUP(表1_86121822242656[[#This Row],[目标区服]],$R$26:$S$29,2,FALSE)-表1_86121822242656[[#This Row],[开服天数]])*配置!$B$1</f>
        <v>2000</v>
      </c>
      <c r="F7" s="380">
        <f>表1_86121822242656[[#This Row],[补偿Coin]]*(表1_86121822242656[[#This Row],[活跃高战玩家数]]+表1_86121822242656[[#This Row],[活跃中坚玩家数]])</f>
        <v>22000</v>
      </c>
      <c r="G7" s="380">
        <f>(VLOOKUP(表1_86121822242656[[#This Row],[目标区服]],$R$26:$S$29,2,FALSE)-表1_86121822242656[[#This Row],[开服天数]])*配置!$B$2</f>
        <v>20</v>
      </c>
      <c r="H7" s="376" t="s">
        <v>27</v>
      </c>
      <c r="I7" s="376">
        <f>IF(表1_86121822242656[[#This Row],[原国家]]="魏",0,IF(表1_86121822242656[[#This Row],[原国家]]="蜀",1,2))</f>
        <v>2</v>
      </c>
      <c r="J7" s="380">
        <v>0</v>
      </c>
      <c r="K7" s="380">
        <v>54</v>
      </c>
      <c r="L7" s="380">
        <v>1</v>
      </c>
      <c r="M7" s="380">
        <v>10</v>
      </c>
      <c r="N7" s="380">
        <v>36578</v>
      </c>
      <c r="O7" s="380">
        <v>1334371</v>
      </c>
      <c r="P7" s="381">
        <v>7724657</v>
      </c>
      <c r="Q7" s="31" t="s">
        <v>26</v>
      </c>
      <c r="R7" s="376">
        <f>IF(表1_86121822242656[[#This Row],[目标国家]]="魏",0,IF(表1_86121822242656[[#This Row],[目标国家]]="蜀",1,2))</f>
        <v>1</v>
      </c>
      <c r="S7" s="380">
        <v>2086</v>
      </c>
      <c r="T7" s="380">
        <v>0</v>
      </c>
      <c r="U7" s="380">
        <v>91306</v>
      </c>
      <c r="V7" s="380">
        <v>2937</v>
      </c>
      <c r="W7" s="374">
        <v>505651</v>
      </c>
      <c r="X7" s="387" t="str">
        <f>"{"&amp;"'coin':"&amp;表1_86121822242656[[#This Row],[补偿Coin]]&amp;",'"&amp;配置!$A$2&amp;"':"&amp;表1_86121822242656[[#This Row],[补偿辎重]]&amp;"},"</f>
        <v>{'coin':2000,'item036':20},</v>
      </c>
      <c r="Y7" s="388" t="str">
        <f>"      },"</f>
        <v>      },</v>
      </c>
    </row>
    <row r="8" s="354" customFormat="1" ht="14.25" customHeight="1" spans="1:25">
      <c r="A8" s="375">
        <v>126</v>
      </c>
      <c r="B8" s="371">
        <v>53</v>
      </c>
      <c r="C8" s="372" t="s">
        <v>105</v>
      </c>
      <c r="D8" s="376" t="str">
        <f>表1_86121822242656[[#This Row],[目标国家]]</f>
        <v>魏</v>
      </c>
      <c r="E8" s="380">
        <f>(VLOOKUP(表1_86121822242656[[#This Row],[目标区服]],$R$26:$S$29,2,FALSE)-表1_86121822242656[[#This Row],[开服天数]])*配置!$B$1</f>
        <v>2500</v>
      </c>
      <c r="F8" s="380">
        <f>表1_86121822242656[[#This Row],[补偿Coin]]*(表1_86121822242656[[#This Row],[活跃高战玩家数]]+表1_86121822242656[[#This Row],[活跃中坚玩家数]])</f>
        <v>40000</v>
      </c>
      <c r="G8" s="380">
        <f>(VLOOKUP(表1_86121822242656[[#This Row],[目标区服]],$R$26:$S$29,2,FALSE)-表1_86121822242656[[#This Row],[开服天数]])*配置!$B$2</f>
        <v>25</v>
      </c>
      <c r="H8" s="376" t="s">
        <v>25</v>
      </c>
      <c r="I8" s="376">
        <f>IF(表1_86121822242656[[#This Row],[原国家]]="魏",0,IF(表1_86121822242656[[#This Row],[原国家]]="蜀",1,2))</f>
        <v>0</v>
      </c>
      <c r="J8" s="380">
        <v>2</v>
      </c>
      <c r="K8" s="380">
        <v>106</v>
      </c>
      <c r="L8" s="380">
        <v>3</v>
      </c>
      <c r="M8" s="380">
        <v>13</v>
      </c>
      <c r="N8" s="380">
        <v>79911</v>
      </c>
      <c r="O8" s="380">
        <v>3709647</v>
      </c>
      <c r="P8" s="381">
        <v>17740429</v>
      </c>
      <c r="Q8" s="31" t="s">
        <v>25</v>
      </c>
      <c r="R8" s="376">
        <f>IF(表1_86121822242656[[#This Row],[目标国家]]="魏",0,IF(表1_86121822242656[[#This Row],[目标国家]]="蜀",1,2))</f>
        <v>0</v>
      </c>
      <c r="S8" s="380">
        <v>45694</v>
      </c>
      <c r="T8" s="380">
        <v>97560</v>
      </c>
      <c r="U8" s="380">
        <v>489997</v>
      </c>
      <c r="V8" s="380">
        <v>9734</v>
      </c>
      <c r="W8" s="374">
        <v>1089177</v>
      </c>
      <c r="X8" s="387" t="str">
        <f>"{"&amp;"'coin':"&amp;表1_86121822242656[[#This Row],[补偿Coin]]&amp;",'"&amp;配置!$A$2&amp;"':"&amp;表1_86121822242656[[#This Row],[补偿辎重]]&amp;"},"</f>
        <v>{'coin':2500,'item036':25},</v>
      </c>
      <c r="Y8" s="388" t="str">
        <f>"      '"&amp;表1_86121822242656[[#This Row],[区服]]&amp;"':{"</f>
        <v>      '126':{</v>
      </c>
    </row>
    <row r="9" s="354" customFormat="1" ht="14.25" customHeight="1" spans="1:25">
      <c r="A9" s="371">
        <v>126</v>
      </c>
      <c r="B9" s="371">
        <v>53</v>
      </c>
      <c r="C9" s="372" t="s">
        <v>105</v>
      </c>
      <c r="D9" s="376" t="str">
        <f>表1_86121822242656[[#This Row],[目标国家]]</f>
        <v>蜀</v>
      </c>
      <c r="E9" s="380">
        <f>(VLOOKUP(表1_86121822242656[[#This Row],[目标区服]],$R$26:$S$29,2,FALSE)-表1_86121822242656[[#This Row],[开服天数]])*配置!$B$1</f>
        <v>2500</v>
      </c>
      <c r="F9" s="380">
        <f>表1_86121822242656[[#This Row],[补偿Coin]]*(表1_86121822242656[[#This Row],[活跃高战玩家数]]+表1_86121822242656[[#This Row],[活跃中坚玩家数]])</f>
        <v>82500</v>
      </c>
      <c r="G9" s="380">
        <f>(VLOOKUP(表1_86121822242656[[#This Row],[目标区服]],$R$26:$S$29,2,FALSE)-表1_86121822242656[[#This Row],[开服天数]])*配置!$B$2</f>
        <v>25</v>
      </c>
      <c r="H9" s="376" t="s">
        <v>26</v>
      </c>
      <c r="I9" s="376">
        <f>IF(表1_86121822242656[[#This Row],[原国家]]="魏",0,IF(表1_86121822242656[[#This Row],[原国家]]="蜀",1,2))</f>
        <v>1</v>
      </c>
      <c r="J9" s="380">
        <v>7</v>
      </c>
      <c r="K9" s="380">
        <v>252</v>
      </c>
      <c r="L9" s="380">
        <v>7</v>
      </c>
      <c r="M9" s="380">
        <v>26</v>
      </c>
      <c r="N9" s="380">
        <v>179483</v>
      </c>
      <c r="O9" s="380">
        <v>3836805</v>
      </c>
      <c r="P9" s="381">
        <v>39347950</v>
      </c>
      <c r="Q9" s="31" t="s">
        <v>26</v>
      </c>
      <c r="R9" s="376">
        <f>IF(表1_86121822242656[[#This Row],[目标国家]]="魏",0,IF(表1_86121822242656[[#This Row],[目标国家]]="蜀",1,2))</f>
        <v>1</v>
      </c>
      <c r="S9" s="380">
        <v>191282</v>
      </c>
      <c r="T9" s="380">
        <v>0</v>
      </c>
      <c r="U9" s="380">
        <v>1091496</v>
      </c>
      <c r="V9" s="380">
        <v>18173</v>
      </c>
      <c r="W9" s="374">
        <v>1041464</v>
      </c>
      <c r="X9" s="387" t="str">
        <f>"{"&amp;"'coin':"&amp;表1_86121822242656[[#This Row],[补偿Coin]]&amp;",'"&amp;配置!$A$2&amp;"':"&amp;表1_86121822242656[[#This Row],[补偿辎重]]&amp;"},"</f>
        <v>{'coin':2500,'item036':25},</v>
      </c>
      <c r="Y9" s="388" t="str">
        <f>"            'to_zone':'"&amp;表1_86121822242656[[#This Row],[目标区服]]&amp;"',
            'reward':"&amp;表1_86121822242656[[#This Row],[辅助导出]]&amp;"
            'country':["&amp;R8&amp;","&amp;R9&amp;","&amp;R10&amp;"],"</f>
        <v>            'to_zone':'h1_52',
            'reward':{'coin':2500,'item036':25},
            'country':[0,1,2],</v>
      </c>
    </row>
    <row r="10" s="354" customFormat="1" ht="14.25" customHeight="1" spans="1:25">
      <c r="A10" s="371">
        <v>126</v>
      </c>
      <c r="B10" s="371">
        <v>53</v>
      </c>
      <c r="C10" s="372" t="s">
        <v>105</v>
      </c>
      <c r="D10" s="376" t="str">
        <f>表1_86121822242656[[#This Row],[目标国家]]</f>
        <v>吴</v>
      </c>
      <c r="E10" s="380">
        <f>(VLOOKUP(表1_86121822242656[[#This Row],[目标区服]],$R$26:$S$29,2,FALSE)-表1_86121822242656[[#This Row],[开服天数]])*配置!$B$1</f>
        <v>2500</v>
      </c>
      <c r="F10" s="380">
        <f>表1_86121822242656[[#This Row],[补偿Coin]]*(表1_86121822242656[[#This Row],[活跃高战玩家数]]+表1_86121822242656[[#This Row],[活跃中坚玩家数]])</f>
        <v>35000</v>
      </c>
      <c r="G10" s="380">
        <f>(VLOOKUP(表1_86121822242656[[#This Row],[目标区服]],$R$26:$S$29,2,FALSE)-表1_86121822242656[[#This Row],[开服天数]])*配置!$B$2</f>
        <v>25</v>
      </c>
      <c r="H10" s="376" t="s">
        <v>27</v>
      </c>
      <c r="I10" s="376">
        <f>IF(表1_86121822242656[[#This Row],[原国家]]="魏",0,IF(表1_86121822242656[[#This Row],[原国家]]="蜀",1,2))</f>
        <v>2</v>
      </c>
      <c r="J10" s="380">
        <v>0</v>
      </c>
      <c r="K10" s="380">
        <v>37</v>
      </c>
      <c r="L10" s="380">
        <v>0</v>
      </c>
      <c r="M10" s="380">
        <v>14</v>
      </c>
      <c r="N10" s="380">
        <v>30786</v>
      </c>
      <c r="O10" s="380">
        <v>841588</v>
      </c>
      <c r="P10" s="381">
        <v>6660524</v>
      </c>
      <c r="Q10" s="31" t="s">
        <v>27</v>
      </c>
      <c r="R10" s="376">
        <f>IF(表1_86121822242656[[#This Row],[目标国家]]="魏",0,IF(表1_86121822242656[[#This Row],[目标国家]]="蜀",1,2))</f>
        <v>2</v>
      </c>
      <c r="S10" s="380">
        <v>7326</v>
      </c>
      <c r="T10" s="380">
        <v>0</v>
      </c>
      <c r="U10" s="380">
        <v>176094</v>
      </c>
      <c r="V10" s="380">
        <v>2339</v>
      </c>
      <c r="W10" s="374">
        <v>236191</v>
      </c>
      <c r="X10" s="387" t="str">
        <f>"{"&amp;"'coin':"&amp;表1_86121822242656[[#This Row],[补偿Coin]]&amp;",'"&amp;配置!$A$2&amp;"':"&amp;表1_86121822242656[[#This Row],[补偿辎重]]&amp;"},"</f>
        <v>{'coin':2500,'item036':25},</v>
      </c>
      <c r="Y10" s="388" t="str">
        <f>"      },"</f>
        <v>      },</v>
      </c>
    </row>
    <row r="11" s="354" customFormat="1" ht="14.25" customHeight="1" spans="1:25">
      <c r="A11" s="259">
        <v>124</v>
      </c>
      <c r="B11" s="210">
        <f>VLOOKUP(表1_86121822242656[[#This Row],[区服]],$P$26:$Q$33,2,FALSE)</f>
        <v>55</v>
      </c>
      <c r="C11" s="296" t="s">
        <v>106</v>
      </c>
      <c r="D11" s="212" t="str">
        <f>表1_86121822242656[[#This Row],[目标国家]]</f>
        <v>蜀</v>
      </c>
      <c r="E11" s="213">
        <f>(VLOOKUP(表1_86121822242656[[#This Row],[目标区服]],$R$26:$S$29,2,FALSE)-表1_86121822242656[[#This Row],[开服天数]])*配置!$B$1</f>
        <v>1000</v>
      </c>
      <c r="F11" s="213">
        <f>表1_86121822242656[[#This Row],[补偿Coin]]*(表1_86121822242656[[#This Row],[活跃高战玩家数]]+表1_86121822242656[[#This Row],[活跃中坚玩家数]])</f>
        <v>10000</v>
      </c>
      <c r="G11" s="260">
        <f>(VLOOKUP(表1_86121822242656[[#This Row],[目标区服]],$R$26:$S$29,2,FALSE)-表1_86121822242656[[#This Row],[开服天数]])*配置!$B$2</f>
        <v>10</v>
      </c>
      <c r="H11" s="212" t="s">
        <v>25</v>
      </c>
      <c r="I11" s="268">
        <f>IF(表1_86121822242656[[#This Row],[原国家]]="魏",0,IF(表1_86121822242656[[#This Row],[原国家]]="蜀",1,2))</f>
        <v>0</v>
      </c>
      <c r="J11" s="213">
        <v>0</v>
      </c>
      <c r="K11" s="213">
        <v>46</v>
      </c>
      <c r="L11" s="213">
        <v>2</v>
      </c>
      <c r="M11" s="213">
        <v>8</v>
      </c>
      <c r="N11" s="213">
        <v>55568</v>
      </c>
      <c r="O11" s="419">
        <v>3920902</v>
      </c>
      <c r="P11" s="420">
        <v>15540044</v>
      </c>
      <c r="Q11" s="31" t="s">
        <v>26</v>
      </c>
      <c r="R11" s="212">
        <f>IF(表1_86121822242656[[#This Row],[目标国家]]="魏",0,IF(表1_86121822242656[[#This Row],[目标国家]]="蜀",1,2))</f>
        <v>1</v>
      </c>
      <c r="S11" s="213">
        <v>41594</v>
      </c>
      <c r="T11" s="213">
        <v>112304</v>
      </c>
      <c r="U11" s="213">
        <v>876310</v>
      </c>
      <c r="V11" s="213">
        <v>9021</v>
      </c>
      <c r="W11" s="213">
        <v>1569560</v>
      </c>
      <c r="X11" s="278" t="str">
        <f>"{"&amp;"'coin':"&amp;表1_86121822242656[[#This Row],[补偿Coin]]&amp;",'"&amp;配置!$A$2&amp;"':"&amp;表1_86121822242656[[#This Row],[补偿辎重]]&amp;"},"</f>
        <v>{'coin':1000,'item036':10},</v>
      </c>
      <c r="Y11" s="278" t="str">
        <f>"      '"&amp;表1_86121822242656[[#This Row],[区服]]&amp;"':{"</f>
        <v>      '124':{</v>
      </c>
    </row>
    <row r="12" s="354" customFormat="1" ht="14.25" customHeight="1" spans="1:25">
      <c r="A12" s="259">
        <v>124</v>
      </c>
      <c r="B12" s="210">
        <f>VLOOKUP(表1_86121822242656[[#This Row],[区服]],$P$26:$Q$33,2,FALSE)</f>
        <v>55</v>
      </c>
      <c r="C12" s="296" t="s">
        <v>106</v>
      </c>
      <c r="D12" s="212" t="str">
        <f>表1_86121822242656[[#This Row],[目标国家]]</f>
        <v>吴</v>
      </c>
      <c r="E12" s="213">
        <f>(VLOOKUP(表1_86121822242656[[#This Row],[目标区服]],$R$26:$S$29,2,FALSE)-表1_86121822242656[[#This Row],[开服天数]])*配置!$B$1</f>
        <v>1000</v>
      </c>
      <c r="F12" s="213">
        <f>表1_86121822242656[[#This Row],[补偿Coin]]*(表1_86121822242656[[#This Row],[活跃高战玩家数]]+表1_86121822242656[[#This Row],[活跃中坚玩家数]])</f>
        <v>10000</v>
      </c>
      <c r="G12" s="260">
        <f>(VLOOKUP(表1_86121822242656[[#This Row],[目标区服]],$R$26:$S$29,2,FALSE)-表1_86121822242656[[#This Row],[开服天数]])*配置!$B$2</f>
        <v>10</v>
      </c>
      <c r="H12" s="212" t="s">
        <v>26</v>
      </c>
      <c r="I12" s="268">
        <f>IF(表1_86121822242656[[#This Row],[原国家]]="魏",0,IF(表1_86121822242656[[#This Row],[原国家]]="蜀",1,2))</f>
        <v>1</v>
      </c>
      <c r="J12" s="213">
        <v>0</v>
      </c>
      <c r="K12" s="213">
        <v>48</v>
      </c>
      <c r="L12" s="213">
        <v>0</v>
      </c>
      <c r="M12" s="213">
        <v>10</v>
      </c>
      <c r="N12" s="213">
        <v>23011</v>
      </c>
      <c r="O12" s="419">
        <v>1171701</v>
      </c>
      <c r="P12" s="420">
        <v>6168204</v>
      </c>
      <c r="Q12" s="31" t="s">
        <v>27</v>
      </c>
      <c r="R12" s="212">
        <f>IF(表1_86121822242656[[#This Row],[目标国家]]="魏",0,IF(表1_86121822242656[[#This Row],[目标国家]]="蜀",1,2))</f>
        <v>2</v>
      </c>
      <c r="S12" s="213">
        <v>5748</v>
      </c>
      <c r="T12" s="213">
        <v>0</v>
      </c>
      <c r="U12" s="213">
        <v>97703</v>
      </c>
      <c r="V12" s="213">
        <v>2604</v>
      </c>
      <c r="W12" s="213">
        <v>370613</v>
      </c>
      <c r="X12" s="278" t="str">
        <f>"{"&amp;"'coin':"&amp;表1_86121822242656[[#This Row],[补偿Coin]]&amp;",'"&amp;配置!$A$2&amp;"':"&amp;表1_86121822242656[[#This Row],[补偿辎重]]&amp;"},"</f>
        <v>{'coin':1000,'item036':10},</v>
      </c>
      <c r="Y12" s="278" t="str">
        <f>"            'to_zone':'"&amp;表1_86121822242656[[#This Row],[目标区服]]&amp;"',
            'reward':"&amp;表1_86121822242656[[#This Row],[辅助导出]]&amp;"
            'country':["&amp;R11&amp;","&amp;R12&amp;","&amp;R13&amp;"],"</f>
        <v>            'to_zone':'h1_53',
            'reward':{'coin':1000,'item036':10},
            'country':[1,2,2],</v>
      </c>
    </row>
    <row r="13" s="354" customFormat="1" ht="14.25" customHeight="1" spans="1:25">
      <c r="A13" s="259">
        <v>124</v>
      </c>
      <c r="B13" s="210">
        <f>VLOOKUP(表1_86121822242656[[#This Row],[区服]],$P$26:$Q$33,2,FALSE)</f>
        <v>55</v>
      </c>
      <c r="C13" s="296" t="s">
        <v>106</v>
      </c>
      <c r="D13" s="212" t="str">
        <f>表1_86121822242656[[#This Row],[目标国家]]</f>
        <v>吴</v>
      </c>
      <c r="E13" s="213">
        <f>(VLOOKUP(表1_86121822242656[[#This Row],[目标区服]],$R$26:$S$29,2,FALSE)-表1_86121822242656[[#This Row],[开服天数]])*配置!$B$1</f>
        <v>1000</v>
      </c>
      <c r="F13" s="213">
        <f>表1_86121822242656[[#This Row],[补偿Coin]]*(表1_86121822242656[[#This Row],[活跃高战玩家数]]+表1_86121822242656[[#This Row],[活跃中坚玩家数]])</f>
        <v>37000</v>
      </c>
      <c r="G13" s="260">
        <f>(VLOOKUP(表1_86121822242656[[#This Row],[目标区服]],$R$26:$S$29,2,FALSE)-表1_86121822242656[[#This Row],[开服天数]])*配置!$B$2</f>
        <v>10</v>
      </c>
      <c r="H13" s="212" t="s">
        <v>27</v>
      </c>
      <c r="I13" s="268">
        <f>IF(表1_86121822242656[[#This Row],[原国家]]="魏",0,IF(表1_86121822242656[[#This Row],[原国家]]="蜀",1,2))</f>
        <v>2</v>
      </c>
      <c r="J13" s="213">
        <v>9</v>
      </c>
      <c r="K13" s="213">
        <v>301</v>
      </c>
      <c r="L13" s="213">
        <v>8</v>
      </c>
      <c r="M13" s="213">
        <v>29</v>
      </c>
      <c r="N13" s="213">
        <v>201560</v>
      </c>
      <c r="O13" s="419">
        <v>4293963</v>
      </c>
      <c r="P13" s="420">
        <v>46489149</v>
      </c>
      <c r="Q13" s="31" t="s">
        <v>27</v>
      </c>
      <c r="R13" s="212">
        <f>IF(表1_86121822242656[[#This Row],[目标国家]]="魏",0,IF(表1_86121822242656[[#This Row],[目标国家]]="蜀",1,2))</f>
        <v>2</v>
      </c>
      <c r="S13" s="213">
        <v>411450</v>
      </c>
      <c r="T13" s="213">
        <v>0</v>
      </c>
      <c r="U13" s="213">
        <v>1199917</v>
      </c>
      <c r="V13" s="213">
        <v>26804</v>
      </c>
      <c r="W13" s="213">
        <v>1488878</v>
      </c>
      <c r="X13" s="278" t="str">
        <f>"{"&amp;"'coin':"&amp;表1_86121822242656[[#This Row],[补偿Coin]]&amp;",'"&amp;配置!$A$2&amp;"':"&amp;表1_86121822242656[[#This Row],[补偿辎重]]&amp;"},"</f>
        <v>{'coin':1000,'item036':10},</v>
      </c>
      <c r="Y13" s="278" t="str">
        <f t="shared" ref="Y13" si="0">"      },"</f>
        <v>      },</v>
      </c>
    </row>
    <row r="14" ht="14.25" customHeight="1" spans="1:25">
      <c r="A14" s="259">
        <v>127</v>
      </c>
      <c r="B14" s="210">
        <f>VLOOKUP(表1_86121822242656[[#This Row],[区服]],$P$26:$Q$33,2,FALSE)</f>
        <v>52</v>
      </c>
      <c r="C14" s="296" t="s">
        <v>106</v>
      </c>
      <c r="D14" s="212" t="str">
        <f>表1_86121822242656[[#This Row],[目标国家]]</f>
        <v>魏</v>
      </c>
      <c r="E14" s="213">
        <f>(VLOOKUP(表1_86121822242656[[#This Row],[目标区服]],$R$26:$S$29,2,FALSE)-表1_86121822242656[[#This Row],[开服天数]])*配置!$B$1</f>
        <v>2500</v>
      </c>
      <c r="F14" s="213">
        <f>表1_86121822242656[[#This Row],[补偿Coin]]*(表1_86121822242656[[#This Row],[活跃高战玩家数]]+表1_86121822242656[[#This Row],[活跃中坚玩家数]])</f>
        <v>122500</v>
      </c>
      <c r="G14" s="260">
        <f>(VLOOKUP(表1_86121822242656[[#This Row],[目标区服]],$R$26:$S$29,2,FALSE)-表1_86121822242656[[#This Row],[开服天数]])*配置!$B$2</f>
        <v>25</v>
      </c>
      <c r="H14" s="212" t="s">
        <v>25</v>
      </c>
      <c r="I14" s="268">
        <f>IF(表1_86121822242656[[#This Row],[原国家]]="魏",0,IF(表1_86121822242656[[#This Row],[原国家]]="蜀",1,2))</f>
        <v>0</v>
      </c>
      <c r="J14" s="213">
        <v>9</v>
      </c>
      <c r="K14" s="213">
        <v>346</v>
      </c>
      <c r="L14" s="213">
        <v>7</v>
      </c>
      <c r="M14" s="213">
        <v>42</v>
      </c>
      <c r="N14" s="213">
        <v>230798</v>
      </c>
      <c r="O14" s="419">
        <v>5519213</v>
      </c>
      <c r="P14" s="420">
        <v>79507062</v>
      </c>
      <c r="Q14" s="31" t="s">
        <v>25</v>
      </c>
      <c r="R14" s="212">
        <f>IF(表1_86121822242656[[#This Row],[目标国家]]="魏",0,IF(表1_86121822242656[[#This Row],[目标国家]]="蜀",1,2))</f>
        <v>0</v>
      </c>
      <c r="S14" s="213">
        <v>933840</v>
      </c>
      <c r="T14" s="213">
        <v>5382</v>
      </c>
      <c r="U14" s="213">
        <v>2952056</v>
      </c>
      <c r="V14" s="213">
        <v>48528</v>
      </c>
      <c r="W14" s="213">
        <v>1503330</v>
      </c>
      <c r="X14" s="278" t="str">
        <f>"{"&amp;"'coin':"&amp;表1_86121822242656[[#This Row],[补偿Coin]]&amp;",'"&amp;配置!$A$2&amp;"':"&amp;表1_86121822242656[[#This Row],[补偿辎重]]&amp;"},"</f>
        <v>{'coin':2500,'item036':25},</v>
      </c>
      <c r="Y14" s="278" t="str">
        <f>"      '"&amp;表1_86121822242656[[#This Row],[区服]]&amp;"':{"</f>
        <v>      '127':{</v>
      </c>
    </row>
    <row r="15" ht="14.25" customHeight="1" spans="1:25">
      <c r="A15" s="259">
        <v>127</v>
      </c>
      <c r="B15" s="210">
        <f>VLOOKUP(表1_86121822242656[[#This Row],[区服]],$P$26:$Q$33,2,FALSE)</f>
        <v>52</v>
      </c>
      <c r="C15" s="296" t="s">
        <v>106</v>
      </c>
      <c r="D15" s="212" t="str">
        <f>表1_86121822242656[[#This Row],[目标国家]]</f>
        <v>蜀</v>
      </c>
      <c r="E15" s="213">
        <f>(VLOOKUP(表1_86121822242656[[#This Row],[目标区服]],$R$26:$S$29,2,FALSE)-表1_86121822242656[[#This Row],[开服天数]])*配置!$B$1</f>
        <v>2500</v>
      </c>
      <c r="F15" s="213">
        <f>表1_86121822242656[[#This Row],[补偿Coin]]*(表1_86121822242656[[#This Row],[活跃高战玩家数]]+表1_86121822242656[[#This Row],[活跃中坚玩家数]])</f>
        <v>32500</v>
      </c>
      <c r="G15" s="260">
        <f>(VLOOKUP(表1_86121822242656[[#This Row],[目标区服]],$R$26:$S$29,2,FALSE)-表1_86121822242656[[#This Row],[开服天数]])*配置!$B$2</f>
        <v>25</v>
      </c>
      <c r="H15" s="212" t="s">
        <v>26</v>
      </c>
      <c r="I15" s="268">
        <f>IF(表1_86121822242656[[#This Row],[原国家]]="魏",0,IF(表1_86121822242656[[#This Row],[原国家]]="蜀",1,2))</f>
        <v>1</v>
      </c>
      <c r="J15" s="213">
        <v>0</v>
      </c>
      <c r="K15" s="213">
        <v>30</v>
      </c>
      <c r="L15" s="213">
        <v>2</v>
      </c>
      <c r="M15" s="213">
        <v>11</v>
      </c>
      <c r="N15" s="213">
        <v>37834</v>
      </c>
      <c r="O15" s="419">
        <v>3686930</v>
      </c>
      <c r="P15" s="420">
        <v>16321758</v>
      </c>
      <c r="Q15" s="31" t="s">
        <v>26</v>
      </c>
      <c r="R15" s="212">
        <f>IF(表1_86121822242656[[#This Row],[目标国家]]="魏",0,IF(表1_86121822242656[[#This Row],[目标国家]]="蜀",1,2))</f>
        <v>1</v>
      </c>
      <c r="S15" s="213">
        <v>80472</v>
      </c>
      <c r="T15" s="213">
        <v>75668</v>
      </c>
      <c r="U15" s="213">
        <v>483015</v>
      </c>
      <c r="V15" s="213">
        <v>9220</v>
      </c>
      <c r="W15" s="213">
        <v>1109650</v>
      </c>
      <c r="X15" s="278" t="str">
        <f>"{"&amp;"'coin':"&amp;表1_86121822242656[[#This Row],[补偿Coin]]&amp;",'"&amp;配置!$A$2&amp;"':"&amp;表1_86121822242656[[#This Row],[补偿辎重]]&amp;"},"</f>
        <v>{'coin':2500,'item036':25},</v>
      </c>
      <c r="Y15" s="278" t="str">
        <f>"            'to_zone':'"&amp;表1_86121822242656[[#This Row],[目标区服]]&amp;"',
            'reward':"&amp;表1_86121822242656[[#This Row],[辅助导出]]&amp;"
            'country':["&amp;R14&amp;","&amp;R15&amp;","&amp;R16&amp;"],"</f>
        <v>            'to_zone':'h1_53',
            'reward':{'coin':2500,'item036':25},
            'country':[0,1,1],</v>
      </c>
    </row>
    <row r="16" ht="14.25" customHeight="1" spans="1:25">
      <c r="A16" s="259">
        <v>127</v>
      </c>
      <c r="B16" s="210">
        <f>VLOOKUP(表1_86121822242656[[#This Row],[区服]],$P$26:$Q$33,2,FALSE)</f>
        <v>52</v>
      </c>
      <c r="C16" s="296" t="s">
        <v>106</v>
      </c>
      <c r="D16" s="212" t="str">
        <f>表1_86121822242656[[#This Row],[目标国家]]</f>
        <v>蜀</v>
      </c>
      <c r="E16" s="213">
        <f>(VLOOKUP(表1_86121822242656[[#This Row],[目标区服]],$R$26:$S$29,2,FALSE)-表1_86121822242656[[#This Row],[开服天数]])*配置!$B$1</f>
        <v>2500</v>
      </c>
      <c r="F16" s="213">
        <f>表1_86121822242656[[#This Row],[补偿Coin]]*(表1_86121822242656[[#This Row],[活跃高战玩家数]]+表1_86121822242656[[#This Row],[活跃中坚玩家数]])</f>
        <v>37500</v>
      </c>
      <c r="G16" s="260">
        <f>(VLOOKUP(表1_86121822242656[[#This Row],[目标区服]],$R$26:$S$29,2,FALSE)-表1_86121822242656[[#This Row],[开服天数]])*配置!$B$2</f>
        <v>25</v>
      </c>
      <c r="H16" s="212" t="s">
        <v>27</v>
      </c>
      <c r="I16" s="268">
        <f>IF(表1_86121822242656[[#This Row],[原国家]]="魏",0,IF(表1_86121822242656[[#This Row],[原国家]]="蜀",1,2))</f>
        <v>2</v>
      </c>
      <c r="J16" s="213">
        <v>0</v>
      </c>
      <c r="K16" s="213">
        <v>19</v>
      </c>
      <c r="L16" s="213">
        <v>0</v>
      </c>
      <c r="M16" s="213">
        <v>15</v>
      </c>
      <c r="N16" s="213">
        <v>28702</v>
      </c>
      <c r="O16" s="419">
        <v>2523227</v>
      </c>
      <c r="P16" s="420">
        <v>14371009</v>
      </c>
      <c r="Q16" s="31" t="s">
        <v>26</v>
      </c>
      <c r="R16" s="212">
        <f>IF(表1_86121822242656[[#This Row],[目标国家]]="魏",0,IF(表1_86121822242656[[#This Row],[目标国家]]="蜀",1,2))</f>
        <v>1</v>
      </c>
      <c r="S16" s="213">
        <v>18406</v>
      </c>
      <c r="T16" s="213">
        <v>51858</v>
      </c>
      <c r="U16" s="213">
        <v>493826</v>
      </c>
      <c r="V16" s="213">
        <v>5611</v>
      </c>
      <c r="W16" s="213">
        <v>1048890</v>
      </c>
      <c r="X16" s="278" t="str">
        <f>"{"&amp;"'coin':"&amp;表1_86121822242656[[#This Row],[补偿Coin]]&amp;",'"&amp;配置!$A$2&amp;"':"&amp;表1_86121822242656[[#This Row],[补偿辎重]]&amp;"},"</f>
        <v>{'coin':2500,'item036':25},</v>
      </c>
      <c r="Y16" s="278" t="str">
        <f t="shared" ref="Y16" si="1">"      },"</f>
        <v>      },</v>
      </c>
    </row>
    <row r="17" ht="14.25" customHeight="1" spans="1:25">
      <c r="A17" s="17"/>
      <c r="B17" s="17" t="e">
        <f>VLOOKUP(表1_86121822242656[[#This Row],[区服]],$P$26:$Q$33,2,FALSE)</f>
        <v>#N/A</v>
      </c>
      <c r="C17" s="18"/>
      <c r="D17" s="19" t="str">
        <f>表1_86121822242656[[#This Row],[目标国家]]</f>
        <v>魏</v>
      </c>
      <c r="E17" s="20" t="e">
        <f>(VLOOKUP(表1_86121822242656[[#This Row],[目标区服]],$R$26:$S$29,2,FALSE)-表1_86121822242656[[#This Row],[开服天数]])*配置!$B$1</f>
        <v>#N/A</v>
      </c>
      <c r="F17" s="20" t="e">
        <f>表1_86121822242656[[#This Row],[补偿Coin]]*(表1_86121822242656[[#This Row],[活跃高战玩家数]]+表1_86121822242656[[#This Row],[活跃中坚玩家数]])</f>
        <v>#N/A</v>
      </c>
      <c r="G17" s="20" t="e">
        <f>(VLOOKUP(表1_86121822242656[[#This Row],[目标区服]],$R$26:$S$29,2,FALSE)-表1_86121822242656[[#This Row],[开服天数]])*配置!$B$2</f>
        <v>#N/A</v>
      </c>
      <c r="H17" s="19" t="s">
        <v>25</v>
      </c>
      <c r="I17" s="19">
        <f>IF(表1_86121822242656[[#This Row],[原国家]]="魏",0,IF(表1_86121822242656[[#This Row],[原国家]]="蜀",1,2))</f>
        <v>0</v>
      </c>
      <c r="J17" s="20"/>
      <c r="K17" s="20"/>
      <c r="L17" s="20"/>
      <c r="M17" s="20"/>
      <c r="N17" s="20"/>
      <c r="O17" s="20"/>
      <c r="P17" s="26"/>
      <c r="Q17" s="31" t="s">
        <v>25</v>
      </c>
      <c r="R17" s="19">
        <f>IF(表1_86121822242656[[#This Row],[目标国家]]="魏",0,IF(表1_86121822242656[[#This Row],[目标国家]]="蜀",1,2))</f>
        <v>0</v>
      </c>
      <c r="S17" s="20"/>
      <c r="T17" s="20"/>
      <c r="U17" s="20"/>
      <c r="V17" s="20"/>
      <c r="W17" s="32"/>
      <c r="X17" s="33" t="e">
        <f>"{"&amp;"'coin':"&amp;表1_86121822242656[[#This Row],[补偿Coin]]&amp;",'"&amp;配置!$A$2&amp;"':"&amp;表1_86121822242656[[#This Row],[补偿辎重]]&amp;"},"</f>
        <v>#N/A</v>
      </c>
      <c r="Y17" s="34" t="str">
        <f>"      '"&amp;表1_86121822242656[[#This Row],[区服]]&amp;"':{"</f>
        <v>      '':{</v>
      </c>
    </row>
    <row r="18" ht="14.25" customHeight="1" spans="1:25">
      <c r="A18" s="17"/>
      <c r="B18" s="17" t="e">
        <f>VLOOKUP(表1_86121822242656[[#This Row],[区服]],$P$26:$Q$33,2,FALSE)</f>
        <v>#N/A</v>
      </c>
      <c r="C18" s="18"/>
      <c r="D18" s="19" t="str">
        <f>表1_86121822242656[[#This Row],[目标国家]]</f>
        <v>蜀</v>
      </c>
      <c r="E18" s="20" t="e">
        <f>(VLOOKUP(表1_86121822242656[[#This Row],[目标区服]],$R$26:$S$29,2,FALSE)-表1_86121822242656[[#This Row],[开服天数]])*配置!$B$1</f>
        <v>#N/A</v>
      </c>
      <c r="F18" s="20" t="e">
        <f>表1_86121822242656[[#This Row],[补偿Coin]]*(表1_86121822242656[[#This Row],[活跃高战玩家数]]+表1_86121822242656[[#This Row],[活跃中坚玩家数]])</f>
        <v>#N/A</v>
      </c>
      <c r="G18" s="20" t="e">
        <f>(VLOOKUP(表1_86121822242656[[#This Row],[目标区服]],$R$26:$S$29,2,FALSE)-表1_86121822242656[[#This Row],[开服天数]])*配置!$B$2</f>
        <v>#N/A</v>
      </c>
      <c r="H18" s="19" t="s">
        <v>26</v>
      </c>
      <c r="I18" s="19">
        <f>IF(表1_86121822242656[[#This Row],[原国家]]="魏",0,IF(表1_86121822242656[[#This Row],[原国家]]="蜀",1,2))</f>
        <v>1</v>
      </c>
      <c r="J18" s="20"/>
      <c r="K18" s="20"/>
      <c r="L18" s="20"/>
      <c r="M18" s="20"/>
      <c r="N18" s="20"/>
      <c r="O18" s="20"/>
      <c r="P18" s="26"/>
      <c r="Q18" s="31" t="s">
        <v>26</v>
      </c>
      <c r="R18" s="19">
        <f>IF(表1_86121822242656[[#This Row],[目标国家]]="魏",0,IF(表1_86121822242656[[#This Row],[目标国家]]="蜀",1,2))</f>
        <v>1</v>
      </c>
      <c r="S18" s="20"/>
      <c r="T18" s="20"/>
      <c r="U18" s="20"/>
      <c r="V18" s="20"/>
      <c r="W18" s="32"/>
      <c r="X18" s="33" t="e">
        <f>"{"&amp;"'coin':"&amp;表1_86121822242656[[#This Row],[补偿Coin]]&amp;",'"&amp;配置!$A$2&amp;"':"&amp;表1_86121822242656[[#This Row],[补偿辎重]]&amp;"},"</f>
        <v>#N/A</v>
      </c>
      <c r="Y18" s="34" t="e">
        <f>"            'to_zone':'"&amp;表1_86121822242656[[#This Row],[目标区服]]&amp;"',
            'reward':"&amp;表1_86121822242656[[#This Row],[辅助导出]]&amp;"
            'country':["&amp;R17&amp;","&amp;R18&amp;","&amp;R19&amp;"],"</f>
        <v>#N/A</v>
      </c>
    </row>
    <row r="19" ht="14.25" customHeight="1" spans="1:25">
      <c r="A19" s="17"/>
      <c r="B19" s="17" t="e">
        <f>VLOOKUP(表1_86121822242656[[#This Row],[区服]],$P$26:$Q$33,2,FALSE)</f>
        <v>#N/A</v>
      </c>
      <c r="C19" s="18"/>
      <c r="D19" s="19" t="str">
        <f>表1_86121822242656[[#This Row],[目标国家]]</f>
        <v>吴</v>
      </c>
      <c r="E19" s="20" t="e">
        <f>(VLOOKUP(表1_86121822242656[[#This Row],[目标区服]],$R$26:$S$29,2,FALSE)-表1_86121822242656[[#This Row],[开服天数]])*配置!$B$1</f>
        <v>#N/A</v>
      </c>
      <c r="F19" s="20" t="e">
        <f>表1_86121822242656[[#This Row],[补偿Coin]]*(表1_86121822242656[[#This Row],[活跃高战玩家数]]+表1_86121822242656[[#This Row],[活跃中坚玩家数]])</f>
        <v>#N/A</v>
      </c>
      <c r="G19" s="20" t="e">
        <f>(VLOOKUP(表1_86121822242656[[#This Row],[目标区服]],$R$26:$S$29,2,FALSE)-表1_86121822242656[[#This Row],[开服天数]])*配置!$B$2</f>
        <v>#N/A</v>
      </c>
      <c r="H19" s="19" t="s">
        <v>27</v>
      </c>
      <c r="I19" s="19">
        <f>IF(表1_86121822242656[[#This Row],[原国家]]="魏",0,IF(表1_86121822242656[[#This Row],[原国家]]="蜀",1,2))</f>
        <v>2</v>
      </c>
      <c r="J19" s="20"/>
      <c r="K19" s="20"/>
      <c r="L19" s="20"/>
      <c r="M19" s="20"/>
      <c r="N19" s="20"/>
      <c r="O19" s="20"/>
      <c r="P19" s="26"/>
      <c r="Q19" s="31" t="s">
        <v>27</v>
      </c>
      <c r="R19" s="19">
        <f>IF(表1_86121822242656[[#This Row],[目标国家]]="魏",0,IF(表1_86121822242656[[#This Row],[目标国家]]="蜀",1,2))</f>
        <v>2</v>
      </c>
      <c r="S19" s="20"/>
      <c r="T19" s="20"/>
      <c r="U19" s="20"/>
      <c r="V19" s="20"/>
      <c r="W19" s="32"/>
      <c r="X19" s="33" t="e">
        <f>"{"&amp;"'coin':"&amp;表1_86121822242656[[#This Row],[补偿Coin]]&amp;",'"&amp;配置!$A$2&amp;"':"&amp;表1_86121822242656[[#This Row],[补偿辎重]]&amp;"},"</f>
        <v>#N/A</v>
      </c>
      <c r="Y19" s="34" t="str">
        <f t="shared" ref="Y19" si="2">"      },"</f>
        <v>      },</v>
      </c>
    </row>
    <row r="20" ht="14.25" customHeight="1" spans="1:25">
      <c r="A20" s="17"/>
      <c r="B20" s="17" t="e">
        <f>VLOOKUP(表1_86121822242656[[#This Row],[区服]],$P$26:$Q$33,2,FALSE)</f>
        <v>#N/A</v>
      </c>
      <c r="C20" s="18"/>
      <c r="D20" s="19" t="str">
        <f>表1_86121822242656[[#This Row],[目标国家]]</f>
        <v>魏</v>
      </c>
      <c r="E20" s="20" t="e">
        <f>(VLOOKUP(表1_86121822242656[[#This Row],[目标区服]],$R$26:$S$29,2,FALSE)-表1_86121822242656[[#This Row],[开服天数]])*配置!$B$1</f>
        <v>#N/A</v>
      </c>
      <c r="F20" s="20" t="e">
        <f>表1_86121822242656[[#This Row],[补偿Coin]]*(表1_86121822242656[[#This Row],[活跃高战玩家数]]+表1_86121822242656[[#This Row],[活跃中坚玩家数]])</f>
        <v>#N/A</v>
      </c>
      <c r="G20" s="20" t="e">
        <f>(VLOOKUP(表1_86121822242656[[#This Row],[目标区服]],$R$26:$S$29,2,FALSE)-表1_86121822242656[[#This Row],[开服天数]])*配置!$B$2</f>
        <v>#N/A</v>
      </c>
      <c r="H20" s="19" t="s">
        <v>25</v>
      </c>
      <c r="I20" s="19">
        <f>IF(表1_86121822242656[[#This Row],[原国家]]="魏",0,IF(表1_86121822242656[[#This Row],[原国家]]="蜀",1,2))</f>
        <v>0</v>
      </c>
      <c r="J20" s="20"/>
      <c r="K20" s="20"/>
      <c r="L20" s="20"/>
      <c r="M20" s="20"/>
      <c r="N20" s="20"/>
      <c r="O20" s="20"/>
      <c r="P20" s="26"/>
      <c r="Q20" s="31" t="s">
        <v>25</v>
      </c>
      <c r="R20" s="19">
        <f>IF(表1_86121822242656[[#This Row],[目标国家]]="魏",0,IF(表1_86121822242656[[#This Row],[目标国家]]="蜀",1,2))</f>
        <v>0</v>
      </c>
      <c r="S20" s="20"/>
      <c r="T20" s="20"/>
      <c r="U20" s="20"/>
      <c r="V20" s="20"/>
      <c r="W20" s="32"/>
      <c r="X20" s="33" t="e">
        <f>"{"&amp;"'coin':"&amp;表1_86121822242656[[#This Row],[补偿Coin]]&amp;",'"&amp;配置!$A$2&amp;"':"&amp;表1_86121822242656[[#This Row],[补偿辎重]]&amp;"},"</f>
        <v>#N/A</v>
      </c>
      <c r="Y20" s="34" t="str">
        <f>"      '"&amp;表1_86121822242656[[#This Row],[区服]]&amp;"':{"</f>
        <v>      '':{</v>
      </c>
    </row>
    <row r="21" ht="14.25" customHeight="1" spans="1:25">
      <c r="A21" s="17"/>
      <c r="B21" s="17" t="e">
        <f>VLOOKUP(表1_86121822242656[[#This Row],[区服]],$P$26:$Q$33,2,FALSE)</f>
        <v>#N/A</v>
      </c>
      <c r="C21" s="18"/>
      <c r="D21" s="19" t="str">
        <f>表1_86121822242656[[#This Row],[目标国家]]</f>
        <v>蜀</v>
      </c>
      <c r="E21" s="20" t="e">
        <f>(VLOOKUP(表1_86121822242656[[#This Row],[目标区服]],$R$26:$S$29,2,FALSE)-表1_86121822242656[[#This Row],[开服天数]])*配置!$B$1</f>
        <v>#N/A</v>
      </c>
      <c r="F21" s="20" t="e">
        <f>表1_86121822242656[[#This Row],[补偿Coin]]*(表1_86121822242656[[#This Row],[活跃高战玩家数]]+表1_86121822242656[[#This Row],[活跃中坚玩家数]])</f>
        <v>#N/A</v>
      </c>
      <c r="G21" s="20" t="e">
        <f>(VLOOKUP(表1_86121822242656[[#This Row],[目标区服]],$R$26:$S$29,2,FALSE)-表1_86121822242656[[#This Row],[开服天数]])*配置!$B$2</f>
        <v>#N/A</v>
      </c>
      <c r="H21" s="19" t="s">
        <v>26</v>
      </c>
      <c r="I21" s="19">
        <f>IF(表1_86121822242656[[#This Row],[原国家]]="魏",0,IF(表1_86121822242656[[#This Row],[原国家]]="蜀",1,2))</f>
        <v>1</v>
      </c>
      <c r="J21" s="20"/>
      <c r="K21" s="20"/>
      <c r="L21" s="20"/>
      <c r="M21" s="20"/>
      <c r="N21" s="20"/>
      <c r="O21" s="20"/>
      <c r="P21" s="26"/>
      <c r="Q21" s="31" t="s">
        <v>26</v>
      </c>
      <c r="R21" s="19">
        <f>IF(表1_86121822242656[[#This Row],[目标国家]]="魏",0,IF(表1_86121822242656[[#This Row],[目标国家]]="蜀",1,2))</f>
        <v>1</v>
      </c>
      <c r="S21" s="20"/>
      <c r="T21" s="20"/>
      <c r="U21" s="20"/>
      <c r="V21" s="20"/>
      <c r="W21" s="32"/>
      <c r="X21" s="33" t="e">
        <f>"{"&amp;"'coin':"&amp;表1_86121822242656[[#This Row],[补偿Coin]]&amp;",'"&amp;配置!$A$2&amp;"':"&amp;表1_86121822242656[[#This Row],[补偿辎重]]&amp;"},"</f>
        <v>#N/A</v>
      </c>
      <c r="Y21" s="34" t="e">
        <f>"            'to_zone':'"&amp;表1_86121822242656[[#This Row],[目标区服]]&amp;"',
            'reward':"&amp;表1_86121822242656[[#This Row],[辅助导出]]&amp;"
            'country':["&amp;R20&amp;","&amp;R21&amp;","&amp;R22&amp;"],"</f>
        <v>#N/A</v>
      </c>
    </row>
    <row r="22" ht="14.25" customHeight="1" spans="1:25">
      <c r="A22" s="17"/>
      <c r="B22" s="17" t="e">
        <f>VLOOKUP(表1_86121822242656[[#This Row],[区服]],$P$26:$Q$33,2,FALSE)</f>
        <v>#N/A</v>
      </c>
      <c r="C22" s="18"/>
      <c r="D22" s="19" t="str">
        <f>表1_86121822242656[[#This Row],[目标国家]]</f>
        <v>吴</v>
      </c>
      <c r="E22" s="20" t="e">
        <f>(VLOOKUP(表1_86121822242656[[#This Row],[目标区服]],$R$26:$S$29,2,FALSE)-表1_86121822242656[[#This Row],[开服天数]])*配置!$B$1</f>
        <v>#N/A</v>
      </c>
      <c r="F22" s="20" t="e">
        <f>表1_86121822242656[[#This Row],[补偿Coin]]*(表1_86121822242656[[#This Row],[活跃高战玩家数]]+表1_86121822242656[[#This Row],[活跃中坚玩家数]])</f>
        <v>#N/A</v>
      </c>
      <c r="G22" s="20" t="e">
        <f>(VLOOKUP(表1_86121822242656[[#This Row],[目标区服]],$R$26:$S$29,2,FALSE)-表1_86121822242656[[#This Row],[开服天数]])*配置!$B$2</f>
        <v>#N/A</v>
      </c>
      <c r="H22" s="19" t="s">
        <v>27</v>
      </c>
      <c r="I22" s="19">
        <f>IF(表1_86121822242656[[#This Row],[原国家]]="魏",0,IF(表1_86121822242656[[#This Row],[原国家]]="蜀",1,2))</f>
        <v>2</v>
      </c>
      <c r="J22" s="20"/>
      <c r="K22" s="20"/>
      <c r="L22" s="20"/>
      <c r="M22" s="20"/>
      <c r="N22" s="20"/>
      <c r="O22" s="20"/>
      <c r="P22" s="26"/>
      <c r="Q22" s="31" t="s">
        <v>27</v>
      </c>
      <c r="R22" s="19">
        <f>IF(表1_86121822242656[[#This Row],[目标国家]]="魏",0,IF(表1_86121822242656[[#This Row],[目标国家]]="蜀",1,2))</f>
        <v>2</v>
      </c>
      <c r="S22" s="20"/>
      <c r="T22" s="20"/>
      <c r="U22" s="20"/>
      <c r="V22" s="20"/>
      <c r="W22" s="32"/>
      <c r="X22" s="33" t="e">
        <f>"{"&amp;"'coin':"&amp;表1_86121822242656[[#This Row],[补偿Coin]]&amp;",'"&amp;配置!$A$2&amp;"':"&amp;表1_86121822242656[[#This Row],[补偿辎重]]&amp;"},"</f>
        <v>#N/A</v>
      </c>
      <c r="Y22" s="34" t="str">
        <f t="shared" ref="Y22" si="3">"      },"</f>
        <v>      },</v>
      </c>
    </row>
    <row r="25" ht="37.5" customHeight="1" spans="1:19">
      <c r="A25" s="36" t="s">
        <v>28</v>
      </c>
      <c r="B25" s="37" t="s">
        <v>29</v>
      </c>
      <c r="C25" s="38" t="s">
        <v>30</v>
      </c>
      <c r="D25" s="38" t="s">
        <v>31</v>
      </c>
      <c r="E25" s="38" t="s">
        <v>32</v>
      </c>
      <c r="F25" s="38" t="s">
        <v>33</v>
      </c>
      <c r="G25" s="38" t="s">
        <v>15</v>
      </c>
      <c r="H25" s="37" t="s">
        <v>18</v>
      </c>
      <c r="I25" s="37" t="s">
        <v>19</v>
      </c>
      <c r="J25" s="37" t="s">
        <v>34</v>
      </c>
      <c r="K25" s="38" t="s">
        <v>35</v>
      </c>
      <c r="L25" s="38" t="s">
        <v>36</v>
      </c>
      <c r="M25" s="38" t="s">
        <v>37</v>
      </c>
      <c r="N25" s="38" t="s">
        <v>88</v>
      </c>
      <c r="P25" s="51" t="s">
        <v>0</v>
      </c>
      <c r="Q25" s="51" t="s">
        <v>1</v>
      </c>
      <c r="R25" s="51"/>
      <c r="S25" s="51" t="s">
        <v>38</v>
      </c>
    </row>
    <row r="26" ht="15.75" customHeight="1" spans="1:19">
      <c r="A26" s="39" t="s">
        <v>105</v>
      </c>
      <c r="B26" s="39" t="s">
        <v>25</v>
      </c>
      <c r="C26" s="39">
        <f>COUNTIFS(表1_86121822242656[目标区服],表2_97131923252757[[#This Row],[合区区服]],表1_86121822242656[目标国家（映射）],表2_97131923252757[[#This Row],[国家]])</f>
        <v>3</v>
      </c>
      <c r="D26" s="39">
        <f>SUMIFS(表1_86121822242656[活跃高战玩家数],表1_86121822242656[目标区服],表2_97131923252757[[#This Row],[合区区服]],表1_86121822242656[目标国家（映射）],表2_97131923252757[[#This Row],[国家]])</f>
        <v>10</v>
      </c>
      <c r="E26" s="39">
        <f>SUMIFS(表1_86121822242656[活跃中坚玩家数],表1_86121822242656[目标区服],表2_97131923252757[[#This Row],[合区区服]],表1_86121822242656[目标国家（映射）],表2_97131923252757[[#This Row],[国家]])</f>
        <v>59</v>
      </c>
      <c r="F26" s="39">
        <f t="array" ref="F26">MAX((表1_86121822242656[目标区服]=表2_97131923252757[[#This Row],[合区区服]])*(表1_86121822242656[目标国家（映射）]=表2_97131923252757[[#This Row],[国家]])*表1_86121822242656[活跃尖端战力])</f>
        <v>3709647</v>
      </c>
      <c r="G26" s="40">
        <f>SUMIFS(表1_86121822242656[活跃总战力],表1_86121822242656[目标区服],表2_97131923252757[[#This Row],[合区区服]],表1_86121822242656[目标国家（映射）],表2_97131923252757[[#This Row],[国家]])</f>
        <v>67949205</v>
      </c>
      <c r="H26" s="39">
        <f>SUMIFS(表1_86121822242656[活跃实际充值],表1_86121822242656[目标区服],表2_97131923252757[[#This Row],[合区区服]],表1_86121822242656[目标国家（映射）],表2_97131923252757[[#This Row],[国家]])</f>
        <v>172766</v>
      </c>
      <c r="I26" s="39">
        <f>SUMIFS(表1_86121822242656[活跃虚拟充值],表1_86121822242656[目标区服],表2_97131923252757[[#This Row],[合区区服]],表1_86121822242656[目标国家（映射）],表2_97131923252757[[#This Row],[国家]])</f>
        <v>97560</v>
      </c>
      <c r="J26" s="39">
        <f>SUMIFS(表1_86121822242656[活跃Coin],表1_86121822242656[目标区服],表2_97131923252757[[#This Row],[合区区服]],表1_86121822242656[目标国家（映射）],表2_97131923252757[[#This Row],[国家]])</f>
        <v>1960349</v>
      </c>
      <c r="K26" s="39">
        <f>SUMIFS(表1_86121822242656[共计补偿Coin],表1_86121822242656[目标区服],表2_97131923252757[[#This Row],[合区区服]],表1_86121822242656[目标国家（映射）],表2_97131923252757[[#This Row],[国家]])</f>
        <v>130000</v>
      </c>
      <c r="L26" s="39">
        <f>表2_97131923252757[[#This Row],[活跃Coin]]+表2_97131923252757[[#This Row],[共计补偿Coin]]</f>
        <v>2090349</v>
      </c>
      <c r="M26" s="39">
        <f>SUMIFS(表1_86121822242656[综合国力],表1_86121822242656[目标区服],表2_97131923252757[[#This Row],[合区区服]],表1_86121822242656[目标国家（映射）],表2_97131923252757[[#This Row],[国家]])</f>
        <v>30468</v>
      </c>
      <c r="N26" s="39">
        <f t="array" ref="N26">MAX((表1_86121822242656[目标区服]=表2_97131923252757[[#This Row],[合区区服]])*(表1_86121822242656[目标国家（映射）]=表2_97131923252757[[#This Row],[国家]])*表1_86121822242656[单将最高战力])</f>
        <v>1089177</v>
      </c>
      <c r="P26" s="51">
        <v>123</v>
      </c>
      <c r="Q26" s="51">
        <v>56</v>
      </c>
      <c r="R26" s="51" t="s">
        <v>105</v>
      </c>
      <c r="S26" s="51">
        <v>58</v>
      </c>
    </row>
    <row r="27" ht="15" spans="1:19">
      <c r="A27" s="39" t="s">
        <v>105</v>
      </c>
      <c r="B27" s="39" t="s">
        <v>26</v>
      </c>
      <c r="C27" s="39">
        <f>COUNTIFS(表1_86121822242656[目标区服],表2_97131923252757[[#This Row],[合区区服]],表1_86121822242656[目标国家（映射）],表2_97131923252757[[#This Row],[国家]])</f>
        <v>3</v>
      </c>
      <c r="D27" s="39">
        <f>SUMIFS(表1_86121822242656[活跃高战玩家数],表1_86121822242656[目标区服],表2_97131923252757[[#This Row],[合区区服]],表1_86121822242656[目标国家（映射）],表2_97131923252757[[#This Row],[国家]])</f>
        <v>9</v>
      </c>
      <c r="E27" s="39">
        <f>SUMIFS(表1_86121822242656[活跃中坚玩家数],表1_86121822242656[目标区服],表2_97131923252757[[#This Row],[合区区服]],表1_86121822242656[目标国家（映射）],表2_97131923252757[[#This Row],[国家]])</f>
        <v>50</v>
      </c>
      <c r="F27" s="39">
        <f t="array" ref="F27">MAX((表1_86121822242656[目标区服]=表2_97131923252757[[#This Row],[合区区服]])*(表1_86121822242656[目标国家（映射）]=表2_97131923252757[[#This Row],[国家]])*表1_86121822242656[活跃尖端战力])</f>
        <v>3836805</v>
      </c>
      <c r="G27" s="40">
        <f>SUMIFS(表1_86121822242656[活跃总战力],表1_86121822242656[目标区服],表2_97131923252757[[#This Row],[合区区服]],表1_86121822242656[目标国家（映射）],表2_97131923252757[[#This Row],[国家]])</f>
        <v>62058312</v>
      </c>
      <c r="H27" s="39">
        <f>SUMIFS(表1_86121822242656[活跃实际充值],表1_86121822242656[目标区服],表2_97131923252757[[#This Row],[合区区服]],表1_86121822242656[目标国家（映射）],表2_97131923252757[[#This Row],[国家]])</f>
        <v>211148</v>
      </c>
      <c r="I27" s="39">
        <f>SUMIFS(表1_86121822242656[活跃虚拟充值],表1_86121822242656[目标区服],表2_97131923252757[[#This Row],[合区区服]],表1_86121822242656[目标国家（映射）],表2_97131923252757[[#This Row],[国家]])</f>
        <v>0</v>
      </c>
      <c r="J27" s="39">
        <f>SUMIFS(表1_86121822242656[活跃Coin],表1_86121822242656[目标区服],表2_97131923252757[[#This Row],[合区区服]],表1_86121822242656[目标国家（映射）],表2_97131923252757[[#This Row],[国家]])</f>
        <v>1324536</v>
      </c>
      <c r="K27" s="39">
        <f>SUMIFS(表1_86121822242656[共计补偿Coin],表1_86121822242656[目标区服],表2_97131923252757[[#This Row],[合区区服]],表1_86121822242656[目标国家（映射）],表2_97131923252757[[#This Row],[国家]])</f>
        <v>119500</v>
      </c>
      <c r="L27" s="39">
        <f>表2_97131923252757[[#This Row],[活跃Coin]]+表2_97131923252757[[#This Row],[共计补偿Coin]]</f>
        <v>1444036</v>
      </c>
      <c r="M27" s="39">
        <f>SUMIFS(表1_86121822242656[综合国力],表1_86121822242656[目标区服],表2_97131923252757[[#This Row],[合区区服]],表1_86121822242656[目标国家（映射）],表2_97131923252757[[#This Row],[国家]])</f>
        <v>27259</v>
      </c>
      <c r="N27" s="39">
        <f t="array" ref="N27">MAX((表1_86121822242656[目标区服]=表2_97131923252757[[#This Row],[合区区服]])*(表1_86121822242656[目标国家（映射）]=表2_97131923252757[[#This Row],[国家]])*表1_86121822242656[单将最高战力])</f>
        <v>1041464</v>
      </c>
      <c r="P27" s="51">
        <v>124</v>
      </c>
      <c r="Q27" s="51">
        <v>55</v>
      </c>
      <c r="R27" s="51" t="s">
        <v>106</v>
      </c>
      <c r="S27" s="51">
        <v>57</v>
      </c>
    </row>
    <row r="28" ht="15" spans="1:19">
      <c r="A28" s="39" t="s">
        <v>105</v>
      </c>
      <c r="B28" s="39" t="s">
        <v>27</v>
      </c>
      <c r="C28" s="39">
        <f>COUNTIFS(表1_86121822242656[目标区服],表2_97131923252757[[#This Row],[合区区服]],表1_86121822242656[目标国家（映射）],表2_97131923252757[[#This Row],[国家]])</f>
        <v>3</v>
      </c>
      <c r="D28" s="39">
        <f>SUMIFS(表1_86121822242656[活跃高战玩家数],表1_86121822242656[目标区服],表2_97131923252757[[#This Row],[合区区服]],表1_86121822242656[目标国家（映射）],表2_97131923252757[[#This Row],[国家]])</f>
        <v>9</v>
      </c>
      <c r="E28" s="39">
        <f>SUMIFS(表1_86121822242656[活跃中坚玩家数],表1_86121822242656[目标区服],表2_97131923252757[[#This Row],[合区区服]],表1_86121822242656[目标国家（映射）],表2_97131923252757[[#This Row],[国家]])</f>
        <v>50</v>
      </c>
      <c r="F28" s="39">
        <f t="array" ref="F28">MAX((表1_86121822242656[目标区服]=表2_97131923252757[[#This Row],[合区区服]])*(表1_86121822242656[目标国家（映射）]=表2_97131923252757[[#This Row],[国家]])*表1_86121822242656[活跃尖端战力])</f>
        <v>3855320</v>
      </c>
      <c r="G28" s="40">
        <f>SUMIFS(表1_86121822242656[活跃总战力],表1_86121822242656[目标区服],表2_97131923252757[[#This Row],[合区区服]],表1_86121822242656[目标国家（映射）],表2_97131923252757[[#This Row],[国家]])</f>
        <v>53217388</v>
      </c>
      <c r="H28" s="39">
        <f>SUMIFS(表1_86121822242656[活跃实际充值],表1_86121822242656[目标区服],表2_97131923252757[[#This Row],[合区区服]],表1_86121822242656[目标国家（映射）],表2_97131923252757[[#This Row],[国家]])</f>
        <v>199042</v>
      </c>
      <c r="I28" s="39">
        <f>SUMIFS(表1_86121822242656[活跃虚拟充值],表1_86121822242656[目标区服],表2_97131923252757[[#This Row],[合区区服]],表1_86121822242656[目标国家（映射）],表2_97131923252757[[#This Row],[国家]])</f>
        <v>0</v>
      </c>
      <c r="J28" s="39">
        <f>SUMIFS(表1_86121822242656[活跃Coin],表1_86121822242656[目标区服],表2_97131923252757[[#This Row],[合区区服]],表1_86121822242656[目标国家（映射）],表2_97131923252757[[#This Row],[国家]])</f>
        <v>1267993</v>
      </c>
      <c r="K28" s="39">
        <f>SUMIFS(表1_86121822242656[共计补偿Coin],表1_86121822242656[目标区服],表2_97131923252757[[#This Row],[合区区服]],表1_86121822242656[目标国家（映射）],表2_97131923252757[[#This Row],[国家]])</f>
        <v>99000</v>
      </c>
      <c r="L28" s="39">
        <f>表2_97131923252757[[#This Row],[活跃Coin]]+表2_97131923252757[[#This Row],[共计补偿Coin]]</f>
        <v>1366993</v>
      </c>
      <c r="M28" s="39">
        <f>SUMIFS(表1_86121822242656[综合国力],表1_86121822242656[目标区服],表2_97131923252757[[#This Row],[合区区服]],表1_86121822242656[目标国家（映射）],表2_97131923252757[[#This Row],[国家]])</f>
        <v>23806</v>
      </c>
      <c r="N28" s="39">
        <f t="array" ref="N28">MAX((表1_86121822242656[目标区服]=表2_97131923252757[[#This Row],[合区区服]])*(表1_86121822242656[目标国家（映射）]=表2_97131923252757[[#This Row],[国家]])*表1_86121822242656[单将最高战力])</f>
        <v>1255547</v>
      </c>
      <c r="P28" s="51">
        <v>125</v>
      </c>
      <c r="Q28" s="51">
        <v>54</v>
      </c>
      <c r="R28" s="51"/>
      <c r="S28" s="51"/>
    </row>
    <row r="29" ht="15" spans="1:19">
      <c r="A29" s="41" t="s">
        <v>106</v>
      </c>
      <c r="B29" s="41" t="s">
        <v>25</v>
      </c>
      <c r="C29" s="41">
        <f>COUNTIFS(表1_86121822242656[目标区服],表2_97131923252757[[#This Row],[合区区服]],表1_86121822242656[目标国家（映射）],表2_97131923252757[[#This Row],[国家]])</f>
        <v>1</v>
      </c>
      <c r="D29" s="41">
        <f>SUMIFS(表1_86121822242656[活跃高战玩家数],表1_86121822242656[目标区服],表2_97131923252757[[#This Row],[合区区服]],表1_86121822242656[目标国家（映射）],表2_97131923252757[[#This Row],[国家]])</f>
        <v>7</v>
      </c>
      <c r="E29" s="41">
        <f>SUMIFS(表1_86121822242656[活跃中坚玩家数],表1_86121822242656[目标区服],表2_97131923252757[[#This Row],[合区区服]],表1_86121822242656[目标国家（映射）],表2_97131923252757[[#This Row],[国家]])</f>
        <v>42</v>
      </c>
      <c r="F29" s="41">
        <f t="array" ref="F29">MAX((表1_86121822242656[目标区服]=表2_97131923252757[[#This Row],[合区区服]])*(表1_86121822242656[目标国家（映射）]=表2_97131923252757[[#This Row],[国家]])*表1_86121822242656[活跃尖端战力])</f>
        <v>5519213</v>
      </c>
      <c r="G29" s="42">
        <f>SUMIFS(表1_86121822242656[活跃总战力],表1_86121822242656[目标区服],表2_97131923252757[[#This Row],[合区区服]],表1_86121822242656[目标国家（映射）],表2_97131923252757[[#This Row],[国家]])</f>
        <v>79507062</v>
      </c>
      <c r="H29" s="41">
        <f>SUMIFS(表1_86121822242656[活跃实际充值],表1_86121822242656[目标区服],表2_97131923252757[[#This Row],[合区区服]],表1_86121822242656[目标国家（映射）],表2_97131923252757[[#This Row],[国家]])</f>
        <v>933840</v>
      </c>
      <c r="I29" s="41">
        <f>SUMIFS(表1_86121822242656[活跃虚拟充值],表1_86121822242656[目标区服],表2_97131923252757[[#This Row],[合区区服]],表1_86121822242656[目标国家（映射）],表2_97131923252757[[#This Row],[国家]])</f>
        <v>5382</v>
      </c>
      <c r="J29" s="41">
        <f>SUMIFS(表1_86121822242656[活跃Coin],表1_86121822242656[目标区服],表2_97131923252757[[#This Row],[合区区服]],表1_86121822242656[目标国家（映射）],表2_97131923252757[[#This Row],[国家]])</f>
        <v>2952056</v>
      </c>
      <c r="K29" s="41">
        <f>SUMIFS(表1_86121822242656[共计补偿Coin],表1_86121822242656[目标区服],表2_97131923252757[[#This Row],[合区区服]],表1_86121822242656[目标国家（映射）],表2_97131923252757[[#This Row],[国家]])</f>
        <v>122500</v>
      </c>
      <c r="L29" s="41">
        <f>表2_97131923252757[[#This Row],[活跃Coin]]+表2_97131923252757[[#This Row],[共计补偿Coin]]</f>
        <v>3074556</v>
      </c>
      <c r="M29" s="41">
        <f>SUMIFS(表1_86121822242656[综合国力],表1_86121822242656[目标区服],表2_97131923252757[[#This Row],[合区区服]],表1_86121822242656[目标国家（映射）],表2_97131923252757[[#This Row],[国家]])</f>
        <v>48528</v>
      </c>
      <c r="N29" s="41">
        <f t="array" ref="N29">MAX((表1_86121822242656[目标区服]=表2_97131923252757[[#This Row],[合区区服]])*(表1_86121822242656[目标国家（映射）]=表2_97131923252757[[#This Row],[国家]])*表1_86121822242656[单将最高战力])</f>
        <v>1503330</v>
      </c>
      <c r="P29" s="51">
        <v>126</v>
      </c>
      <c r="Q29" s="51">
        <v>53</v>
      </c>
      <c r="R29" s="51"/>
      <c r="S29" s="51"/>
    </row>
    <row r="30" ht="15" spans="1:17">
      <c r="A30" s="41" t="s">
        <v>106</v>
      </c>
      <c r="B30" s="41" t="s">
        <v>26</v>
      </c>
      <c r="C30" s="41">
        <f>COUNTIFS(表1_86121822242656[目标区服],表2_97131923252757[[#This Row],[合区区服]],表1_86121822242656[目标国家（映射）],表2_97131923252757[[#This Row],[国家]])</f>
        <v>3</v>
      </c>
      <c r="D30" s="41">
        <f>SUMIFS(表1_86121822242656[活跃高战玩家数],表1_86121822242656[目标区服],表2_97131923252757[[#This Row],[合区区服]],表1_86121822242656[目标国家（映射）],表2_97131923252757[[#This Row],[国家]])</f>
        <v>4</v>
      </c>
      <c r="E30" s="41">
        <f>SUMIFS(表1_86121822242656[活跃中坚玩家数],表1_86121822242656[目标区服],表2_97131923252757[[#This Row],[合区区服]],表1_86121822242656[目标国家（映射）],表2_97131923252757[[#This Row],[国家]])</f>
        <v>34</v>
      </c>
      <c r="F30" s="41">
        <f t="array" ref="F30">MAX((表1_86121822242656[目标区服]=表2_97131923252757[[#This Row],[合区区服]])*(表1_86121822242656[目标国家（映射）]=表2_97131923252757[[#This Row],[国家]])*表1_86121822242656[活跃尖端战力])</f>
        <v>3920902</v>
      </c>
      <c r="G30" s="42">
        <f>SUMIFS(表1_86121822242656[活跃总战力],表1_86121822242656[目标区服],表2_97131923252757[[#This Row],[合区区服]],表1_86121822242656[目标国家（映射）],表2_97131923252757[[#This Row],[国家]])</f>
        <v>46232811</v>
      </c>
      <c r="H30" s="41">
        <f>SUMIFS(表1_86121822242656[活跃实际充值],表1_86121822242656[目标区服],表2_97131923252757[[#This Row],[合区区服]],表1_86121822242656[目标国家（映射）],表2_97131923252757[[#This Row],[国家]])</f>
        <v>140472</v>
      </c>
      <c r="I30" s="41">
        <f>SUMIFS(表1_86121822242656[活跃虚拟充值],表1_86121822242656[目标区服],表2_97131923252757[[#This Row],[合区区服]],表1_86121822242656[目标国家（映射）],表2_97131923252757[[#This Row],[国家]])</f>
        <v>239830</v>
      </c>
      <c r="J30" s="41">
        <f>SUMIFS(表1_86121822242656[活跃Coin],表1_86121822242656[目标区服],表2_97131923252757[[#This Row],[合区区服]],表1_86121822242656[目标国家（映射）],表2_97131923252757[[#This Row],[国家]])</f>
        <v>1853151</v>
      </c>
      <c r="K30" s="41">
        <f>SUMIFS(表1_86121822242656[共计补偿Coin],表1_86121822242656[目标区服],表2_97131923252757[[#This Row],[合区区服]],表1_86121822242656[目标国家（映射）],表2_97131923252757[[#This Row],[国家]])</f>
        <v>80000</v>
      </c>
      <c r="L30" s="41">
        <f>表2_97131923252757[[#This Row],[活跃Coin]]+表2_97131923252757[[#This Row],[共计补偿Coin]]</f>
        <v>1933151</v>
      </c>
      <c r="M30" s="41">
        <f>SUMIFS(表1_86121822242656[综合国力],表1_86121822242656[目标区服],表2_97131923252757[[#This Row],[合区区服]],表1_86121822242656[目标国家（映射）],表2_97131923252757[[#This Row],[国家]])</f>
        <v>23852</v>
      </c>
      <c r="N30" s="41">
        <f t="array" ref="N30">MAX((表1_86121822242656[目标区服]=表2_97131923252757[[#This Row],[合区区服]])*(表1_86121822242656[目标国家（映射）]=表2_97131923252757[[#This Row],[国家]])*表1_86121822242656[单将最高战力])</f>
        <v>1569560</v>
      </c>
      <c r="P30" s="51">
        <v>127</v>
      </c>
      <c r="Q30" s="51">
        <v>52</v>
      </c>
    </row>
    <row r="31" ht="15" spans="1:17">
      <c r="A31" s="41" t="s">
        <v>106</v>
      </c>
      <c r="B31" s="43" t="s">
        <v>27</v>
      </c>
      <c r="C31" s="43">
        <f>COUNTIFS(表1_86121822242656[目标区服],表2_97131923252757[[#This Row],[合区区服]],表1_86121822242656[目标国家（映射）],表2_97131923252757[[#This Row],[国家]])</f>
        <v>2</v>
      </c>
      <c r="D31" s="43">
        <f>SUMIFS(表1_86121822242656[活跃高战玩家数],表1_86121822242656[目标区服],表2_97131923252757[[#This Row],[合区区服]],表1_86121822242656[目标国家（映射）],表2_97131923252757[[#This Row],[国家]])</f>
        <v>8</v>
      </c>
      <c r="E31" s="43">
        <f>SUMIFS(表1_86121822242656[活跃中坚玩家数],表1_86121822242656[目标区服],表2_97131923252757[[#This Row],[合区区服]],表1_86121822242656[目标国家（映射）],表2_97131923252757[[#This Row],[国家]])</f>
        <v>39</v>
      </c>
      <c r="F31" s="43">
        <f t="array" ref="F31">MAX((表1_86121822242656[目标区服]=表2_97131923252757[[#This Row],[合区区服]])*(表1_86121822242656[目标国家（映射）]=表2_97131923252757[[#This Row],[国家]])*表1_86121822242656[活跃尖端战力])</f>
        <v>4293963</v>
      </c>
      <c r="G31" s="44">
        <f>SUMIFS(表1_86121822242656[活跃总战力],表1_86121822242656[目标区服],表2_97131923252757[[#This Row],[合区区服]],表1_86121822242656[目标国家（映射）],表2_97131923252757[[#This Row],[国家]])</f>
        <v>52657353</v>
      </c>
      <c r="H31" s="43">
        <f>SUMIFS(表1_86121822242656[活跃实际充值],表1_86121822242656[目标区服],表2_97131923252757[[#This Row],[合区区服]],表1_86121822242656[目标国家（映射）],表2_97131923252757[[#This Row],[国家]])</f>
        <v>417198</v>
      </c>
      <c r="I31" s="43">
        <f>SUMIFS(表1_86121822242656[活跃虚拟充值],表1_86121822242656[目标区服],表2_97131923252757[[#This Row],[合区区服]],表1_86121822242656[目标国家（映射）],表2_97131923252757[[#This Row],[国家]])</f>
        <v>0</v>
      </c>
      <c r="J31" s="43">
        <f>SUMIFS(表1_86121822242656[活跃Coin],表1_86121822242656[目标区服],表2_97131923252757[[#This Row],[合区区服]],表1_86121822242656[目标国家（映射）],表2_97131923252757[[#This Row],[国家]])</f>
        <v>1297620</v>
      </c>
      <c r="K31" s="43">
        <f>SUMIFS(表1_86121822242656[共计补偿Coin],表1_86121822242656[目标区服],表2_97131923252757[[#This Row],[合区区服]],表1_86121822242656[目标国家（映射）],表2_97131923252757[[#This Row],[国家]])</f>
        <v>47000</v>
      </c>
      <c r="L31" s="43">
        <f>表2_97131923252757[[#This Row],[活跃Coin]]+表2_97131923252757[[#This Row],[共计补偿Coin]]</f>
        <v>1344620</v>
      </c>
      <c r="M31" s="43">
        <f>SUMIFS(表1_86121822242656[综合国力],表1_86121822242656[目标区服],表2_97131923252757[[#This Row],[合区区服]],表1_86121822242656[目标国家（映射）],表2_97131923252757[[#This Row],[国家]])</f>
        <v>29408</v>
      </c>
      <c r="N31" s="41">
        <f t="array" ref="N31">MAX((表1_86121822242656[目标区服]=表2_97131923252757[[#This Row],[合区区服]])*(表1_86121822242656[目标国家（映射）]=表2_97131923252757[[#This Row],[国家]])*表1_86121822242656[单将最高战力])</f>
        <v>1488878</v>
      </c>
      <c r="P31" s="51"/>
      <c r="Q31" s="51"/>
    </row>
    <row r="32" ht="15" spans="1:17">
      <c r="A32" s="45"/>
      <c r="B32" s="46" t="s">
        <v>25</v>
      </c>
      <c r="C32" s="46">
        <f>COUNTIFS(表1_86121822242656[目标区服],表2_97131923252757[[#This Row],[合区区服]],表1_86121822242656[目标国家（映射）],表2_97131923252757[[#This Row],[国家]])</f>
        <v>0</v>
      </c>
      <c r="D32" s="46">
        <f>SUMIFS(表1_86121822242656[活跃高战玩家数],表1_86121822242656[目标区服],表2_97131923252757[[#This Row],[合区区服]],表1_86121822242656[目标国家（映射）],表2_97131923252757[[#This Row],[国家]])</f>
        <v>0</v>
      </c>
      <c r="E32" s="46">
        <f>SUMIFS(表1_86121822242656[活跃中坚玩家数],表1_86121822242656[目标区服],表2_97131923252757[[#This Row],[合区区服]],表1_86121822242656[目标国家（映射）],表2_97131923252757[[#This Row],[国家]])</f>
        <v>0</v>
      </c>
      <c r="F32" s="46">
        <f t="array" ref="F32">MAX((表1_86121822242656[目标区服]=表2_97131923252757[[#This Row],[合区区服]])*(表1_86121822242656[目标国家（映射）]=表2_97131923252757[[#This Row],[国家]])*表1_86121822242656[活跃尖端战力])</f>
        <v>0</v>
      </c>
      <c r="G32" s="47">
        <f>SUMIFS(表1_86121822242656[活跃总战力],表1_86121822242656[目标区服],表2_97131923252757[[#This Row],[合区区服]],表1_86121822242656[目标国家（映射）],表2_97131923252757[[#This Row],[国家]])</f>
        <v>0</v>
      </c>
      <c r="H32" s="46">
        <f>SUMIFS(表1_86121822242656[活跃实际充值],表1_86121822242656[目标区服],表2_97131923252757[[#This Row],[合区区服]],表1_86121822242656[目标国家（映射）],表2_97131923252757[[#This Row],[国家]])</f>
        <v>0</v>
      </c>
      <c r="I32" s="46">
        <f>SUMIFS(表1_86121822242656[活跃虚拟充值],表1_86121822242656[目标区服],表2_97131923252757[[#This Row],[合区区服]],表1_86121822242656[目标国家（映射）],表2_97131923252757[[#This Row],[国家]])</f>
        <v>0</v>
      </c>
      <c r="J32" s="46">
        <f>SUMIFS(表1_86121822242656[活跃Coin],表1_86121822242656[目标区服],表2_97131923252757[[#This Row],[合区区服]],表1_86121822242656[目标国家（映射）],表2_97131923252757[[#This Row],[国家]])</f>
        <v>0</v>
      </c>
      <c r="K32" s="46">
        <f>SUMIFS(表1_86121822242656[共计补偿Coin],表1_86121822242656[目标区服],表2_97131923252757[[#This Row],[合区区服]],表1_86121822242656[目标国家（映射）],表2_97131923252757[[#This Row],[国家]])</f>
        <v>0</v>
      </c>
      <c r="L32" s="46">
        <f>表2_97131923252757[[#This Row],[活跃Coin]]+表2_97131923252757[[#This Row],[共计补偿Coin]]</f>
        <v>0</v>
      </c>
      <c r="M32" s="46">
        <f>SUMIFS(表1_86121822242656[综合国力],表1_86121822242656[目标区服],表2_97131923252757[[#This Row],[合区区服]],表1_86121822242656[目标国家（映射）],表2_97131923252757[[#This Row],[国家]])</f>
        <v>0</v>
      </c>
      <c r="N32" s="46">
        <f t="array" ref="N32">MAX((表1_86121822242656[目标区服]=表2_97131923252757[[#This Row],[合区区服]])*(表1_86121822242656[目标国家（映射）]=表2_97131923252757[[#This Row],[国家]])*表1_86121822242656[单将最高战力])</f>
        <v>0</v>
      </c>
      <c r="P32" s="51"/>
      <c r="Q32" s="51"/>
    </row>
    <row r="33" ht="15" spans="1:17">
      <c r="A33" s="45"/>
      <c r="B33" s="46" t="s">
        <v>26</v>
      </c>
      <c r="C33" s="46">
        <f>COUNTIFS(表1_86121822242656[目标区服],表2_97131923252757[[#This Row],[合区区服]],表1_86121822242656[目标国家（映射）],表2_97131923252757[[#This Row],[国家]])</f>
        <v>0</v>
      </c>
      <c r="D33" s="46">
        <f>SUMIFS(表1_86121822242656[活跃高战玩家数],表1_86121822242656[目标区服],表2_97131923252757[[#This Row],[合区区服]],表1_86121822242656[目标国家（映射）],表2_97131923252757[[#This Row],[国家]])</f>
        <v>0</v>
      </c>
      <c r="E33" s="46">
        <f>SUMIFS(表1_86121822242656[活跃中坚玩家数],表1_86121822242656[目标区服],表2_97131923252757[[#This Row],[合区区服]],表1_86121822242656[目标国家（映射）],表2_97131923252757[[#This Row],[国家]])</f>
        <v>0</v>
      </c>
      <c r="F33" s="46">
        <f t="array" ref="F33">MAX((表1_86121822242656[目标区服]=表2_97131923252757[[#This Row],[合区区服]])*(表1_86121822242656[目标国家（映射）]=表2_97131923252757[[#This Row],[国家]])*表1_86121822242656[活跃尖端战力])</f>
        <v>0</v>
      </c>
      <c r="G33" s="47">
        <f>SUMIFS(表1_86121822242656[活跃总战力],表1_86121822242656[目标区服],表2_97131923252757[[#This Row],[合区区服]],表1_86121822242656[目标国家（映射）],表2_97131923252757[[#This Row],[国家]])</f>
        <v>0</v>
      </c>
      <c r="H33" s="46">
        <f>SUMIFS(表1_86121822242656[活跃实际充值],表1_86121822242656[目标区服],表2_97131923252757[[#This Row],[合区区服]],表1_86121822242656[目标国家（映射）],表2_97131923252757[[#This Row],[国家]])</f>
        <v>0</v>
      </c>
      <c r="I33" s="46">
        <f>SUMIFS(表1_86121822242656[活跃虚拟充值],表1_86121822242656[目标区服],表2_97131923252757[[#This Row],[合区区服]],表1_86121822242656[目标国家（映射）],表2_97131923252757[[#This Row],[国家]])</f>
        <v>0</v>
      </c>
      <c r="J33" s="46">
        <f>SUMIFS(表1_86121822242656[活跃Coin],表1_86121822242656[目标区服],表2_97131923252757[[#This Row],[合区区服]],表1_86121822242656[目标国家（映射）],表2_97131923252757[[#This Row],[国家]])</f>
        <v>0</v>
      </c>
      <c r="K33" s="46">
        <f>SUMIFS(表1_86121822242656[共计补偿Coin],表1_86121822242656[目标区服],表2_97131923252757[[#This Row],[合区区服]],表1_86121822242656[目标国家（映射）],表2_97131923252757[[#This Row],[国家]])</f>
        <v>0</v>
      </c>
      <c r="L33" s="46">
        <f>表2_97131923252757[[#This Row],[活跃Coin]]+表2_97131923252757[[#This Row],[共计补偿Coin]]</f>
        <v>0</v>
      </c>
      <c r="M33" s="46">
        <f>SUMIFS(表1_86121822242656[综合国力],表1_86121822242656[目标区服],表2_97131923252757[[#This Row],[合区区服]],表1_86121822242656[目标国家（映射）],表2_97131923252757[[#This Row],[国家]])</f>
        <v>0</v>
      </c>
      <c r="N33" s="46">
        <f t="array" ref="N33">MAX((表1_86121822242656[目标区服]=表2_97131923252757[[#This Row],[合区区服]])*(表1_86121822242656[目标国家（映射）]=表2_97131923252757[[#This Row],[国家]])*表1_86121822242656[单将最高战力])</f>
        <v>0</v>
      </c>
      <c r="P33" s="51"/>
      <c r="Q33" s="51"/>
    </row>
    <row r="34" ht="15" spans="1:14">
      <c r="A34" s="45"/>
      <c r="B34" s="48" t="s">
        <v>27</v>
      </c>
      <c r="C34" s="48">
        <f>COUNTIFS(表1_86121822242656[目标区服],表2_97131923252757[[#This Row],[合区区服]],表1_86121822242656[目标国家（映射）],表2_97131923252757[[#This Row],[国家]])</f>
        <v>0</v>
      </c>
      <c r="D34" s="48">
        <f>SUMIFS(表1_86121822242656[活跃高战玩家数],表1_86121822242656[目标区服],表2_97131923252757[[#This Row],[合区区服]],表1_86121822242656[目标国家（映射）],表2_97131923252757[[#This Row],[国家]])</f>
        <v>0</v>
      </c>
      <c r="E34" s="48">
        <f>SUMIFS(表1_86121822242656[活跃中坚玩家数],表1_86121822242656[目标区服],表2_97131923252757[[#This Row],[合区区服]],表1_86121822242656[目标国家（映射）],表2_97131923252757[[#This Row],[国家]])</f>
        <v>0</v>
      </c>
      <c r="F34" s="48">
        <f t="array" ref="F34">MAX((表1_86121822242656[目标区服]=表2_97131923252757[[#This Row],[合区区服]])*(表1_86121822242656[目标国家（映射）]=表2_97131923252757[[#This Row],[国家]])*表1_86121822242656[活跃尖端战力])</f>
        <v>0</v>
      </c>
      <c r="G34" s="458">
        <f>SUMIFS(表1_86121822242656[活跃总战力],表1_86121822242656[目标区服],表2_97131923252757[[#This Row],[合区区服]],表1_86121822242656[目标国家（映射）],表2_97131923252757[[#This Row],[国家]])</f>
        <v>0</v>
      </c>
      <c r="H34" s="48">
        <f>SUMIFS(表1_86121822242656[活跃实际充值],表1_86121822242656[目标区服],表2_97131923252757[[#This Row],[合区区服]],表1_86121822242656[目标国家（映射）],表2_97131923252757[[#This Row],[国家]])</f>
        <v>0</v>
      </c>
      <c r="I34" s="48">
        <f>SUMIFS(表1_86121822242656[活跃虚拟充值],表1_86121822242656[目标区服],表2_97131923252757[[#This Row],[合区区服]],表1_86121822242656[目标国家（映射）],表2_97131923252757[[#This Row],[国家]])</f>
        <v>0</v>
      </c>
      <c r="J34" s="48">
        <f>SUMIFS(表1_86121822242656[活跃Coin],表1_86121822242656[目标区服],表2_97131923252757[[#This Row],[合区区服]],表1_86121822242656[目标国家（映射）],表2_97131923252757[[#This Row],[国家]])</f>
        <v>0</v>
      </c>
      <c r="K34" s="48">
        <f>SUMIFS(表1_86121822242656[共计补偿Coin],表1_86121822242656[目标区服],表2_97131923252757[[#This Row],[合区区服]],表1_86121822242656[目标国家（映射）],表2_97131923252757[[#This Row],[国家]])</f>
        <v>0</v>
      </c>
      <c r="L34" s="48">
        <f>表2_97131923252757[[#This Row],[活跃Coin]]+表2_97131923252757[[#This Row],[共计补偿Coin]]</f>
        <v>0</v>
      </c>
      <c r="M34" s="48">
        <f>SUMIFS(表1_86121822242656[综合国力],表1_86121822242656[目标区服],表2_97131923252757[[#This Row],[合区区服]],表1_86121822242656[目标国家（映射）],表2_97131923252757[[#This Row],[国家]])</f>
        <v>0</v>
      </c>
      <c r="N34" s="46">
        <f t="array" ref="N34">MAX((表1_86121822242656[目标区服]=表2_97131923252757[[#This Row],[合区区服]])*(表1_86121822242656[目标国家（映射）]=表2_97131923252757[[#This Row],[国家]])*表1_86121822242656[单将最高战力])</f>
        <v>0</v>
      </c>
    </row>
    <row r="40" ht="27" spans="1:13">
      <c r="A40" s="49"/>
      <c r="B40" s="50" t="s">
        <v>9</v>
      </c>
      <c r="C40" s="50" t="s">
        <v>10</v>
      </c>
      <c r="D40" s="50" t="s">
        <v>11</v>
      </c>
      <c r="E40" s="50" t="s">
        <v>12</v>
      </c>
      <c r="F40" s="50" t="s">
        <v>13</v>
      </c>
      <c r="G40" s="50" t="s">
        <v>14</v>
      </c>
      <c r="H40" s="50" t="s">
        <v>15</v>
      </c>
      <c r="I40" s="50" t="s">
        <v>18</v>
      </c>
      <c r="J40" s="50" t="s">
        <v>19</v>
      </c>
      <c r="K40" s="50" t="s">
        <v>20</v>
      </c>
      <c r="L40" s="50" t="s">
        <v>21</v>
      </c>
      <c r="M40" s="50" t="s">
        <v>82</v>
      </c>
    </row>
    <row r="41" spans="1:13">
      <c r="A41" s="50" t="s">
        <v>25</v>
      </c>
      <c r="B41" s="50">
        <v>1</v>
      </c>
      <c r="C41" s="50">
        <v>57</v>
      </c>
      <c r="D41" s="50">
        <v>2</v>
      </c>
      <c r="E41" s="50">
        <v>14</v>
      </c>
      <c r="F41" s="50">
        <v>70853</v>
      </c>
      <c r="G41" s="50">
        <v>2601140</v>
      </c>
      <c r="H41" s="50">
        <v>16062494</v>
      </c>
      <c r="I41" s="50">
        <v>30614</v>
      </c>
      <c r="J41" s="50">
        <v>0</v>
      </c>
      <c r="K41" s="50">
        <v>422511</v>
      </c>
      <c r="L41" s="50">
        <v>6361</v>
      </c>
      <c r="M41" s="50">
        <v>790257</v>
      </c>
    </row>
    <row r="42" spans="1:13">
      <c r="A42" s="50" t="s">
        <v>26</v>
      </c>
      <c r="B42" s="50">
        <v>2</v>
      </c>
      <c r="C42" s="50">
        <v>113</v>
      </c>
      <c r="D42" s="50">
        <v>1</v>
      </c>
      <c r="E42" s="50">
        <v>14</v>
      </c>
      <c r="F42" s="50">
        <v>69460</v>
      </c>
      <c r="G42" s="50">
        <v>2369395</v>
      </c>
      <c r="H42" s="50">
        <v>14985705</v>
      </c>
      <c r="I42" s="50">
        <v>17780</v>
      </c>
      <c r="J42" s="50">
        <v>0</v>
      </c>
      <c r="K42" s="50">
        <v>141734</v>
      </c>
      <c r="L42" s="50">
        <v>6149</v>
      </c>
      <c r="M42" s="50">
        <v>727016</v>
      </c>
    </row>
    <row r="43" spans="1:13">
      <c r="A43" s="50" t="s">
        <v>27</v>
      </c>
      <c r="B43" s="50">
        <v>6</v>
      </c>
      <c r="C43" s="50">
        <v>225</v>
      </c>
      <c r="D43" s="50">
        <v>7</v>
      </c>
      <c r="E43" s="50">
        <v>19</v>
      </c>
      <c r="F43" s="50">
        <v>125320</v>
      </c>
      <c r="G43" s="50">
        <v>3855320</v>
      </c>
      <c r="H43" s="50">
        <v>30931554</v>
      </c>
      <c r="I43" s="50">
        <v>147620</v>
      </c>
      <c r="J43" s="50">
        <v>0</v>
      </c>
      <c r="K43" s="50">
        <v>764765</v>
      </c>
      <c r="L43" s="50">
        <v>15236</v>
      </c>
      <c r="M43" s="50">
        <v>1255547</v>
      </c>
    </row>
    <row r="44" spans="1:13">
      <c r="A44" s="50" t="s">
        <v>25</v>
      </c>
      <c r="B44" s="50">
        <v>0</v>
      </c>
      <c r="C44" s="50">
        <v>46</v>
      </c>
      <c r="D44" s="50">
        <v>2</v>
      </c>
      <c r="E44" s="50">
        <v>8</v>
      </c>
      <c r="F44" s="50">
        <v>55568</v>
      </c>
      <c r="G44" s="50">
        <v>3920902</v>
      </c>
      <c r="H44" s="50">
        <v>15540044</v>
      </c>
      <c r="I44" s="50">
        <v>41594</v>
      </c>
      <c r="J44" s="50">
        <v>112304</v>
      </c>
      <c r="K44" s="50">
        <v>876310</v>
      </c>
      <c r="L44" s="50">
        <v>9021</v>
      </c>
      <c r="M44" s="50">
        <v>1569560</v>
      </c>
    </row>
    <row r="45" spans="1:13">
      <c r="A45" s="50" t="s">
        <v>26</v>
      </c>
      <c r="B45" s="50">
        <v>0</v>
      </c>
      <c r="C45" s="50">
        <v>48</v>
      </c>
      <c r="D45" s="50">
        <v>0</v>
      </c>
      <c r="E45" s="50">
        <v>10</v>
      </c>
      <c r="F45" s="50">
        <v>23011</v>
      </c>
      <c r="G45" s="50">
        <v>1171701</v>
      </c>
      <c r="H45" s="50">
        <v>6168204</v>
      </c>
      <c r="I45" s="50">
        <v>5748</v>
      </c>
      <c r="J45" s="50">
        <v>0</v>
      </c>
      <c r="K45" s="50">
        <v>97703</v>
      </c>
      <c r="L45" s="50">
        <v>2604</v>
      </c>
      <c r="M45" s="50">
        <v>370613</v>
      </c>
    </row>
    <row r="46" spans="1:13">
      <c r="A46" s="50" t="s">
        <v>27</v>
      </c>
      <c r="B46" s="50">
        <v>9</v>
      </c>
      <c r="C46" s="50">
        <v>301</v>
      </c>
      <c r="D46" s="50">
        <v>8</v>
      </c>
      <c r="E46" s="50">
        <v>29</v>
      </c>
      <c r="F46" s="50">
        <v>201560</v>
      </c>
      <c r="G46" s="50">
        <v>4293963</v>
      </c>
      <c r="H46" s="50">
        <v>46489149</v>
      </c>
      <c r="I46" s="50">
        <v>411450</v>
      </c>
      <c r="J46" s="50">
        <v>0</v>
      </c>
      <c r="K46" s="50">
        <v>1199917</v>
      </c>
      <c r="L46" s="50">
        <v>26804</v>
      </c>
      <c r="M46" s="50">
        <v>1488878</v>
      </c>
    </row>
    <row r="47" spans="1:13">
      <c r="A47" s="50" t="s">
        <v>25</v>
      </c>
      <c r="B47" s="50">
        <v>1</v>
      </c>
      <c r="C47" s="50">
        <v>77</v>
      </c>
      <c r="D47" s="50">
        <v>2</v>
      </c>
      <c r="E47" s="50">
        <v>17</v>
      </c>
      <c r="F47" s="50">
        <v>78991</v>
      </c>
      <c r="G47" s="50">
        <v>1917993</v>
      </c>
      <c r="H47" s="50">
        <v>15625310</v>
      </c>
      <c r="I47" s="50">
        <v>44096</v>
      </c>
      <c r="J47" s="50">
        <v>0</v>
      </c>
      <c r="K47" s="50">
        <v>327134</v>
      </c>
      <c r="L47" s="50">
        <v>6231</v>
      </c>
      <c r="M47" s="50">
        <v>502788</v>
      </c>
    </row>
    <row r="48" spans="1:13">
      <c r="A48" s="50" t="s">
        <v>26</v>
      </c>
      <c r="B48" s="50">
        <v>8</v>
      </c>
      <c r="C48" s="50">
        <v>264</v>
      </c>
      <c r="D48" s="50">
        <v>5</v>
      </c>
      <c r="E48" s="50">
        <v>32</v>
      </c>
      <c r="F48" s="50">
        <v>162403</v>
      </c>
      <c r="G48" s="50">
        <v>3289418</v>
      </c>
      <c r="H48" s="50">
        <v>34146282</v>
      </c>
      <c r="I48" s="50">
        <v>96458</v>
      </c>
      <c r="J48" s="50">
        <v>0</v>
      </c>
      <c r="K48" s="50">
        <v>1047841</v>
      </c>
      <c r="L48" s="50">
        <v>14373</v>
      </c>
      <c r="M48" s="50">
        <v>1005072</v>
      </c>
    </row>
    <row r="49" spans="1:13">
      <c r="A49" s="50" t="s">
        <v>27</v>
      </c>
      <c r="B49" s="50">
        <v>0</v>
      </c>
      <c r="C49" s="50">
        <v>54</v>
      </c>
      <c r="D49" s="50">
        <v>1</v>
      </c>
      <c r="E49" s="50">
        <v>10</v>
      </c>
      <c r="F49" s="50">
        <v>36578</v>
      </c>
      <c r="G49" s="50">
        <v>1334371</v>
      </c>
      <c r="H49" s="50">
        <v>7724657</v>
      </c>
      <c r="I49" s="50">
        <v>2086</v>
      </c>
      <c r="J49" s="50">
        <v>0</v>
      </c>
      <c r="K49" s="50">
        <v>91306</v>
      </c>
      <c r="L49" s="50">
        <v>2937</v>
      </c>
      <c r="M49" s="50">
        <v>505651</v>
      </c>
    </row>
    <row r="50" spans="1:13">
      <c r="A50" s="50" t="s">
        <v>25</v>
      </c>
      <c r="B50" s="50">
        <v>2</v>
      </c>
      <c r="C50" s="50">
        <v>106</v>
      </c>
      <c r="D50" s="50">
        <v>3</v>
      </c>
      <c r="E50" s="50">
        <v>13</v>
      </c>
      <c r="F50" s="50">
        <v>79911</v>
      </c>
      <c r="G50" s="50">
        <v>3709647</v>
      </c>
      <c r="H50" s="50">
        <v>17740429</v>
      </c>
      <c r="I50" s="50">
        <v>45694</v>
      </c>
      <c r="J50" s="50">
        <v>97560</v>
      </c>
      <c r="K50" s="50">
        <v>489997</v>
      </c>
      <c r="L50" s="50">
        <v>9734</v>
      </c>
      <c r="M50" s="50">
        <v>1089177</v>
      </c>
    </row>
    <row r="51" spans="1:13">
      <c r="A51" s="50" t="s">
        <v>26</v>
      </c>
      <c r="B51" s="50">
        <v>7</v>
      </c>
      <c r="C51" s="50">
        <v>252</v>
      </c>
      <c r="D51" s="50">
        <v>7</v>
      </c>
      <c r="E51" s="50">
        <v>26</v>
      </c>
      <c r="F51" s="50">
        <v>179483</v>
      </c>
      <c r="G51" s="50">
        <v>3836805</v>
      </c>
      <c r="H51" s="50">
        <v>39347950</v>
      </c>
      <c r="I51" s="50">
        <v>191282</v>
      </c>
      <c r="J51" s="50">
        <v>0</v>
      </c>
      <c r="K51" s="50">
        <v>1091496</v>
      </c>
      <c r="L51" s="50">
        <v>18173</v>
      </c>
      <c r="M51" s="50">
        <v>1041464</v>
      </c>
    </row>
    <row r="52" spans="1:13">
      <c r="A52" s="50" t="s">
        <v>27</v>
      </c>
      <c r="B52" s="50">
        <v>0</v>
      </c>
      <c r="C52" s="50">
        <v>37</v>
      </c>
      <c r="D52" s="50">
        <v>0</v>
      </c>
      <c r="E52" s="50">
        <v>14</v>
      </c>
      <c r="F52" s="50">
        <v>30786</v>
      </c>
      <c r="G52" s="50">
        <v>841588</v>
      </c>
      <c r="H52" s="50">
        <v>6660524</v>
      </c>
      <c r="I52" s="50">
        <v>7326</v>
      </c>
      <c r="J52" s="50">
        <v>0</v>
      </c>
      <c r="K52" s="50">
        <v>176094</v>
      </c>
      <c r="L52" s="50">
        <v>2339</v>
      </c>
      <c r="M52" s="50">
        <v>236191</v>
      </c>
    </row>
    <row r="53" spans="1:13">
      <c r="A53" s="50" t="s">
        <v>25</v>
      </c>
      <c r="B53" s="50">
        <v>9</v>
      </c>
      <c r="C53" s="50">
        <v>346</v>
      </c>
      <c r="D53" s="50">
        <v>7</v>
      </c>
      <c r="E53" s="50">
        <v>42</v>
      </c>
      <c r="F53" s="50">
        <v>230798</v>
      </c>
      <c r="G53" s="50">
        <v>5519213</v>
      </c>
      <c r="H53" s="50">
        <v>79507062</v>
      </c>
      <c r="I53" s="50">
        <v>933840</v>
      </c>
      <c r="J53" s="50">
        <v>5382</v>
      </c>
      <c r="K53" s="50">
        <v>2952056</v>
      </c>
      <c r="L53" s="50">
        <v>48528</v>
      </c>
      <c r="M53" s="50">
        <v>1503330</v>
      </c>
    </row>
    <row r="54" spans="1:13">
      <c r="A54" s="50" t="s">
        <v>26</v>
      </c>
      <c r="B54" s="50">
        <v>0</v>
      </c>
      <c r="C54" s="50">
        <v>30</v>
      </c>
      <c r="D54" s="50">
        <v>2</v>
      </c>
      <c r="E54" s="50">
        <v>11</v>
      </c>
      <c r="F54" s="50">
        <v>37834</v>
      </c>
      <c r="G54" s="50">
        <v>3686930</v>
      </c>
      <c r="H54" s="50">
        <v>16321758</v>
      </c>
      <c r="I54" s="50">
        <v>80472</v>
      </c>
      <c r="J54" s="50">
        <v>75668</v>
      </c>
      <c r="K54" s="50">
        <v>483015</v>
      </c>
      <c r="L54" s="50">
        <v>9220</v>
      </c>
      <c r="M54" s="50">
        <v>1109650</v>
      </c>
    </row>
    <row r="55" spans="1:13">
      <c r="A55" s="50" t="s">
        <v>27</v>
      </c>
      <c r="B55" s="50">
        <v>0</v>
      </c>
      <c r="C55" s="50">
        <v>19</v>
      </c>
      <c r="D55" s="50">
        <v>0</v>
      </c>
      <c r="E55" s="50">
        <v>15</v>
      </c>
      <c r="F55" s="50">
        <v>28702</v>
      </c>
      <c r="G55" s="50">
        <v>2523227</v>
      </c>
      <c r="H55" s="50">
        <v>14371009</v>
      </c>
      <c r="I55" s="50">
        <v>18406</v>
      </c>
      <c r="J55" s="50">
        <v>51858</v>
      </c>
      <c r="K55" s="50">
        <v>493826</v>
      </c>
      <c r="L55" s="50">
        <v>5611</v>
      </c>
      <c r="M55" s="50">
        <v>1048890</v>
      </c>
    </row>
    <row r="56" spans="1:13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</row>
    <row r="57" spans="1:13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</row>
    <row r="58" spans="1:13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</row>
    <row r="59" spans="1:13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</row>
    <row r="60" spans="1:13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</row>
    <row r="61" spans="1:13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</row>
  </sheetData>
  <conditionalFormatting sqref="F26:F2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{21018d70-6efd-4ee6-9818-073adbe1e151}</x14:id>
        </ext>
      </extLst>
    </cfRule>
  </conditionalFormatting>
  <conditionalFormatting sqref="F29:F31">
    <cfRule type="dataBar" priority="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{8b55c198-31a2-4e35-b0e9-85fa99c06f1f}</x14:id>
        </ext>
      </extLst>
    </cfRule>
  </conditionalFormatting>
  <conditionalFormatting sqref="F32:F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{c2547550-6a00-4639-a729-7cc9c059421b}</x14:id>
        </ext>
      </extLst>
    </cfRule>
  </conditionalFormatting>
  <conditionalFormatting sqref="G26:G2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{a0bf93d4-3f46-4e0f-b275-9c46073aeace}</x14:id>
        </ext>
      </extLst>
    </cfRule>
  </conditionalFormatting>
  <conditionalFormatting sqref="G29:G31">
    <cfRule type="dataBar" priority="3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{1ae34d7d-0439-43ad-979c-68e4a640ce78}</x14:id>
        </ext>
      </extLst>
    </cfRule>
  </conditionalFormatting>
  <conditionalFormatting sqref="G32:G34">
    <cfRule type="dataBar" priority="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{c6bd4dbf-a1c3-4577-a74e-6ce62421fdcb}</x14:id>
        </ext>
      </extLst>
    </cfRule>
  </conditionalFormatting>
  <conditionalFormatting sqref="N26:N34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{be7f32cc-b869-4211-a58b-f53461a78dbb}</x14:id>
        </ext>
      </extLst>
    </cfRule>
  </conditionalFormatting>
  <conditionalFormatting sqref="O8:O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{cda24225-238a-4ab4-b28a-17b39f08de03}</x14:id>
        </ext>
      </extLst>
    </cfRule>
  </conditionalFormatting>
  <conditionalFormatting sqref="O14:O1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{e467d0ed-5eec-4191-8773-76b498a1ebf7}</x14:id>
        </ext>
      </extLst>
    </cfRule>
  </conditionalFormatting>
  <conditionalFormatting sqref="O20:O2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{04b17eb4-e2aa-436d-aba1-bdfaff727bbc}</x14:id>
        </ext>
      </extLst>
    </cfRule>
  </conditionalFormatting>
  <conditionalFormatting sqref="P8:P10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{95c1dcf3-ef0a-4c9d-bd3b-8097a0f6143c}</x14:id>
        </ext>
      </extLst>
    </cfRule>
  </conditionalFormatting>
  <conditionalFormatting sqref="P14:P1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{14ef1310-bae6-4234-8506-a1ffbf585aa2}</x14:id>
        </ext>
      </extLst>
    </cfRule>
  </conditionalFormatting>
  <conditionalFormatting sqref="P20:P22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{06f5cc0d-2e9f-4b84-9d08-4b426322621a}</x14:id>
        </ext>
      </extLst>
    </cfRule>
  </conditionalFormatting>
  <conditionalFormatting sqref="P26:P33">
    <cfRule type="cellIs" dxfId="37" priority="20" operator="equal">
      <formula>$S$26</formula>
    </cfRule>
  </conditionalFormatting>
  <conditionalFormatting sqref="Q8:Q10">
    <cfRule type="cellIs" dxfId="38" priority="1" operator="equal">
      <formula>配置!$D$4</formula>
    </cfRule>
    <cfRule type="cellIs" dxfId="39" priority="2" operator="equal">
      <formula>配置!$D$3</formula>
    </cfRule>
    <cfRule type="cellIs" dxfId="37" priority="3" operator="equal">
      <formula>配置!$D$2</formula>
    </cfRule>
  </conditionalFormatting>
  <conditionalFormatting sqref="Q14:Q16">
    <cfRule type="cellIs" dxfId="38" priority="6" operator="equal">
      <formula>配置!$D$4</formula>
    </cfRule>
    <cfRule type="cellIs" dxfId="39" priority="7" operator="equal">
      <formula>配置!$D$3</formula>
    </cfRule>
    <cfRule type="cellIs" dxfId="37" priority="8" operator="equal">
      <formula>配置!$D$2</formula>
    </cfRule>
  </conditionalFormatting>
  <conditionalFormatting sqref="R26:R29">
    <cfRule type="cellIs" dxfId="37" priority="21" operator="equal">
      <formula>$S$26</formula>
    </cfRule>
  </conditionalFormatting>
  <conditionalFormatting sqref="O23:O24 Q1:R1 Q2 Q4:Q5 Q7 Q11 Q13 Q17 Q19:Q20 Q22">
    <cfRule type="cellIs" dxfId="37" priority="37" operator="equal">
      <formula>配置!$D$2</formula>
    </cfRule>
  </conditionalFormatting>
  <conditionalFormatting sqref="O2:O7 O11:O13 O17:O19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{773faf2a-f252-4f6d-846b-00cd29d01096}</x14:id>
        </ext>
      </extLst>
    </cfRule>
  </conditionalFormatting>
  <conditionalFormatting sqref="P2:P7 P11:P13 P17:P19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{962284eb-5718-42f7-829a-d86dab99e9a7}</x14:id>
        </ext>
      </extLst>
    </cfRule>
  </conditionalFormatting>
  <conditionalFormatting sqref="Q2 Q4:Q5 Q7 Q11 Q13 Q17 Q19:Q20 Q22">
    <cfRule type="cellIs" dxfId="38" priority="36" operator="equal">
      <formula>配置!$D$4</formula>
    </cfRule>
  </conditionalFormatting>
  <conditionalFormatting sqref="Q2:Q7 Q11:Q13 Q17:Q22">
    <cfRule type="cellIs" dxfId="38" priority="27" operator="equal">
      <formula>配置!$D$4</formula>
    </cfRule>
    <cfRule type="cellIs" dxfId="39" priority="28" operator="equal">
      <formula>配置!$D$3</formula>
    </cfRule>
    <cfRule type="cellIs" dxfId="37" priority="29" operator="equal">
      <formula>配置!$D$2</formula>
    </cfRule>
  </conditionalFormatting>
  <conditionalFormatting sqref="Q8 Q10">
    <cfRule type="cellIs" dxfId="38" priority="4" operator="equal">
      <formula>配置!$D$4</formula>
    </cfRule>
    <cfRule type="cellIs" dxfId="37" priority="5" operator="equal">
      <formula>配置!$D$2</formula>
    </cfRule>
  </conditionalFormatting>
  <conditionalFormatting sqref="Q14 Q16">
    <cfRule type="cellIs" dxfId="38" priority="11" operator="equal">
      <formula>配置!$D$4</formula>
    </cfRule>
    <cfRule type="cellIs" dxfId="37" priority="12" operator="equal">
      <formula>配置!$D$2</formula>
    </cfRule>
  </conditionalFormatting>
  <dataValidations count="1">
    <dataValidation type="list" allowBlank="1" showInputMessage="1" showErrorMessage="1" sqref="Q2:Q22">
      <formula1>配置!$D$2:$D$4</formula1>
    </dataValidation>
  </dataValidations>
  <pageMargins left="0.7" right="0.7" top="0.75" bottom="0.75" header="0.3" footer="0.3"/>
  <pageSetup paperSize="9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1018d70-6efd-4ee6-9818-073adbe1e1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8b55c198-31a2-4e35-b0e9-85fa99c06f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c2547550-6a00-4639-a729-7cc9c05942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a0bf93d4-3f46-4e0f-b275-9c46073aea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1ae34d7d-0439-43ad-979c-68e4a640ce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c6bd4dbf-a1c3-4577-a74e-6ce62421fd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be7f32cc-b869-4211-a58b-f53461a78d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N26:N34</xm:sqref>
        </x14:conditionalFormatting>
        <x14:conditionalFormatting xmlns:xm="http://schemas.microsoft.com/office/excel/2006/main">
          <x14:cfRule type="dataBar" id="{cda24225-238a-4ab4-b28a-17b39f08de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O8:O10</xm:sqref>
        </x14:conditionalFormatting>
        <x14:conditionalFormatting xmlns:xm="http://schemas.microsoft.com/office/excel/2006/main">
          <x14:cfRule type="dataBar" id="{e467d0ed-5eec-4191-8773-76b498a1eb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O14:O16</xm:sqref>
        </x14:conditionalFormatting>
        <x14:conditionalFormatting xmlns:xm="http://schemas.microsoft.com/office/excel/2006/main">
          <x14:cfRule type="dataBar" id="{04b17eb4-e2aa-436d-aba1-bdfaff727b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95c1dcf3-ef0a-4c9d-bd3b-8097a0f614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P8:P10</xm:sqref>
        </x14:conditionalFormatting>
        <x14:conditionalFormatting xmlns:xm="http://schemas.microsoft.com/office/excel/2006/main">
          <x14:cfRule type="dataBar" id="{14ef1310-bae6-4234-8506-a1ffbf585a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P14:P16</xm:sqref>
        </x14:conditionalFormatting>
        <x14:conditionalFormatting xmlns:xm="http://schemas.microsoft.com/office/excel/2006/main">
          <x14:cfRule type="dataBar" id="{06f5cc0d-2e9f-4b84-9d08-4b42632262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  <x14:conditionalFormatting xmlns:xm="http://schemas.microsoft.com/office/excel/2006/main">
          <x14:cfRule type="dataBar" id="{773faf2a-f252-4f6d-846b-00cd29d010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O2:O7 O11:O13 O17:O19</xm:sqref>
        </x14:conditionalFormatting>
        <x14:conditionalFormatting xmlns:xm="http://schemas.microsoft.com/office/excel/2006/main">
          <x14:cfRule type="dataBar" id="{962284eb-5718-42f7-829a-d86dab99e9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P2:P7 P11:P13 P17:P19</xm:sqref>
        </x14:conditionalFormatting>
      </x14:conditionalFormatting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6"/>
  <sheetViews>
    <sheetView topLeftCell="A25" workbookViewId="0">
      <selection activeCell="N38" sqref="N38:N40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1">
        <v>5031</v>
      </c>
      <c r="B2" s="371">
        <f>VLOOKUP(表1_86121822242658[[#This Row],[区服]],$P$32:$Q$40,2,FALSE)</f>
        <v>49</v>
      </c>
      <c r="C2" s="372" t="s">
        <v>107</v>
      </c>
      <c r="D2" s="373" t="str">
        <f>表1_86121822242658[[#This Row],[目标国家]]</f>
        <v>吴</v>
      </c>
      <c r="E2" s="374">
        <f>(VLOOKUP(表1_86121822242658[[#This Row],[目标区服]],$R$32:$S$35,2,FALSE)-表1_86121822242658[[#This Row],[开服天数]])*配置!$B$1</f>
        <v>1000</v>
      </c>
      <c r="F2" s="374">
        <f>表1_86121822242658[[#This Row],[补偿Coin]]*(表1_86121822242658[[#This Row],[活跃高战玩家数]]+表1_86121822242658[[#This Row],[活跃中坚玩家数]])</f>
        <v>5000</v>
      </c>
      <c r="G2" s="374">
        <f>(VLOOKUP(表1_86121822242658[[#This Row],[目标区服]],$R$32:$S$35,2,FALSE)-表1_86121822242658[[#This Row],[开服天数]])*配置!$B$2</f>
        <v>10</v>
      </c>
      <c r="H2" s="376" t="s">
        <v>25</v>
      </c>
      <c r="I2" s="376">
        <f>IF(表1_86121822242658[[#This Row],[原国家]]="魏",0,IF(表1_86121822242658[[#This Row],[原国家]]="蜀",1,2))</f>
        <v>0</v>
      </c>
      <c r="J2" s="380">
        <v>0</v>
      </c>
      <c r="K2" s="380">
        <v>18</v>
      </c>
      <c r="L2" s="380">
        <v>0</v>
      </c>
      <c r="M2" s="380">
        <v>5</v>
      </c>
      <c r="N2" s="380">
        <v>14759</v>
      </c>
      <c r="O2" s="380">
        <v>694468</v>
      </c>
      <c r="P2" s="381">
        <v>2276991</v>
      </c>
      <c r="Q2" s="31" t="s">
        <v>27</v>
      </c>
      <c r="R2" s="376">
        <f>IF(表1_86121822242658[[#This Row],[目标国家]]="魏",0,IF(表1_86121822242658[[#This Row],[目标国家]]="蜀",1,2))</f>
        <v>2</v>
      </c>
      <c r="S2" s="380">
        <v>126</v>
      </c>
      <c r="T2" s="380">
        <v>0</v>
      </c>
      <c r="U2" s="380">
        <v>48085</v>
      </c>
      <c r="V2" s="380">
        <v>1203</v>
      </c>
      <c r="W2" s="374">
        <v>300005</v>
      </c>
      <c r="X2" s="387" t="str">
        <f>"{"&amp;"'coin':"&amp;表1_86121822242658[[#This Row],[补偿Coin]]&amp;",'"&amp;配置!$A$2&amp;"':"&amp;表1_86121822242658[[#This Row],[补偿辎重]]&amp;"},"</f>
        <v>{'coin':1000,'item036':10},</v>
      </c>
      <c r="Y2" s="388" t="str">
        <f>"      '"&amp;表1_86121822242658[[#This Row],[区服]]&amp;"':{"</f>
        <v>      '5031':{</v>
      </c>
    </row>
    <row r="3" s="354" customFormat="1" ht="14.25" customHeight="1" spans="1:25">
      <c r="A3" s="375">
        <v>5031</v>
      </c>
      <c r="B3" s="371">
        <f>VLOOKUP(表1_86121822242658[[#This Row],[区服]],$P$32:$Q$40,2,FALSE)</f>
        <v>49</v>
      </c>
      <c r="C3" s="372" t="s">
        <v>107</v>
      </c>
      <c r="D3" s="376" t="str">
        <f>表1_86121822242658[[#This Row],[目标国家]]</f>
        <v>蜀</v>
      </c>
      <c r="E3" s="380">
        <f>(VLOOKUP(表1_86121822242658[[#This Row],[目标区服]],$R$32:$S$35,2,FALSE)-表1_86121822242658[[#This Row],[开服天数]])*配置!$B$1</f>
        <v>1000</v>
      </c>
      <c r="F3" s="380">
        <f>表1_86121822242658[[#This Row],[补偿Coin]]*(表1_86121822242658[[#This Row],[活跃高战玩家数]]+表1_86121822242658[[#This Row],[活跃中坚玩家数]])</f>
        <v>28000</v>
      </c>
      <c r="G3" s="380">
        <f>(VLOOKUP(表1_86121822242658[[#This Row],[目标区服]],$R$32:$S$35,2,FALSE)-表1_86121822242658[[#This Row],[开服天数]])*配置!$B$2</f>
        <v>10</v>
      </c>
      <c r="H3" s="376" t="s">
        <v>26</v>
      </c>
      <c r="I3" s="376">
        <f>IF(表1_86121822242658[[#This Row],[原国家]]="魏",0,IF(表1_86121822242658[[#This Row],[原国家]]="蜀",1,2))</f>
        <v>1</v>
      </c>
      <c r="J3" s="380">
        <v>6</v>
      </c>
      <c r="K3" s="380">
        <v>284</v>
      </c>
      <c r="L3" s="380">
        <v>5</v>
      </c>
      <c r="M3" s="380">
        <v>23</v>
      </c>
      <c r="N3" s="380">
        <v>157711</v>
      </c>
      <c r="O3" s="380">
        <v>1875597</v>
      </c>
      <c r="P3" s="381">
        <v>21283167</v>
      </c>
      <c r="Q3" s="31" t="s">
        <v>26</v>
      </c>
      <c r="R3" s="376">
        <f>IF(表1_86121822242658[[#This Row],[目标国家]]="魏",0,IF(表1_86121822242658[[#This Row],[目标国家]]="蜀",1,2))</f>
        <v>1</v>
      </c>
      <c r="S3" s="380">
        <v>13374</v>
      </c>
      <c r="T3" s="380">
        <v>0</v>
      </c>
      <c r="U3" s="380">
        <v>306128</v>
      </c>
      <c r="V3" s="380">
        <v>8786</v>
      </c>
      <c r="W3" s="374">
        <v>548621</v>
      </c>
      <c r="X3" s="387" t="str">
        <f>"{"&amp;"'coin':"&amp;表1_86121822242658[[#This Row],[补偿Coin]]&amp;",'"&amp;配置!$A$2&amp;"':"&amp;表1_86121822242658[[#This Row],[补偿辎重]]&amp;"},"</f>
        <v>{'coin':1000,'item036':10},</v>
      </c>
      <c r="Y3" s="388" t="str">
        <f>"            'to_zone':'"&amp;表1_86121822242658[[#This Row],[目标区服]]&amp;"',
            'reward':"&amp;表1_86121822242658[[#This Row],[辅助导出]]&amp;"
            'country':["&amp;R2&amp;","&amp;R3&amp;","&amp;R4&amp;"],"</f>
        <v>            'to_zone':'h1_514',
            'reward':{'coin':1000,'item036':10},
            'country':[2,1,0],</v>
      </c>
    </row>
    <row r="4" s="354" customFormat="1" ht="14.25" customHeight="1" spans="1:25">
      <c r="A4" s="375">
        <v>5031</v>
      </c>
      <c r="B4" s="371">
        <f>VLOOKUP(表1_86121822242658[[#This Row],[区服]],$P$32:$Q$40,2,FALSE)</f>
        <v>49</v>
      </c>
      <c r="C4" s="372" t="s">
        <v>107</v>
      </c>
      <c r="D4" s="376" t="str">
        <f>表1_86121822242658[[#This Row],[目标国家]]</f>
        <v>魏</v>
      </c>
      <c r="E4" s="380">
        <f>(VLOOKUP(表1_86121822242658[[#This Row],[目标区服]],$R$32:$S$35,2,FALSE)-表1_86121822242658[[#This Row],[开服天数]])*配置!$B$1</f>
        <v>1000</v>
      </c>
      <c r="F4" s="380">
        <f>表1_86121822242658[[#This Row],[补偿Coin]]*(表1_86121822242658[[#This Row],[活跃高战玩家数]]+表1_86121822242658[[#This Row],[活跃中坚玩家数]])</f>
        <v>9000</v>
      </c>
      <c r="G4" s="380">
        <f>(VLOOKUP(表1_86121822242658[[#This Row],[目标区服]],$R$32:$S$35,2,FALSE)-表1_86121822242658[[#This Row],[开服天数]])*配置!$B$2</f>
        <v>10</v>
      </c>
      <c r="H4" s="376" t="s">
        <v>27</v>
      </c>
      <c r="I4" s="376">
        <f>IF(表1_86121822242658[[#This Row],[原国家]]="魏",0,IF(表1_86121822242658[[#This Row],[原国家]]="蜀",1,2))</f>
        <v>2</v>
      </c>
      <c r="J4" s="380">
        <v>3</v>
      </c>
      <c r="K4" s="380">
        <v>93</v>
      </c>
      <c r="L4" s="380">
        <v>4</v>
      </c>
      <c r="M4" s="380">
        <v>5</v>
      </c>
      <c r="N4" s="380">
        <v>44967</v>
      </c>
      <c r="O4" s="380">
        <v>1857145</v>
      </c>
      <c r="P4" s="381">
        <v>7113794</v>
      </c>
      <c r="Q4" s="31" t="s">
        <v>25</v>
      </c>
      <c r="R4" s="376">
        <f>IF(表1_86121822242658[[#This Row],[目标国家]]="魏",0,IF(表1_86121822242658[[#This Row],[目标国家]]="蜀",1,2))</f>
        <v>0</v>
      </c>
      <c r="S4" s="380">
        <v>22832</v>
      </c>
      <c r="T4" s="380">
        <v>0</v>
      </c>
      <c r="U4" s="380">
        <v>127677</v>
      </c>
      <c r="V4" s="380">
        <v>4772</v>
      </c>
      <c r="W4" s="374">
        <v>523344</v>
      </c>
      <c r="X4" s="387" t="str">
        <f>"{"&amp;"'coin':"&amp;表1_86121822242658[[#This Row],[补偿Coin]]&amp;",'"&amp;配置!$A$2&amp;"':"&amp;表1_86121822242658[[#This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5">
        <v>5032</v>
      </c>
      <c r="B5" s="371">
        <f>VLOOKUP(表1_86121822242658[[#This Row],[区服]],$P$32:$Q$40,2,FALSE)</f>
        <v>48</v>
      </c>
      <c r="C5" s="372" t="s">
        <v>107</v>
      </c>
      <c r="D5" s="376" t="str">
        <f>表1_86121822242658[[#This Row],[目标国家]]</f>
        <v>魏</v>
      </c>
      <c r="E5" s="380">
        <f>(VLOOKUP(表1_86121822242658[[#This Row],[目标区服]],$R$32:$S$35,2,FALSE)-表1_86121822242658[[#This Row],[开服天数]])*配置!$B$1</f>
        <v>1500</v>
      </c>
      <c r="F5" s="380">
        <f>表1_86121822242658[[#This Row],[补偿Coin]]*(表1_86121822242658[[#This Row],[活跃高战玩家数]]+表1_86121822242658[[#This Row],[活跃中坚玩家数]])</f>
        <v>27000</v>
      </c>
      <c r="G5" s="380">
        <f>(VLOOKUP(表1_86121822242658[[#This Row],[目标区服]],$R$32:$S$35,2,FALSE)-表1_86121822242658[[#This Row],[开服天数]])*配置!$B$2</f>
        <v>15</v>
      </c>
      <c r="H5" s="376" t="s">
        <v>25</v>
      </c>
      <c r="I5" s="376">
        <f>IF(表1_86121822242658[[#This Row],[原国家]]="魏",0,IF(表1_86121822242658[[#This Row],[原国家]]="蜀",1,2))</f>
        <v>0</v>
      </c>
      <c r="J5" s="380">
        <v>7</v>
      </c>
      <c r="K5" s="380">
        <v>262</v>
      </c>
      <c r="L5" s="380">
        <v>5</v>
      </c>
      <c r="M5" s="380">
        <v>13</v>
      </c>
      <c r="N5" s="380">
        <v>116891</v>
      </c>
      <c r="O5" s="380">
        <v>2990059</v>
      </c>
      <c r="P5" s="381">
        <v>18300822</v>
      </c>
      <c r="Q5" s="31" t="s">
        <v>25</v>
      </c>
      <c r="R5" s="376">
        <f>IF(表1_86121822242658[[#This Row],[目标国家]]="魏",0,IF(表1_86121822242658[[#This Row],[目标国家]]="蜀",1,2))</f>
        <v>0</v>
      </c>
      <c r="S5" s="380">
        <v>80658</v>
      </c>
      <c r="T5" s="380">
        <v>0</v>
      </c>
      <c r="U5" s="380">
        <v>321976</v>
      </c>
      <c r="V5" s="380">
        <v>11305</v>
      </c>
      <c r="W5" s="374">
        <v>853922</v>
      </c>
      <c r="X5" s="387" t="str">
        <f>"{"&amp;"'coin':"&amp;表1_86121822242658[[#This Row],[补偿Coin]]&amp;",'"&amp;配置!$A$2&amp;"':"&amp;表1_86121822242658[[#This Row],[补偿辎重]]&amp;"},"</f>
        <v>{'coin':1500,'item036':15},</v>
      </c>
      <c r="Y5" s="388" t="str">
        <f>"      '"&amp;表1_86121822242658[[#This Row],[区服]]&amp;"':{"</f>
        <v>      '5032':{</v>
      </c>
    </row>
    <row r="6" s="354" customFormat="1" ht="14.25" customHeight="1" spans="1:25">
      <c r="A6" s="371">
        <v>5032</v>
      </c>
      <c r="B6" s="371">
        <f>VLOOKUP(表1_86121822242658[[#This Row],[区服]],$P$32:$Q$40,2,FALSE)</f>
        <v>48</v>
      </c>
      <c r="C6" s="372" t="s">
        <v>107</v>
      </c>
      <c r="D6" s="376" t="str">
        <f>表1_86121822242658[[#This Row],[目标国家]]</f>
        <v>蜀</v>
      </c>
      <c r="E6" s="380">
        <f>(VLOOKUP(表1_86121822242658[[#This Row],[目标区服]],$R$32:$S$35,2,FALSE)-表1_86121822242658[[#This Row],[开服天数]])*配置!$B$1</f>
        <v>1500</v>
      </c>
      <c r="F6" s="380">
        <f>表1_86121822242658[[#This Row],[补偿Coin]]*(表1_86121822242658[[#This Row],[活跃高战玩家数]]+表1_86121822242658[[#This Row],[活跃中坚玩家数]])</f>
        <v>27000</v>
      </c>
      <c r="G6" s="380">
        <f>(VLOOKUP(表1_86121822242658[[#This Row],[目标区服]],$R$32:$S$35,2,FALSE)-表1_86121822242658[[#This Row],[开服天数]])*配置!$B$2</f>
        <v>15</v>
      </c>
      <c r="H6" s="376" t="s">
        <v>26</v>
      </c>
      <c r="I6" s="376">
        <f>IF(表1_86121822242658[[#This Row],[原国家]]="魏",0,IF(表1_86121822242658[[#This Row],[原国家]]="蜀",1,2))</f>
        <v>1</v>
      </c>
      <c r="J6" s="380">
        <v>1</v>
      </c>
      <c r="K6" s="380">
        <v>67</v>
      </c>
      <c r="L6" s="380">
        <v>4</v>
      </c>
      <c r="M6" s="380">
        <v>14</v>
      </c>
      <c r="N6" s="380">
        <v>103271</v>
      </c>
      <c r="O6" s="380">
        <v>2131770</v>
      </c>
      <c r="P6" s="381">
        <v>13679977</v>
      </c>
      <c r="Q6" s="31" t="s">
        <v>26</v>
      </c>
      <c r="R6" s="376">
        <f>IF(表1_86121822242658[[#This Row],[目标国家]]="魏",0,IF(表1_86121822242658[[#This Row],[目标国家]]="蜀",1,2))</f>
        <v>1</v>
      </c>
      <c r="S6" s="380">
        <v>41690</v>
      </c>
      <c r="T6" s="380">
        <v>0</v>
      </c>
      <c r="U6" s="380">
        <v>156785</v>
      </c>
      <c r="V6" s="380">
        <v>6115</v>
      </c>
      <c r="W6" s="374">
        <v>712573</v>
      </c>
      <c r="X6" s="387" t="str">
        <f>"{"&amp;"'coin':"&amp;表1_86121822242658[[#This Row],[补偿Coin]]&amp;",'"&amp;配置!$A$2&amp;"':"&amp;表1_86121822242658[[#This Row],[补偿辎重]]&amp;"},"</f>
        <v>{'coin':1500,'item036':15},</v>
      </c>
      <c r="Y6" s="388" t="str">
        <f>"            'to_zone':'"&amp;表1_86121822242658[[#This Row],[目标区服]]&amp;"',
            'reward':"&amp;表1_86121822242658[[#This Row],[辅助导出]]&amp;"
            'country':["&amp;R5&amp;","&amp;R6&amp;","&amp;R7&amp;"],"</f>
        <v>            'to_zone':'h1_514',
            'reward':{'coin':1500,'item036':15},
            'country':[0,1,2],</v>
      </c>
    </row>
    <row r="7" s="354" customFormat="1" ht="14.25" customHeight="1" spans="1:25">
      <c r="A7" s="371">
        <v>5032</v>
      </c>
      <c r="B7" s="371">
        <f>VLOOKUP(表1_86121822242658[[#This Row],[区服]],$P$32:$Q$40,2,FALSE)</f>
        <v>48</v>
      </c>
      <c r="C7" s="372" t="s">
        <v>107</v>
      </c>
      <c r="D7" s="376" t="str">
        <f>表1_86121822242658[[#This Row],[目标国家]]</f>
        <v>吴</v>
      </c>
      <c r="E7" s="380">
        <f>(VLOOKUP(表1_86121822242658[[#This Row],[目标区服]],$R$32:$S$35,2,FALSE)-表1_86121822242658[[#This Row],[开服天数]])*配置!$B$1</f>
        <v>1500</v>
      </c>
      <c r="F7" s="380">
        <f>表1_86121822242658[[#This Row],[补偿Coin]]*(表1_86121822242658[[#This Row],[活跃高战玩家数]]+表1_86121822242658[[#This Row],[活跃中坚玩家数]])</f>
        <v>13500</v>
      </c>
      <c r="G7" s="380">
        <f>(VLOOKUP(表1_86121822242658[[#This Row],[目标区服]],$R$32:$S$35,2,FALSE)-表1_86121822242658[[#This Row],[开服天数]])*配置!$B$2</f>
        <v>15</v>
      </c>
      <c r="H7" s="376" t="s">
        <v>27</v>
      </c>
      <c r="I7" s="376">
        <f>IF(表1_86121822242658[[#This Row],[原国家]]="魏",0,IF(表1_86121822242658[[#This Row],[原国家]]="蜀",1,2))</f>
        <v>2</v>
      </c>
      <c r="J7" s="380">
        <v>1</v>
      </c>
      <c r="K7" s="380">
        <v>66</v>
      </c>
      <c r="L7" s="380">
        <v>1</v>
      </c>
      <c r="M7" s="380">
        <v>8</v>
      </c>
      <c r="N7" s="380">
        <v>38313</v>
      </c>
      <c r="O7" s="380">
        <v>1066126</v>
      </c>
      <c r="P7" s="381">
        <v>4624149</v>
      </c>
      <c r="Q7" s="31" t="s">
        <v>27</v>
      </c>
      <c r="R7" s="376">
        <f>IF(表1_86121822242658[[#This Row],[目标国家]]="魏",0,IF(表1_86121822242658[[#This Row],[目标国家]]="蜀",1,2))</f>
        <v>2</v>
      </c>
      <c r="S7" s="380">
        <v>1058</v>
      </c>
      <c r="T7" s="380">
        <v>0</v>
      </c>
      <c r="U7" s="380">
        <v>35462</v>
      </c>
      <c r="V7" s="380">
        <v>2529</v>
      </c>
      <c r="W7" s="374">
        <v>373011</v>
      </c>
      <c r="X7" s="387" t="str">
        <f>"{"&amp;"'coin':"&amp;表1_86121822242658[[#This Row],[补偿Coin]]&amp;",'"&amp;配置!$A$2&amp;"':"&amp;表1_86121822242658[[#This Row],[补偿辎重]]&amp;"},"</f>
        <v>{'coin':1500,'item036':15},</v>
      </c>
      <c r="Y7" s="388" t="str">
        <f t="shared" ref="Y7" si="0">"      },"</f>
        <v>      },</v>
      </c>
    </row>
    <row r="8" s="354" customFormat="1" ht="14.25" customHeight="1" spans="1:25">
      <c r="A8" s="371">
        <v>5033</v>
      </c>
      <c r="B8" s="371">
        <f>VLOOKUP(表1_86121822242658[[#This Row],[区服]],$P$32:$Q$40,2,FALSE)</f>
        <v>47</v>
      </c>
      <c r="C8" s="372" t="s">
        <v>107</v>
      </c>
      <c r="D8" s="376" t="str">
        <f>表1_86121822242658[[#This Row],[目标国家]]</f>
        <v>魏</v>
      </c>
      <c r="E8" s="380">
        <f>(VLOOKUP(表1_86121822242658[[#This Row],[目标区服]],$R$32:$S$35,2,FALSE)-表1_86121822242658[[#This Row],[开服天数]])*配置!$B$1</f>
        <v>2000</v>
      </c>
      <c r="F8" s="380">
        <f>表1_86121822242658[[#This Row],[补偿Coin]]*(表1_86121822242658[[#This Row],[活跃高战玩家数]]+表1_86121822242658[[#This Row],[活跃中坚玩家数]])</f>
        <v>38000</v>
      </c>
      <c r="G8" s="380">
        <f>(VLOOKUP(表1_86121822242658[[#This Row],[目标区服]],$R$32:$S$35,2,FALSE)-表1_86121822242658[[#This Row],[开服天数]])*配置!$B$2</f>
        <v>20</v>
      </c>
      <c r="H8" s="376" t="s">
        <v>25</v>
      </c>
      <c r="I8" s="376">
        <f>IF(表1_86121822242658[[#This Row],[原国家]]="魏",0,IF(表1_86121822242658[[#This Row],[原国家]]="蜀",1,2))</f>
        <v>0</v>
      </c>
      <c r="J8" s="380">
        <v>1</v>
      </c>
      <c r="K8" s="380">
        <v>72</v>
      </c>
      <c r="L8" s="380">
        <v>2</v>
      </c>
      <c r="M8" s="380">
        <v>17</v>
      </c>
      <c r="N8" s="380">
        <v>60500</v>
      </c>
      <c r="O8" s="380">
        <v>1410711</v>
      </c>
      <c r="P8" s="381">
        <v>11965929</v>
      </c>
      <c r="Q8" s="31" t="s">
        <v>25</v>
      </c>
      <c r="R8" s="376">
        <f>IF(表1_86121822242658[[#This Row],[目标国家]]="魏",0,IF(表1_86121822242658[[#This Row],[目标国家]]="蜀",1,2))</f>
        <v>0</v>
      </c>
      <c r="S8" s="380">
        <v>8964</v>
      </c>
      <c r="T8" s="380">
        <v>0</v>
      </c>
      <c r="U8" s="380">
        <v>128261</v>
      </c>
      <c r="V8" s="380">
        <v>4062</v>
      </c>
      <c r="W8" s="374">
        <v>424358</v>
      </c>
      <c r="X8" s="387" t="str">
        <f>"{"&amp;"'coin':"&amp;表1_86121822242658[[#This Row],[补偿Coin]]&amp;",'"&amp;配置!$A$2&amp;"':"&amp;表1_86121822242658[[#This Row],[补偿辎重]]&amp;"},"</f>
        <v>{'coin':2000,'item036':20},</v>
      </c>
      <c r="Y8" s="388" t="str">
        <f>"      '"&amp;表1_86121822242658[[#This Row],[区服]]&amp;"':{"</f>
        <v>      '5033':{</v>
      </c>
    </row>
    <row r="9" s="354" customFormat="1" ht="14.25" customHeight="1" spans="1:25">
      <c r="A9" s="371">
        <v>5033</v>
      </c>
      <c r="B9" s="371">
        <f>VLOOKUP(表1_86121822242658[[#This Row],[区服]],$P$32:$Q$40,2,FALSE)</f>
        <v>47</v>
      </c>
      <c r="C9" s="372" t="s">
        <v>107</v>
      </c>
      <c r="D9" s="376" t="str">
        <f>表1_86121822242658[[#This Row],[目标国家]]</f>
        <v>蜀</v>
      </c>
      <c r="E9" s="380">
        <f>(VLOOKUP(表1_86121822242658[[#This Row],[目标区服]],$R$32:$S$35,2,FALSE)-表1_86121822242658[[#This Row],[开服天数]])*配置!$B$1</f>
        <v>2000</v>
      </c>
      <c r="F9" s="380">
        <f>表1_86121822242658[[#This Row],[补偿Coin]]*(表1_86121822242658[[#This Row],[活跃高战玩家数]]+表1_86121822242658[[#This Row],[活跃中坚玩家数]])</f>
        <v>44000</v>
      </c>
      <c r="G9" s="380">
        <f>(VLOOKUP(表1_86121822242658[[#This Row],[目标区服]],$R$32:$S$35,2,FALSE)-表1_86121822242658[[#This Row],[开服天数]])*配置!$B$2</f>
        <v>20</v>
      </c>
      <c r="H9" s="376" t="s">
        <v>26</v>
      </c>
      <c r="I9" s="376">
        <f>IF(表1_86121822242658[[#This Row],[原国家]]="魏",0,IF(表1_86121822242658[[#This Row],[原国家]]="蜀",1,2))</f>
        <v>1</v>
      </c>
      <c r="J9" s="380">
        <v>2</v>
      </c>
      <c r="K9" s="380">
        <v>108</v>
      </c>
      <c r="L9" s="380">
        <v>1</v>
      </c>
      <c r="M9" s="380">
        <v>21</v>
      </c>
      <c r="N9" s="380">
        <v>89531</v>
      </c>
      <c r="O9" s="380">
        <v>1675118</v>
      </c>
      <c r="P9" s="381">
        <v>16302618</v>
      </c>
      <c r="Q9" s="31" t="s">
        <v>26</v>
      </c>
      <c r="R9" s="376">
        <f>IF(表1_86121822242658[[#This Row],[目标国家]]="魏",0,IF(表1_86121822242658[[#This Row],[目标国家]]="蜀",1,2))</f>
        <v>1</v>
      </c>
      <c r="S9" s="380">
        <v>26358</v>
      </c>
      <c r="T9" s="380">
        <v>0</v>
      </c>
      <c r="U9" s="380">
        <v>326258</v>
      </c>
      <c r="V9" s="380">
        <v>5986</v>
      </c>
      <c r="W9" s="374">
        <v>662397</v>
      </c>
      <c r="X9" s="387" t="str">
        <f>"{"&amp;"'coin':"&amp;表1_86121822242658[[#This Row],[补偿Coin]]&amp;",'"&amp;配置!$A$2&amp;"':"&amp;表1_86121822242658[[#This Row],[补偿辎重]]&amp;"},"</f>
        <v>{'coin':2000,'item036':20},</v>
      </c>
      <c r="Y9" s="388" t="str">
        <f>"            'to_zone':'"&amp;表1_86121822242658[[#This Row],[目标区服]]&amp;"',
            'reward':"&amp;表1_86121822242658[[#This Row],[辅助导出]]&amp;"
            'country':["&amp;R8&amp;","&amp;R9&amp;","&amp;R10&amp;"],"</f>
        <v>            'to_zone':'h1_514',
            'reward':{'coin':2000,'item036':20},
            'country':[0,1,2],</v>
      </c>
    </row>
    <row r="10" s="354" customFormat="1" ht="14.25" customHeight="1" spans="1:25">
      <c r="A10" s="371">
        <v>5033</v>
      </c>
      <c r="B10" s="371">
        <f>VLOOKUP(表1_86121822242658[[#This Row],[区服]],$P$32:$Q$40,2,FALSE)</f>
        <v>47</v>
      </c>
      <c r="C10" s="372" t="s">
        <v>107</v>
      </c>
      <c r="D10" s="376" t="str">
        <f>表1_86121822242658[[#This Row],[目标国家]]</f>
        <v>吴</v>
      </c>
      <c r="E10" s="380">
        <f>(VLOOKUP(表1_86121822242658[[#This Row],[目标区服]],$R$32:$S$35,2,FALSE)-表1_86121822242658[[#This Row],[开服天数]])*配置!$B$1</f>
        <v>2000</v>
      </c>
      <c r="F10" s="380">
        <f>表1_86121822242658[[#This Row],[补偿Coin]]*(表1_86121822242658[[#This Row],[活跃高战玩家数]]+表1_86121822242658[[#This Row],[活跃中坚玩家数]])</f>
        <v>40000</v>
      </c>
      <c r="G10" s="380">
        <f>(VLOOKUP(表1_86121822242658[[#This Row],[目标区服]],$R$32:$S$35,2,FALSE)-表1_86121822242658[[#This Row],[开服天数]])*配置!$B$2</f>
        <v>20</v>
      </c>
      <c r="H10" s="376" t="s">
        <v>27</v>
      </c>
      <c r="I10" s="376">
        <f>IF(表1_86121822242658[[#This Row],[原国家]]="魏",0,IF(表1_86121822242658[[#This Row],[原国家]]="蜀",1,2))</f>
        <v>2</v>
      </c>
      <c r="J10" s="380">
        <v>6</v>
      </c>
      <c r="K10" s="380">
        <v>215</v>
      </c>
      <c r="L10" s="380">
        <v>5</v>
      </c>
      <c r="M10" s="380">
        <v>15</v>
      </c>
      <c r="N10" s="380">
        <v>117350</v>
      </c>
      <c r="O10" s="380">
        <v>2869640</v>
      </c>
      <c r="P10" s="381">
        <v>21154297</v>
      </c>
      <c r="Q10" s="31" t="s">
        <v>27</v>
      </c>
      <c r="R10" s="376">
        <f>IF(表1_86121822242658[[#This Row],[目标国家]]="魏",0,IF(表1_86121822242658[[#This Row],[目标国家]]="蜀",1,2))</f>
        <v>2</v>
      </c>
      <c r="S10" s="380">
        <v>120852</v>
      </c>
      <c r="T10" s="380">
        <v>0</v>
      </c>
      <c r="U10" s="380">
        <v>760975</v>
      </c>
      <c r="V10" s="380">
        <v>12327</v>
      </c>
      <c r="W10" s="374">
        <v>814091</v>
      </c>
      <c r="X10" s="387" t="str">
        <f>"{"&amp;"'coin':"&amp;表1_86121822242658[[#This Row],[补偿Coin]]&amp;",'"&amp;配置!$A$2&amp;"':"&amp;表1_86121822242658[[#This Row],[补偿辎重]]&amp;"},"</f>
        <v>{'coin':2000,'item036':20},</v>
      </c>
      <c r="Y10" s="388" t="str">
        <f t="shared" ref="Y10" si="1">"      },"</f>
        <v>      },</v>
      </c>
    </row>
    <row r="11" s="354" customFormat="1" ht="14.25" customHeight="1" spans="1:25">
      <c r="A11" s="259">
        <v>5034</v>
      </c>
      <c r="B11" s="210">
        <f>VLOOKUP(表1_86121822242658[[#This Row],[区服]],$P$32:$Q$40,2,FALSE)</f>
        <v>46</v>
      </c>
      <c r="C11" s="296" t="s">
        <v>108</v>
      </c>
      <c r="D11" s="212" t="str">
        <f>表1_86121822242658[[#This Row],[目标国家]]</f>
        <v>魏</v>
      </c>
      <c r="E11" s="213">
        <f>(VLOOKUP(表1_86121822242658[[#This Row],[目标区服]],$R$32:$S$35,2,FALSE)-表1_86121822242658[[#This Row],[开服天数]])*配置!$B$1</f>
        <v>1000</v>
      </c>
      <c r="F11" s="213">
        <f>表1_86121822242658[[#This Row],[补偿Coin]]*(表1_86121822242658[[#This Row],[活跃高战玩家数]]+表1_86121822242658[[#This Row],[活跃中坚玩家数]])</f>
        <v>24000</v>
      </c>
      <c r="G11" s="260">
        <f>(VLOOKUP(表1_86121822242658[[#This Row],[目标区服]],$R$32:$S$35,2,FALSE)-表1_86121822242658[[#This Row],[开服天数]])*配置!$B$2</f>
        <v>10</v>
      </c>
      <c r="H11" s="212" t="s">
        <v>25</v>
      </c>
      <c r="I11" s="268">
        <f>IF(表1_86121822242658[[#This Row],[原国家]]="魏",0,IF(表1_86121822242658[[#This Row],[原国家]]="蜀",1,2))</f>
        <v>0</v>
      </c>
      <c r="J11" s="213">
        <v>4</v>
      </c>
      <c r="K11" s="213">
        <v>134</v>
      </c>
      <c r="L11" s="213">
        <v>3</v>
      </c>
      <c r="M11" s="213">
        <v>21</v>
      </c>
      <c r="N11" s="213">
        <v>99582</v>
      </c>
      <c r="O11" s="419">
        <v>3665189</v>
      </c>
      <c r="P11" s="420">
        <v>21320804</v>
      </c>
      <c r="Q11" s="31" t="s">
        <v>25</v>
      </c>
      <c r="R11" s="212">
        <f>IF(表1_86121822242658[[#This Row],[目标国家]]="魏",0,IF(表1_86121822242658[[#This Row],[目标国家]]="蜀",1,2))</f>
        <v>0</v>
      </c>
      <c r="S11" s="213">
        <v>129230</v>
      </c>
      <c r="T11" s="213">
        <v>0</v>
      </c>
      <c r="U11" s="213">
        <v>902156</v>
      </c>
      <c r="V11" s="213">
        <v>12363</v>
      </c>
      <c r="W11" s="213">
        <v>915027</v>
      </c>
      <c r="X11" s="278" t="str">
        <f>"{"&amp;"'coin':"&amp;表1_86121822242658[[#This Row],[补偿Coin]]&amp;",'"&amp;配置!$A$2&amp;"':"&amp;表1_86121822242658[[#This Row],[补偿辎重]]&amp;"},"</f>
        <v>{'coin':1000,'item036':10},</v>
      </c>
      <c r="Y11" s="278" t="str">
        <f>"      '"&amp;表1_86121822242658[[#This Row],[区服]]&amp;"':{"</f>
        <v>      '5034':{</v>
      </c>
    </row>
    <row r="12" s="354" customFormat="1" ht="14.25" customHeight="1" spans="1:25">
      <c r="A12" s="259">
        <v>5034</v>
      </c>
      <c r="B12" s="210">
        <f>VLOOKUP(表1_86121822242658[[#This Row],[区服]],$P$32:$Q$40,2,FALSE)</f>
        <v>46</v>
      </c>
      <c r="C12" s="296" t="s">
        <v>108</v>
      </c>
      <c r="D12" s="212" t="str">
        <f>表1_86121822242658[[#This Row],[目标国家]]</f>
        <v>蜀</v>
      </c>
      <c r="E12" s="213">
        <f>(VLOOKUP(表1_86121822242658[[#This Row],[目标区服]],$R$32:$S$35,2,FALSE)-表1_86121822242658[[#This Row],[开服天数]])*配置!$B$1</f>
        <v>1000</v>
      </c>
      <c r="F12" s="213">
        <f>表1_86121822242658[[#This Row],[补偿Coin]]*(表1_86121822242658[[#This Row],[活跃高战玩家数]]+表1_86121822242658[[#This Row],[活跃中坚玩家数]])</f>
        <v>29000</v>
      </c>
      <c r="G12" s="260">
        <f>(VLOOKUP(表1_86121822242658[[#This Row],[目标区服]],$R$32:$S$35,2,FALSE)-表1_86121822242658[[#This Row],[开服天数]])*配置!$B$2</f>
        <v>10</v>
      </c>
      <c r="H12" s="212" t="s">
        <v>26</v>
      </c>
      <c r="I12" s="268">
        <f>IF(表1_86121822242658[[#This Row],[原国家]]="魏",0,IF(表1_86121822242658[[#This Row],[原国家]]="蜀",1,2))</f>
        <v>1</v>
      </c>
      <c r="J12" s="213">
        <v>5</v>
      </c>
      <c r="K12" s="213">
        <v>228</v>
      </c>
      <c r="L12" s="213">
        <v>6</v>
      </c>
      <c r="M12" s="213">
        <v>23</v>
      </c>
      <c r="N12" s="213">
        <v>163315</v>
      </c>
      <c r="O12" s="419">
        <v>3620957</v>
      </c>
      <c r="P12" s="420">
        <v>30588616</v>
      </c>
      <c r="Q12" s="31" t="s">
        <v>26</v>
      </c>
      <c r="R12" s="212">
        <f>IF(表1_86121822242658[[#This Row],[目标国家]]="魏",0,IF(表1_86121822242658[[#This Row],[目标国家]]="蜀",1,2))</f>
        <v>1</v>
      </c>
      <c r="S12" s="213">
        <v>262588</v>
      </c>
      <c r="T12" s="213">
        <v>0</v>
      </c>
      <c r="U12" s="213">
        <v>724044</v>
      </c>
      <c r="V12" s="213">
        <v>18516</v>
      </c>
      <c r="W12" s="213">
        <v>1249689</v>
      </c>
      <c r="X12" s="278" t="str">
        <f>"{"&amp;"'coin':"&amp;表1_86121822242658[[#This Row],[补偿Coin]]&amp;",'"&amp;配置!$A$2&amp;"':"&amp;表1_86121822242658[[#This Row],[补偿辎重]]&amp;"},"</f>
        <v>{'coin':1000,'item036':10},</v>
      </c>
      <c r="Y12" s="278" t="str">
        <f>"            'to_zone':'"&amp;表1_86121822242658[[#This Row],[目标区服]]&amp;"',
            'reward':"&amp;表1_86121822242658[[#This Row],[辅助导出]]&amp;"
            'country':["&amp;R11&amp;","&amp;R12&amp;","&amp;R13&amp;"],"</f>
        <v>            'to_zone':'h1_515',
            'reward':{'coin':1000,'item036':10},
            'country':[0,1,1],</v>
      </c>
    </row>
    <row r="13" s="354" customFormat="1" ht="14.25" customHeight="1" spans="1:25">
      <c r="A13" s="259">
        <v>5034</v>
      </c>
      <c r="B13" s="210">
        <f>VLOOKUP(表1_86121822242658[[#This Row],[区服]],$P$32:$Q$40,2,FALSE)</f>
        <v>46</v>
      </c>
      <c r="C13" s="296" t="s">
        <v>108</v>
      </c>
      <c r="D13" s="212" t="str">
        <f>表1_86121822242658[[#This Row],[目标国家]]</f>
        <v>蜀</v>
      </c>
      <c r="E13" s="213">
        <f>(VLOOKUP(表1_86121822242658[[#This Row],[目标区服]],$R$32:$S$35,2,FALSE)-表1_86121822242658[[#This Row],[开服天数]])*配置!$B$1</f>
        <v>1000</v>
      </c>
      <c r="F13" s="213">
        <f>表1_86121822242658[[#This Row],[补偿Coin]]*(表1_86121822242658[[#This Row],[活跃高战玩家数]]+表1_86121822242658[[#This Row],[活跃中坚玩家数]])</f>
        <v>7000</v>
      </c>
      <c r="G13" s="260">
        <f>(VLOOKUP(表1_86121822242658[[#This Row],[目标区服]],$R$32:$S$35,2,FALSE)-表1_86121822242658[[#This Row],[开服天数]])*配置!$B$2</f>
        <v>10</v>
      </c>
      <c r="H13" s="212" t="s">
        <v>27</v>
      </c>
      <c r="I13" s="268">
        <f>IF(表1_86121822242658[[#This Row],[原国家]]="魏",0,IF(表1_86121822242658[[#This Row],[原国家]]="蜀",1,2))</f>
        <v>2</v>
      </c>
      <c r="J13" s="213">
        <v>0</v>
      </c>
      <c r="K13" s="213">
        <v>33</v>
      </c>
      <c r="L13" s="213">
        <v>1</v>
      </c>
      <c r="M13" s="213">
        <v>6</v>
      </c>
      <c r="N13" s="213">
        <v>28234</v>
      </c>
      <c r="O13" s="419">
        <v>1439159</v>
      </c>
      <c r="P13" s="420">
        <v>4708576</v>
      </c>
      <c r="Q13" s="31" t="s">
        <v>26</v>
      </c>
      <c r="R13" s="212">
        <f>IF(表1_86121822242658[[#This Row],[目标国家]]="魏",0,IF(表1_86121822242658[[#This Row],[目标国家]]="蜀",1,2))</f>
        <v>1</v>
      </c>
      <c r="S13" s="213">
        <v>8168</v>
      </c>
      <c r="T13" s="213">
        <v>0</v>
      </c>
      <c r="U13" s="213">
        <v>34996</v>
      </c>
      <c r="V13" s="213">
        <v>2643</v>
      </c>
      <c r="W13" s="213">
        <v>495956</v>
      </c>
      <c r="X13" s="278" t="str">
        <f>"{"&amp;"'coin':"&amp;表1_86121822242658[[#This Row],[补偿Coin]]&amp;",'"&amp;配置!$A$2&amp;"':"&amp;表1_86121822242658[[#This Row],[补偿辎重]]&amp;"},"</f>
        <v>{'coin':1000,'item036':10},</v>
      </c>
      <c r="Y13" s="278" t="str">
        <f>"      },"</f>
        <v>      },</v>
      </c>
    </row>
    <row r="14" s="354" customFormat="1" ht="14.25" customHeight="1" spans="1:25">
      <c r="A14" s="259">
        <v>5035</v>
      </c>
      <c r="B14" s="210">
        <f>VLOOKUP(表1_86121822242658[[#This Row],[区服]],$P$32:$Q$40,2,FALSE)</f>
        <v>46</v>
      </c>
      <c r="C14" s="296" t="s">
        <v>108</v>
      </c>
      <c r="D14" s="212" t="str">
        <f>表1_86121822242658[[#This Row],[目标国家]]</f>
        <v>魏</v>
      </c>
      <c r="E14" s="213">
        <f>(VLOOKUP(表1_86121822242658[[#This Row],[目标区服]],$R$32:$S$35,2,FALSE)-表1_86121822242658[[#This Row],[开服天数]])*配置!$B$1</f>
        <v>1000</v>
      </c>
      <c r="F14" s="213">
        <f>表1_86121822242658[[#This Row],[补偿Coin]]*(表1_86121822242658[[#This Row],[活跃高战玩家数]]+表1_86121822242658[[#This Row],[活跃中坚玩家数]])</f>
        <v>13000</v>
      </c>
      <c r="G14" s="260">
        <f>(VLOOKUP(表1_86121822242658[[#This Row],[目标区服]],$R$32:$S$35,2,FALSE)-表1_86121822242658[[#This Row],[开服天数]])*配置!$B$2</f>
        <v>10</v>
      </c>
      <c r="H14" s="212" t="s">
        <v>25</v>
      </c>
      <c r="I14" s="268">
        <f>IF(表1_86121822242658[[#This Row],[原国家]]="魏",0,IF(表1_86121822242658[[#This Row],[原国家]]="蜀",1,2))</f>
        <v>0</v>
      </c>
      <c r="J14" s="213">
        <v>0</v>
      </c>
      <c r="K14" s="213">
        <v>31</v>
      </c>
      <c r="L14" s="213">
        <v>1</v>
      </c>
      <c r="M14" s="213">
        <v>12</v>
      </c>
      <c r="N14" s="213">
        <v>44412</v>
      </c>
      <c r="O14" s="419">
        <v>1429555</v>
      </c>
      <c r="P14" s="420">
        <v>8683588</v>
      </c>
      <c r="Q14" s="31" t="s">
        <v>25</v>
      </c>
      <c r="R14" s="212">
        <f>IF(表1_86121822242658[[#This Row],[目标国家]]="魏",0,IF(表1_86121822242658[[#This Row],[目标国家]]="蜀",1,2))</f>
        <v>0</v>
      </c>
      <c r="S14" s="213">
        <v>41466</v>
      </c>
      <c r="T14" s="213">
        <v>0</v>
      </c>
      <c r="U14" s="213">
        <v>114689</v>
      </c>
      <c r="V14" s="213">
        <v>4131</v>
      </c>
      <c r="W14" s="213">
        <v>497923</v>
      </c>
      <c r="X14" s="278" t="str">
        <f>"{"&amp;"'coin':"&amp;表1_86121822242658[[#This Row],[补偿Coin]]&amp;",'"&amp;配置!$A$2&amp;"':"&amp;表1_86121822242658[[#This Row],[补偿辎重]]&amp;"},"</f>
        <v>{'coin':1000,'item036':10},</v>
      </c>
      <c r="Y14" s="278" t="str">
        <f>"      '"&amp;表1_86121822242658[[#This Row],[区服]]&amp;"':{"</f>
        <v>      '5035':{</v>
      </c>
    </row>
    <row r="15" s="354" customFormat="1" ht="14.25" customHeight="1" spans="1:25">
      <c r="A15" s="259">
        <v>5035</v>
      </c>
      <c r="B15" s="210">
        <f>VLOOKUP(表1_86121822242658[[#This Row],[区服]],$P$32:$Q$40,2,FALSE)</f>
        <v>46</v>
      </c>
      <c r="C15" s="296" t="s">
        <v>108</v>
      </c>
      <c r="D15" s="212" t="str">
        <f>表1_86121822242658[[#This Row],[目标国家]]</f>
        <v>吴</v>
      </c>
      <c r="E15" s="213">
        <f>(VLOOKUP(表1_86121822242658[[#This Row],[目标区服]],$R$32:$S$35,2,FALSE)-表1_86121822242658[[#This Row],[开服天数]])*配置!$B$1</f>
        <v>1000</v>
      </c>
      <c r="F15" s="213">
        <f>表1_86121822242658[[#This Row],[补偿Coin]]*(表1_86121822242658[[#This Row],[活跃高战玩家数]]+表1_86121822242658[[#This Row],[活跃中坚玩家数]])</f>
        <v>26000</v>
      </c>
      <c r="G15" s="260">
        <f>(VLOOKUP(表1_86121822242658[[#This Row],[目标区服]],$R$32:$S$35,2,FALSE)-表1_86121822242658[[#This Row],[开服天数]])*配置!$B$2</f>
        <v>10</v>
      </c>
      <c r="H15" s="212" t="s">
        <v>26</v>
      </c>
      <c r="I15" s="268">
        <f>IF(表1_86121822242658[[#This Row],[原国家]]="魏",0,IF(表1_86121822242658[[#This Row],[原国家]]="蜀",1,2))</f>
        <v>1</v>
      </c>
      <c r="J15" s="213">
        <v>3</v>
      </c>
      <c r="K15" s="213">
        <v>152</v>
      </c>
      <c r="L15" s="213">
        <v>4</v>
      </c>
      <c r="M15" s="213">
        <v>22</v>
      </c>
      <c r="N15" s="213">
        <v>108522</v>
      </c>
      <c r="O15" s="419">
        <v>3101242</v>
      </c>
      <c r="P15" s="420">
        <v>22438391</v>
      </c>
      <c r="Q15" s="31" t="s">
        <v>27</v>
      </c>
      <c r="R15" s="212">
        <f>IF(表1_86121822242658[[#This Row],[目标国家]]="魏",0,IF(表1_86121822242658[[#This Row],[目标国家]]="蜀",1,2))</f>
        <v>2</v>
      </c>
      <c r="S15" s="213">
        <v>82894</v>
      </c>
      <c r="T15" s="213">
        <v>0</v>
      </c>
      <c r="U15" s="213">
        <v>451171</v>
      </c>
      <c r="V15" s="213">
        <v>10420</v>
      </c>
      <c r="W15" s="213">
        <v>894282</v>
      </c>
      <c r="X15" s="278" t="str">
        <f>"{"&amp;"'coin':"&amp;表1_86121822242658[[#This Row],[补偿Coin]]&amp;",'"&amp;配置!$A$2&amp;"':"&amp;表1_86121822242658[[#This Row],[补偿辎重]]&amp;"},"</f>
        <v>{'coin':1000,'item036':10},</v>
      </c>
      <c r="Y15" s="278" t="str">
        <f>"            'to_zone':'"&amp;表1_86121822242658[[#This Row],[目标区服]]&amp;"',
            'reward':"&amp;表1_86121822242658[[#This Row],[辅助导出]]&amp;"
            'country':["&amp;R14&amp;","&amp;R15&amp;","&amp;R16&amp;"],"</f>
        <v>            'to_zone':'h1_515',
            'reward':{'coin':1000,'item036':10},
            'country':[0,2,2],</v>
      </c>
    </row>
    <row r="16" s="354" customFormat="1" ht="14.25" customHeight="1" spans="1:25">
      <c r="A16" s="259">
        <v>5035</v>
      </c>
      <c r="B16" s="210">
        <f>VLOOKUP(表1_86121822242658[[#This Row],[区服]],$P$32:$Q$40,2,FALSE)</f>
        <v>46</v>
      </c>
      <c r="C16" s="296" t="s">
        <v>108</v>
      </c>
      <c r="D16" s="212" t="str">
        <f>表1_86121822242658[[#This Row],[目标国家]]</f>
        <v>吴</v>
      </c>
      <c r="E16" s="213">
        <f>(VLOOKUP(表1_86121822242658[[#This Row],[目标区服]],$R$32:$S$35,2,FALSE)-表1_86121822242658[[#This Row],[开服天数]])*配置!$B$1</f>
        <v>1000</v>
      </c>
      <c r="F16" s="213">
        <f>表1_86121822242658[[#This Row],[补偿Coin]]*(表1_86121822242658[[#This Row],[活跃高战玩家数]]+表1_86121822242658[[#This Row],[活跃中坚玩家数]])</f>
        <v>27000</v>
      </c>
      <c r="G16" s="260">
        <f>(VLOOKUP(表1_86121822242658[[#This Row],[目标区服]],$R$32:$S$35,2,FALSE)-表1_86121822242658[[#This Row],[开服天数]])*配置!$B$2</f>
        <v>10</v>
      </c>
      <c r="H16" s="212" t="s">
        <v>27</v>
      </c>
      <c r="I16" s="268">
        <f>IF(表1_86121822242658[[#This Row],[原国家]]="魏",0,IF(表1_86121822242658[[#This Row],[原国家]]="蜀",1,2))</f>
        <v>2</v>
      </c>
      <c r="J16" s="213">
        <v>6</v>
      </c>
      <c r="K16" s="213">
        <v>212</v>
      </c>
      <c r="L16" s="213">
        <v>5</v>
      </c>
      <c r="M16" s="213">
        <v>22</v>
      </c>
      <c r="N16" s="213">
        <v>147001</v>
      </c>
      <c r="O16" s="419">
        <v>3362613</v>
      </c>
      <c r="P16" s="420">
        <v>28723369</v>
      </c>
      <c r="Q16" s="31" t="s">
        <v>27</v>
      </c>
      <c r="R16" s="212">
        <f>IF(表1_86121822242658[[#This Row],[目标国家]]="魏",0,IF(表1_86121822242658[[#This Row],[目标国家]]="蜀",1,2))</f>
        <v>2</v>
      </c>
      <c r="S16" s="213">
        <v>136568</v>
      </c>
      <c r="T16" s="213">
        <v>0</v>
      </c>
      <c r="U16" s="213">
        <v>396658</v>
      </c>
      <c r="V16" s="213">
        <v>13985</v>
      </c>
      <c r="W16" s="213">
        <v>877793</v>
      </c>
      <c r="X16" s="278" t="str">
        <f>"{"&amp;"'coin':"&amp;表1_86121822242658[[#This Row],[补偿Coin]]&amp;",'"&amp;配置!$A$2&amp;"':"&amp;表1_86121822242658[[#This Row],[补偿辎重]]&amp;"},"</f>
        <v>{'coin':1000,'item036':10},</v>
      </c>
      <c r="Y16" s="278" t="str">
        <f t="shared" ref="Y16" si="2">"      },"</f>
        <v>      },</v>
      </c>
    </row>
    <row r="17" ht="14.25" customHeight="1" spans="1:25">
      <c r="A17" s="17">
        <v>5036</v>
      </c>
      <c r="B17" s="17">
        <f>VLOOKUP(表1_86121822242658[[#This Row],[区服]],$P$32:$Q$40,2,FALSE)</f>
        <v>45</v>
      </c>
      <c r="C17" s="18" t="s">
        <v>109</v>
      </c>
      <c r="D17" s="19" t="str">
        <f>表1_86121822242658[[#This Row],[目标国家]]</f>
        <v>魏</v>
      </c>
      <c r="E17" s="20">
        <f>(VLOOKUP(表1_86121822242658[[#This Row],[目标区服]],$R$32:$S$35,2,FALSE)-表1_86121822242658[[#This Row],[开服天数]])*配置!$B$1</f>
        <v>1000</v>
      </c>
      <c r="F17" s="20">
        <f>表1_86121822242658[[#This Row],[补偿Coin]]*(表1_86121822242658[[#This Row],[活跃高战玩家数]]+表1_86121822242658[[#This Row],[活跃中坚玩家数]])</f>
        <v>13000</v>
      </c>
      <c r="G17" s="20">
        <f>(VLOOKUP(表1_86121822242658[[#This Row],[目标区服]],$R$32:$S$35,2,FALSE)-表1_86121822242658[[#This Row],[开服天数]])*配置!$B$2</f>
        <v>10</v>
      </c>
      <c r="H17" s="19" t="s">
        <v>25</v>
      </c>
      <c r="I17" s="19">
        <f>IF(表1_86121822242658[[#This Row],[原国家]]="魏",0,IF(表1_86121822242658[[#This Row],[原国家]]="蜀",1,2))</f>
        <v>0</v>
      </c>
      <c r="J17" s="20">
        <v>0</v>
      </c>
      <c r="K17" s="20">
        <v>39</v>
      </c>
      <c r="L17" s="20">
        <v>0</v>
      </c>
      <c r="M17" s="20">
        <v>13</v>
      </c>
      <c r="N17" s="20">
        <v>45702</v>
      </c>
      <c r="O17" s="20">
        <v>1204962</v>
      </c>
      <c r="P17" s="26">
        <v>7034785</v>
      </c>
      <c r="Q17" s="31" t="s">
        <v>25</v>
      </c>
      <c r="R17" s="19">
        <f>IF(表1_86121822242658[[#This Row],[目标国家]]="魏",0,IF(表1_86121822242658[[#This Row],[目标国家]]="蜀",1,2))</f>
        <v>0</v>
      </c>
      <c r="S17" s="20">
        <v>11356</v>
      </c>
      <c r="T17" s="20">
        <v>0</v>
      </c>
      <c r="U17" s="20">
        <v>127837</v>
      </c>
      <c r="V17" s="20">
        <v>2931</v>
      </c>
      <c r="W17" s="32">
        <v>417243</v>
      </c>
      <c r="X17" s="33" t="str">
        <f>"{"&amp;"'coin':"&amp;表1_86121822242658[[#This Row],[补偿Coin]]&amp;",'"&amp;配置!$A$2&amp;"':"&amp;表1_86121822242658[[#This Row],[补偿辎重]]&amp;"},"</f>
        <v>{'coin':1000,'item036':10},</v>
      </c>
      <c r="Y17" s="34" t="str">
        <f>"      '"&amp;表1_86121822242658[[#This Row],[区服]]&amp;"':{"</f>
        <v>      '5036':{</v>
      </c>
    </row>
    <row r="18" ht="14.25" customHeight="1" spans="1:25">
      <c r="A18" s="17">
        <v>5036</v>
      </c>
      <c r="B18" s="17">
        <f>VLOOKUP(表1_86121822242658[[#This Row],[区服]],$P$32:$Q$40,2,FALSE)</f>
        <v>45</v>
      </c>
      <c r="C18" s="18" t="s">
        <v>109</v>
      </c>
      <c r="D18" s="19" t="str">
        <f>表1_86121822242658[[#This Row],[目标国家]]</f>
        <v>蜀</v>
      </c>
      <c r="E18" s="20">
        <f>(VLOOKUP(表1_86121822242658[[#This Row],[目标区服]],$R$32:$S$35,2,FALSE)-表1_86121822242658[[#This Row],[开服天数]])*配置!$B$1</f>
        <v>1000</v>
      </c>
      <c r="F18" s="20">
        <f>表1_86121822242658[[#This Row],[补偿Coin]]*(表1_86121822242658[[#This Row],[活跃高战玩家数]]+表1_86121822242658[[#This Row],[活跃中坚玩家数]])</f>
        <v>17000</v>
      </c>
      <c r="G18" s="20">
        <f>(VLOOKUP(表1_86121822242658[[#This Row],[目标区服]],$R$32:$S$35,2,FALSE)-表1_86121822242658[[#This Row],[开服天数]])*配置!$B$2</f>
        <v>10</v>
      </c>
      <c r="H18" s="19" t="s">
        <v>26</v>
      </c>
      <c r="I18" s="19">
        <f>IF(表1_86121822242658[[#This Row],[原国家]]="魏",0,IF(表1_86121822242658[[#This Row],[原国家]]="蜀",1,2))</f>
        <v>1</v>
      </c>
      <c r="J18" s="20">
        <v>0</v>
      </c>
      <c r="K18" s="20">
        <v>24</v>
      </c>
      <c r="L18" s="20">
        <v>0</v>
      </c>
      <c r="M18" s="20">
        <v>17</v>
      </c>
      <c r="N18" s="20">
        <v>62205</v>
      </c>
      <c r="O18" s="20">
        <v>1138289</v>
      </c>
      <c r="P18" s="26">
        <v>9391219</v>
      </c>
      <c r="Q18" s="31" t="s">
        <v>26</v>
      </c>
      <c r="R18" s="19">
        <f>IF(表1_86121822242658[[#This Row],[目标国家]]="魏",0,IF(表1_86121822242658[[#This Row],[目标国家]]="蜀",1,2))</f>
        <v>1</v>
      </c>
      <c r="S18" s="20">
        <v>21626</v>
      </c>
      <c r="T18" s="20">
        <v>0</v>
      </c>
      <c r="U18" s="20">
        <v>196530</v>
      </c>
      <c r="V18" s="20">
        <v>3375</v>
      </c>
      <c r="W18" s="32">
        <v>295057</v>
      </c>
      <c r="X18" s="33" t="str">
        <f>"{"&amp;"'coin':"&amp;表1_86121822242658[[#This Row],[补偿Coin]]&amp;",'"&amp;配置!$A$2&amp;"':"&amp;表1_86121822242658[[#This Row],[补偿辎重]]&amp;"},"</f>
        <v>{'coin':1000,'item036':10},</v>
      </c>
      <c r="Y18" s="34" t="str">
        <f>"            'to_zone':'"&amp;表1_86121822242658[[#This Row],[目标区服]]&amp;"',
            'reward':"&amp;表1_86121822242658[[#This Row],[辅助导出]]&amp;"
            'country':["&amp;R17&amp;","&amp;R18&amp;","&amp;R19&amp;"],"</f>
        <v>            'to_zone':'h1_516',
            'reward':{'coin':1000,'item036':10},
            'country':[0,1,2],</v>
      </c>
    </row>
    <row r="19" ht="14.25" customHeight="1" spans="1:25">
      <c r="A19" s="17">
        <v>5036</v>
      </c>
      <c r="B19" s="17">
        <f>VLOOKUP(表1_86121822242658[[#This Row],[区服]],$P$32:$Q$40,2,FALSE)</f>
        <v>45</v>
      </c>
      <c r="C19" s="18" t="s">
        <v>109</v>
      </c>
      <c r="D19" s="19" t="str">
        <f>表1_86121822242658[[#This Row],[目标国家]]</f>
        <v>吴</v>
      </c>
      <c r="E19" s="20">
        <f>(VLOOKUP(表1_86121822242658[[#This Row],[目标区服]],$R$32:$S$35,2,FALSE)-表1_86121822242658[[#This Row],[开服天数]])*配置!$B$1</f>
        <v>1000</v>
      </c>
      <c r="F19" s="20">
        <f>表1_86121822242658[[#This Row],[补偿Coin]]*(表1_86121822242658[[#This Row],[活跃高战玩家数]]+表1_86121822242658[[#This Row],[活跃中坚玩家数]])</f>
        <v>31000</v>
      </c>
      <c r="G19" s="20">
        <f>(VLOOKUP(表1_86121822242658[[#This Row],[目标区服]],$R$32:$S$35,2,FALSE)-表1_86121822242658[[#This Row],[开服天数]])*配置!$B$2</f>
        <v>10</v>
      </c>
      <c r="H19" s="19" t="s">
        <v>27</v>
      </c>
      <c r="I19" s="19">
        <f>IF(表1_86121822242658[[#This Row],[原国家]]="魏",0,IF(表1_86121822242658[[#This Row],[原国家]]="蜀",1,2))</f>
        <v>2</v>
      </c>
      <c r="J19" s="20">
        <v>9</v>
      </c>
      <c r="K19" s="20">
        <v>332</v>
      </c>
      <c r="L19" s="20">
        <v>10</v>
      </c>
      <c r="M19" s="20">
        <v>21</v>
      </c>
      <c r="N19" s="20">
        <v>179239</v>
      </c>
      <c r="O19" s="20">
        <v>3519022</v>
      </c>
      <c r="P19" s="26">
        <v>30589281</v>
      </c>
      <c r="Q19" s="31" t="s">
        <v>27</v>
      </c>
      <c r="R19" s="19">
        <f>IF(表1_86121822242658[[#This Row],[目标国家]]="魏",0,IF(表1_86121822242658[[#This Row],[目标国家]]="蜀",1,2))</f>
        <v>2</v>
      </c>
      <c r="S19" s="20">
        <v>126114</v>
      </c>
      <c r="T19" s="20">
        <v>0</v>
      </c>
      <c r="U19" s="20">
        <v>746494</v>
      </c>
      <c r="V19" s="20">
        <v>15850</v>
      </c>
      <c r="W19" s="32">
        <v>893649</v>
      </c>
      <c r="X19" s="33" t="str">
        <f>"{"&amp;"'coin':"&amp;表1_86121822242658[[#This Row],[补偿Coin]]&amp;",'"&amp;配置!$A$2&amp;"':"&amp;表1_86121822242658[[#This Row],[补偿辎重]]&amp;"},"</f>
        <v>{'coin':1000,'item036':10},</v>
      </c>
      <c r="Y19" s="34" t="str">
        <f t="shared" ref="Y19" si="3">"      },"</f>
        <v>      },</v>
      </c>
    </row>
    <row r="20" ht="14.25" customHeight="1" spans="1:25">
      <c r="A20" s="17">
        <v>5037</v>
      </c>
      <c r="B20" s="17">
        <f>VLOOKUP(表1_86121822242658[[#This Row],[区服]],$P$32:$Q$40,2,FALSE)</f>
        <v>45</v>
      </c>
      <c r="C20" s="18" t="s">
        <v>109</v>
      </c>
      <c r="D20" s="19" t="str">
        <f>表1_86121822242658[[#This Row],[目标国家]]</f>
        <v>魏</v>
      </c>
      <c r="E20" s="20">
        <f>(VLOOKUP(表1_86121822242658[[#This Row],[目标区服]],$R$32:$S$35,2,FALSE)-表1_86121822242658[[#This Row],[开服天数]])*配置!$B$1</f>
        <v>1000</v>
      </c>
      <c r="F20" s="20">
        <f>表1_86121822242658[[#This Row],[补偿Coin]]*(表1_86121822242658[[#This Row],[活跃高战玩家数]]+表1_86121822242658[[#This Row],[活跃中坚玩家数]])</f>
        <v>14000</v>
      </c>
      <c r="G20" s="20">
        <f>(VLOOKUP(表1_86121822242658[[#This Row],[目标区服]],$R$32:$S$35,2,FALSE)-表1_86121822242658[[#This Row],[开服天数]])*配置!$B$2</f>
        <v>10</v>
      </c>
      <c r="H20" s="19" t="s">
        <v>25</v>
      </c>
      <c r="I20" s="19">
        <f>IF(表1_86121822242658[[#This Row],[原国家]]="魏",0,IF(表1_86121822242658[[#This Row],[原国家]]="蜀",1,2))</f>
        <v>0</v>
      </c>
      <c r="J20" s="20">
        <v>3</v>
      </c>
      <c r="K20" s="20">
        <v>105</v>
      </c>
      <c r="L20" s="20">
        <v>1</v>
      </c>
      <c r="M20" s="20">
        <v>13</v>
      </c>
      <c r="N20" s="20">
        <v>54673</v>
      </c>
      <c r="O20" s="20">
        <v>1712380</v>
      </c>
      <c r="P20" s="26">
        <v>8325069</v>
      </c>
      <c r="Q20" s="31" t="s">
        <v>25</v>
      </c>
      <c r="R20" s="19">
        <f>IF(表1_86121822242658[[#This Row],[目标国家]]="魏",0,IF(表1_86121822242658[[#This Row],[目标国家]]="蜀",1,2))</f>
        <v>0</v>
      </c>
      <c r="S20" s="20">
        <v>28882</v>
      </c>
      <c r="T20" s="20">
        <v>0</v>
      </c>
      <c r="U20" s="20">
        <v>271138</v>
      </c>
      <c r="V20" s="20">
        <v>5170</v>
      </c>
      <c r="W20" s="32">
        <v>586310</v>
      </c>
      <c r="X20" s="33" t="str">
        <f>"{"&amp;"'coin':"&amp;表1_86121822242658[[#This Row],[补偿Coin]]&amp;",'"&amp;配置!$A$2&amp;"':"&amp;表1_86121822242658[[#This Row],[补偿辎重]]&amp;"},"</f>
        <v>{'coin':1000,'item036':10},</v>
      </c>
      <c r="Y20" s="34" t="str">
        <f>"      '"&amp;表1_86121822242658[[#This Row],[区服]]&amp;"':{"</f>
        <v>      '5037':{</v>
      </c>
    </row>
    <row r="21" ht="14.25" customHeight="1" spans="1:25">
      <c r="A21" s="17">
        <v>5037</v>
      </c>
      <c r="B21" s="17">
        <f>VLOOKUP(表1_86121822242658[[#This Row],[区服]],$P$32:$Q$40,2,FALSE)</f>
        <v>45</v>
      </c>
      <c r="C21" s="18" t="s">
        <v>109</v>
      </c>
      <c r="D21" s="19" t="str">
        <f>表1_86121822242658[[#This Row],[目标国家]]</f>
        <v>魏</v>
      </c>
      <c r="E21" s="20">
        <f>(VLOOKUP(表1_86121822242658[[#This Row],[目标区服]],$R$32:$S$35,2,FALSE)-表1_86121822242658[[#This Row],[开服天数]])*配置!$B$1</f>
        <v>1000</v>
      </c>
      <c r="F21" s="20">
        <f>表1_86121822242658[[#This Row],[补偿Coin]]*(表1_86121822242658[[#This Row],[活跃高战玩家数]]+表1_86121822242658[[#This Row],[活跃中坚玩家数]])</f>
        <v>19000</v>
      </c>
      <c r="G21" s="20">
        <f>(VLOOKUP(表1_86121822242658[[#This Row],[目标区服]],$R$32:$S$35,2,FALSE)-表1_86121822242658[[#This Row],[开服天数]])*配置!$B$2</f>
        <v>10</v>
      </c>
      <c r="H21" s="19" t="s">
        <v>26</v>
      </c>
      <c r="I21" s="19">
        <f>IF(表1_86121822242658[[#This Row],[原国家]]="魏",0,IF(表1_86121822242658[[#This Row],[原国家]]="蜀",1,2))</f>
        <v>1</v>
      </c>
      <c r="J21" s="20">
        <v>1</v>
      </c>
      <c r="K21" s="20">
        <v>72</v>
      </c>
      <c r="L21" s="20">
        <v>2</v>
      </c>
      <c r="M21" s="20">
        <v>17</v>
      </c>
      <c r="N21" s="20">
        <v>84189</v>
      </c>
      <c r="O21" s="20">
        <v>1491031</v>
      </c>
      <c r="P21" s="26">
        <v>11570089</v>
      </c>
      <c r="Q21" s="31" t="s">
        <v>25</v>
      </c>
      <c r="R21" s="19">
        <f>IF(表1_86121822242658[[#This Row],[目标国家]]="魏",0,IF(表1_86121822242658[[#This Row],[目标国家]]="蜀",1,2))</f>
        <v>0</v>
      </c>
      <c r="S21" s="20">
        <v>14316</v>
      </c>
      <c r="T21" s="20">
        <v>0</v>
      </c>
      <c r="U21" s="20">
        <v>228773</v>
      </c>
      <c r="V21" s="20">
        <v>4432</v>
      </c>
      <c r="W21" s="32">
        <v>495011</v>
      </c>
      <c r="X21" s="33" t="str">
        <f>"{"&amp;"'coin':"&amp;表1_86121822242658[[#This Row],[补偿Coin]]&amp;",'"&amp;配置!$A$2&amp;"':"&amp;表1_86121822242658[[#This Row],[补偿辎重]]&amp;"},"</f>
        <v>{'coin':1000,'item036':10},</v>
      </c>
      <c r="Y21" s="34" t="str">
        <f>"            'to_zone':'"&amp;表1_86121822242658[[#This Row],[目标区服]]&amp;"',
            'reward':"&amp;表1_86121822242658[[#This Row],[辅助导出]]&amp;"
            'country':["&amp;R20&amp;","&amp;R21&amp;","&amp;R22&amp;"],"</f>
        <v>            'to_zone':'h1_516',
            'reward':{'coin':1000,'item036':10},
            'country':[0,0,1],</v>
      </c>
    </row>
    <row r="22" ht="14.25" customHeight="1" spans="1:25">
      <c r="A22" s="17">
        <v>5037</v>
      </c>
      <c r="B22" s="17">
        <f>VLOOKUP(表1_86121822242658[[#This Row],[区服]],$P$32:$Q$40,2,FALSE)</f>
        <v>45</v>
      </c>
      <c r="C22" s="18" t="s">
        <v>109</v>
      </c>
      <c r="D22" s="19" t="str">
        <f>表1_86121822242658[[#This Row],[目标国家]]</f>
        <v>蜀</v>
      </c>
      <c r="E22" s="20">
        <f>(VLOOKUP(表1_86121822242658[[#This Row],[目标区服]],$R$32:$S$35,2,FALSE)-表1_86121822242658[[#This Row],[开服天数]])*配置!$B$1</f>
        <v>1000</v>
      </c>
      <c r="F22" s="20">
        <f>表1_86121822242658[[#This Row],[补偿Coin]]*(表1_86121822242658[[#This Row],[活跃高战玩家数]]+表1_86121822242658[[#This Row],[活跃中坚玩家数]])</f>
        <v>26000</v>
      </c>
      <c r="G22" s="20">
        <f>(VLOOKUP(表1_86121822242658[[#This Row],[目标区服]],$R$32:$S$35,2,FALSE)-表1_86121822242658[[#This Row],[开服天数]])*配置!$B$2</f>
        <v>10</v>
      </c>
      <c r="H22" s="19" t="s">
        <v>27</v>
      </c>
      <c r="I22" s="19">
        <f>IF(表1_86121822242658[[#This Row],[原国家]]="魏",0,IF(表1_86121822242658[[#This Row],[原国家]]="蜀",1,2))</f>
        <v>2</v>
      </c>
      <c r="J22" s="20">
        <v>5</v>
      </c>
      <c r="K22" s="20">
        <v>218</v>
      </c>
      <c r="L22" s="20">
        <v>7</v>
      </c>
      <c r="M22" s="20">
        <v>19</v>
      </c>
      <c r="N22" s="20">
        <v>142950</v>
      </c>
      <c r="O22" s="20">
        <v>2925193</v>
      </c>
      <c r="P22" s="26">
        <v>22354524</v>
      </c>
      <c r="Q22" s="31" t="s">
        <v>26</v>
      </c>
      <c r="R22" s="19">
        <f>IF(表1_86121822242658[[#This Row],[目标国家]]="魏",0,IF(表1_86121822242658[[#This Row],[目标国家]]="蜀",1,2))</f>
        <v>1</v>
      </c>
      <c r="S22" s="20">
        <v>96622</v>
      </c>
      <c r="T22" s="20">
        <v>0</v>
      </c>
      <c r="U22" s="20">
        <v>603669</v>
      </c>
      <c r="V22" s="20">
        <v>11755</v>
      </c>
      <c r="W22" s="32">
        <v>798982</v>
      </c>
      <c r="X22" s="33" t="str">
        <f>"{"&amp;"'coin':"&amp;表1_86121822242658[[#This Row],[补偿Coin]]&amp;",'"&amp;配置!$A$2&amp;"':"&amp;表1_86121822242658[[#This Row],[补偿辎重]]&amp;"},"</f>
        <v>{'coin':1000,'item036':10},</v>
      </c>
      <c r="Y22" s="34" t="str">
        <f t="shared" ref="Y22" si="4">"      },"</f>
        <v>      },</v>
      </c>
    </row>
    <row r="23" ht="14.25" customHeight="1" spans="1:25">
      <c r="A23" s="625">
        <v>5038</v>
      </c>
      <c r="B23" s="625">
        <f>VLOOKUP(表1_86121822242658[[#This Row],[区服]],$P$32:$Q$40,2,FALSE)</f>
        <v>44</v>
      </c>
      <c r="C23" s="626" t="s">
        <v>110</v>
      </c>
      <c r="D23" s="627" t="str">
        <f>表1_86121822242658[[#This Row],[目标国家]]</f>
        <v>蜀</v>
      </c>
      <c r="E23" s="628">
        <f>(VLOOKUP(表1_86121822242658[[#This Row],[目标区服]],$R$32:$S$35,2,FALSE)-表1_86121822242658[[#This Row],[开服天数]])*配置!$B$1</f>
        <v>1000</v>
      </c>
      <c r="F23" s="628">
        <f>表1_86121822242658[[#This Row],[补偿Coin]]*(表1_86121822242658[[#This Row],[活跃高战玩家数]]+表1_86121822242658[[#This Row],[活跃中坚玩家数]])</f>
        <v>10000</v>
      </c>
      <c r="G23" s="628">
        <f>(VLOOKUP(表1_86121822242658[[#This Row],[目标区服]],$R$32:$S$35,2,FALSE)-表1_86121822242658[[#This Row],[开服天数]])*配置!$B$2</f>
        <v>10</v>
      </c>
      <c r="H23" s="627" t="s">
        <v>25</v>
      </c>
      <c r="I23" s="627">
        <f>IF(表1_86121822242658[[#This Row],[原国家]]="魏",0,IF(表1_86121822242658[[#This Row],[原国家]]="蜀",1,2))</f>
        <v>0</v>
      </c>
      <c r="J23" s="628">
        <v>0</v>
      </c>
      <c r="K23" s="628">
        <v>37</v>
      </c>
      <c r="L23" s="628">
        <v>1</v>
      </c>
      <c r="M23" s="628">
        <v>9</v>
      </c>
      <c r="N23" s="628">
        <v>47641</v>
      </c>
      <c r="O23" s="628">
        <v>1378064</v>
      </c>
      <c r="P23" s="641">
        <v>6531042</v>
      </c>
      <c r="Q23" s="649" t="s">
        <v>26</v>
      </c>
      <c r="R23" s="627">
        <f>IF(表1_86121822242658[[#This Row],[目标国家]]="魏",0,IF(表1_86121822242658[[#This Row],[目标国家]]="蜀",1,2))</f>
        <v>1</v>
      </c>
      <c r="S23" s="628">
        <v>12710</v>
      </c>
      <c r="T23" s="628">
        <v>0</v>
      </c>
      <c r="U23" s="628">
        <v>70578</v>
      </c>
      <c r="V23" s="628">
        <v>3055</v>
      </c>
      <c r="W23" s="650">
        <v>362141</v>
      </c>
      <c r="X23" s="651" t="str">
        <f>"{"&amp;"'coin':"&amp;表1_86121822242658[[#This Row],[补偿Coin]]&amp;",'"&amp;配置!$A$2&amp;"':"&amp;表1_86121822242658[[#This Row],[补偿辎重]]&amp;"},"</f>
        <v>{'coin':1000,'item036':10},</v>
      </c>
      <c r="Y23" s="656" t="str">
        <f>"      '"&amp;表1_86121822242658[[#This Row],[区服]]&amp;"':{"</f>
        <v>      '5038':{</v>
      </c>
    </row>
    <row r="24" ht="14.25" customHeight="1" spans="1:25">
      <c r="A24" s="625">
        <v>5038</v>
      </c>
      <c r="B24" s="625">
        <f>VLOOKUP(表1_86121822242658[[#This Row],[区服]],$P$32:$Q$40,2,FALSE)</f>
        <v>44</v>
      </c>
      <c r="C24" s="626" t="s">
        <v>110</v>
      </c>
      <c r="D24" s="627" t="str">
        <f>表1_86121822242658[[#This Row],[目标国家]]</f>
        <v>蜀</v>
      </c>
      <c r="E24" s="628">
        <f>(VLOOKUP(表1_86121822242658[[#This Row],[目标区服]],$R$32:$S$35,2,FALSE)-表1_86121822242658[[#This Row],[开服天数]])*配置!$B$1</f>
        <v>1000</v>
      </c>
      <c r="F24" s="628">
        <f>表1_86121822242658[[#This Row],[补偿Coin]]*(表1_86121822242658[[#This Row],[活跃高战玩家数]]+表1_86121822242658[[#This Row],[活跃中坚玩家数]])</f>
        <v>21000</v>
      </c>
      <c r="G24" s="628">
        <f>(VLOOKUP(表1_86121822242658[[#This Row],[目标区服]],$R$32:$S$35,2,FALSE)-表1_86121822242658[[#This Row],[开服天数]])*配置!$B$2</f>
        <v>10</v>
      </c>
      <c r="H24" s="627" t="s">
        <v>26</v>
      </c>
      <c r="I24" s="627">
        <f>IF(表1_86121822242658[[#This Row],[原国家]]="魏",0,IF(表1_86121822242658[[#This Row],[原国家]]="蜀",1,2))</f>
        <v>1</v>
      </c>
      <c r="J24" s="628">
        <v>9</v>
      </c>
      <c r="K24" s="628">
        <v>308</v>
      </c>
      <c r="L24" s="628">
        <v>9</v>
      </c>
      <c r="M24" s="628">
        <v>12</v>
      </c>
      <c r="N24" s="628">
        <v>143542</v>
      </c>
      <c r="O24" s="628">
        <v>3750599</v>
      </c>
      <c r="P24" s="641">
        <v>30543817</v>
      </c>
      <c r="Q24" s="649" t="s">
        <v>26</v>
      </c>
      <c r="R24" s="627">
        <f>IF(表1_86121822242658[[#This Row],[目标国家]]="魏",0,IF(表1_86121822242658[[#This Row],[目标国家]]="蜀",1,2))</f>
        <v>1</v>
      </c>
      <c r="S24" s="628">
        <v>280446</v>
      </c>
      <c r="T24" s="628">
        <v>0</v>
      </c>
      <c r="U24" s="628">
        <v>970536</v>
      </c>
      <c r="V24" s="628">
        <v>20401</v>
      </c>
      <c r="W24" s="650">
        <v>1007181</v>
      </c>
      <c r="X24" s="651" t="str">
        <f>"{"&amp;"'coin':"&amp;表1_86121822242658[[#This Row],[补偿Coin]]&amp;",'"&amp;配置!$A$2&amp;"':"&amp;表1_86121822242658[[#This Row],[补偿辎重]]&amp;"},"</f>
        <v>{'coin':1000,'item036':10},</v>
      </c>
      <c r="Y24" s="656" t="str">
        <f>"            'to_zone':'"&amp;表1_86121822242658[[#This Row],[目标区服]]&amp;"',
            'reward':"&amp;表1_86121822242658[[#This Row],[辅助导出]]&amp;"
            'country':["&amp;R23&amp;","&amp;R24&amp;","&amp;R25&amp;"],"</f>
        <v>            'to_zone':'h1_517',
            'reward':{'coin':1000,'item036':10},
            'country':[1,1,2],</v>
      </c>
    </row>
    <row r="25" ht="14.25" customHeight="1" spans="1:25">
      <c r="A25" s="625">
        <v>5038</v>
      </c>
      <c r="B25" s="625">
        <f>VLOOKUP(表1_86121822242658[[#This Row],[区服]],$P$32:$Q$40,2,FALSE)</f>
        <v>44</v>
      </c>
      <c r="C25" s="626" t="s">
        <v>110</v>
      </c>
      <c r="D25" s="627" t="str">
        <f>表1_86121822242658[[#This Row],[目标国家]]</f>
        <v>吴</v>
      </c>
      <c r="E25" s="628">
        <f>(VLOOKUP(表1_86121822242658[[#This Row],[目标区服]],$R$32:$S$35,2,FALSE)-表1_86121822242658[[#This Row],[开服天数]])*配置!$B$1</f>
        <v>1000</v>
      </c>
      <c r="F25" s="628">
        <f>表1_86121822242658[[#This Row],[补偿Coin]]*(表1_86121822242658[[#This Row],[活跃高战玩家数]]+表1_86121822242658[[#This Row],[活跃中坚玩家数]])</f>
        <v>16000</v>
      </c>
      <c r="G25" s="628">
        <f>(VLOOKUP(表1_86121822242658[[#This Row],[目标区服]],$R$32:$S$35,2,FALSE)-表1_86121822242658[[#This Row],[开服天数]])*配置!$B$2</f>
        <v>10</v>
      </c>
      <c r="H25" s="627" t="s">
        <v>27</v>
      </c>
      <c r="I25" s="627">
        <f>IF(表1_86121822242658[[#This Row],[原国家]]="魏",0,IF(表1_86121822242658[[#This Row],[原国家]]="蜀",1,2))</f>
        <v>2</v>
      </c>
      <c r="J25" s="628">
        <v>0</v>
      </c>
      <c r="K25" s="628">
        <v>50</v>
      </c>
      <c r="L25" s="628">
        <v>0</v>
      </c>
      <c r="M25" s="628">
        <v>16</v>
      </c>
      <c r="N25" s="628">
        <v>47901</v>
      </c>
      <c r="O25" s="628">
        <v>1247488</v>
      </c>
      <c r="P25" s="641">
        <v>7378594</v>
      </c>
      <c r="Q25" s="649" t="s">
        <v>27</v>
      </c>
      <c r="R25" s="627">
        <f>IF(表1_86121822242658[[#This Row],[目标国家]]="魏",0,IF(表1_86121822242658[[#This Row],[目标国家]]="蜀",1,2))</f>
        <v>2</v>
      </c>
      <c r="S25" s="628">
        <v>15542</v>
      </c>
      <c r="T25" s="628">
        <v>0</v>
      </c>
      <c r="U25" s="628">
        <v>58717</v>
      </c>
      <c r="V25" s="628">
        <v>3220</v>
      </c>
      <c r="W25" s="650">
        <v>357004</v>
      </c>
      <c r="X25" s="651" t="str">
        <f>"{"&amp;"'coin':"&amp;表1_86121822242658[[#This Row],[补偿Coin]]&amp;",'"&amp;配置!$A$2&amp;"':"&amp;表1_86121822242658[[#This Row],[补偿辎重]]&amp;"},"</f>
        <v>{'coin':1000,'item036':10},</v>
      </c>
      <c r="Y25" s="656" t="str">
        <f t="shared" ref="Y25" si="5">"      },"</f>
        <v>      },</v>
      </c>
    </row>
    <row r="26" ht="14.25" customHeight="1" spans="1:25">
      <c r="A26" s="629">
        <v>5039</v>
      </c>
      <c r="B26" s="625">
        <f>VLOOKUP(表1_86121822242658[[#This Row],[区服]],$P$32:$Q$40,2,FALSE)</f>
        <v>43</v>
      </c>
      <c r="C26" s="626" t="s">
        <v>110</v>
      </c>
      <c r="D26" s="627" t="str">
        <f>表1_86121822242658[[#This Row],[目标国家]]</f>
        <v>魏</v>
      </c>
      <c r="E26" s="630">
        <f>(VLOOKUP(表1_86121822242658[[#This Row],[目标区服]],$R$32:$S$35,2,FALSE)-表1_86121822242658[[#This Row],[开服天数]])*配置!$B$1</f>
        <v>1500</v>
      </c>
      <c r="F26" s="628">
        <f>表1_86121822242658[[#This Row],[补偿Coin]]*(表1_86121822242658[[#This Row],[活跃高战玩家数]]+表1_86121822242658[[#This Row],[活跃中坚玩家数]])</f>
        <v>31500</v>
      </c>
      <c r="G26" s="631">
        <f>(VLOOKUP(表1_86121822242658[[#This Row],[目标区服]],$R$32:$S$35,2,FALSE)-表1_86121822242658[[#This Row],[开服天数]])*配置!$B$2</f>
        <v>15</v>
      </c>
      <c r="H26" s="627" t="s">
        <v>25</v>
      </c>
      <c r="I26" s="642">
        <f>IF(表1_86121822242658[[#This Row],[原国家]]="魏",0,IF(表1_86121822242658[[#This Row],[原国家]]="蜀",1,2))</f>
        <v>0</v>
      </c>
      <c r="J26" s="628">
        <v>5</v>
      </c>
      <c r="K26" s="628">
        <v>164</v>
      </c>
      <c r="L26" s="628">
        <v>4</v>
      </c>
      <c r="M26" s="628">
        <v>17</v>
      </c>
      <c r="N26" s="628">
        <v>106438</v>
      </c>
      <c r="O26" s="643">
        <v>2264251</v>
      </c>
      <c r="P26" s="641">
        <v>18500323</v>
      </c>
      <c r="Q26" s="649" t="s">
        <v>25</v>
      </c>
      <c r="R26" s="627">
        <f>IF(表1_86121822242658[[#This Row],[目标国家]]="魏",0,IF(表1_86121822242658[[#This Row],[目标国家]]="蜀",1,2))</f>
        <v>0</v>
      </c>
      <c r="S26" s="628">
        <v>30150</v>
      </c>
      <c r="T26" s="628">
        <v>0</v>
      </c>
      <c r="U26" s="628">
        <v>364386</v>
      </c>
      <c r="V26" s="628">
        <v>7873</v>
      </c>
      <c r="W26" s="650">
        <v>722607</v>
      </c>
      <c r="X26" s="652" t="str">
        <f>"{"&amp;"'coin':"&amp;表1_86121822242658[[#This Row],[补偿Coin]]&amp;",'"&amp;配置!$A$2&amp;"':"&amp;表1_86121822242658[[#This Row],[补偿辎重]]&amp;"},"</f>
        <v>{'coin':1500,'item036':15},</v>
      </c>
      <c r="Y26" s="652" t="str">
        <f>"      '"&amp;表1_86121822242658[[#This Row],[区服]]&amp;"':{"</f>
        <v>      '5039':{</v>
      </c>
    </row>
    <row r="27" ht="14.25" customHeight="1" spans="1:25">
      <c r="A27" s="629">
        <v>5039</v>
      </c>
      <c r="B27" s="625">
        <f>VLOOKUP(表1_86121822242658[[#This Row],[区服]],$P$32:$Q$40,2,FALSE)</f>
        <v>43</v>
      </c>
      <c r="C27" s="626" t="s">
        <v>110</v>
      </c>
      <c r="D27" s="627" t="str">
        <f>表1_86121822242658[[#This Row],[目标国家]]</f>
        <v>魏</v>
      </c>
      <c r="E27" s="630">
        <f>(VLOOKUP(表1_86121822242658[[#This Row],[目标区服]],$R$32:$S$35,2,FALSE)-表1_86121822242658[[#This Row],[开服天数]])*配置!$B$1</f>
        <v>1500</v>
      </c>
      <c r="F27" s="628">
        <f>表1_86121822242658[[#This Row],[补偿Coin]]*(表1_86121822242658[[#This Row],[活跃高战玩家数]]+表1_86121822242658[[#This Row],[活跃中坚玩家数]])</f>
        <v>42000</v>
      </c>
      <c r="G27" s="631">
        <f>(VLOOKUP(表1_86121822242658[[#This Row],[目标区服]],$R$32:$S$35,2,FALSE)-表1_86121822242658[[#This Row],[开服天数]])*配置!$B$2</f>
        <v>15</v>
      </c>
      <c r="H27" s="627" t="s">
        <v>26</v>
      </c>
      <c r="I27" s="642">
        <f>IF(表1_86121822242658[[#This Row],[原国家]]="魏",0,IF(表1_86121822242658[[#This Row],[原国家]]="蜀",1,2))</f>
        <v>1</v>
      </c>
      <c r="J27" s="628">
        <v>1</v>
      </c>
      <c r="K27" s="628">
        <v>93</v>
      </c>
      <c r="L27" s="628">
        <v>1</v>
      </c>
      <c r="M27" s="628">
        <v>27</v>
      </c>
      <c r="N27" s="628">
        <v>94608</v>
      </c>
      <c r="O27" s="643">
        <v>1927745</v>
      </c>
      <c r="P27" s="641">
        <v>17678486</v>
      </c>
      <c r="Q27" s="649" t="s">
        <v>25</v>
      </c>
      <c r="R27" s="627">
        <f>IF(表1_86121822242658[[#This Row],[目标国家]]="魏",0,IF(表1_86121822242658[[#This Row],[目标国家]]="蜀",1,2))</f>
        <v>0</v>
      </c>
      <c r="S27" s="628">
        <v>25210</v>
      </c>
      <c r="T27" s="628">
        <v>0</v>
      </c>
      <c r="U27" s="628">
        <v>349262</v>
      </c>
      <c r="V27" s="628">
        <v>6129</v>
      </c>
      <c r="W27" s="650">
        <v>517983</v>
      </c>
      <c r="X27" s="652" t="str">
        <f>"{"&amp;"'coin':"&amp;表1_86121822242658[[#This Row],[补偿Coin]]&amp;",'"&amp;配置!$A$2&amp;"':"&amp;表1_86121822242658[[#This Row],[补偿辎重]]&amp;"},"</f>
        <v>{'coin':1500,'item036':15},</v>
      </c>
      <c r="Y27" s="652" t="str">
        <f>"            'to_zone':'"&amp;表1_86121822242658[[#This Row],[目标区服]]&amp;"',
            'reward':"&amp;表1_86121822242658[[#This Row],[辅助导出]]&amp;"
            'country':["&amp;R26&amp;","&amp;R27&amp;","&amp;R28&amp;"],"</f>
        <v>            'to_zone':'h1_517',
            'reward':{'coin':1500,'item036':15},
            'country':[0,0,2],</v>
      </c>
    </row>
    <row r="28" ht="14.25" customHeight="1" spans="1:25">
      <c r="A28" s="632">
        <v>5039</v>
      </c>
      <c r="B28" s="625">
        <f>VLOOKUP(表1_86121822242658[[#This Row],[区服]],$P$32:$Q$40,2,FALSE)</f>
        <v>43</v>
      </c>
      <c r="C28" s="626" t="s">
        <v>110</v>
      </c>
      <c r="D28" s="633" t="str">
        <f>表1_86121822242658[[#This Row],[目标国家]]</f>
        <v>吴</v>
      </c>
      <c r="E28" s="634">
        <f>(VLOOKUP(表1_86121822242658[[#This Row],[目标区服]],$R$32:$S$35,2,FALSE)-表1_86121822242658[[#This Row],[开服天数]])*配置!$B$1</f>
        <v>1500</v>
      </c>
      <c r="F28" s="635">
        <f>表1_86121822242658[[#This Row],[补偿Coin]]*(表1_86121822242658[[#This Row],[活跃高战玩家数]]+表1_86121822242658[[#This Row],[活跃中坚玩家数]])</f>
        <v>34500</v>
      </c>
      <c r="G28" s="636">
        <f>(VLOOKUP(表1_86121822242658[[#This Row],[目标区服]],$R$32:$S$35,2,FALSE)-表1_86121822242658[[#This Row],[开服天数]])*配置!$B$2</f>
        <v>15</v>
      </c>
      <c r="H28" s="633" t="s">
        <v>27</v>
      </c>
      <c r="I28" s="644">
        <f>IF(表1_86121822242658[[#This Row],[原国家]]="魏",0,IF(表1_86121822242658[[#This Row],[原国家]]="蜀",1,2))</f>
        <v>2</v>
      </c>
      <c r="J28" s="635">
        <v>3</v>
      </c>
      <c r="K28" s="635">
        <v>138</v>
      </c>
      <c r="L28" s="635">
        <v>4</v>
      </c>
      <c r="M28" s="635">
        <v>19</v>
      </c>
      <c r="N28" s="635">
        <v>101680</v>
      </c>
      <c r="O28" s="645">
        <v>2342707</v>
      </c>
      <c r="P28" s="646">
        <v>18689790</v>
      </c>
      <c r="Q28" s="653" t="s">
        <v>27</v>
      </c>
      <c r="R28" s="627">
        <f>IF(表1_86121822242658[[#This Row],[目标国家]]="魏",0,IF(表1_86121822242658[[#This Row],[目标国家]]="蜀",1,2))</f>
        <v>2</v>
      </c>
      <c r="S28" s="635">
        <v>60814</v>
      </c>
      <c r="T28" s="635">
        <v>37080</v>
      </c>
      <c r="U28" s="635">
        <v>577044</v>
      </c>
      <c r="V28" s="635">
        <v>8883</v>
      </c>
      <c r="W28" s="654">
        <v>700590</v>
      </c>
      <c r="X28" s="655" t="str">
        <f>"{"&amp;"'coin':"&amp;表1_86121822242658[[#This Row],[补偿Coin]]&amp;",'"&amp;配置!$A$2&amp;"':"&amp;表1_86121822242658[[#This Row],[补偿辎重]]&amp;"},"</f>
        <v>{'coin':1500,'item036':15},</v>
      </c>
      <c r="Y28" s="655" t="str">
        <f t="shared" ref="Y28" si="6">"      },"</f>
        <v>      },</v>
      </c>
    </row>
    <row r="31" ht="37.5" customHeight="1" spans="1:19">
      <c r="A31" s="36" t="s">
        <v>28</v>
      </c>
      <c r="B31" s="37" t="s">
        <v>29</v>
      </c>
      <c r="C31" s="38" t="s">
        <v>30</v>
      </c>
      <c r="D31" s="38" t="s">
        <v>31</v>
      </c>
      <c r="E31" s="38" t="s">
        <v>32</v>
      </c>
      <c r="F31" s="38" t="s">
        <v>33</v>
      </c>
      <c r="G31" s="38" t="s">
        <v>15</v>
      </c>
      <c r="H31" s="37" t="s">
        <v>18</v>
      </c>
      <c r="I31" s="37" t="s">
        <v>19</v>
      </c>
      <c r="J31" s="37" t="s">
        <v>34</v>
      </c>
      <c r="K31" s="38" t="s">
        <v>35</v>
      </c>
      <c r="L31" s="38" t="s">
        <v>36</v>
      </c>
      <c r="M31" s="38" t="s">
        <v>37</v>
      </c>
      <c r="N31" s="38" t="s">
        <v>88</v>
      </c>
      <c r="P31" s="51" t="s">
        <v>0</v>
      </c>
      <c r="Q31" s="51" t="s">
        <v>1</v>
      </c>
      <c r="R31" s="51"/>
      <c r="S31" s="51" t="s">
        <v>38</v>
      </c>
    </row>
    <row r="32" ht="15.75" customHeight="1" spans="1:19">
      <c r="A32" s="372" t="s">
        <v>107</v>
      </c>
      <c r="B32" s="39" t="s">
        <v>25</v>
      </c>
      <c r="C32" s="39">
        <f>COUNTIFS(表1_86121822242658[目标区服],表2_97131923252759[[#This Row],[合区区服]],表1_86121822242658[目标国家（映射）],表2_97131923252759[[#This Row],[国家]])</f>
        <v>3</v>
      </c>
      <c r="D32" s="39">
        <f>SUMIFS(表1_86121822242658[活跃高战玩家数],表1_86121822242658[目标区服],表2_97131923252759[[#This Row],[合区区服]],表1_86121822242658[目标国家（映射）],表2_97131923252759[[#This Row],[国家]])</f>
        <v>11</v>
      </c>
      <c r="E32" s="39">
        <f>SUMIFS(表1_86121822242658[活跃中坚玩家数],表1_86121822242658[目标区服],表2_97131923252759[[#This Row],[合区区服]],表1_86121822242658[目标国家（映射）],表2_97131923252759[[#This Row],[国家]])</f>
        <v>35</v>
      </c>
      <c r="F32" s="39">
        <f t="array" ref="F32">MAX((表1_86121822242658[目标区服]=表2_97131923252759[[#This Row],[合区区服]])*(表1_86121822242658[目标国家（映射）]=表2_97131923252759[[#This Row],[国家]])*表1_86121822242658[活跃尖端战力])</f>
        <v>2990059</v>
      </c>
      <c r="G32" s="40">
        <f>SUMIFS(表1_86121822242658[活跃总战力],表1_86121822242658[目标区服],表2_97131923252759[[#This Row],[合区区服]],表1_86121822242658[目标国家（映射）],表2_97131923252759[[#This Row],[国家]])</f>
        <v>37380545</v>
      </c>
      <c r="H32" s="39">
        <f>SUMIFS(表1_86121822242658[活跃实际充值],表1_86121822242658[目标区服],表2_97131923252759[[#This Row],[合区区服]],表1_86121822242658[目标国家（映射）],表2_97131923252759[[#This Row],[国家]])</f>
        <v>112454</v>
      </c>
      <c r="I32" s="39">
        <f>SUMIFS(表1_86121822242658[活跃虚拟充值],表1_86121822242658[目标区服],表2_97131923252759[[#This Row],[合区区服]],表1_86121822242658[目标国家（映射）],表2_97131923252759[[#This Row],[国家]])</f>
        <v>0</v>
      </c>
      <c r="J32" s="39">
        <f>SUMIFS(表1_86121822242658[活跃Coin],表1_86121822242658[目标区服],表2_97131923252759[[#This Row],[合区区服]],表1_86121822242658[目标国家（映射）],表2_97131923252759[[#This Row],[国家]])</f>
        <v>577914</v>
      </c>
      <c r="K32" s="39">
        <f>SUMIFS(表1_86121822242658[共计补偿Coin],表1_86121822242658[目标区服],表2_97131923252759[[#This Row],[合区区服]],表1_86121822242658[目标国家（映射）],表2_97131923252759[[#This Row],[国家]])</f>
        <v>74000</v>
      </c>
      <c r="L32" s="39">
        <f>表2_97131923252759[[#This Row],[活跃Coin]]+表2_97131923252759[[#This Row],[共计补偿Coin]]</f>
        <v>651914</v>
      </c>
      <c r="M32" s="39">
        <f>SUMIFS(表1_86121822242658[综合国力],表1_86121822242658[目标区服],表2_97131923252759[[#This Row],[合区区服]],表1_86121822242658[目标国家（映射）],表2_97131923252759[[#This Row],[国家]])</f>
        <v>20139</v>
      </c>
      <c r="N32" s="39">
        <f t="array" ref="N32">MAX((表1_86121822242658[目标区服]=表2_97131923252759[[#This Row],[合区区服]])*(表1_86121822242658[目标国家（映射）]=表2_97131923252759[[#This Row],[国家]])*表1_86121822242658[单将最高战力])</f>
        <v>853922</v>
      </c>
      <c r="P32" s="51">
        <v>5031</v>
      </c>
      <c r="Q32" s="51">
        <v>49</v>
      </c>
      <c r="R32" s="51" t="s">
        <v>107</v>
      </c>
      <c r="S32" s="51">
        <v>51</v>
      </c>
    </row>
    <row r="33" ht="15" spans="1:19">
      <c r="A33" s="372" t="s">
        <v>107</v>
      </c>
      <c r="B33" s="39" t="s">
        <v>26</v>
      </c>
      <c r="C33" s="39">
        <f>COUNTIFS(表1_86121822242658[目标区服],表2_97131923252759[[#This Row],[合区区服]],表1_86121822242658[目标国家（映射）],表2_97131923252759[[#This Row],[国家]])</f>
        <v>3</v>
      </c>
      <c r="D33" s="39">
        <f>SUMIFS(表1_86121822242658[活跃高战玩家数],表1_86121822242658[目标区服],表2_97131923252759[[#This Row],[合区区服]],表1_86121822242658[目标国家（映射）],表2_97131923252759[[#This Row],[国家]])</f>
        <v>10</v>
      </c>
      <c r="E33" s="39">
        <f>SUMIFS(表1_86121822242658[活跃中坚玩家数],表1_86121822242658[目标区服],表2_97131923252759[[#This Row],[合区区服]],表1_86121822242658[目标国家（映射）],表2_97131923252759[[#This Row],[国家]])</f>
        <v>58</v>
      </c>
      <c r="F33" s="39">
        <f t="array" ref="F33">MAX((表1_86121822242658[目标区服]=表2_97131923252759[[#This Row],[合区区服]])*(表1_86121822242658[目标国家（映射）]=表2_97131923252759[[#This Row],[国家]])*表1_86121822242658[活跃尖端战力])</f>
        <v>2131770</v>
      </c>
      <c r="G33" s="40">
        <f>SUMIFS(表1_86121822242658[活跃总战力],表1_86121822242658[目标区服],表2_97131923252759[[#This Row],[合区区服]],表1_86121822242658[目标国家（映射）],表2_97131923252759[[#This Row],[国家]])</f>
        <v>51265762</v>
      </c>
      <c r="H33" s="39">
        <f>SUMIFS(表1_86121822242658[活跃实际充值],表1_86121822242658[目标区服],表2_97131923252759[[#This Row],[合区区服]],表1_86121822242658[目标国家（映射）],表2_97131923252759[[#This Row],[国家]])</f>
        <v>81422</v>
      </c>
      <c r="I33" s="39">
        <f>SUMIFS(表1_86121822242658[活跃虚拟充值],表1_86121822242658[目标区服],表2_97131923252759[[#This Row],[合区区服]],表1_86121822242658[目标国家（映射）],表2_97131923252759[[#This Row],[国家]])</f>
        <v>0</v>
      </c>
      <c r="J33" s="39">
        <f>SUMIFS(表1_86121822242658[活跃Coin],表1_86121822242658[目标区服],表2_97131923252759[[#This Row],[合区区服]],表1_86121822242658[目标国家（映射）],表2_97131923252759[[#This Row],[国家]])</f>
        <v>789171</v>
      </c>
      <c r="K33" s="39">
        <f>SUMIFS(表1_86121822242658[共计补偿Coin],表1_86121822242658[目标区服],表2_97131923252759[[#This Row],[合区区服]],表1_86121822242658[目标国家（映射）],表2_97131923252759[[#This Row],[国家]])</f>
        <v>99000</v>
      </c>
      <c r="L33" s="39">
        <f>表2_97131923252759[[#This Row],[活跃Coin]]+表2_97131923252759[[#This Row],[共计补偿Coin]]</f>
        <v>888171</v>
      </c>
      <c r="M33" s="39">
        <f>SUMIFS(表1_86121822242658[综合国力],表1_86121822242658[目标区服],表2_97131923252759[[#This Row],[合区区服]],表1_86121822242658[目标国家（映射）],表2_97131923252759[[#This Row],[国家]])</f>
        <v>20887</v>
      </c>
      <c r="N33" s="39">
        <f t="array" ref="N33">MAX((表1_86121822242658[目标区服]=表2_97131923252759[[#This Row],[合区区服]])*(表1_86121822242658[目标国家（映射）]=表2_97131923252759[[#This Row],[国家]])*表1_86121822242658[单将最高战力])</f>
        <v>712573</v>
      </c>
      <c r="P33" s="51">
        <v>5032</v>
      </c>
      <c r="Q33" s="51">
        <v>48</v>
      </c>
      <c r="R33" s="51" t="s">
        <v>108</v>
      </c>
      <c r="S33" s="51">
        <v>48</v>
      </c>
    </row>
    <row r="34" ht="15" spans="1:19">
      <c r="A34" s="372" t="s">
        <v>107</v>
      </c>
      <c r="B34" s="39" t="s">
        <v>27</v>
      </c>
      <c r="C34" s="39">
        <f>COUNTIFS(表1_86121822242658[目标区服],表2_97131923252759[[#This Row],[合区区服]],表1_86121822242658[目标国家（映射）],表2_97131923252759[[#This Row],[国家]])</f>
        <v>3</v>
      </c>
      <c r="D34" s="39">
        <f>SUMIFS(表1_86121822242658[活跃高战玩家数],表1_86121822242658[目标区服],表2_97131923252759[[#This Row],[合区区服]],表1_86121822242658[目标国家（映射）],表2_97131923252759[[#This Row],[国家]])</f>
        <v>6</v>
      </c>
      <c r="E34" s="39">
        <f>SUMIFS(表1_86121822242658[活跃中坚玩家数],表1_86121822242658[目标区服],表2_97131923252759[[#This Row],[合区区服]],表1_86121822242658[目标国家（映射）],表2_97131923252759[[#This Row],[国家]])</f>
        <v>28</v>
      </c>
      <c r="F34" s="39">
        <f t="array" ref="F34">MAX((表1_86121822242658[目标区服]=表2_97131923252759[[#This Row],[合区区服]])*(表1_86121822242658[目标国家（映射）]=表2_97131923252759[[#This Row],[国家]])*表1_86121822242658[活跃尖端战力])</f>
        <v>2869640</v>
      </c>
      <c r="G34" s="40">
        <f>SUMIFS(表1_86121822242658[活跃总战力],表1_86121822242658[目标区服],表2_97131923252759[[#This Row],[合区区服]],表1_86121822242658[目标国家（映射）],表2_97131923252759[[#This Row],[国家]])</f>
        <v>28055437</v>
      </c>
      <c r="H34" s="39">
        <f>SUMIFS(表1_86121822242658[活跃实际充值],表1_86121822242658[目标区服],表2_97131923252759[[#This Row],[合区区服]],表1_86121822242658[目标国家（映射）],表2_97131923252759[[#This Row],[国家]])</f>
        <v>122036</v>
      </c>
      <c r="I34" s="39">
        <f>SUMIFS(表1_86121822242658[活跃虚拟充值],表1_86121822242658[目标区服],表2_97131923252759[[#This Row],[合区区服]],表1_86121822242658[目标国家（映射）],表2_97131923252759[[#This Row],[国家]])</f>
        <v>0</v>
      </c>
      <c r="J34" s="39">
        <f>SUMIFS(表1_86121822242658[活跃Coin],表1_86121822242658[目标区服],表2_97131923252759[[#This Row],[合区区服]],表1_86121822242658[目标国家（映射）],表2_97131923252759[[#This Row],[国家]])</f>
        <v>844522</v>
      </c>
      <c r="K34" s="39">
        <f>SUMIFS(表1_86121822242658[共计补偿Coin],表1_86121822242658[目标区服],表2_97131923252759[[#This Row],[合区区服]],表1_86121822242658[目标国家（映射）],表2_97131923252759[[#This Row],[国家]])</f>
        <v>58500</v>
      </c>
      <c r="L34" s="39">
        <f>表2_97131923252759[[#This Row],[活跃Coin]]+表2_97131923252759[[#This Row],[共计补偿Coin]]</f>
        <v>903022</v>
      </c>
      <c r="M34" s="39">
        <f>SUMIFS(表1_86121822242658[综合国力],表1_86121822242658[目标区服],表2_97131923252759[[#This Row],[合区区服]],表1_86121822242658[目标国家（映射）],表2_97131923252759[[#This Row],[国家]])</f>
        <v>16059</v>
      </c>
      <c r="N34" s="39">
        <f t="array" ref="N34">MAX((表1_86121822242658[目标区服]=表2_97131923252759[[#This Row],[合区区服]])*(表1_86121822242658[目标国家（映射）]=表2_97131923252759[[#This Row],[国家]])*表1_86121822242658[单将最高战力])</f>
        <v>814091</v>
      </c>
      <c r="P34" s="51">
        <v>5033</v>
      </c>
      <c r="Q34" s="51">
        <v>47</v>
      </c>
      <c r="R34" s="51" t="s">
        <v>109</v>
      </c>
      <c r="S34" s="51">
        <v>47</v>
      </c>
    </row>
    <row r="35" ht="15" spans="1:19">
      <c r="A35" s="296" t="s">
        <v>108</v>
      </c>
      <c r="B35" s="41" t="s">
        <v>25</v>
      </c>
      <c r="C35" s="41">
        <f>COUNTIFS(表1_86121822242658[目标区服],表2_97131923252759[[#This Row],[合区区服]],表1_86121822242658[目标国家（映射）],表2_97131923252759[[#This Row],[国家]])</f>
        <v>2</v>
      </c>
      <c r="D35" s="41">
        <f>SUMIFS(表1_86121822242658[活跃高战玩家数],表1_86121822242658[目标区服],表2_97131923252759[[#This Row],[合区区服]],表1_86121822242658[目标国家（映射）],表2_97131923252759[[#This Row],[国家]])</f>
        <v>4</v>
      </c>
      <c r="E35" s="41">
        <f>SUMIFS(表1_86121822242658[活跃中坚玩家数],表1_86121822242658[目标区服],表2_97131923252759[[#This Row],[合区区服]],表1_86121822242658[目标国家（映射）],表2_97131923252759[[#This Row],[国家]])</f>
        <v>33</v>
      </c>
      <c r="F35" s="41">
        <f t="array" ref="F35">MAX((表1_86121822242658[目标区服]=表2_97131923252759[[#This Row],[合区区服]])*(表1_86121822242658[目标国家（映射）]=表2_97131923252759[[#This Row],[国家]])*表1_86121822242658[活跃尖端战力])</f>
        <v>3665189</v>
      </c>
      <c r="G35" s="42">
        <f>SUMIFS(表1_86121822242658[活跃总战力],表1_86121822242658[目标区服],表2_97131923252759[[#This Row],[合区区服]],表1_86121822242658[目标国家（映射）],表2_97131923252759[[#This Row],[国家]])</f>
        <v>30004392</v>
      </c>
      <c r="H35" s="41">
        <f>SUMIFS(表1_86121822242658[活跃实际充值],表1_86121822242658[目标区服],表2_97131923252759[[#This Row],[合区区服]],表1_86121822242658[目标国家（映射）],表2_97131923252759[[#This Row],[国家]])</f>
        <v>170696</v>
      </c>
      <c r="I35" s="41">
        <f>SUMIFS(表1_86121822242658[活跃虚拟充值],表1_86121822242658[目标区服],表2_97131923252759[[#This Row],[合区区服]],表1_86121822242658[目标国家（映射）],表2_97131923252759[[#This Row],[国家]])</f>
        <v>0</v>
      </c>
      <c r="J35" s="41">
        <f>SUMIFS(表1_86121822242658[活跃Coin],表1_86121822242658[目标区服],表2_97131923252759[[#This Row],[合区区服]],表1_86121822242658[目标国家（映射）],表2_97131923252759[[#This Row],[国家]])</f>
        <v>1016845</v>
      </c>
      <c r="K35" s="41">
        <f>SUMIFS(表1_86121822242658[共计补偿Coin],表1_86121822242658[目标区服],表2_97131923252759[[#This Row],[合区区服]],表1_86121822242658[目标国家（映射）],表2_97131923252759[[#This Row],[国家]])</f>
        <v>37000</v>
      </c>
      <c r="L35" s="41">
        <f>表2_97131923252759[[#This Row],[活跃Coin]]+表2_97131923252759[[#This Row],[共计补偿Coin]]</f>
        <v>1053845</v>
      </c>
      <c r="M35" s="41">
        <f>SUMIFS(表1_86121822242658[综合国力],表1_86121822242658[目标区服],表2_97131923252759[[#This Row],[合区区服]],表1_86121822242658[目标国家（映射）],表2_97131923252759[[#This Row],[国家]])</f>
        <v>16494</v>
      </c>
      <c r="N35" s="41">
        <f t="array" ref="N35">MAX((表1_86121822242658[目标区服]=表2_97131923252759[[#This Row],[合区区服]])*(表1_86121822242658[目标国家（映射）]=表2_97131923252759[[#This Row],[国家]])*表1_86121822242658[单将最高战力])</f>
        <v>915027</v>
      </c>
      <c r="P35" s="51">
        <v>5034</v>
      </c>
      <c r="Q35" s="51">
        <v>46</v>
      </c>
      <c r="R35" s="51" t="s">
        <v>110</v>
      </c>
      <c r="S35" s="51">
        <v>46</v>
      </c>
    </row>
    <row r="36" ht="15" spans="1:17">
      <c r="A36" s="296" t="s">
        <v>108</v>
      </c>
      <c r="B36" s="41" t="s">
        <v>26</v>
      </c>
      <c r="C36" s="41">
        <f>COUNTIFS(表1_86121822242658[目标区服],表2_97131923252759[[#This Row],[合区区服]],表1_86121822242658[目标国家（映射）],表2_97131923252759[[#This Row],[国家]])</f>
        <v>2</v>
      </c>
      <c r="D36" s="41">
        <f>SUMIFS(表1_86121822242658[活跃高战玩家数],表1_86121822242658[目标区服],表2_97131923252759[[#This Row],[合区区服]],表1_86121822242658[目标国家（映射）],表2_97131923252759[[#This Row],[国家]])</f>
        <v>7</v>
      </c>
      <c r="E36" s="41">
        <f>SUMIFS(表1_86121822242658[活跃中坚玩家数],表1_86121822242658[目标区服],表2_97131923252759[[#This Row],[合区区服]],表1_86121822242658[目标国家（映射）],表2_97131923252759[[#This Row],[国家]])</f>
        <v>29</v>
      </c>
      <c r="F36" s="41">
        <f t="array" ref="F36">MAX((表1_86121822242658[目标区服]=表2_97131923252759[[#This Row],[合区区服]])*(表1_86121822242658[目标国家（映射）]=表2_97131923252759[[#This Row],[国家]])*表1_86121822242658[活跃尖端战力])</f>
        <v>3620957</v>
      </c>
      <c r="G36" s="42">
        <f>SUMIFS(表1_86121822242658[活跃总战力],表1_86121822242658[目标区服],表2_97131923252759[[#This Row],[合区区服]],表1_86121822242658[目标国家（映射）],表2_97131923252759[[#This Row],[国家]])</f>
        <v>35297192</v>
      </c>
      <c r="H36" s="41">
        <f>SUMIFS(表1_86121822242658[活跃实际充值],表1_86121822242658[目标区服],表2_97131923252759[[#This Row],[合区区服]],表1_86121822242658[目标国家（映射）],表2_97131923252759[[#This Row],[国家]])</f>
        <v>270756</v>
      </c>
      <c r="I36" s="41">
        <f>SUMIFS(表1_86121822242658[活跃虚拟充值],表1_86121822242658[目标区服],表2_97131923252759[[#This Row],[合区区服]],表1_86121822242658[目标国家（映射）],表2_97131923252759[[#This Row],[国家]])</f>
        <v>0</v>
      </c>
      <c r="J36" s="41">
        <f>SUMIFS(表1_86121822242658[活跃Coin],表1_86121822242658[目标区服],表2_97131923252759[[#This Row],[合区区服]],表1_86121822242658[目标国家（映射）],表2_97131923252759[[#This Row],[国家]])</f>
        <v>759040</v>
      </c>
      <c r="K36" s="41">
        <f>SUMIFS(表1_86121822242658[共计补偿Coin],表1_86121822242658[目标区服],表2_97131923252759[[#This Row],[合区区服]],表1_86121822242658[目标国家（映射）],表2_97131923252759[[#This Row],[国家]])</f>
        <v>36000</v>
      </c>
      <c r="L36" s="41">
        <f>表2_97131923252759[[#This Row],[活跃Coin]]+表2_97131923252759[[#This Row],[共计补偿Coin]]</f>
        <v>795040</v>
      </c>
      <c r="M36" s="41">
        <f>SUMIFS(表1_86121822242658[综合国力],表1_86121822242658[目标区服],表2_97131923252759[[#This Row],[合区区服]],表1_86121822242658[目标国家（映射）],表2_97131923252759[[#This Row],[国家]])</f>
        <v>21159</v>
      </c>
      <c r="N36" s="41">
        <f t="array" ref="N36">MAX((表1_86121822242658[目标区服]=表2_97131923252759[[#This Row],[合区区服]])*(表1_86121822242658[目标国家（映射）]=表2_97131923252759[[#This Row],[国家]])*表1_86121822242658[单将最高战力])</f>
        <v>1249689</v>
      </c>
      <c r="P36" s="51">
        <v>5035</v>
      </c>
      <c r="Q36" s="51">
        <v>46</v>
      </c>
    </row>
    <row r="37" ht="15" spans="1:17">
      <c r="A37" s="296" t="s">
        <v>108</v>
      </c>
      <c r="B37" s="43" t="s">
        <v>27</v>
      </c>
      <c r="C37" s="43">
        <f>COUNTIFS(表1_86121822242658[目标区服],表2_97131923252759[[#This Row],[合区区服]],表1_86121822242658[目标国家（映射）],表2_97131923252759[[#This Row],[国家]])</f>
        <v>2</v>
      </c>
      <c r="D37" s="43">
        <f>SUMIFS(表1_86121822242658[活跃高战玩家数],表1_86121822242658[目标区服],表2_97131923252759[[#This Row],[合区区服]],表1_86121822242658[目标国家（映射）],表2_97131923252759[[#This Row],[国家]])</f>
        <v>9</v>
      </c>
      <c r="E37" s="43">
        <f>SUMIFS(表1_86121822242658[活跃中坚玩家数],表1_86121822242658[目标区服],表2_97131923252759[[#This Row],[合区区服]],表1_86121822242658[目标国家（映射）],表2_97131923252759[[#This Row],[国家]])</f>
        <v>44</v>
      </c>
      <c r="F37" s="43">
        <f t="array" ref="F37">MAX((表1_86121822242658[目标区服]=表2_97131923252759[[#This Row],[合区区服]])*(表1_86121822242658[目标国家（映射）]=表2_97131923252759[[#This Row],[国家]])*表1_86121822242658[活跃尖端战力])</f>
        <v>3362613</v>
      </c>
      <c r="G37" s="44">
        <f>SUMIFS(表1_86121822242658[活跃总战力],表1_86121822242658[目标区服],表2_97131923252759[[#This Row],[合区区服]],表1_86121822242658[目标国家（映射）],表2_97131923252759[[#This Row],[国家]])</f>
        <v>51161760</v>
      </c>
      <c r="H37" s="43">
        <f>SUMIFS(表1_86121822242658[活跃实际充值],表1_86121822242658[目标区服],表2_97131923252759[[#This Row],[合区区服]],表1_86121822242658[目标国家（映射）],表2_97131923252759[[#This Row],[国家]])</f>
        <v>219462</v>
      </c>
      <c r="I37" s="43">
        <f>SUMIFS(表1_86121822242658[活跃虚拟充值],表1_86121822242658[目标区服],表2_97131923252759[[#This Row],[合区区服]],表1_86121822242658[目标国家（映射）],表2_97131923252759[[#This Row],[国家]])</f>
        <v>0</v>
      </c>
      <c r="J37" s="43">
        <f>SUMIFS(表1_86121822242658[活跃Coin],表1_86121822242658[目标区服],表2_97131923252759[[#This Row],[合区区服]],表1_86121822242658[目标国家（映射）],表2_97131923252759[[#This Row],[国家]])</f>
        <v>847829</v>
      </c>
      <c r="K37" s="43">
        <f>SUMIFS(表1_86121822242658[共计补偿Coin],表1_86121822242658[目标区服],表2_97131923252759[[#This Row],[合区区服]],表1_86121822242658[目标国家（映射）],表2_97131923252759[[#This Row],[国家]])</f>
        <v>53000</v>
      </c>
      <c r="L37" s="43">
        <f>表2_97131923252759[[#This Row],[活跃Coin]]+表2_97131923252759[[#This Row],[共计补偿Coin]]</f>
        <v>900829</v>
      </c>
      <c r="M37" s="43">
        <f>SUMIFS(表1_86121822242658[综合国力],表1_86121822242658[目标区服],表2_97131923252759[[#This Row],[合区区服]],表1_86121822242658[目标国家（映射）],表2_97131923252759[[#This Row],[国家]])</f>
        <v>24405</v>
      </c>
      <c r="N37" s="41">
        <f t="array" ref="N37">MAX((表1_86121822242658[目标区服]=表2_97131923252759[[#This Row],[合区区服]])*(表1_86121822242658[目标国家（映射）]=表2_97131923252759[[#This Row],[国家]])*表1_86121822242658[单将最高战力])</f>
        <v>894282</v>
      </c>
      <c r="P37" s="51">
        <v>5036</v>
      </c>
      <c r="Q37" s="51">
        <v>45</v>
      </c>
    </row>
    <row r="38" ht="15" spans="1:17">
      <c r="A38" s="18" t="s">
        <v>109</v>
      </c>
      <c r="B38" s="46" t="s">
        <v>25</v>
      </c>
      <c r="C38" s="46">
        <f>COUNTIFS(表1_86121822242658[目标区服],表2_97131923252759[[#This Row],[合区区服]],表1_86121822242658[目标国家（映射）],表2_97131923252759[[#This Row],[国家]])</f>
        <v>3</v>
      </c>
      <c r="D38" s="46">
        <f>SUMIFS(表1_86121822242658[活跃高战玩家数],表1_86121822242658[目标区服],表2_97131923252759[[#This Row],[合区区服]],表1_86121822242658[目标国家（映射）],表2_97131923252759[[#This Row],[国家]])</f>
        <v>3</v>
      </c>
      <c r="E38" s="46">
        <f>SUMIFS(表1_86121822242658[活跃中坚玩家数],表1_86121822242658[目标区服],表2_97131923252759[[#This Row],[合区区服]],表1_86121822242658[目标国家（映射）],表2_97131923252759[[#This Row],[国家]])</f>
        <v>43</v>
      </c>
      <c r="F38" s="46">
        <f t="array" ref="F38">MAX((表1_86121822242658[目标区服]=表2_97131923252759[[#This Row],[合区区服]])*(表1_86121822242658[目标国家（映射）]=表2_97131923252759[[#This Row],[国家]])*表1_86121822242658[活跃尖端战力])</f>
        <v>1712380</v>
      </c>
      <c r="G38" s="47">
        <f>SUMIFS(表1_86121822242658[活跃总战力],表1_86121822242658[目标区服],表2_97131923252759[[#This Row],[合区区服]],表1_86121822242658[目标国家（映射）],表2_97131923252759[[#This Row],[国家]])</f>
        <v>26929943</v>
      </c>
      <c r="H38" s="46">
        <f>SUMIFS(表1_86121822242658[活跃实际充值],表1_86121822242658[目标区服],表2_97131923252759[[#This Row],[合区区服]],表1_86121822242658[目标国家（映射）],表2_97131923252759[[#This Row],[国家]])</f>
        <v>54554</v>
      </c>
      <c r="I38" s="46">
        <f>SUMIFS(表1_86121822242658[活跃虚拟充值],表1_86121822242658[目标区服],表2_97131923252759[[#This Row],[合区区服]],表1_86121822242658[目标国家（映射）],表2_97131923252759[[#This Row],[国家]])</f>
        <v>0</v>
      </c>
      <c r="J38" s="46">
        <f>SUMIFS(表1_86121822242658[活跃Coin],表1_86121822242658[目标区服],表2_97131923252759[[#This Row],[合区区服]],表1_86121822242658[目标国家（映射）],表2_97131923252759[[#This Row],[国家]])</f>
        <v>627748</v>
      </c>
      <c r="K38" s="46">
        <f>SUMIFS(表1_86121822242658[共计补偿Coin],表1_86121822242658[目标区服],表2_97131923252759[[#This Row],[合区区服]],表1_86121822242658[目标国家（映射）],表2_97131923252759[[#This Row],[国家]])</f>
        <v>46000</v>
      </c>
      <c r="L38" s="46">
        <f>表2_97131923252759[[#This Row],[活跃Coin]]+表2_97131923252759[[#This Row],[共计补偿Coin]]</f>
        <v>673748</v>
      </c>
      <c r="M38" s="46">
        <f>SUMIFS(表1_86121822242658[综合国力],表1_86121822242658[目标区服],表2_97131923252759[[#This Row],[合区区服]],表1_86121822242658[目标国家（映射）],表2_97131923252759[[#This Row],[国家]])</f>
        <v>12533</v>
      </c>
      <c r="N38" s="46">
        <f t="array" ref="N38">MAX((表1_86121822242658[目标区服]=表2_97131923252759[[#This Row],[合区区服]])*(表1_86121822242658[目标国家（映射）]=表2_97131923252759[[#This Row],[国家]])*表1_86121822242658[单将最高战力])</f>
        <v>586310</v>
      </c>
      <c r="P38" s="51">
        <v>5037</v>
      </c>
      <c r="Q38" s="51">
        <v>45</v>
      </c>
    </row>
    <row r="39" ht="15" spans="1:17">
      <c r="A39" s="18" t="s">
        <v>109</v>
      </c>
      <c r="B39" s="46" t="s">
        <v>26</v>
      </c>
      <c r="C39" s="46">
        <f>COUNTIFS(表1_86121822242658[目标区服],表2_97131923252759[[#This Row],[合区区服]],表1_86121822242658[目标国家（映射）],表2_97131923252759[[#This Row],[国家]])</f>
        <v>2</v>
      </c>
      <c r="D39" s="46">
        <f>SUMIFS(表1_86121822242658[活跃高战玩家数],表1_86121822242658[目标区服],表2_97131923252759[[#This Row],[合区区服]],表1_86121822242658[目标国家（映射）],表2_97131923252759[[#This Row],[国家]])</f>
        <v>7</v>
      </c>
      <c r="E39" s="46">
        <f>SUMIFS(表1_86121822242658[活跃中坚玩家数],表1_86121822242658[目标区服],表2_97131923252759[[#This Row],[合区区服]],表1_86121822242658[目标国家（映射）],表2_97131923252759[[#This Row],[国家]])</f>
        <v>36</v>
      </c>
      <c r="F39" s="46">
        <f t="array" ref="F39">MAX((表1_86121822242658[目标区服]=表2_97131923252759[[#This Row],[合区区服]])*(表1_86121822242658[目标国家（映射）]=表2_97131923252759[[#This Row],[国家]])*表1_86121822242658[活跃尖端战力])</f>
        <v>2925193</v>
      </c>
      <c r="G39" s="47">
        <f>SUMIFS(表1_86121822242658[活跃总战力],表1_86121822242658[目标区服],表2_97131923252759[[#This Row],[合区区服]],表1_86121822242658[目标国家（映射）],表2_97131923252759[[#This Row],[国家]])</f>
        <v>31745743</v>
      </c>
      <c r="H39" s="46">
        <f>SUMIFS(表1_86121822242658[活跃实际充值],表1_86121822242658[目标区服],表2_97131923252759[[#This Row],[合区区服]],表1_86121822242658[目标国家（映射）],表2_97131923252759[[#This Row],[国家]])</f>
        <v>118248</v>
      </c>
      <c r="I39" s="46">
        <f>SUMIFS(表1_86121822242658[活跃虚拟充值],表1_86121822242658[目标区服],表2_97131923252759[[#This Row],[合区区服]],表1_86121822242658[目标国家（映射）],表2_97131923252759[[#This Row],[国家]])</f>
        <v>0</v>
      </c>
      <c r="J39" s="46">
        <f>SUMIFS(表1_86121822242658[活跃Coin],表1_86121822242658[目标区服],表2_97131923252759[[#This Row],[合区区服]],表1_86121822242658[目标国家（映射）],表2_97131923252759[[#This Row],[国家]])</f>
        <v>800199</v>
      </c>
      <c r="K39" s="46">
        <f>SUMIFS(表1_86121822242658[共计补偿Coin],表1_86121822242658[目标区服],表2_97131923252759[[#This Row],[合区区服]],表1_86121822242658[目标国家（映射）],表2_97131923252759[[#This Row],[国家]])</f>
        <v>43000</v>
      </c>
      <c r="L39" s="46">
        <f>表2_97131923252759[[#This Row],[活跃Coin]]+表2_97131923252759[[#This Row],[共计补偿Coin]]</f>
        <v>843199</v>
      </c>
      <c r="M39" s="46">
        <f>SUMIFS(表1_86121822242658[综合国力],表1_86121822242658[目标区服],表2_97131923252759[[#This Row],[合区区服]],表1_86121822242658[目标国家（映射）],表2_97131923252759[[#This Row],[国家]])</f>
        <v>15130</v>
      </c>
      <c r="N39" s="46">
        <f t="array" ref="N39">MAX((表1_86121822242658[目标区服]=表2_97131923252759[[#This Row],[合区区服]])*(表1_86121822242658[目标国家（映射）]=表2_97131923252759[[#This Row],[国家]])*表1_86121822242658[单将最高战力])</f>
        <v>798982</v>
      </c>
      <c r="P39" s="51">
        <v>5038</v>
      </c>
      <c r="Q39" s="51">
        <v>44</v>
      </c>
    </row>
    <row r="40" ht="15" spans="1:17">
      <c r="A40" s="18" t="s">
        <v>109</v>
      </c>
      <c r="B40" s="48" t="s">
        <v>27</v>
      </c>
      <c r="C40" s="48">
        <f>COUNTIFS(表1_86121822242658[目标区服],表2_97131923252759[[#This Row],[合区区服]],表1_86121822242658[目标国家（映射）],表2_97131923252759[[#This Row],[国家]])</f>
        <v>1</v>
      </c>
      <c r="D40" s="48">
        <f>SUMIFS(表1_86121822242658[活跃高战玩家数],表1_86121822242658[目标区服],表2_97131923252759[[#This Row],[合区区服]],表1_86121822242658[目标国家（映射）],表2_97131923252759[[#This Row],[国家]])</f>
        <v>10</v>
      </c>
      <c r="E40" s="48">
        <f>SUMIFS(表1_86121822242658[活跃中坚玩家数],表1_86121822242658[目标区服],表2_97131923252759[[#This Row],[合区区服]],表1_86121822242658[目标国家（映射）],表2_97131923252759[[#This Row],[国家]])</f>
        <v>21</v>
      </c>
      <c r="F40" s="48">
        <f t="array" ref="F40">MAX((表1_86121822242658[目标区服]=表2_97131923252759[[#This Row],[合区区服]])*(表1_86121822242658[目标国家（映射）]=表2_97131923252759[[#This Row],[国家]])*表1_86121822242658[活跃尖端战力])</f>
        <v>3519022</v>
      </c>
      <c r="G40" s="458">
        <f>SUMIFS(表1_86121822242658[活跃总战力],表1_86121822242658[目标区服],表2_97131923252759[[#This Row],[合区区服]],表1_86121822242658[目标国家（映射）],表2_97131923252759[[#This Row],[国家]])</f>
        <v>30589281</v>
      </c>
      <c r="H40" s="48">
        <f>SUMIFS(表1_86121822242658[活跃实际充值],表1_86121822242658[目标区服],表2_97131923252759[[#This Row],[合区区服]],表1_86121822242658[目标国家（映射）],表2_97131923252759[[#This Row],[国家]])</f>
        <v>126114</v>
      </c>
      <c r="I40" s="48">
        <f>SUMIFS(表1_86121822242658[活跃虚拟充值],表1_86121822242658[目标区服],表2_97131923252759[[#This Row],[合区区服]],表1_86121822242658[目标国家（映射）],表2_97131923252759[[#This Row],[国家]])</f>
        <v>0</v>
      </c>
      <c r="J40" s="48">
        <f>SUMIFS(表1_86121822242658[活跃Coin],表1_86121822242658[目标区服],表2_97131923252759[[#This Row],[合区区服]],表1_86121822242658[目标国家（映射）],表2_97131923252759[[#This Row],[国家]])</f>
        <v>746494</v>
      </c>
      <c r="K40" s="48">
        <f>SUMIFS(表1_86121822242658[共计补偿Coin],表1_86121822242658[目标区服],表2_97131923252759[[#This Row],[合区区服]],表1_86121822242658[目标国家（映射）],表2_97131923252759[[#This Row],[国家]])</f>
        <v>31000</v>
      </c>
      <c r="L40" s="48">
        <f>表2_97131923252759[[#This Row],[活跃Coin]]+表2_97131923252759[[#This Row],[共计补偿Coin]]</f>
        <v>777494</v>
      </c>
      <c r="M40" s="48">
        <f>SUMIFS(表1_86121822242658[综合国力],表1_86121822242658[目标区服],表2_97131923252759[[#This Row],[合区区服]],表1_86121822242658[目标国家（映射）],表2_97131923252759[[#This Row],[国家]])</f>
        <v>15850</v>
      </c>
      <c r="N40" s="46">
        <f t="array" ref="N40">MAX((表1_86121822242658[目标区服]=表2_97131923252759[[#This Row],[合区区服]])*(表1_86121822242658[目标国家（映射）]=表2_97131923252759[[#This Row],[国家]])*表1_86121822242658[单将最高战力])</f>
        <v>893649</v>
      </c>
      <c r="P40" s="51">
        <v>5039</v>
      </c>
      <c r="Q40" s="51">
        <v>43</v>
      </c>
    </row>
    <row r="41" ht="15" spans="1:14">
      <c r="A41" s="626" t="s">
        <v>110</v>
      </c>
      <c r="B41" s="637" t="s">
        <v>25</v>
      </c>
      <c r="C41" s="637">
        <f>COUNTIFS(表1_86121822242658[目标区服],表2_97131923252759[[#This Row],[合区区服]],表1_86121822242658[目标国家（映射）],表2_97131923252759[[#This Row],[国家]])</f>
        <v>2</v>
      </c>
      <c r="D41" s="637">
        <f>SUMIFS(表1_86121822242658[活跃高战玩家数],表1_86121822242658[目标区服],表2_97131923252759[[#This Row],[合区区服]],表1_86121822242658[目标国家（映射）],表2_97131923252759[[#This Row],[国家]])</f>
        <v>5</v>
      </c>
      <c r="E41" s="637">
        <f>SUMIFS(表1_86121822242658[活跃中坚玩家数],表1_86121822242658[目标区服],表2_97131923252759[[#This Row],[合区区服]],表1_86121822242658[目标国家（映射）],表2_97131923252759[[#This Row],[国家]])</f>
        <v>44</v>
      </c>
      <c r="F41" s="637">
        <f t="array" ref="F41">MAX((表1_86121822242658[目标区服]=表2_97131923252759[[#This Row],[合区区服]])*(表1_86121822242658[目标国家（映射）]=表2_97131923252759[[#This Row],[国家]])*表1_86121822242658[活跃尖端战力])</f>
        <v>2264251</v>
      </c>
      <c r="G41" s="638">
        <f>SUMIFS(表1_86121822242658[活跃总战力],表1_86121822242658[目标区服],表2_97131923252759[[#This Row],[合区区服]],表1_86121822242658[目标国家（映射）],表2_97131923252759[[#This Row],[国家]])</f>
        <v>36178809</v>
      </c>
      <c r="H41" s="637">
        <f>SUMIFS(表1_86121822242658[活跃实际充值],表1_86121822242658[目标区服],表2_97131923252759[[#This Row],[合区区服]],表1_86121822242658[目标国家（映射）],表2_97131923252759[[#This Row],[国家]])</f>
        <v>55360</v>
      </c>
      <c r="I41" s="637">
        <f>SUMIFS(表1_86121822242658[活跃虚拟充值],表1_86121822242658[目标区服],表2_97131923252759[[#This Row],[合区区服]],表1_86121822242658[目标国家（映射）],表2_97131923252759[[#This Row],[国家]])</f>
        <v>0</v>
      </c>
      <c r="J41" s="637">
        <f>SUMIFS(表1_86121822242658[活跃Coin],表1_86121822242658[目标区服],表2_97131923252759[[#This Row],[合区区服]],表1_86121822242658[目标国家（映射）],表2_97131923252759[[#This Row],[国家]])</f>
        <v>713648</v>
      </c>
      <c r="K41" s="637">
        <f>SUMIFS(表1_86121822242658[共计补偿Coin],表1_86121822242658[目标区服],表2_97131923252759[[#This Row],[合区区服]],表1_86121822242658[目标国家（映射）],表2_97131923252759[[#This Row],[国家]])</f>
        <v>73500</v>
      </c>
      <c r="L41" s="637">
        <f>表2_97131923252759[[#This Row],[活跃Coin]]+表2_97131923252759[[#This Row],[共计补偿Coin]]</f>
        <v>787148</v>
      </c>
      <c r="M41" s="637">
        <f>SUMIFS(表1_86121822242658[综合国力],表1_86121822242658[目标区服],表2_97131923252759[[#This Row],[合区区服]],表1_86121822242658[目标国家（映射）],表2_97131923252759[[#This Row],[国家]])</f>
        <v>14002</v>
      </c>
      <c r="N41" s="647">
        <f t="array" ref="N41">MAX((表1_86121822242658[目标区服]=表2_97131923252759[[#This Row],[合区区服]])*(表1_86121822242658[目标国家（映射）]=表2_97131923252759[[#This Row],[国家]])*表1_86121822242658[单将最高战力])</f>
        <v>722607</v>
      </c>
    </row>
    <row r="42" ht="15" spans="1:14">
      <c r="A42" s="626" t="s">
        <v>110</v>
      </c>
      <c r="B42" s="637" t="s">
        <v>26</v>
      </c>
      <c r="C42" s="637">
        <f>COUNTIFS(表1_86121822242658[目标区服],表2_97131923252759[[#This Row],[合区区服]],表1_86121822242658[目标国家（映射）],表2_97131923252759[[#This Row],[国家]])</f>
        <v>2</v>
      </c>
      <c r="D42" s="637">
        <f>SUMIFS(表1_86121822242658[活跃高战玩家数],表1_86121822242658[目标区服],表2_97131923252759[[#This Row],[合区区服]],表1_86121822242658[目标国家（映射）],表2_97131923252759[[#This Row],[国家]])</f>
        <v>10</v>
      </c>
      <c r="E42" s="637">
        <f>SUMIFS(表1_86121822242658[活跃中坚玩家数],表1_86121822242658[目标区服],表2_97131923252759[[#This Row],[合区区服]],表1_86121822242658[目标国家（映射）],表2_97131923252759[[#This Row],[国家]])</f>
        <v>21</v>
      </c>
      <c r="F42" s="637">
        <f t="array" ref="F42">MAX((表1_86121822242658[目标区服]=表2_97131923252759[[#This Row],[合区区服]])*(表1_86121822242658[目标国家（映射）]=表2_97131923252759[[#This Row],[国家]])*表1_86121822242658[活跃尖端战力])</f>
        <v>3750599</v>
      </c>
      <c r="G42" s="638">
        <f>SUMIFS(表1_86121822242658[活跃总战力],表1_86121822242658[目标区服],表2_97131923252759[[#This Row],[合区区服]],表1_86121822242658[目标国家（映射）],表2_97131923252759[[#This Row],[国家]])</f>
        <v>37074859</v>
      </c>
      <c r="H42" s="637">
        <f>SUMIFS(表1_86121822242658[活跃实际充值],表1_86121822242658[目标区服],表2_97131923252759[[#This Row],[合区区服]],表1_86121822242658[目标国家（映射）],表2_97131923252759[[#This Row],[国家]])</f>
        <v>293156</v>
      </c>
      <c r="I42" s="637">
        <f>SUMIFS(表1_86121822242658[活跃虚拟充值],表1_86121822242658[目标区服],表2_97131923252759[[#This Row],[合区区服]],表1_86121822242658[目标国家（映射）],表2_97131923252759[[#This Row],[国家]])</f>
        <v>0</v>
      </c>
      <c r="J42" s="637">
        <f>SUMIFS(表1_86121822242658[活跃Coin],表1_86121822242658[目标区服],表2_97131923252759[[#This Row],[合区区服]],表1_86121822242658[目标国家（映射）],表2_97131923252759[[#This Row],[国家]])</f>
        <v>1041114</v>
      </c>
      <c r="K42" s="637">
        <f>SUMIFS(表1_86121822242658[共计补偿Coin],表1_86121822242658[目标区服],表2_97131923252759[[#This Row],[合区区服]],表1_86121822242658[目标国家（映射）],表2_97131923252759[[#This Row],[国家]])</f>
        <v>31000</v>
      </c>
      <c r="L42" s="637">
        <f>表2_97131923252759[[#This Row],[活跃Coin]]+表2_97131923252759[[#This Row],[共计补偿Coin]]</f>
        <v>1072114</v>
      </c>
      <c r="M42" s="637">
        <f>SUMIFS(表1_86121822242658[综合国力],表1_86121822242658[目标区服],表2_97131923252759[[#This Row],[合区区服]],表1_86121822242658[目标国家（映射）],表2_97131923252759[[#This Row],[国家]])</f>
        <v>23456</v>
      </c>
      <c r="N42" s="647">
        <f t="array" ref="N42">MAX((表1_86121822242658[目标区服]=表2_97131923252759[[#This Row],[合区区服]])*(表1_86121822242658[目标国家（映射）]=表2_97131923252759[[#This Row],[国家]])*表1_86121822242658[单将最高战力])</f>
        <v>1007181</v>
      </c>
    </row>
    <row r="43" ht="15" spans="1:14">
      <c r="A43" s="626" t="s">
        <v>110</v>
      </c>
      <c r="B43" s="639" t="s">
        <v>27</v>
      </c>
      <c r="C43" s="639">
        <f>COUNTIFS(表1_86121822242658[目标区服],表2_97131923252759[[#This Row],[合区区服]],表1_86121822242658[目标国家（映射）],表2_97131923252759[[#This Row],[国家]])</f>
        <v>2</v>
      </c>
      <c r="D43" s="639">
        <f>SUMIFS(表1_86121822242658[活跃高战玩家数],表1_86121822242658[目标区服],表2_97131923252759[[#This Row],[合区区服]],表1_86121822242658[目标国家（映射）],表2_97131923252759[[#This Row],[国家]])</f>
        <v>4</v>
      </c>
      <c r="E43" s="639">
        <f>SUMIFS(表1_86121822242658[活跃中坚玩家数],表1_86121822242658[目标区服],表2_97131923252759[[#This Row],[合区区服]],表1_86121822242658[目标国家（映射）],表2_97131923252759[[#This Row],[国家]])</f>
        <v>35</v>
      </c>
      <c r="F43" s="639">
        <f t="array" ref="F43">MAX((表1_86121822242658[目标区服]=表2_97131923252759[[#This Row],[合区区服]])*(表1_86121822242658[目标国家（映射）]=表2_97131923252759[[#This Row],[国家]])*表1_86121822242658[活跃尖端战力])</f>
        <v>2342707</v>
      </c>
      <c r="G43" s="640">
        <f>SUMIFS(表1_86121822242658[活跃总战力],表1_86121822242658[目标区服],表2_97131923252759[[#This Row],[合区区服]],表1_86121822242658[目标国家（映射）],表2_97131923252759[[#This Row],[国家]])</f>
        <v>26068384</v>
      </c>
      <c r="H43" s="639">
        <f>SUMIFS(表1_86121822242658[活跃实际充值],表1_86121822242658[目标区服],表2_97131923252759[[#This Row],[合区区服]],表1_86121822242658[目标国家（映射）],表2_97131923252759[[#This Row],[国家]])</f>
        <v>76356</v>
      </c>
      <c r="I43" s="639">
        <f>SUMIFS(表1_86121822242658[活跃虚拟充值],表1_86121822242658[目标区服],表2_97131923252759[[#This Row],[合区区服]],表1_86121822242658[目标国家（映射）],表2_97131923252759[[#This Row],[国家]])</f>
        <v>37080</v>
      </c>
      <c r="J43" s="639">
        <f>SUMIFS(表1_86121822242658[活跃Coin],表1_86121822242658[目标区服],表2_97131923252759[[#This Row],[合区区服]],表1_86121822242658[目标国家（映射）],表2_97131923252759[[#This Row],[国家]])</f>
        <v>635761</v>
      </c>
      <c r="K43" s="639">
        <f>SUMIFS(表1_86121822242658[共计补偿Coin],表1_86121822242658[目标区服],表2_97131923252759[[#This Row],[合区区服]],表1_86121822242658[目标国家（映射）],表2_97131923252759[[#This Row],[国家]])</f>
        <v>50500</v>
      </c>
      <c r="L43" s="639">
        <f>表2_97131923252759[[#This Row],[活跃Coin]]+表2_97131923252759[[#This Row],[共计补偿Coin]]</f>
        <v>686261</v>
      </c>
      <c r="M43" s="639">
        <f>SUMIFS(表1_86121822242658[综合国力],表1_86121822242658[目标区服],表2_97131923252759[[#This Row],[合区区服]],表1_86121822242658[目标国家（映射）],表2_97131923252759[[#This Row],[国家]])</f>
        <v>12103</v>
      </c>
      <c r="N43" s="648">
        <f t="array" ref="N43">MAX((表1_86121822242658[目标区服]=表2_97131923252759[[#This Row],[合区区服]])*(表1_86121822242658[目标国家（映射）]=表2_97131923252759[[#This Row],[国家]])*表1_86121822242658[单将最高战力])</f>
        <v>700590</v>
      </c>
    </row>
    <row r="49" ht="27" spans="1:13">
      <c r="A49" s="49"/>
      <c r="B49" s="50" t="s">
        <v>9</v>
      </c>
      <c r="C49" s="50" t="s">
        <v>10</v>
      </c>
      <c r="D49" s="50" t="s">
        <v>11</v>
      </c>
      <c r="E49" s="50" t="s">
        <v>12</v>
      </c>
      <c r="F49" s="50" t="s">
        <v>13</v>
      </c>
      <c r="G49" s="50" t="s">
        <v>14</v>
      </c>
      <c r="H49" s="50" t="s">
        <v>15</v>
      </c>
      <c r="I49" s="50" t="s">
        <v>18</v>
      </c>
      <c r="J49" s="50" t="s">
        <v>19</v>
      </c>
      <c r="K49" s="50" t="s">
        <v>20</v>
      </c>
      <c r="L49" s="50" t="s">
        <v>21</v>
      </c>
      <c r="M49" s="50" t="s">
        <v>82</v>
      </c>
    </row>
    <row r="50" spans="1:13">
      <c r="A50" s="50" t="s">
        <v>25</v>
      </c>
      <c r="B50" s="50">
        <v>0</v>
      </c>
      <c r="C50" s="50">
        <v>18</v>
      </c>
      <c r="D50" s="50">
        <v>0</v>
      </c>
      <c r="E50" s="50">
        <v>5</v>
      </c>
      <c r="F50" s="50">
        <v>14759</v>
      </c>
      <c r="G50" s="50">
        <v>694468</v>
      </c>
      <c r="H50" s="50">
        <v>2276991</v>
      </c>
      <c r="I50" s="50">
        <v>126</v>
      </c>
      <c r="J50" s="50">
        <v>0</v>
      </c>
      <c r="K50" s="50">
        <v>48085</v>
      </c>
      <c r="L50" s="50">
        <v>1203</v>
      </c>
      <c r="M50" s="50">
        <v>300005</v>
      </c>
    </row>
    <row r="51" spans="1:13">
      <c r="A51" s="50" t="s">
        <v>26</v>
      </c>
      <c r="B51" s="50">
        <v>6</v>
      </c>
      <c r="C51" s="50">
        <v>284</v>
      </c>
      <c r="D51" s="50">
        <v>5</v>
      </c>
      <c r="E51" s="50">
        <v>23</v>
      </c>
      <c r="F51" s="50">
        <v>157711</v>
      </c>
      <c r="G51" s="50">
        <v>1875597</v>
      </c>
      <c r="H51" s="50">
        <v>21283167</v>
      </c>
      <c r="I51" s="50">
        <v>13374</v>
      </c>
      <c r="J51" s="50">
        <v>0</v>
      </c>
      <c r="K51" s="50">
        <v>306128</v>
      </c>
      <c r="L51" s="50">
        <v>8786</v>
      </c>
      <c r="M51" s="50">
        <v>548621</v>
      </c>
    </row>
    <row r="52" spans="1:13">
      <c r="A52" s="50" t="s">
        <v>27</v>
      </c>
      <c r="B52" s="50">
        <v>3</v>
      </c>
      <c r="C52" s="50">
        <v>93</v>
      </c>
      <c r="D52" s="50">
        <v>4</v>
      </c>
      <c r="E52" s="50">
        <v>5</v>
      </c>
      <c r="F52" s="50">
        <v>44967</v>
      </c>
      <c r="G52" s="50">
        <v>1857145</v>
      </c>
      <c r="H52" s="50">
        <v>7113794</v>
      </c>
      <c r="I52" s="50">
        <v>22832</v>
      </c>
      <c r="J52" s="50">
        <v>0</v>
      </c>
      <c r="K52" s="50">
        <v>127677</v>
      </c>
      <c r="L52" s="50">
        <v>4772</v>
      </c>
      <c r="M52" s="50">
        <v>523344</v>
      </c>
    </row>
    <row r="53" spans="1:13">
      <c r="A53" s="50" t="s">
        <v>25</v>
      </c>
      <c r="B53" s="50">
        <v>7</v>
      </c>
      <c r="C53" s="50">
        <v>262</v>
      </c>
      <c r="D53" s="50">
        <v>5</v>
      </c>
      <c r="E53" s="50">
        <v>13</v>
      </c>
      <c r="F53" s="50">
        <v>116891</v>
      </c>
      <c r="G53" s="50">
        <v>2990059</v>
      </c>
      <c r="H53" s="50">
        <v>18300822</v>
      </c>
      <c r="I53" s="50">
        <v>80658</v>
      </c>
      <c r="J53" s="50">
        <v>0</v>
      </c>
      <c r="K53" s="50">
        <v>321976</v>
      </c>
      <c r="L53" s="50">
        <v>11305</v>
      </c>
      <c r="M53" s="50">
        <v>853922</v>
      </c>
    </row>
    <row r="54" spans="1:13">
      <c r="A54" s="50" t="s">
        <v>26</v>
      </c>
      <c r="B54" s="50">
        <v>1</v>
      </c>
      <c r="C54" s="50">
        <v>67</v>
      </c>
      <c r="D54" s="50">
        <v>4</v>
      </c>
      <c r="E54" s="50">
        <v>14</v>
      </c>
      <c r="F54" s="50">
        <v>103271</v>
      </c>
      <c r="G54" s="50">
        <v>2131770</v>
      </c>
      <c r="H54" s="50">
        <v>13679977</v>
      </c>
      <c r="I54" s="50">
        <v>41690</v>
      </c>
      <c r="J54" s="50">
        <v>0</v>
      </c>
      <c r="K54" s="50">
        <v>156785</v>
      </c>
      <c r="L54" s="50">
        <v>6115</v>
      </c>
      <c r="M54" s="50">
        <v>712573</v>
      </c>
    </row>
    <row r="55" spans="1:13">
      <c r="A55" s="50" t="s">
        <v>27</v>
      </c>
      <c r="B55" s="50">
        <v>1</v>
      </c>
      <c r="C55" s="50">
        <v>66</v>
      </c>
      <c r="D55" s="50">
        <v>1</v>
      </c>
      <c r="E55" s="50">
        <v>8</v>
      </c>
      <c r="F55" s="50">
        <v>38313</v>
      </c>
      <c r="G55" s="50">
        <v>1066126</v>
      </c>
      <c r="H55" s="50">
        <v>4624149</v>
      </c>
      <c r="I55" s="50">
        <v>1058</v>
      </c>
      <c r="J55" s="50">
        <v>0</v>
      </c>
      <c r="K55" s="50">
        <v>35462</v>
      </c>
      <c r="L55" s="50">
        <v>2529</v>
      </c>
      <c r="M55" s="50">
        <v>373011</v>
      </c>
    </row>
    <row r="56" spans="1:13">
      <c r="A56" s="50" t="s">
        <v>25</v>
      </c>
      <c r="B56" s="50">
        <v>1</v>
      </c>
      <c r="C56" s="50">
        <v>72</v>
      </c>
      <c r="D56" s="50">
        <v>2</v>
      </c>
      <c r="E56" s="50">
        <v>17</v>
      </c>
      <c r="F56" s="50">
        <v>60500</v>
      </c>
      <c r="G56" s="50">
        <v>1410711</v>
      </c>
      <c r="H56" s="50">
        <v>11965929</v>
      </c>
      <c r="I56" s="50">
        <v>8964</v>
      </c>
      <c r="J56" s="50">
        <v>0</v>
      </c>
      <c r="K56" s="50">
        <v>128261</v>
      </c>
      <c r="L56" s="50">
        <v>4062</v>
      </c>
      <c r="M56" s="50">
        <v>424358</v>
      </c>
    </row>
    <row r="57" spans="1:13">
      <c r="A57" s="50" t="s">
        <v>26</v>
      </c>
      <c r="B57" s="50">
        <v>2</v>
      </c>
      <c r="C57" s="50">
        <v>108</v>
      </c>
      <c r="D57" s="50">
        <v>1</v>
      </c>
      <c r="E57" s="50">
        <v>21</v>
      </c>
      <c r="F57" s="50">
        <v>89531</v>
      </c>
      <c r="G57" s="50">
        <v>1675118</v>
      </c>
      <c r="H57" s="50">
        <v>16302618</v>
      </c>
      <c r="I57" s="50">
        <v>26358</v>
      </c>
      <c r="J57" s="50">
        <v>0</v>
      </c>
      <c r="K57" s="50">
        <v>326258</v>
      </c>
      <c r="L57" s="50">
        <v>5986</v>
      </c>
      <c r="M57" s="50">
        <v>662397</v>
      </c>
    </row>
    <row r="58" spans="1:13">
      <c r="A58" s="50" t="s">
        <v>27</v>
      </c>
      <c r="B58" s="50">
        <v>6</v>
      </c>
      <c r="C58" s="50">
        <v>215</v>
      </c>
      <c r="D58" s="50">
        <v>5</v>
      </c>
      <c r="E58" s="50">
        <v>15</v>
      </c>
      <c r="F58" s="50">
        <v>117350</v>
      </c>
      <c r="G58" s="50">
        <v>2869640</v>
      </c>
      <c r="H58" s="50">
        <v>21154297</v>
      </c>
      <c r="I58" s="50">
        <v>120852</v>
      </c>
      <c r="J58" s="50">
        <v>0</v>
      </c>
      <c r="K58" s="50">
        <v>760975</v>
      </c>
      <c r="L58" s="50">
        <v>12327</v>
      </c>
      <c r="M58" s="50">
        <v>814091</v>
      </c>
    </row>
    <row r="59" spans="1:13">
      <c r="A59" s="50" t="s">
        <v>25</v>
      </c>
      <c r="B59" s="50">
        <v>4</v>
      </c>
      <c r="C59" s="50">
        <v>134</v>
      </c>
      <c r="D59" s="50">
        <v>3</v>
      </c>
      <c r="E59" s="50">
        <v>21</v>
      </c>
      <c r="F59" s="50">
        <v>99582</v>
      </c>
      <c r="G59" s="50">
        <v>3665189</v>
      </c>
      <c r="H59" s="50">
        <v>21320804</v>
      </c>
      <c r="I59" s="50">
        <v>129230</v>
      </c>
      <c r="J59" s="50">
        <v>0</v>
      </c>
      <c r="K59" s="50">
        <v>902156</v>
      </c>
      <c r="L59" s="50">
        <v>12363</v>
      </c>
      <c r="M59" s="50">
        <v>915027</v>
      </c>
    </row>
    <row r="60" spans="1:13">
      <c r="A60" s="50" t="s">
        <v>26</v>
      </c>
      <c r="B60" s="50">
        <v>5</v>
      </c>
      <c r="C60" s="50">
        <v>228</v>
      </c>
      <c r="D60" s="50">
        <v>6</v>
      </c>
      <c r="E60" s="50">
        <v>23</v>
      </c>
      <c r="F60" s="50">
        <v>163315</v>
      </c>
      <c r="G60" s="50">
        <v>3620957</v>
      </c>
      <c r="H60" s="50">
        <v>30588616</v>
      </c>
      <c r="I60" s="50">
        <v>262588</v>
      </c>
      <c r="J60" s="50">
        <v>0</v>
      </c>
      <c r="K60" s="50">
        <v>724044</v>
      </c>
      <c r="L60" s="50">
        <v>18516</v>
      </c>
      <c r="M60" s="50">
        <v>1249689</v>
      </c>
    </row>
    <row r="61" spans="1:13">
      <c r="A61" s="50" t="s">
        <v>27</v>
      </c>
      <c r="B61" s="50">
        <v>0</v>
      </c>
      <c r="C61" s="50">
        <v>33</v>
      </c>
      <c r="D61" s="50">
        <v>1</v>
      </c>
      <c r="E61" s="50">
        <v>6</v>
      </c>
      <c r="F61" s="50">
        <v>28234</v>
      </c>
      <c r="G61" s="50">
        <v>1439159</v>
      </c>
      <c r="H61" s="50">
        <v>4708576</v>
      </c>
      <c r="I61" s="50">
        <v>8168</v>
      </c>
      <c r="J61" s="50">
        <v>0</v>
      </c>
      <c r="K61" s="50">
        <v>34996</v>
      </c>
      <c r="L61" s="50">
        <v>2643</v>
      </c>
      <c r="M61" s="50">
        <v>495956</v>
      </c>
    </row>
    <row r="62" spans="1:13">
      <c r="A62" s="50" t="s">
        <v>25</v>
      </c>
      <c r="B62" s="50">
        <v>0</v>
      </c>
      <c r="C62" s="50">
        <v>31</v>
      </c>
      <c r="D62" s="50">
        <v>1</v>
      </c>
      <c r="E62" s="50">
        <v>12</v>
      </c>
      <c r="F62" s="50">
        <v>44412</v>
      </c>
      <c r="G62" s="50">
        <v>1429555</v>
      </c>
      <c r="H62" s="50">
        <v>8683588</v>
      </c>
      <c r="I62" s="50">
        <v>41466</v>
      </c>
      <c r="J62" s="50">
        <v>0</v>
      </c>
      <c r="K62" s="50">
        <v>114689</v>
      </c>
      <c r="L62" s="50">
        <v>4131</v>
      </c>
      <c r="M62" s="50">
        <v>497923</v>
      </c>
    </row>
    <row r="63" spans="1:13">
      <c r="A63" s="50" t="s">
        <v>26</v>
      </c>
      <c r="B63" s="50">
        <v>3</v>
      </c>
      <c r="C63" s="50">
        <v>152</v>
      </c>
      <c r="D63" s="50">
        <v>4</v>
      </c>
      <c r="E63" s="50">
        <v>22</v>
      </c>
      <c r="F63" s="50">
        <v>108522</v>
      </c>
      <c r="G63" s="50">
        <v>3101242</v>
      </c>
      <c r="H63" s="50">
        <v>22438391</v>
      </c>
      <c r="I63" s="50">
        <v>82894</v>
      </c>
      <c r="J63" s="50">
        <v>0</v>
      </c>
      <c r="K63" s="50">
        <v>451171</v>
      </c>
      <c r="L63" s="50">
        <v>10420</v>
      </c>
      <c r="M63" s="50">
        <v>894282</v>
      </c>
    </row>
    <row r="64" spans="1:13">
      <c r="A64" s="50" t="s">
        <v>27</v>
      </c>
      <c r="B64" s="50">
        <v>6</v>
      </c>
      <c r="C64" s="50">
        <v>212</v>
      </c>
      <c r="D64" s="50">
        <v>5</v>
      </c>
      <c r="E64" s="50">
        <v>22</v>
      </c>
      <c r="F64" s="50">
        <v>147001</v>
      </c>
      <c r="G64" s="50">
        <v>3362613</v>
      </c>
      <c r="H64" s="50">
        <v>28723369</v>
      </c>
      <c r="I64" s="50">
        <v>136568</v>
      </c>
      <c r="J64" s="50">
        <v>0</v>
      </c>
      <c r="K64" s="50">
        <v>396658</v>
      </c>
      <c r="L64" s="50">
        <v>13985</v>
      </c>
      <c r="M64" s="50">
        <v>877793</v>
      </c>
    </row>
    <row r="65" spans="1:13">
      <c r="A65" s="50" t="s">
        <v>25</v>
      </c>
      <c r="B65" s="50">
        <v>0</v>
      </c>
      <c r="C65" s="50">
        <v>39</v>
      </c>
      <c r="D65" s="50">
        <v>0</v>
      </c>
      <c r="E65" s="50">
        <v>13</v>
      </c>
      <c r="F65" s="50">
        <v>45702</v>
      </c>
      <c r="G65" s="50">
        <v>1204962</v>
      </c>
      <c r="H65" s="50">
        <v>7034785</v>
      </c>
      <c r="I65" s="50">
        <v>11356</v>
      </c>
      <c r="J65" s="50">
        <v>0</v>
      </c>
      <c r="K65" s="50">
        <v>127837</v>
      </c>
      <c r="L65" s="50">
        <v>2931</v>
      </c>
      <c r="M65" s="50">
        <v>417243</v>
      </c>
    </row>
    <row r="66" spans="1:13">
      <c r="A66" s="50" t="s">
        <v>26</v>
      </c>
      <c r="B66" s="50">
        <v>0</v>
      </c>
      <c r="C66" s="50">
        <v>24</v>
      </c>
      <c r="D66" s="50">
        <v>0</v>
      </c>
      <c r="E66" s="50">
        <v>17</v>
      </c>
      <c r="F66" s="50">
        <v>62205</v>
      </c>
      <c r="G66" s="50">
        <v>1138289</v>
      </c>
      <c r="H66" s="50">
        <v>9391219</v>
      </c>
      <c r="I66" s="50">
        <v>21626</v>
      </c>
      <c r="J66" s="50">
        <v>0</v>
      </c>
      <c r="K66" s="50">
        <v>196530</v>
      </c>
      <c r="L66" s="50">
        <v>3375</v>
      </c>
      <c r="M66" s="50">
        <v>295057</v>
      </c>
    </row>
    <row r="67" spans="1:13">
      <c r="A67" s="50" t="s">
        <v>27</v>
      </c>
      <c r="B67" s="50">
        <v>9</v>
      </c>
      <c r="C67" s="50">
        <v>332</v>
      </c>
      <c r="D67" s="50">
        <v>10</v>
      </c>
      <c r="E67" s="50">
        <v>21</v>
      </c>
      <c r="F67" s="50">
        <v>179239</v>
      </c>
      <c r="G67" s="50">
        <v>3519022</v>
      </c>
      <c r="H67" s="50">
        <v>30589281</v>
      </c>
      <c r="I67" s="50">
        <v>126114</v>
      </c>
      <c r="J67" s="50">
        <v>0</v>
      </c>
      <c r="K67" s="50">
        <v>746494</v>
      </c>
      <c r="L67" s="50">
        <v>15850</v>
      </c>
      <c r="M67" s="50">
        <v>893649</v>
      </c>
    </row>
    <row r="68" spans="1:13">
      <c r="A68" s="50" t="s">
        <v>25</v>
      </c>
      <c r="B68" s="50">
        <v>3</v>
      </c>
      <c r="C68" s="50">
        <v>105</v>
      </c>
      <c r="D68" s="50">
        <v>1</v>
      </c>
      <c r="E68" s="50">
        <v>13</v>
      </c>
      <c r="F68" s="50">
        <v>54673</v>
      </c>
      <c r="G68" s="50">
        <v>1712380</v>
      </c>
      <c r="H68" s="50">
        <v>8325069</v>
      </c>
      <c r="I68" s="50">
        <v>28882</v>
      </c>
      <c r="J68" s="50">
        <v>0</v>
      </c>
      <c r="K68" s="50">
        <v>271138</v>
      </c>
      <c r="L68" s="50">
        <v>5170</v>
      </c>
      <c r="M68" s="50">
        <v>586310</v>
      </c>
    </row>
    <row r="69" spans="1:13">
      <c r="A69" s="50" t="s">
        <v>26</v>
      </c>
      <c r="B69" s="50">
        <v>1</v>
      </c>
      <c r="C69" s="50">
        <v>72</v>
      </c>
      <c r="D69" s="50">
        <v>2</v>
      </c>
      <c r="E69" s="50">
        <v>17</v>
      </c>
      <c r="F69" s="50">
        <v>84189</v>
      </c>
      <c r="G69" s="50">
        <v>1491031</v>
      </c>
      <c r="H69" s="50">
        <v>11570089</v>
      </c>
      <c r="I69" s="50">
        <v>14316</v>
      </c>
      <c r="J69" s="50">
        <v>0</v>
      </c>
      <c r="K69" s="50">
        <v>228773</v>
      </c>
      <c r="L69" s="50">
        <v>4432</v>
      </c>
      <c r="M69" s="50">
        <v>495011</v>
      </c>
    </row>
    <row r="70" spans="1:13">
      <c r="A70" s="50" t="s">
        <v>27</v>
      </c>
      <c r="B70" s="50">
        <v>5</v>
      </c>
      <c r="C70" s="50">
        <v>218</v>
      </c>
      <c r="D70" s="50">
        <v>7</v>
      </c>
      <c r="E70" s="50">
        <v>19</v>
      </c>
      <c r="F70" s="50">
        <v>142950</v>
      </c>
      <c r="G70" s="50">
        <v>2925193</v>
      </c>
      <c r="H70" s="50">
        <v>22354524</v>
      </c>
      <c r="I70" s="50">
        <v>96622</v>
      </c>
      <c r="J70" s="50">
        <v>0</v>
      </c>
      <c r="K70" s="50">
        <v>603669</v>
      </c>
      <c r="L70" s="50">
        <v>11755</v>
      </c>
      <c r="M70" s="50">
        <v>798982</v>
      </c>
    </row>
    <row r="71" spans="1:13">
      <c r="A71" s="50" t="s">
        <v>25</v>
      </c>
      <c r="B71" s="50">
        <v>0</v>
      </c>
      <c r="C71" s="50">
        <v>37</v>
      </c>
      <c r="D71" s="50">
        <v>1</v>
      </c>
      <c r="E71" s="50">
        <v>9</v>
      </c>
      <c r="F71" s="50">
        <v>47641</v>
      </c>
      <c r="G71" s="50">
        <v>1378064</v>
      </c>
      <c r="H71" s="50">
        <v>6531042</v>
      </c>
      <c r="I71" s="50">
        <v>12710</v>
      </c>
      <c r="J71" s="50">
        <v>0</v>
      </c>
      <c r="K71" s="50">
        <v>70578</v>
      </c>
      <c r="L71" s="50">
        <v>3055</v>
      </c>
      <c r="M71" s="50">
        <v>362141</v>
      </c>
    </row>
    <row r="72" spans="1:13">
      <c r="A72" s="50" t="s">
        <v>26</v>
      </c>
      <c r="B72" s="50">
        <v>9</v>
      </c>
      <c r="C72" s="50">
        <v>308</v>
      </c>
      <c r="D72" s="50">
        <v>9</v>
      </c>
      <c r="E72" s="50">
        <v>12</v>
      </c>
      <c r="F72" s="50">
        <v>143542</v>
      </c>
      <c r="G72" s="50">
        <v>3750599</v>
      </c>
      <c r="H72" s="50">
        <v>30543817</v>
      </c>
      <c r="I72" s="50">
        <v>280446</v>
      </c>
      <c r="J72" s="50">
        <v>0</v>
      </c>
      <c r="K72" s="50">
        <v>970536</v>
      </c>
      <c r="L72" s="50">
        <v>20401</v>
      </c>
      <c r="M72" s="50">
        <v>1007181</v>
      </c>
    </row>
    <row r="73" spans="1:13">
      <c r="A73" s="50" t="s">
        <v>27</v>
      </c>
      <c r="B73" s="50">
        <v>0</v>
      </c>
      <c r="C73" s="50">
        <v>50</v>
      </c>
      <c r="D73" s="50">
        <v>0</v>
      </c>
      <c r="E73" s="50">
        <v>16</v>
      </c>
      <c r="F73" s="50">
        <v>47901</v>
      </c>
      <c r="G73" s="50">
        <v>1247488</v>
      </c>
      <c r="H73" s="50">
        <v>7378594</v>
      </c>
      <c r="I73" s="50">
        <v>15542</v>
      </c>
      <c r="J73" s="50">
        <v>0</v>
      </c>
      <c r="K73" s="50">
        <v>58717</v>
      </c>
      <c r="L73" s="50">
        <v>3220</v>
      </c>
      <c r="M73" s="50">
        <v>357004</v>
      </c>
    </row>
    <row r="74" spans="1:13">
      <c r="A74" s="50" t="s">
        <v>25</v>
      </c>
      <c r="B74" s="50">
        <v>5</v>
      </c>
      <c r="C74" s="50">
        <v>164</v>
      </c>
      <c r="D74" s="50">
        <v>4</v>
      </c>
      <c r="E74" s="50">
        <v>17</v>
      </c>
      <c r="F74" s="50">
        <v>106438</v>
      </c>
      <c r="G74" s="50">
        <v>2264251</v>
      </c>
      <c r="H74" s="50">
        <v>18500323</v>
      </c>
      <c r="I74" s="50">
        <v>30150</v>
      </c>
      <c r="J74" s="50">
        <v>0</v>
      </c>
      <c r="K74" s="50">
        <v>364386</v>
      </c>
      <c r="L74" s="50">
        <v>7873</v>
      </c>
      <c r="M74" s="50">
        <v>722607</v>
      </c>
    </row>
    <row r="75" spans="1:13">
      <c r="A75" s="50" t="s">
        <v>26</v>
      </c>
      <c r="B75" s="50">
        <v>1</v>
      </c>
      <c r="C75" s="50">
        <v>93</v>
      </c>
      <c r="D75" s="50">
        <v>1</v>
      </c>
      <c r="E75" s="50">
        <v>27</v>
      </c>
      <c r="F75" s="50">
        <v>94608</v>
      </c>
      <c r="G75" s="50">
        <v>1927745</v>
      </c>
      <c r="H75" s="50">
        <v>17678486</v>
      </c>
      <c r="I75" s="50">
        <v>25210</v>
      </c>
      <c r="J75" s="50">
        <v>0</v>
      </c>
      <c r="K75" s="50">
        <v>349262</v>
      </c>
      <c r="L75" s="50">
        <v>6129</v>
      </c>
      <c r="M75" s="50">
        <v>517983</v>
      </c>
    </row>
    <row r="76" spans="1:13">
      <c r="A76" s="50" t="s">
        <v>27</v>
      </c>
      <c r="B76" s="50">
        <v>3</v>
      </c>
      <c r="C76" s="50">
        <v>138</v>
      </c>
      <c r="D76" s="50">
        <v>4</v>
      </c>
      <c r="E76" s="50">
        <v>19</v>
      </c>
      <c r="F76" s="50">
        <v>101680</v>
      </c>
      <c r="G76" s="50">
        <v>2342707</v>
      </c>
      <c r="H76" s="50">
        <v>18689790</v>
      </c>
      <c r="I76" s="50">
        <v>60814</v>
      </c>
      <c r="J76" s="50">
        <v>37080</v>
      </c>
      <c r="K76" s="50">
        <v>577044</v>
      </c>
      <c r="L76" s="50">
        <v>8883</v>
      </c>
      <c r="M76" s="50">
        <v>700590</v>
      </c>
    </row>
  </sheetData>
  <conditionalFormatting sqref="F32:F34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{88972509-501b-4c0a-8f46-5899bc90ff4b}</x14:id>
        </ext>
      </extLst>
    </cfRule>
  </conditionalFormatting>
  <conditionalFormatting sqref="F35:F37">
    <cfRule type="dataBar" priority="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{a94fdbad-eb0e-4716-aa2c-dd0be0946482}</x14:id>
        </ext>
      </extLst>
    </cfRule>
  </conditionalFormatting>
  <conditionalFormatting sqref="F38:F40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{4f0730bd-cce6-4ef9-ab21-2300a49e257e}</x14:id>
        </ext>
      </extLst>
    </cfRule>
  </conditionalFormatting>
  <conditionalFormatting sqref="F41:F43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{844f8e52-03ea-4f00-95fa-ef26645c6400}</x14:id>
        </ext>
      </extLst>
    </cfRule>
  </conditionalFormatting>
  <conditionalFormatting sqref="G32:G34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{4da785f9-8081-4b83-87a8-fbda5d4aed27}</x14:id>
        </ext>
      </extLst>
    </cfRule>
  </conditionalFormatting>
  <conditionalFormatting sqref="G35:G37">
    <cfRule type="dataBar" priority="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{95ae5b0a-b881-49ed-8911-757809058e23}</x14:id>
        </ext>
      </extLst>
    </cfRule>
  </conditionalFormatting>
  <conditionalFormatting sqref="G38:G40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{679b8213-0508-48da-89fb-9dff5cc5b00f}</x14:id>
        </ext>
      </extLst>
    </cfRule>
  </conditionalFormatting>
  <conditionalFormatting sqref="G41:G4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{bed80399-44d9-4e1a-bdda-c79e2e038093}</x14:id>
        </ext>
      </extLst>
    </cfRule>
  </conditionalFormatting>
  <conditionalFormatting sqref="N32:N4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{e3238198-c18f-48c3-88b3-e9a3a703a5ca}</x14:id>
        </ext>
      </extLst>
    </cfRule>
  </conditionalFormatting>
  <conditionalFormatting sqref="N41:N43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{4b8c52d4-ee68-45c1-98f4-761745eb3fea}</x14:id>
        </ext>
      </extLst>
    </cfRule>
  </conditionalFormatting>
  <conditionalFormatting sqref="O8:O10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{bb09888a-3657-414f-8fd4-adb30039d89d}</x14:id>
        </ext>
      </extLst>
    </cfRule>
  </conditionalFormatting>
  <conditionalFormatting sqref="O23:O25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{1a3c1499-9ad5-4005-962c-a296e44499ed}</x14:id>
        </ext>
      </extLst>
    </cfRule>
  </conditionalFormatting>
  <conditionalFormatting sqref="O26:O28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{6ab1a302-522f-4ac2-b3e5-de42601ba979}</x14:id>
        </ext>
      </extLst>
    </cfRule>
  </conditionalFormatting>
  <conditionalFormatting sqref="P8:P10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{1e38f42e-4895-4fd5-a0ee-612ad1aaf533}</x14:id>
        </ext>
      </extLst>
    </cfRule>
  </conditionalFormatting>
  <conditionalFormatting sqref="P23:P25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{2d475f60-af7c-4766-82a2-a01ed7963bc0}</x14:id>
        </ext>
      </extLst>
    </cfRule>
  </conditionalFormatting>
  <conditionalFormatting sqref="P26:P28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{7240362c-1b93-4c4e-b493-fb9d777d11fa}</x14:id>
        </ext>
      </extLst>
    </cfRule>
  </conditionalFormatting>
  <conditionalFormatting sqref="P32:P40">
    <cfRule type="cellIs" dxfId="37" priority="18" operator="equal">
      <formula>$S$32</formula>
    </cfRule>
  </conditionalFormatting>
  <conditionalFormatting sqref="Q8:Q10">
    <cfRule type="cellIs" dxfId="38" priority="1" operator="equal">
      <formula>配置!$D$4</formula>
    </cfRule>
    <cfRule type="cellIs" dxfId="39" priority="2" operator="equal">
      <formula>配置!$D$3</formula>
    </cfRule>
    <cfRule type="cellIs" dxfId="37" priority="3" operator="equal">
      <formula>配置!$D$2</formula>
    </cfRule>
  </conditionalFormatting>
  <conditionalFormatting sqref="Q26:Q28">
    <cfRule type="cellIs" dxfId="38" priority="13" operator="equal">
      <formula>配置!$D$4</formula>
    </cfRule>
    <cfRule type="cellIs" dxfId="39" priority="14" operator="equal">
      <formula>配置!$D$3</formula>
    </cfRule>
    <cfRule type="cellIs" dxfId="37" priority="15" operator="equal">
      <formula>配置!$D$2</formula>
    </cfRule>
  </conditionalFormatting>
  <conditionalFormatting sqref="R32:R35">
    <cfRule type="cellIs" dxfId="37" priority="19" operator="equal">
      <formula>$S$32</formula>
    </cfRule>
  </conditionalFormatting>
  <conditionalFormatting sqref="O29:O30 Q1:R1 Q2 Q4:Q5 Q7 Q13:Q14 Q16:Q17 Q19:Q20 Q22:Q23 Q25 Q11">
    <cfRule type="cellIs" dxfId="37" priority="35" operator="equal">
      <formula>配置!$D$2</formula>
    </cfRule>
  </conditionalFormatting>
  <conditionalFormatting sqref="O2:O7 O11:O22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{4b66e03b-e265-4686-a1f6-c28b55754e20}</x14:id>
        </ext>
      </extLst>
    </cfRule>
  </conditionalFormatting>
  <conditionalFormatting sqref="P2:P7 P11:P2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{c10c78f1-d620-4b76-ba62-b44f92ae6000}</x14:id>
        </ext>
      </extLst>
    </cfRule>
  </conditionalFormatting>
  <conditionalFormatting sqref="Q2 Q4:Q5 Q7 Q13:Q14 Q16:Q17 Q19:Q20 Q22:Q23 Q25 Q11">
    <cfRule type="cellIs" dxfId="38" priority="34" operator="equal">
      <formula>配置!$D$4</formula>
    </cfRule>
  </conditionalFormatting>
  <conditionalFormatting sqref="Q2:Q7 Q11:Q28">
    <cfRule type="cellIs" dxfId="38" priority="25" operator="equal">
      <formula>配置!$D$4</formula>
    </cfRule>
    <cfRule type="cellIs" dxfId="39" priority="26" operator="equal">
      <formula>配置!$D$3</formula>
    </cfRule>
    <cfRule type="cellIs" dxfId="37" priority="27" operator="equal">
      <formula>配置!$D$2</formula>
    </cfRule>
  </conditionalFormatting>
  <conditionalFormatting sqref="Q8 Q10">
    <cfRule type="cellIs" dxfId="38" priority="6" operator="equal">
      <formula>配置!$D$4</formula>
    </cfRule>
    <cfRule type="cellIs" dxfId="37" priority="7" operator="equal">
      <formula>配置!$D$2</formula>
    </cfRule>
  </conditionalFormatting>
  <conditionalFormatting sqref="Q26 Q28">
    <cfRule type="cellIs" dxfId="38" priority="16" operator="equal">
      <formula>配置!$D$4</formula>
    </cfRule>
    <cfRule type="cellIs" dxfId="37" priority="17" operator="equal">
      <formula>配置!$D$2</formula>
    </cfRule>
  </conditionalFormatting>
  <dataValidations count="1">
    <dataValidation type="list" allowBlank="1" showInputMessage="1" showErrorMessage="1" sqref="Q2:Q28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8972509-501b-4c0a-8f46-5899bc90ff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a94fdbad-eb0e-4716-aa2c-dd0be09464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F35:F37</xm:sqref>
        </x14:conditionalFormatting>
        <x14:conditionalFormatting xmlns:xm="http://schemas.microsoft.com/office/excel/2006/main">
          <x14:cfRule type="dataBar" id="{4f0730bd-cce6-4ef9-ab21-2300a49e25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F38:F40</xm:sqref>
        </x14:conditionalFormatting>
        <x14:conditionalFormatting xmlns:xm="http://schemas.microsoft.com/office/excel/2006/main">
          <x14:cfRule type="dataBar" id="{844f8e52-03ea-4f00-95fa-ef26645c64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F41:F43</xm:sqref>
        </x14:conditionalFormatting>
        <x14:conditionalFormatting xmlns:xm="http://schemas.microsoft.com/office/excel/2006/main">
          <x14:cfRule type="dataBar" id="{4da785f9-8081-4b83-87a8-fbda5d4aed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95ae5b0a-b881-49ed-8911-757809058e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G35:G37</xm:sqref>
        </x14:conditionalFormatting>
        <x14:conditionalFormatting xmlns:xm="http://schemas.microsoft.com/office/excel/2006/main">
          <x14:cfRule type="dataBar" id="{679b8213-0508-48da-89fb-9dff5cc5b0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G38:G40</xm:sqref>
        </x14:conditionalFormatting>
        <x14:conditionalFormatting xmlns:xm="http://schemas.microsoft.com/office/excel/2006/main">
          <x14:cfRule type="dataBar" id="{bed80399-44d9-4e1a-bdda-c79e2e0380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G41:G43</xm:sqref>
        </x14:conditionalFormatting>
        <x14:conditionalFormatting xmlns:xm="http://schemas.microsoft.com/office/excel/2006/main">
          <x14:cfRule type="dataBar" id="{e3238198-c18f-48c3-88b3-e9a3a703a5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N32:N43</xm:sqref>
        </x14:conditionalFormatting>
        <x14:conditionalFormatting xmlns:xm="http://schemas.microsoft.com/office/excel/2006/main">
          <x14:cfRule type="dataBar" id="{4b8c52d4-ee68-45c1-98f4-761745eb3f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N41:N43</xm:sqref>
        </x14:conditionalFormatting>
        <x14:conditionalFormatting xmlns:xm="http://schemas.microsoft.com/office/excel/2006/main">
          <x14:cfRule type="dataBar" id="{bb09888a-3657-414f-8fd4-adb30039d8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O8:O10</xm:sqref>
        </x14:conditionalFormatting>
        <x14:conditionalFormatting xmlns:xm="http://schemas.microsoft.com/office/excel/2006/main">
          <x14:cfRule type="dataBar" id="{1a3c1499-9ad5-4005-962c-a296e44499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O23:O25</xm:sqref>
        </x14:conditionalFormatting>
        <x14:conditionalFormatting xmlns:xm="http://schemas.microsoft.com/office/excel/2006/main">
          <x14:cfRule type="dataBar" id="{6ab1a302-522f-4ac2-b3e5-de42601ba9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O26:O28</xm:sqref>
        </x14:conditionalFormatting>
        <x14:conditionalFormatting xmlns:xm="http://schemas.microsoft.com/office/excel/2006/main">
          <x14:cfRule type="dataBar" id="{1e38f42e-4895-4fd5-a0ee-612ad1aaf5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P8:P10</xm:sqref>
        </x14:conditionalFormatting>
        <x14:conditionalFormatting xmlns:xm="http://schemas.microsoft.com/office/excel/2006/main">
          <x14:cfRule type="dataBar" id="{2d475f60-af7c-4766-82a2-a01ed7963bc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P23:P25</xm:sqref>
        </x14:conditionalFormatting>
        <x14:conditionalFormatting xmlns:xm="http://schemas.microsoft.com/office/excel/2006/main">
          <x14:cfRule type="dataBar" id="{7240362c-1b93-4c4e-b493-fb9d777d11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P26:P28</xm:sqref>
        </x14:conditionalFormatting>
        <x14:conditionalFormatting xmlns:xm="http://schemas.microsoft.com/office/excel/2006/main">
          <x14:cfRule type="dataBar" id="{4b66e03b-e265-4686-a1f6-c28b55754e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O2:O7 O11:O22</xm:sqref>
        </x14:conditionalFormatting>
        <x14:conditionalFormatting xmlns:xm="http://schemas.microsoft.com/office/excel/2006/main">
          <x14:cfRule type="dataBar" id="{c10c78f1-d620-4b76-ba62-b44f92ae60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P2:P7 P11:P22</xm:sqref>
        </x14:conditionalFormatting>
      </x14:conditionalFormatting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/>
  </sheetPr>
  <dimension ref="A1:Y61"/>
  <sheetViews>
    <sheetView workbookViewId="0">
      <selection activeCell="F11" sqref="F11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1">
        <v>128</v>
      </c>
      <c r="B2" s="371">
        <f>VLOOKUP(表1_86121822242660[[#This Row],[区服]],$P$26:$Q$33,2,FALSE)</f>
        <v>58</v>
      </c>
      <c r="C2" s="372" t="s">
        <v>111</v>
      </c>
      <c r="D2" s="373" t="str">
        <f>表1_86121822242660[[#This Row],[目标国家]]</f>
        <v>魏</v>
      </c>
      <c r="E2" s="374">
        <f>(VLOOKUP(表1_86121822242660[[#This Row],[目标区服]],$R$26:$S$29,2,FALSE)-表1_86121822242660[[#This Row],[开服天数]])*配置!$B$1</f>
        <v>1000</v>
      </c>
      <c r="F2" s="374">
        <f>表1_86121822242660[[#This Row],[补偿Coin]]*(表1_86121822242660[[#This Row],[活跃高战玩家数]]+表1_86121822242660[[#This Row],[活跃中坚玩家数]])</f>
        <v>21000</v>
      </c>
      <c r="G2" s="374">
        <f>(VLOOKUP(表1_86121822242660[[#This Row],[目标区服]],$R$26:$S$29,2,FALSE)-表1_86121822242660[[#This Row],[开服天数]])*配置!$B$2</f>
        <v>10</v>
      </c>
      <c r="H2" s="376" t="s">
        <v>25</v>
      </c>
      <c r="I2" s="376">
        <f>IF(表1_86121822242660[[#This Row],[原国家]]="魏",0,IF(表1_86121822242660[[#This Row],[原国家]]="蜀",1,2))</f>
        <v>0</v>
      </c>
      <c r="J2" s="380">
        <v>2</v>
      </c>
      <c r="K2" s="380">
        <v>84</v>
      </c>
      <c r="L2" s="380">
        <v>2</v>
      </c>
      <c r="M2" s="380">
        <v>19</v>
      </c>
      <c r="N2" s="380">
        <v>92779</v>
      </c>
      <c r="O2" s="380">
        <v>3203767</v>
      </c>
      <c r="P2" s="381">
        <v>22052399</v>
      </c>
      <c r="Q2" s="31" t="s">
        <v>25</v>
      </c>
      <c r="R2" s="376">
        <f>IF(表1_86121822242660[[#This Row],[目标国家]]="魏",0,IF(表1_86121822242660[[#This Row],[目标国家]]="蜀",1,2))</f>
        <v>0</v>
      </c>
      <c r="S2" s="380">
        <v>78140</v>
      </c>
      <c r="T2" s="380">
        <v>0</v>
      </c>
      <c r="U2" s="380">
        <v>554249</v>
      </c>
      <c r="V2" s="380">
        <v>9534</v>
      </c>
      <c r="W2" s="374">
        <v>1144943</v>
      </c>
      <c r="X2" s="387" t="str">
        <f>"{"&amp;"'coin':"&amp;表1_86121822242660[[#This Row],[补偿Coin]]&amp;",'"&amp;配置!$A$2&amp;"':"&amp;表1_86121822242660[[#This Row],[补偿辎重]]&amp;"},"</f>
        <v>{'coin':1000,'item036':10},</v>
      </c>
      <c r="Y2" s="388" t="str">
        <f>"      '"&amp;表1_86121822242660[[#This Row],[区服]]&amp;"':{"</f>
        <v>      '128':{</v>
      </c>
    </row>
    <row r="3" s="354" customFormat="1" ht="14.25" customHeight="1" spans="1:25">
      <c r="A3" s="375">
        <v>128</v>
      </c>
      <c r="B3" s="371">
        <f>VLOOKUP(表1_86121822242660[[#This Row],[区服]],$P$26:$Q$33,2,FALSE)</f>
        <v>58</v>
      </c>
      <c r="C3" s="372" t="s">
        <v>111</v>
      </c>
      <c r="D3" s="376" t="str">
        <f>表1_86121822242660[[#This Row],[目标国家]]</f>
        <v>魏</v>
      </c>
      <c r="E3" s="380">
        <f>(VLOOKUP(表1_86121822242660[[#This Row],[目标区服]],$R$26:$S$29,2,FALSE)-表1_86121822242660[[#This Row],[开服天数]])*配置!$B$1</f>
        <v>1000</v>
      </c>
      <c r="F3" s="380">
        <f>表1_86121822242660[[#This Row],[补偿Coin]]*(表1_86121822242660[[#This Row],[活跃高战玩家数]]+表1_86121822242660[[#This Row],[活跃中坚玩家数]])</f>
        <v>30000</v>
      </c>
      <c r="G3" s="380">
        <f>(VLOOKUP(表1_86121822242660[[#This Row],[目标区服]],$R$26:$S$29,2,FALSE)-表1_86121822242660[[#This Row],[开服天数]])*配置!$B$2</f>
        <v>10</v>
      </c>
      <c r="H3" s="376" t="s">
        <v>26</v>
      </c>
      <c r="I3" s="376">
        <f>IF(表1_86121822242660[[#This Row],[原国家]]="魏",0,IF(表1_86121822242660[[#This Row],[原国家]]="蜀",1,2))</f>
        <v>1</v>
      </c>
      <c r="J3" s="380">
        <v>4</v>
      </c>
      <c r="K3" s="380">
        <v>194</v>
      </c>
      <c r="L3" s="380">
        <v>6</v>
      </c>
      <c r="M3" s="380">
        <v>24</v>
      </c>
      <c r="N3" s="380">
        <v>140585</v>
      </c>
      <c r="O3" s="380">
        <v>2974808</v>
      </c>
      <c r="P3" s="381">
        <v>32528842</v>
      </c>
      <c r="Q3" s="31" t="s">
        <v>25</v>
      </c>
      <c r="R3" s="376">
        <f>IF(表1_86121822242660[[#This Row],[目标国家]]="魏",0,IF(表1_86121822242660[[#This Row],[目标国家]]="蜀",1,2))</f>
        <v>0</v>
      </c>
      <c r="S3" s="380">
        <v>52600</v>
      </c>
      <c r="T3" s="380">
        <v>0</v>
      </c>
      <c r="U3" s="380">
        <v>712120</v>
      </c>
      <c r="V3" s="380">
        <v>11204</v>
      </c>
      <c r="W3" s="374">
        <v>1011437</v>
      </c>
      <c r="X3" s="387" t="str">
        <f>"{"&amp;"'coin':"&amp;表1_86121822242660[[#This Row],[补偿Coin]]&amp;",'"&amp;配置!$A$2&amp;"':"&amp;表1_86121822242660[[#This Row],[补偿辎重]]&amp;"},"</f>
        <v>{'coin':1000,'item036':10},</v>
      </c>
      <c r="Y3" s="388" t="str">
        <f>"            'to_zone':'"&amp;表1_86121822242660[[#This Row],[目标区服]]&amp;"',
            'reward':"&amp;表1_86121822242660[[#This Row],[辅助导出]]&amp;"
            'country':["&amp;R2&amp;","&amp;R3&amp;","&amp;R4&amp;"],"</f>
        <v>            'to_zone':'h1_54',
            'reward':{'coin':1000,'item036':10},
            'country':[0,0,2],</v>
      </c>
    </row>
    <row r="4" s="354" customFormat="1" ht="14.25" customHeight="1" spans="1:25">
      <c r="A4" s="375">
        <v>128</v>
      </c>
      <c r="B4" s="371">
        <f>VLOOKUP(表1_86121822242660[[#This Row],[区服]],$P$26:$Q$33,2,FALSE)</f>
        <v>58</v>
      </c>
      <c r="C4" s="372" t="s">
        <v>111</v>
      </c>
      <c r="D4" s="376" t="str">
        <f>表1_86121822242660[[#This Row],[目标国家]]</f>
        <v>吴</v>
      </c>
      <c r="E4" s="380">
        <f>(VLOOKUP(表1_86121822242660[[#This Row],[目标区服]],$R$26:$S$29,2,FALSE)-表1_86121822242660[[#This Row],[开服天数]])*配置!$B$1</f>
        <v>1000</v>
      </c>
      <c r="F4" s="380">
        <f>表1_86121822242660[[#This Row],[补偿Coin]]*(表1_86121822242660[[#This Row],[活跃高战玩家数]]+表1_86121822242660[[#This Row],[活跃中坚玩家数]])</f>
        <v>17000</v>
      </c>
      <c r="G4" s="380">
        <f>(VLOOKUP(表1_86121822242660[[#This Row],[目标区服]],$R$26:$S$29,2,FALSE)-表1_86121822242660[[#This Row],[开服天数]])*配置!$B$2</f>
        <v>10</v>
      </c>
      <c r="H4" s="376" t="s">
        <v>27</v>
      </c>
      <c r="I4" s="376">
        <f>IF(表1_86121822242660[[#This Row],[原国家]]="魏",0,IF(表1_86121822242660[[#This Row],[原国家]]="蜀",1,2))</f>
        <v>2</v>
      </c>
      <c r="J4" s="380">
        <v>3</v>
      </c>
      <c r="K4" s="380">
        <v>117</v>
      </c>
      <c r="L4" s="380">
        <v>1</v>
      </c>
      <c r="M4" s="380">
        <v>16</v>
      </c>
      <c r="N4" s="380">
        <v>58103</v>
      </c>
      <c r="O4" s="380">
        <v>2283372</v>
      </c>
      <c r="P4" s="381">
        <v>15615600</v>
      </c>
      <c r="Q4" s="31" t="s">
        <v>27</v>
      </c>
      <c r="R4" s="376">
        <f>IF(表1_86121822242660[[#This Row],[目标国家]]="魏",0,IF(表1_86121822242660[[#This Row],[目标国家]]="蜀",1,2))</f>
        <v>2</v>
      </c>
      <c r="S4" s="380">
        <v>52760</v>
      </c>
      <c r="T4" s="380">
        <v>128</v>
      </c>
      <c r="U4" s="380">
        <v>294548</v>
      </c>
      <c r="V4" s="380">
        <v>7336</v>
      </c>
      <c r="W4" s="374">
        <v>804640</v>
      </c>
      <c r="X4" s="387" t="str">
        <f>"{"&amp;"'coin':"&amp;表1_86121822242660[[#This Row],[补偿Coin]]&amp;",'"&amp;配置!$A$2&amp;"':"&amp;表1_86121822242660[[#This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5">
        <v>129</v>
      </c>
      <c r="B5" s="371">
        <f>VLOOKUP(表1_86121822242660[[#This Row],[区服]],$P$26:$Q$33,2,FALSE)</f>
        <v>57</v>
      </c>
      <c r="C5" s="372" t="s">
        <v>111</v>
      </c>
      <c r="D5" s="376" t="str">
        <f>表1_86121822242660[[#This Row],[目标国家]]</f>
        <v>吴</v>
      </c>
      <c r="E5" s="380">
        <f>(VLOOKUP(表1_86121822242660[[#This Row],[目标区服]],$R$26:$S$29,2,FALSE)-表1_86121822242660[[#This Row],[开服天数]])*配置!$B$1</f>
        <v>1500</v>
      </c>
      <c r="F5" s="380">
        <f>表1_86121822242660[[#This Row],[补偿Coin]]*(表1_86121822242660[[#This Row],[活跃高战玩家数]]+表1_86121822242660[[#This Row],[活跃中坚玩家数]])</f>
        <v>19500</v>
      </c>
      <c r="G5" s="380">
        <f>(VLOOKUP(表1_86121822242660[[#This Row],[目标区服]],$R$26:$S$29,2,FALSE)-表1_86121822242660[[#This Row],[开服天数]])*配置!$B$2</f>
        <v>15</v>
      </c>
      <c r="H5" s="376" t="s">
        <v>25</v>
      </c>
      <c r="I5" s="376">
        <f>IF(表1_86121822242660[[#This Row],[原国家]]="魏",0,IF(表1_86121822242660[[#This Row],[原国家]]="蜀",1,2))</f>
        <v>0</v>
      </c>
      <c r="J5" s="380">
        <v>0</v>
      </c>
      <c r="K5" s="380">
        <v>57</v>
      </c>
      <c r="L5" s="380">
        <v>0</v>
      </c>
      <c r="M5" s="380">
        <v>13</v>
      </c>
      <c r="N5" s="380">
        <v>40767</v>
      </c>
      <c r="O5" s="380">
        <v>1372005</v>
      </c>
      <c r="P5" s="381">
        <v>10965276</v>
      </c>
      <c r="Q5" s="31" t="s">
        <v>27</v>
      </c>
      <c r="R5" s="376">
        <f>IF(表1_86121822242660[[#This Row],[目标国家]]="魏",0,IF(表1_86121822242660[[#This Row],[目标国家]]="蜀",1,2))</f>
        <v>2</v>
      </c>
      <c r="S5" s="380">
        <v>18156</v>
      </c>
      <c r="T5" s="380">
        <v>0</v>
      </c>
      <c r="U5" s="380">
        <v>172679</v>
      </c>
      <c r="V5" s="380">
        <v>3873</v>
      </c>
      <c r="W5" s="374">
        <v>413418</v>
      </c>
      <c r="X5" s="387" t="str">
        <f>"{"&amp;"'coin':"&amp;表1_86121822242660[[#This Row],[补偿Coin]]&amp;",'"&amp;配置!$A$2&amp;"':"&amp;表1_86121822242660[[#This Row],[补偿辎重]]&amp;"},"</f>
        <v>{'coin':1500,'item036':15},</v>
      </c>
      <c r="Y5" s="388" t="str">
        <f>"      '"&amp;表1_86121822242660[[#This Row],[区服]]&amp;"':{"</f>
        <v>      '129':{</v>
      </c>
    </row>
    <row r="6" s="354" customFormat="1" ht="14.25" customHeight="1" spans="1:25">
      <c r="A6" s="371">
        <v>129</v>
      </c>
      <c r="B6" s="371">
        <f>VLOOKUP(表1_86121822242660[[#This Row],[区服]],$P$26:$Q$33,2,FALSE)</f>
        <v>57</v>
      </c>
      <c r="C6" s="372" t="s">
        <v>111</v>
      </c>
      <c r="D6" s="376" t="str">
        <f>表1_86121822242660[[#This Row],[目标国家]]</f>
        <v>蜀</v>
      </c>
      <c r="E6" s="380">
        <f>(VLOOKUP(表1_86121822242660[[#This Row],[目标区服]],$R$26:$S$29,2,FALSE)-表1_86121822242660[[#This Row],[开服天数]])*配置!$B$1</f>
        <v>1500</v>
      </c>
      <c r="F6" s="380">
        <f>表1_86121822242660[[#This Row],[补偿Coin]]*(表1_86121822242660[[#This Row],[活跃高战玩家数]]+表1_86121822242660[[#This Row],[活跃中坚玩家数]])</f>
        <v>58500</v>
      </c>
      <c r="G6" s="380">
        <f>(VLOOKUP(表1_86121822242660[[#This Row],[目标区服]],$R$26:$S$29,2,FALSE)-表1_86121822242660[[#This Row],[开服天数]])*配置!$B$2</f>
        <v>15</v>
      </c>
      <c r="H6" s="376" t="s">
        <v>26</v>
      </c>
      <c r="I6" s="376">
        <f>IF(表1_86121822242660[[#This Row],[原国家]]="魏",0,IF(表1_86121822242660[[#This Row],[原国家]]="蜀",1,2))</f>
        <v>1</v>
      </c>
      <c r="J6" s="380">
        <v>9</v>
      </c>
      <c r="K6" s="380">
        <v>270</v>
      </c>
      <c r="L6" s="380">
        <v>8</v>
      </c>
      <c r="M6" s="380">
        <v>31</v>
      </c>
      <c r="N6" s="380">
        <v>190157</v>
      </c>
      <c r="O6" s="380">
        <v>4064381</v>
      </c>
      <c r="P6" s="381">
        <v>50130609</v>
      </c>
      <c r="Q6" s="31" t="s">
        <v>26</v>
      </c>
      <c r="R6" s="376">
        <f>IF(表1_86121822242660[[#This Row],[目标国家]]="魏",0,IF(表1_86121822242660[[#This Row],[目标国家]]="蜀",1,2))</f>
        <v>1</v>
      </c>
      <c r="S6" s="380">
        <v>217788</v>
      </c>
      <c r="T6" s="380">
        <v>0</v>
      </c>
      <c r="U6" s="380">
        <v>809088</v>
      </c>
      <c r="V6" s="380">
        <v>20566</v>
      </c>
      <c r="W6" s="374">
        <v>1092772</v>
      </c>
      <c r="X6" s="387" t="str">
        <f>"{"&amp;"'coin':"&amp;表1_86121822242660[[#This Row],[补偿Coin]]&amp;",'"&amp;配置!$A$2&amp;"':"&amp;表1_86121822242660[[#This Row],[补偿辎重]]&amp;"},"</f>
        <v>{'coin':1500,'item036':15},</v>
      </c>
      <c r="Y6" s="388" t="str">
        <f>"            'to_zone':'"&amp;表1_86121822242660[[#This Row],[目标区服]]&amp;"',
            'reward':"&amp;表1_86121822242660[[#This Row],[辅助导出]]&amp;"
            'country':["&amp;R5&amp;","&amp;R6&amp;","&amp;R7&amp;"],"</f>
        <v>            'to_zone':'h1_54',
            'reward':{'coin':1500,'item036':15},
            'country':[2,1,2],</v>
      </c>
    </row>
    <row r="7" s="354" customFormat="1" ht="14.25" customHeight="1" spans="1:25">
      <c r="A7" s="371">
        <v>129</v>
      </c>
      <c r="B7" s="371">
        <f>VLOOKUP(表1_86121822242660[[#This Row],[区服]],$P$26:$Q$33,2,FALSE)</f>
        <v>57</v>
      </c>
      <c r="C7" s="372" t="s">
        <v>111</v>
      </c>
      <c r="D7" s="376" t="str">
        <f>表1_86121822242660[[#This Row],[目标国家]]</f>
        <v>吴</v>
      </c>
      <c r="E7" s="380">
        <f>(VLOOKUP(表1_86121822242660[[#This Row],[目标区服]],$R$26:$S$29,2,FALSE)-表1_86121822242660[[#This Row],[开服天数]])*配置!$B$1</f>
        <v>1500</v>
      </c>
      <c r="F7" s="380">
        <f>表1_86121822242660[[#This Row],[补偿Coin]]*(表1_86121822242660[[#This Row],[活跃高战玩家数]]+表1_86121822242660[[#This Row],[活跃中坚玩家数]])</f>
        <v>33000</v>
      </c>
      <c r="G7" s="380">
        <f>(VLOOKUP(表1_86121822242660[[#This Row],[目标区服]],$R$26:$S$29,2,FALSE)-表1_86121822242660[[#This Row],[开服天数]])*配置!$B$2</f>
        <v>15</v>
      </c>
      <c r="H7" s="376" t="s">
        <v>27</v>
      </c>
      <c r="I7" s="376">
        <f>IF(表1_86121822242660[[#This Row],[原国家]]="魏",0,IF(表1_86121822242660[[#This Row],[原国家]]="蜀",1,2))</f>
        <v>2</v>
      </c>
      <c r="J7" s="380">
        <v>0</v>
      </c>
      <c r="K7" s="380">
        <v>68</v>
      </c>
      <c r="L7" s="380">
        <v>1</v>
      </c>
      <c r="M7" s="380">
        <v>21</v>
      </c>
      <c r="N7" s="380">
        <v>70057</v>
      </c>
      <c r="O7" s="380">
        <v>2946149</v>
      </c>
      <c r="P7" s="381">
        <v>20861112</v>
      </c>
      <c r="Q7" s="31" t="s">
        <v>27</v>
      </c>
      <c r="R7" s="376">
        <f>IF(表1_86121822242660[[#This Row],[目标国家]]="魏",0,IF(表1_86121822242660[[#This Row],[目标国家]]="蜀",1,2))</f>
        <v>2</v>
      </c>
      <c r="S7" s="380">
        <v>128826</v>
      </c>
      <c r="T7" s="380">
        <v>30</v>
      </c>
      <c r="U7" s="380">
        <v>298616</v>
      </c>
      <c r="V7" s="380">
        <v>10076</v>
      </c>
      <c r="W7" s="374">
        <v>1059720</v>
      </c>
      <c r="X7" s="387" t="str">
        <f>"{"&amp;"'coin':"&amp;表1_86121822242660[[#This Row],[补偿Coin]]&amp;",'"&amp;配置!$A$2&amp;"':"&amp;表1_86121822242660[[#This Row],[补偿辎重]]&amp;"},"</f>
        <v>{'coin':1500,'item036':15},</v>
      </c>
      <c r="Y7" s="388" t="str">
        <f t="shared" ref="Y7" si="0">"      },"</f>
        <v>      },</v>
      </c>
    </row>
    <row r="8" s="354" customFormat="1" ht="14.25" customHeight="1" spans="1:25">
      <c r="A8" s="259">
        <v>130</v>
      </c>
      <c r="B8" s="210">
        <f>VLOOKUP(表1_86121822242660[[#This Row],[区服]],$P$26:$Q$33,2,FALSE)</f>
        <v>56</v>
      </c>
      <c r="C8" s="296" t="s">
        <v>112</v>
      </c>
      <c r="D8" s="212" t="str">
        <f>表1_86121822242660[[#This Row],[目标国家]]</f>
        <v>魏</v>
      </c>
      <c r="E8" s="213">
        <f>(VLOOKUP(表1_86121822242660[[#This Row],[目标区服]],$R$26:$S$29,2,FALSE)-表1_86121822242660[[#This Row],[开服天数]])*配置!$B$1</f>
        <v>1000</v>
      </c>
      <c r="F8" s="213">
        <f>表1_86121822242660[[#This Row],[补偿Coin]]*(表1_86121822242660[[#This Row],[活跃高战玩家数]]+表1_86121822242660[[#This Row],[活跃中坚玩家数]])</f>
        <v>15000</v>
      </c>
      <c r="G8" s="260">
        <f>(VLOOKUP(表1_86121822242660[[#This Row],[目标区服]],$R$26:$S$29,2,FALSE)-表1_86121822242660[[#This Row],[开服天数]])*配置!$B$2</f>
        <v>10</v>
      </c>
      <c r="H8" s="212" t="s">
        <v>25</v>
      </c>
      <c r="I8" s="268">
        <f>IF(表1_86121822242660[[#This Row],[原国家]]="魏",0,IF(表1_86121822242660[[#This Row],[原国家]]="蜀",1,2))</f>
        <v>0</v>
      </c>
      <c r="J8" s="213">
        <v>1</v>
      </c>
      <c r="K8" s="213">
        <v>59</v>
      </c>
      <c r="L8" s="213">
        <v>1</v>
      </c>
      <c r="M8" s="213">
        <v>14</v>
      </c>
      <c r="N8" s="213">
        <v>44379</v>
      </c>
      <c r="O8" s="419">
        <v>2940267</v>
      </c>
      <c r="P8" s="420">
        <v>13281347</v>
      </c>
      <c r="Q8" s="31" t="s">
        <v>25</v>
      </c>
      <c r="R8" s="212">
        <f>IF(表1_86121822242660[[#This Row],[目标国家]]="魏",0,IF(表1_86121822242660[[#This Row],[目标国家]]="蜀",1,2))</f>
        <v>0</v>
      </c>
      <c r="S8" s="213">
        <v>106864</v>
      </c>
      <c r="T8" s="213">
        <v>0</v>
      </c>
      <c r="U8" s="213">
        <v>427390</v>
      </c>
      <c r="V8" s="213">
        <v>8599</v>
      </c>
      <c r="W8" s="213">
        <v>1033648</v>
      </c>
      <c r="X8" s="278" t="str">
        <f>"{"&amp;"'coin':"&amp;表1_86121822242660[[#This Row],[补偿Coin]]&amp;",'"&amp;配置!$A$2&amp;"':"&amp;表1_86121822242660[[#This Row],[补偿辎重]]&amp;"},"</f>
        <v>{'coin':1000,'item036':10},</v>
      </c>
      <c r="Y8" s="278" t="str">
        <f>"      '"&amp;表1_86121822242660[[#This Row],[区服]]&amp;"':{"</f>
        <v>      '130':{</v>
      </c>
    </row>
    <row r="9" s="354" customFormat="1" ht="14.25" customHeight="1" spans="1:25">
      <c r="A9" s="259">
        <v>130</v>
      </c>
      <c r="B9" s="210">
        <f>VLOOKUP(表1_86121822242660[[#This Row],[区服]],$P$26:$Q$33,2,FALSE)</f>
        <v>56</v>
      </c>
      <c r="C9" s="296" t="s">
        <v>112</v>
      </c>
      <c r="D9" s="212" t="str">
        <f>表1_86121822242660[[#This Row],[目标国家]]</f>
        <v>蜀</v>
      </c>
      <c r="E9" s="213">
        <f>(VLOOKUP(表1_86121822242660[[#This Row],[目标区服]],$R$26:$S$29,2,FALSE)-表1_86121822242660[[#This Row],[开服天数]])*配置!$B$1</f>
        <v>1000</v>
      </c>
      <c r="F9" s="213">
        <f>表1_86121822242660[[#This Row],[补偿Coin]]*(表1_86121822242660[[#This Row],[活跃高战玩家数]]+表1_86121822242660[[#This Row],[活跃中坚玩家数]])</f>
        <v>32000</v>
      </c>
      <c r="G9" s="260">
        <f>(VLOOKUP(表1_86121822242660[[#This Row],[目标区服]],$R$26:$S$29,2,FALSE)-表1_86121822242660[[#This Row],[开服天数]])*配置!$B$2</f>
        <v>10</v>
      </c>
      <c r="H9" s="212" t="s">
        <v>26</v>
      </c>
      <c r="I9" s="268">
        <f>IF(表1_86121822242660[[#This Row],[原国家]]="魏",0,IF(表1_86121822242660[[#This Row],[原国家]]="蜀",1,2))</f>
        <v>1</v>
      </c>
      <c r="J9" s="213">
        <v>6</v>
      </c>
      <c r="K9" s="213">
        <v>224</v>
      </c>
      <c r="L9" s="213">
        <v>7</v>
      </c>
      <c r="M9" s="213">
        <v>25</v>
      </c>
      <c r="N9" s="213">
        <v>170582</v>
      </c>
      <c r="O9" s="419">
        <v>4749565</v>
      </c>
      <c r="P9" s="420">
        <v>42447383</v>
      </c>
      <c r="Q9" s="31" t="s">
        <v>26</v>
      </c>
      <c r="R9" s="212">
        <f>IF(表1_86121822242660[[#This Row],[目标国家]]="魏",0,IF(表1_86121822242660[[#This Row],[目标国家]]="蜀",1,2))</f>
        <v>1</v>
      </c>
      <c r="S9" s="213">
        <v>222652</v>
      </c>
      <c r="T9" s="213">
        <v>21626</v>
      </c>
      <c r="U9" s="213">
        <v>908977</v>
      </c>
      <c r="V9" s="213">
        <v>20037</v>
      </c>
      <c r="W9" s="213">
        <v>1357874</v>
      </c>
      <c r="X9" s="278" t="str">
        <f>"{"&amp;"'coin':"&amp;表1_86121822242660[[#This Row],[补偿Coin]]&amp;",'"&amp;配置!$A$2&amp;"':"&amp;表1_86121822242660[[#This Row],[补偿辎重]]&amp;"},"</f>
        <v>{'coin':1000,'item036':10},</v>
      </c>
      <c r="Y9" s="278" t="str">
        <f>"            'to_zone':'"&amp;表1_86121822242660[[#This Row],[目标区服]]&amp;"',
            'reward':"&amp;表1_86121822242660[[#This Row],[辅助导出]]&amp;"
            'country':["&amp;R8&amp;","&amp;R9&amp;","&amp;R10&amp;"],"</f>
        <v>            'to_zone':'h1_55',
            'reward':{'coin':1000,'item036':10},
            'country':[0,1,2],</v>
      </c>
    </row>
    <row r="10" s="354" customFormat="1" ht="14.25" customHeight="1" spans="1:25">
      <c r="A10" s="259">
        <v>130</v>
      </c>
      <c r="B10" s="210">
        <f>VLOOKUP(表1_86121822242660[[#This Row],[区服]],$P$26:$Q$33,2,FALSE)</f>
        <v>56</v>
      </c>
      <c r="C10" s="296" t="s">
        <v>112</v>
      </c>
      <c r="D10" s="212" t="str">
        <f>表1_86121822242660[[#This Row],[目标国家]]</f>
        <v>吴</v>
      </c>
      <c r="E10" s="213">
        <f>(VLOOKUP(表1_86121822242660[[#This Row],[目标区服]],$R$26:$S$29,2,FALSE)-表1_86121822242660[[#This Row],[开服天数]])*配置!$B$1</f>
        <v>1000</v>
      </c>
      <c r="F10" s="213">
        <f>表1_86121822242660[[#This Row],[补偿Coin]]*(表1_86121822242660[[#This Row],[活跃高战玩家数]]+表1_86121822242660[[#This Row],[活跃中坚玩家数]])</f>
        <v>17000</v>
      </c>
      <c r="G10" s="260">
        <f>(VLOOKUP(表1_86121822242660[[#This Row],[目标区服]],$R$26:$S$29,2,FALSE)-表1_86121822242660[[#This Row],[开服天数]])*配置!$B$2</f>
        <v>10</v>
      </c>
      <c r="H10" s="212" t="s">
        <v>27</v>
      </c>
      <c r="I10" s="268">
        <f>IF(表1_86121822242660[[#This Row],[原国家]]="魏",0,IF(表1_86121822242660[[#This Row],[原国家]]="蜀",1,2))</f>
        <v>2</v>
      </c>
      <c r="J10" s="213">
        <v>2</v>
      </c>
      <c r="K10" s="213">
        <v>112</v>
      </c>
      <c r="L10" s="213">
        <v>2</v>
      </c>
      <c r="M10" s="213">
        <v>15</v>
      </c>
      <c r="N10" s="213">
        <v>70191</v>
      </c>
      <c r="O10" s="419">
        <v>2587595</v>
      </c>
      <c r="P10" s="420">
        <v>16063108</v>
      </c>
      <c r="Q10" s="31" t="s">
        <v>27</v>
      </c>
      <c r="R10" s="212">
        <f>IF(表1_86121822242660[[#This Row],[目标国家]]="魏",0,IF(表1_86121822242660[[#This Row],[目标国家]]="蜀",1,2))</f>
        <v>2</v>
      </c>
      <c r="S10" s="213">
        <v>40968</v>
      </c>
      <c r="T10" s="213">
        <v>998</v>
      </c>
      <c r="U10" s="213">
        <v>278275</v>
      </c>
      <c r="V10" s="213">
        <v>7243</v>
      </c>
      <c r="W10" s="213">
        <v>876814</v>
      </c>
      <c r="X10" s="278" t="str">
        <f>"{"&amp;"'coin':"&amp;表1_86121822242660[[#This Row],[补偿Coin]]&amp;",'"&amp;配置!$A$2&amp;"':"&amp;表1_86121822242660[[#This Row],[补偿辎重]]&amp;"},"</f>
        <v>{'coin':1000,'item036':10},</v>
      </c>
      <c r="Y10" s="278" t="str">
        <f>"      },"</f>
        <v>      },</v>
      </c>
    </row>
    <row r="11" s="354" customFormat="1" ht="14.25" customHeight="1" spans="1:25">
      <c r="A11" s="259">
        <v>131</v>
      </c>
      <c r="B11" s="210">
        <f>VLOOKUP(表1_86121822242660[[#This Row],[区服]],$P$26:$Q$33,2,FALSE)</f>
        <v>55</v>
      </c>
      <c r="C11" s="296" t="s">
        <v>112</v>
      </c>
      <c r="D11" s="212" t="str">
        <f>表1_86121822242660[[#This Row],[目标国家]]</f>
        <v>魏</v>
      </c>
      <c r="E11" s="213">
        <f>(VLOOKUP(表1_86121822242660[[#This Row],[目标区服]],$R$26:$S$29,2,FALSE)-表1_86121822242660[[#This Row],[开服天数]])*配置!$B$1</f>
        <v>1500</v>
      </c>
      <c r="F11" s="213">
        <f>表1_86121822242660[[#This Row],[补偿Coin]]*(表1_86121822242660[[#This Row],[活跃高战玩家数]]+表1_86121822242660[[#This Row],[活跃中坚玩家数]])</f>
        <v>31500</v>
      </c>
      <c r="G11" s="260">
        <f>(VLOOKUP(表1_86121822242660[[#This Row],[目标区服]],$R$26:$S$29,2,FALSE)-表1_86121822242660[[#This Row],[开服天数]])*配置!$B$2</f>
        <v>15</v>
      </c>
      <c r="H11" s="212" t="s">
        <v>25</v>
      </c>
      <c r="I11" s="268">
        <f>IF(表1_86121822242660[[#This Row],[原国家]]="魏",0,IF(表1_86121822242660[[#This Row],[原国家]]="蜀",1,2))</f>
        <v>0</v>
      </c>
      <c r="J11" s="213">
        <v>2</v>
      </c>
      <c r="K11" s="213">
        <v>91</v>
      </c>
      <c r="L11" s="213">
        <v>2</v>
      </c>
      <c r="M11" s="213">
        <v>19</v>
      </c>
      <c r="N11" s="213">
        <v>80283</v>
      </c>
      <c r="O11" s="419">
        <v>2574267</v>
      </c>
      <c r="P11" s="420">
        <v>18704930</v>
      </c>
      <c r="Q11" s="31" t="s">
        <v>25</v>
      </c>
      <c r="R11" s="212">
        <f>IF(表1_86121822242660[[#This Row],[目标国家]]="魏",0,IF(表1_86121822242660[[#This Row],[目标国家]]="蜀",1,2))</f>
        <v>0</v>
      </c>
      <c r="S11" s="213">
        <v>20572</v>
      </c>
      <c r="T11" s="213">
        <v>0</v>
      </c>
      <c r="U11" s="213">
        <v>223269</v>
      </c>
      <c r="V11" s="213">
        <v>6684</v>
      </c>
      <c r="W11" s="213">
        <v>692539</v>
      </c>
      <c r="X11" s="278" t="str">
        <f>"{"&amp;"'coin':"&amp;表1_86121822242660[[#This Row],[补偿Coin]]&amp;",'"&amp;配置!$A$2&amp;"':"&amp;表1_86121822242660[[#This Row],[补偿辎重]]&amp;"},"</f>
        <v>{'coin':1500,'item036':15},</v>
      </c>
      <c r="Y11" s="278" t="str">
        <f>"      '"&amp;表1_86121822242660[[#This Row],[区服]]&amp;"':{"</f>
        <v>      '131':{</v>
      </c>
    </row>
    <row r="12" s="354" customFormat="1" ht="14.25" customHeight="1" spans="1:25">
      <c r="A12" s="259">
        <v>131</v>
      </c>
      <c r="B12" s="210">
        <f>VLOOKUP(表1_86121822242660[[#This Row],[区服]],$P$26:$Q$33,2,FALSE)</f>
        <v>55</v>
      </c>
      <c r="C12" s="296" t="s">
        <v>112</v>
      </c>
      <c r="D12" s="212" t="str">
        <f>表1_86121822242660[[#This Row],[目标国家]]</f>
        <v>吴</v>
      </c>
      <c r="E12" s="213">
        <f>(VLOOKUP(表1_86121822242660[[#This Row],[目标区服]],$R$26:$S$29,2,FALSE)-表1_86121822242660[[#This Row],[开服天数]])*配置!$B$1</f>
        <v>1500</v>
      </c>
      <c r="F12" s="213">
        <f>表1_86121822242660[[#This Row],[补偿Coin]]*(表1_86121822242660[[#This Row],[活跃高战玩家数]]+表1_86121822242660[[#This Row],[活跃中坚玩家数]])</f>
        <v>43500</v>
      </c>
      <c r="G12" s="260">
        <f>(VLOOKUP(表1_86121822242660[[#This Row],[目标区服]],$R$26:$S$29,2,FALSE)-表1_86121822242660[[#This Row],[开服天数]])*配置!$B$2</f>
        <v>15</v>
      </c>
      <c r="H12" s="212" t="s">
        <v>26</v>
      </c>
      <c r="I12" s="268">
        <f>IF(表1_86121822242660[[#This Row],[原国家]]="魏",0,IF(表1_86121822242660[[#This Row],[原国家]]="蜀",1,2))</f>
        <v>1</v>
      </c>
      <c r="J12" s="213">
        <v>4</v>
      </c>
      <c r="K12" s="213">
        <v>199</v>
      </c>
      <c r="L12" s="213">
        <v>4</v>
      </c>
      <c r="M12" s="213">
        <v>25</v>
      </c>
      <c r="N12" s="213">
        <v>129174</v>
      </c>
      <c r="O12" s="419">
        <v>3386877</v>
      </c>
      <c r="P12" s="420">
        <v>30753776</v>
      </c>
      <c r="Q12" s="31" t="s">
        <v>27</v>
      </c>
      <c r="R12" s="212">
        <f>IF(表1_86121822242660[[#This Row],[目标国家]]="魏",0,IF(表1_86121822242660[[#This Row],[目标国家]]="蜀",1,2))</f>
        <v>2</v>
      </c>
      <c r="S12" s="213">
        <v>148888</v>
      </c>
      <c r="T12" s="213">
        <v>0</v>
      </c>
      <c r="U12" s="213">
        <v>709109</v>
      </c>
      <c r="V12" s="213">
        <v>14319</v>
      </c>
      <c r="W12" s="213">
        <v>927773</v>
      </c>
      <c r="X12" s="278" t="str">
        <f>"{"&amp;"'coin':"&amp;表1_86121822242660[[#This Row],[补偿Coin]]&amp;",'"&amp;配置!$A$2&amp;"':"&amp;表1_86121822242660[[#This Row],[补偿辎重]]&amp;"},"</f>
        <v>{'coin':1500,'item036':15},</v>
      </c>
      <c r="Y12" s="278" t="str">
        <f>"            'to_zone':'"&amp;表1_86121822242660[[#This Row],[目标区服]]&amp;"',
            'reward':"&amp;表1_86121822242660[[#This Row],[辅助导出]]&amp;"
            'country':["&amp;R11&amp;","&amp;R12&amp;","&amp;R13&amp;"],"</f>
        <v>            'to_zone':'h1_55',
            'reward':{'coin':1500,'item036':15},
            'country':[0,2,0],</v>
      </c>
    </row>
    <row r="13" s="354" customFormat="1" ht="14.25" customHeight="1" spans="1:25">
      <c r="A13" s="259">
        <v>131</v>
      </c>
      <c r="B13" s="210">
        <f>VLOOKUP(表1_86121822242660[[#This Row],[区服]],$P$26:$Q$33,2,FALSE)</f>
        <v>55</v>
      </c>
      <c r="C13" s="296" t="s">
        <v>112</v>
      </c>
      <c r="D13" s="212" t="str">
        <f>表1_86121822242660[[#This Row],[目标国家]]</f>
        <v>魏</v>
      </c>
      <c r="E13" s="213">
        <f>(VLOOKUP(表1_86121822242660[[#This Row],[目标区服]],$R$26:$S$29,2,FALSE)-表1_86121822242660[[#This Row],[开服天数]])*配置!$B$1</f>
        <v>1500</v>
      </c>
      <c r="F13" s="213">
        <f>表1_86121822242660[[#This Row],[补偿Coin]]*(表1_86121822242660[[#This Row],[活跃高战玩家数]]+表1_86121822242660[[#This Row],[活跃中坚玩家数]])</f>
        <v>28500</v>
      </c>
      <c r="G13" s="260">
        <f>(VLOOKUP(表1_86121822242660[[#This Row],[目标区服]],$R$26:$S$29,2,FALSE)-表1_86121822242660[[#This Row],[开服天数]])*配置!$B$2</f>
        <v>15</v>
      </c>
      <c r="H13" s="212" t="s">
        <v>27</v>
      </c>
      <c r="I13" s="268">
        <f>IF(表1_86121822242660[[#This Row],[原国家]]="魏",0,IF(表1_86121822242660[[#This Row],[原国家]]="蜀",1,2))</f>
        <v>2</v>
      </c>
      <c r="J13" s="213">
        <v>3</v>
      </c>
      <c r="K13" s="213">
        <v>105</v>
      </c>
      <c r="L13" s="213">
        <v>4</v>
      </c>
      <c r="M13" s="213">
        <v>15</v>
      </c>
      <c r="N13" s="213">
        <v>84872</v>
      </c>
      <c r="O13" s="419">
        <v>3409580</v>
      </c>
      <c r="P13" s="420">
        <v>21060696</v>
      </c>
      <c r="Q13" s="31" t="s">
        <v>25</v>
      </c>
      <c r="R13" s="212">
        <f>IF(表1_86121822242660[[#This Row],[目标国家]]="魏",0,IF(表1_86121822242660[[#This Row],[目标国家]]="蜀",1,2))</f>
        <v>0</v>
      </c>
      <c r="S13" s="213">
        <v>27698</v>
      </c>
      <c r="T13" s="213">
        <v>58888</v>
      </c>
      <c r="U13" s="213">
        <v>637689</v>
      </c>
      <c r="V13" s="213">
        <v>9028</v>
      </c>
      <c r="W13" s="213">
        <v>948038</v>
      </c>
      <c r="X13" s="278" t="str">
        <f>"{"&amp;"'coin':"&amp;表1_86121822242660[[#This Row],[补偿Coin]]&amp;",'"&amp;配置!$A$2&amp;"':"&amp;表1_86121822242660[[#This Row],[补偿辎重]]&amp;"},"</f>
        <v>{'coin':1500,'item036':15},</v>
      </c>
      <c r="Y13" s="278" t="str">
        <f t="shared" ref="Y13" si="1">"      },"</f>
        <v>      },</v>
      </c>
    </row>
    <row r="14" ht="14.25" customHeight="1" spans="1:25">
      <c r="A14" s="17">
        <v>132</v>
      </c>
      <c r="B14" s="17">
        <f>VLOOKUP(表1_86121822242660[[#This Row],[区服]],$P$26:$Q$33,2,FALSE)</f>
        <v>54</v>
      </c>
      <c r="C14" s="18" t="s">
        <v>113</v>
      </c>
      <c r="D14" s="19" t="str">
        <f>表1_86121822242660[[#This Row],[目标国家]]</f>
        <v>吴</v>
      </c>
      <c r="E14" s="20">
        <f>(VLOOKUP(表1_86121822242660[[#This Row],[目标区服]],$R$26:$S$29,2,FALSE)-表1_86121822242660[[#This Row],[开服天数]])*配置!$B$1</f>
        <v>1000</v>
      </c>
      <c r="F14" s="20">
        <f>表1_86121822242660[[#This Row],[补偿Coin]]*(表1_86121822242660[[#This Row],[活跃高战玩家数]]+表1_86121822242660[[#This Row],[活跃中坚玩家数]])</f>
        <v>22000</v>
      </c>
      <c r="G14" s="20">
        <f>(VLOOKUP(表1_86121822242660[[#This Row],[目标区服]],$R$26:$S$29,2,FALSE)-表1_86121822242660[[#This Row],[开服天数]])*配置!$B$2</f>
        <v>10</v>
      </c>
      <c r="H14" s="19" t="s">
        <v>25</v>
      </c>
      <c r="I14" s="19">
        <f>IF(表1_86121822242660[[#This Row],[原国家]]="魏",0,IF(表1_86121822242660[[#This Row],[原国家]]="蜀",1,2))</f>
        <v>0</v>
      </c>
      <c r="J14" s="20">
        <v>0</v>
      </c>
      <c r="K14" s="20">
        <v>20</v>
      </c>
      <c r="L14" s="20">
        <v>0</v>
      </c>
      <c r="M14" s="20">
        <v>22</v>
      </c>
      <c r="N14" s="20">
        <v>64481</v>
      </c>
      <c r="O14" s="20">
        <v>2220295</v>
      </c>
      <c r="P14" s="26">
        <v>17205733</v>
      </c>
      <c r="Q14" s="31" t="s">
        <v>27</v>
      </c>
      <c r="R14" s="19">
        <f>IF(表1_86121822242660[[#This Row],[目标国家]]="魏",0,IF(表1_86121822242660[[#This Row],[目标国家]]="蜀",1,2))</f>
        <v>2</v>
      </c>
      <c r="S14" s="20">
        <v>30810</v>
      </c>
      <c r="T14" s="20">
        <v>0</v>
      </c>
      <c r="U14" s="20">
        <v>186404</v>
      </c>
      <c r="V14" s="20">
        <v>5480</v>
      </c>
      <c r="W14" s="32">
        <v>663830</v>
      </c>
      <c r="X14" s="33" t="str">
        <f>"{"&amp;"'coin':"&amp;表1_86121822242660[[#This Row],[补偿Coin]]&amp;",'"&amp;配置!$A$2&amp;"':"&amp;表1_86121822242660[[#This Row],[补偿辎重]]&amp;"},"</f>
        <v>{'coin':1000,'item036':10},</v>
      </c>
      <c r="Y14" s="34" t="str">
        <f>"      '"&amp;表1_86121822242660[[#This Row],[区服]]&amp;"':{"</f>
        <v>      '132':{</v>
      </c>
    </row>
    <row r="15" ht="14.25" customHeight="1" spans="1:25">
      <c r="A15" s="17">
        <v>132</v>
      </c>
      <c r="B15" s="17">
        <f>VLOOKUP(表1_86121822242660[[#This Row],[区服]],$P$26:$Q$33,2,FALSE)</f>
        <v>54</v>
      </c>
      <c r="C15" s="18" t="s">
        <v>113</v>
      </c>
      <c r="D15" s="19" t="str">
        <f>表1_86121822242660[[#This Row],[目标国家]]</f>
        <v>蜀</v>
      </c>
      <c r="E15" s="20">
        <f>(VLOOKUP(表1_86121822242660[[#This Row],[目标区服]],$R$26:$S$29,2,FALSE)-表1_86121822242660[[#This Row],[开服天数]])*配置!$B$1</f>
        <v>1000</v>
      </c>
      <c r="F15" s="20">
        <f>表1_86121822242660[[#This Row],[补偿Coin]]*(表1_86121822242660[[#This Row],[活跃高战玩家数]]+表1_86121822242660[[#This Row],[活跃中坚玩家数]])</f>
        <v>33000</v>
      </c>
      <c r="G15" s="20">
        <f>(VLOOKUP(表1_86121822242660[[#This Row],[目标区服]],$R$26:$S$29,2,FALSE)-表1_86121822242660[[#This Row],[开服天数]])*配置!$B$2</f>
        <v>10</v>
      </c>
      <c r="H15" s="19" t="s">
        <v>26</v>
      </c>
      <c r="I15" s="19">
        <f>IF(表1_86121822242660[[#This Row],[原国家]]="魏",0,IF(表1_86121822242660[[#This Row],[原国家]]="蜀",1,2))</f>
        <v>1</v>
      </c>
      <c r="J15" s="20">
        <v>9</v>
      </c>
      <c r="K15" s="20">
        <v>344</v>
      </c>
      <c r="L15" s="20">
        <v>9</v>
      </c>
      <c r="M15" s="20">
        <v>24</v>
      </c>
      <c r="N15" s="20">
        <v>167297</v>
      </c>
      <c r="O15" s="20">
        <v>4881837</v>
      </c>
      <c r="P15" s="26">
        <v>44949119</v>
      </c>
      <c r="Q15" s="31" t="s">
        <v>26</v>
      </c>
      <c r="R15" s="19">
        <f>IF(表1_86121822242660[[#This Row],[目标国家]]="魏",0,IF(表1_86121822242660[[#This Row],[目标国家]]="蜀",1,2))</f>
        <v>1</v>
      </c>
      <c r="S15" s="20">
        <v>505696</v>
      </c>
      <c r="T15" s="20">
        <v>0</v>
      </c>
      <c r="U15" s="20">
        <v>2613756</v>
      </c>
      <c r="V15" s="20">
        <v>31030</v>
      </c>
      <c r="W15" s="32">
        <v>1233947</v>
      </c>
      <c r="X15" s="33" t="str">
        <f>"{"&amp;"'coin':"&amp;表1_86121822242660[[#This Row],[补偿Coin]]&amp;",'"&amp;配置!$A$2&amp;"':"&amp;表1_86121822242660[[#This Row],[补偿辎重]]&amp;"},"</f>
        <v>{'coin':1000,'item036':10},</v>
      </c>
      <c r="Y15" s="34" t="str">
        <f>"            'to_zone':'"&amp;表1_86121822242660[[#This Row],[目标区服]]&amp;"',
            'reward':"&amp;表1_86121822242660[[#This Row],[辅助导出]]&amp;"
            'country':["&amp;R14&amp;","&amp;R15&amp;","&amp;R16&amp;"],"</f>
        <v>            'to_zone':'h1_56',
            'reward':{'coin':1000,'item036':10},
            'country':[2,1,0],</v>
      </c>
    </row>
    <row r="16" ht="14.25" customHeight="1" spans="1:25">
      <c r="A16" s="17">
        <v>132</v>
      </c>
      <c r="B16" s="17">
        <f>VLOOKUP(表1_86121822242660[[#This Row],[区服]],$P$26:$Q$33,2,FALSE)</f>
        <v>54</v>
      </c>
      <c r="C16" s="18" t="s">
        <v>113</v>
      </c>
      <c r="D16" s="19" t="str">
        <f>表1_86121822242660[[#This Row],[目标国家]]</f>
        <v>魏</v>
      </c>
      <c r="E16" s="20">
        <f>(VLOOKUP(表1_86121822242660[[#This Row],[目标区服]],$R$26:$S$29,2,FALSE)-表1_86121822242660[[#This Row],[开服天数]])*配置!$B$1</f>
        <v>1000</v>
      </c>
      <c r="F16" s="20">
        <f>表1_86121822242660[[#This Row],[补偿Coin]]*(表1_86121822242660[[#This Row],[活跃高战玩家数]]+表1_86121822242660[[#This Row],[活跃中坚玩家数]])</f>
        <v>19000</v>
      </c>
      <c r="G16" s="20">
        <f>(VLOOKUP(表1_86121822242660[[#This Row],[目标区服]],$R$26:$S$29,2,FALSE)-表1_86121822242660[[#This Row],[开服天数]])*配置!$B$2</f>
        <v>10</v>
      </c>
      <c r="H16" s="19" t="s">
        <v>27</v>
      </c>
      <c r="I16" s="19">
        <f>IF(表1_86121822242660[[#This Row],[原国家]]="魏",0,IF(表1_86121822242660[[#This Row],[原国家]]="蜀",1,2))</f>
        <v>2</v>
      </c>
      <c r="J16" s="20">
        <v>0</v>
      </c>
      <c r="K16" s="20">
        <v>31</v>
      </c>
      <c r="L16" s="20">
        <v>1</v>
      </c>
      <c r="M16" s="20">
        <v>18</v>
      </c>
      <c r="N16" s="20">
        <v>65269</v>
      </c>
      <c r="O16" s="20">
        <v>2223277</v>
      </c>
      <c r="P16" s="26">
        <v>16426997</v>
      </c>
      <c r="Q16" s="31" t="s">
        <v>25</v>
      </c>
      <c r="R16" s="19">
        <f>IF(表1_86121822242660[[#This Row],[目标国家]]="魏",0,IF(表1_86121822242660[[#This Row],[目标国家]]="蜀",1,2))</f>
        <v>0</v>
      </c>
      <c r="S16" s="20">
        <v>31274</v>
      </c>
      <c r="T16" s="20">
        <v>0</v>
      </c>
      <c r="U16" s="20">
        <v>158162</v>
      </c>
      <c r="V16" s="20">
        <v>5519</v>
      </c>
      <c r="W16" s="32">
        <v>606640</v>
      </c>
      <c r="X16" s="33" t="str">
        <f>"{"&amp;"'coin':"&amp;表1_86121822242660[[#This Row],[补偿Coin]]&amp;",'"&amp;配置!$A$2&amp;"':"&amp;表1_86121822242660[[#This Row],[补偿辎重]]&amp;"},"</f>
        <v>{'coin':1000,'item036':10},</v>
      </c>
      <c r="Y16" s="34" t="str">
        <f t="shared" ref="Y16" si="2">"      },"</f>
        <v>      },</v>
      </c>
    </row>
    <row r="17" ht="14.25" customHeight="1" spans="1:25">
      <c r="A17" s="17">
        <v>133</v>
      </c>
      <c r="B17" s="17">
        <f>VLOOKUP(表1_86121822242660[[#This Row],[区服]],$P$26:$Q$33,2,FALSE)</f>
        <v>53</v>
      </c>
      <c r="C17" s="18" t="s">
        <v>113</v>
      </c>
      <c r="D17" s="19" t="str">
        <f>表1_86121822242660[[#This Row],[目标国家]]</f>
        <v>魏</v>
      </c>
      <c r="E17" s="20">
        <f>(VLOOKUP(表1_86121822242660[[#This Row],[目标区服]],$R$26:$S$29,2,FALSE)-表1_86121822242660[[#This Row],[开服天数]])*配置!$B$1</f>
        <v>1500</v>
      </c>
      <c r="F17" s="20">
        <f>表1_86121822242660[[#This Row],[补偿Coin]]*(表1_86121822242660[[#This Row],[活跃高战玩家数]]+表1_86121822242660[[#This Row],[活跃中坚玩家数]])</f>
        <v>39000</v>
      </c>
      <c r="G17" s="20">
        <f>(VLOOKUP(表1_86121822242660[[#This Row],[目标区服]],$R$26:$S$29,2,FALSE)-表1_86121822242660[[#This Row],[开服天数]])*配置!$B$2</f>
        <v>15</v>
      </c>
      <c r="H17" s="19" t="s">
        <v>25</v>
      </c>
      <c r="I17" s="19">
        <f>IF(表1_86121822242660[[#This Row],[原国家]]="魏",0,IF(表1_86121822242660[[#This Row],[原国家]]="蜀",1,2))</f>
        <v>0</v>
      </c>
      <c r="J17" s="20">
        <v>4</v>
      </c>
      <c r="K17" s="20">
        <v>126</v>
      </c>
      <c r="L17" s="20">
        <v>4</v>
      </c>
      <c r="M17" s="20">
        <v>22</v>
      </c>
      <c r="N17" s="20">
        <v>103647</v>
      </c>
      <c r="O17" s="20">
        <v>2766390</v>
      </c>
      <c r="P17" s="26">
        <v>27586723</v>
      </c>
      <c r="Q17" s="31" t="s">
        <v>25</v>
      </c>
      <c r="R17" s="19">
        <f>IF(表1_86121822242660[[#This Row],[目标国家]]="魏",0,IF(表1_86121822242660[[#This Row],[目标国家]]="蜀",1,2))</f>
        <v>0</v>
      </c>
      <c r="S17" s="20">
        <v>108708</v>
      </c>
      <c r="T17" s="20">
        <v>0</v>
      </c>
      <c r="U17" s="20">
        <v>695492</v>
      </c>
      <c r="V17" s="20">
        <v>11312</v>
      </c>
      <c r="W17" s="32">
        <v>729886</v>
      </c>
      <c r="X17" s="33" t="str">
        <f>"{"&amp;"'coin':"&amp;表1_86121822242660[[#This Row],[补偿Coin]]&amp;",'"&amp;配置!$A$2&amp;"':"&amp;表1_86121822242660[[#This Row],[补偿辎重]]&amp;"},"</f>
        <v>{'coin':1500,'item036':15},</v>
      </c>
      <c r="Y17" s="34" t="str">
        <f>"      '"&amp;表1_86121822242660[[#This Row],[区服]]&amp;"':{"</f>
        <v>      '133':{</v>
      </c>
    </row>
    <row r="18" ht="14.25" customHeight="1" spans="1:25">
      <c r="A18" s="17">
        <v>133</v>
      </c>
      <c r="B18" s="17">
        <f>VLOOKUP(表1_86121822242660[[#This Row],[区服]],$P$26:$Q$33,2,FALSE)</f>
        <v>53</v>
      </c>
      <c r="C18" s="18" t="s">
        <v>113</v>
      </c>
      <c r="D18" s="19" t="str">
        <f>表1_86121822242660[[#This Row],[目标国家]]</f>
        <v>吴</v>
      </c>
      <c r="E18" s="20">
        <f>(VLOOKUP(表1_86121822242660[[#This Row],[目标区服]],$R$26:$S$29,2,FALSE)-表1_86121822242660[[#This Row],[开服天数]])*配置!$B$1</f>
        <v>1500</v>
      </c>
      <c r="F18" s="20">
        <f>表1_86121822242660[[#This Row],[补偿Coin]]*(表1_86121822242660[[#This Row],[活跃高战玩家数]]+表1_86121822242660[[#This Row],[活跃中坚玩家数]])</f>
        <v>37500</v>
      </c>
      <c r="G18" s="20">
        <f>(VLOOKUP(表1_86121822242660[[#This Row],[目标区服]],$R$26:$S$29,2,FALSE)-表1_86121822242660[[#This Row],[开服天数]])*配置!$B$2</f>
        <v>15</v>
      </c>
      <c r="H18" s="19" t="s">
        <v>26</v>
      </c>
      <c r="I18" s="19">
        <f>IF(表1_86121822242660[[#This Row],[原国家]]="魏",0,IF(表1_86121822242660[[#This Row],[原国家]]="蜀",1,2))</f>
        <v>1</v>
      </c>
      <c r="J18" s="20">
        <v>3</v>
      </c>
      <c r="K18" s="20">
        <v>177</v>
      </c>
      <c r="L18" s="20">
        <v>3</v>
      </c>
      <c r="M18" s="20">
        <v>22</v>
      </c>
      <c r="N18" s="20">
        <v>116173</v>
      </c>
      <c r="O18" s="20">
        <v>2553543</v>
      </c>
      <c r="P18" s="26">
        <v>27699650</v>
      </c>
      <c r="Q18" s="31" t="s">
        <v>27</v>
      </c>
      <c r="R18" s="19">
        <f>IF(表1_86121822242660[[#This Row],[目标国家]]="魏",0,IF(表1_86121822242660[[#This Row],[目标国家]]="蜀",1,2))</f>
        <v>2</v>
      </c>
      <c r="S18" s="20">
        <v>62346</v>
      </c>
      <c r="T18" s="20">
        <v>0</v>
      </c>
      <c r="U18" s="20">
        <v>653167</v>
      </c>
      <c r="V18" s="20">
        <v>10171</v>
      </c>
      <c r="W18" s="32">
        <v>789896</v>
      </c>
      <c r="X18" s="33" t="str">
        <f>"{"&amp;"'coin':"&amp;表1_86121822242660[[#This Row],[补偿Coin]]&amp;",'"&amp;配置!$A$2&amp;"':"&amp;表1_86121822242660[[#This Row],[补偿辎重]]&amp;"},"</f>
        <v>{'coin':1500,'item036':15},</v>
      </c>
      <c r="Y18" s="34" t="str">
        <f>"            'to_zone':'"&amp;表1_86121822242660[[#This Row],[目标区服]]&amp;"',
            'reward':"&amp;表1_86121822242660[[#This Row],[辅助导出]]&amp;"
            'country':["&amp;R17&amp;","&amp;R18&amp;","&amp;R19&amp;"],"</f>
        <v>            'to_zone':'h1_56',
            'reward':{'coin':1500,'item036':15},
            'country':[0,2,2],</v>
      </c>
    </row>
    <row r="19" ht="14.25" customHeight="1" spans="1:25">
      <c r="A19" s="17">
        <v>133</v>
      </c>
      <c r="B19" s="17">
        <f>VLOOKUP(表1_86121822242660[[#This Row],[区服]],$P$26:$Q$33,2,FALSE)</f>
        <v>53</v>
      </c>
      <c r="C19" s="18" t="s">
        <v>113</v>
      </c>
      <c r="D19" s="19" t="str">
        <f>表1_86121822242660[[#This Row],[目标国家]]</f>
        <v>吴</v>
      </c>
      <c r="E19" s="20">
        <f>(VLOOKUP(表1_86121822242660[[#This Row],[目标区服]],$R$26:$S$29,2,FALSE)-表1_86121822242660[[#This Row],[开服天数]])*配置!$B$1</f>
        <v>1500</v>
      </c>
      <c r="F19" s="20">
        <f>表1_86121822242660[[#This Row],[补偿Coin]]*(表1_86121822242660[[#This Row],[活跃高战玩家数]]+表1_86121822242660[[#This Row],[活跃中坚玩家数]])</f>
        <v>39000</v>
      </c>
      <c r="G19" s="20">
        <f>(VLOOKUP(表1_86121822242660[[#This Row],[目标区服]],$R$26:$S$29,2,FALSE)-表1_86121822242660[[#This Row],[开服天数]])*配置!$B$2</f>
        <v>15</v>
      </c>
      <c r="H19" s="19" t="s">
        <v>27</v>
      </c>
      <c r="I19" s="19">
        <f>IF(表1_86121822242660[[#This Row],[原国家]]="魏",0,IF(表1_86121822242660[[#This Row],[原国家]]="蜀",1,2))</f>
        <v>2</v>
      </c>
      <c r="J19" s="20">
        <v>2</v>
      </c>
      <c r="K19" s="20">
        <v>92</v>
      </c>
      <c r="L19" s="20">
        <v>2</v>
      </c>
      <c r="M19" s="20">
        <v>24</v>
      </c>
      <c r="N19" s="20">
        <v>88320</v>
      </c>
      <c r="O19" s="20">
        <v>2367588</v>
      </c>
      <c r="P19" s="26">
        <v>24421641</v>
      </c>
      <c r="Q19" s="31" t="s">
        <v>27</v>
      </c>
      <c r="R19" s="19">
        <f>IF(表1_86121822242660[[#This Row],[目标国家]]="魏",0,IF(表1_86121822242660[[#This Row],[目标国家]]="蜀",1,2))</f>
        <v>2</v>
      </c>
      <c r="S19" s="20">
        <v>67170</v>
      </c>
      <c r="T19" s="20">
        <v>0</v>
      </c>
      <c r="U19" s="20">
        <v>350732</v>
      </c>
      <c r="V19" s="20">
        <v>8561</v>
      </c>
      <c r="W19" s="32">
        <v>617975</v>
      </c>
      <c r="X19" s="33" t="str">
        <f>"{"&amp;"'coin':"&amp;表1_86121822242660[[#This Row],[补偿Coin]]&amp;",'"&amp;配置!$A$2&amp;"':"&amp;表1_86121822242660[[#This Row],[补偿辎重]]&amp;"},"</f>
        <v>{'coin':1500,'item036':15},</v>
      </c>
      <c r="Y19" s="34" t="str">
        <f t="shared" ref="Y19" si="3">"      },"</f>
        <v>      },</v>
      </c>
    </row>
    <row r="20" ht="14.25" customHeight="1" spans="1:25">
      <c r="A20" s="17"/>
      <c r="B20" s="17" t="e">
        <f>VLOOKUP(表1_86121822242660[[#This Row],[区服]],$P$26:$Q$33,2,FALSE)</f>
        <v>#N/A</v>
      </c>
      <c r="C20" s="18"/>
      <c r="D20" s="19" t="str">
        <f>表1_86121822242660[[#This Row],[目标国家]]</f>
        <v>魏</v>
      </c>
      <c r="E20" s="20" t="e">
        <f>(VLOOKUP(表1_86121822242660[[#This Row],[目标区服]],$R$26:$S$29,2,FALSE)-表1_86121822242660[[#This Row],[开服天数]])*配置!$B$1</f>
        <v>#N/A</v>
      </c>
      <c r="F20" s="20" t="e">
        <f>表1_86121822242660[[#This Row],[补偿Coin]]*(表1_86121822242660[[#This Row],[活跃高战玩家数]]+表1_86121822242660[[#This Row],[活跃中坚玩家数]])</f>
        <v>#N/A</v>
      </c>
      <c r="G20" s="20" t="e">
        <f>(VLOOKUP(表1_86121822242660[[#This Row],[目标区服]],$R$26:$S$29,2,FALSE)-表1_86121822242660[[#This Row],[开服天数]])*配置!$B$2</f>
        <v>#N/A</v>
      </c>
      <c r="H20" s="19" t="s">
        <v>25</v>
      </c>
      <c r="I20" s="19">
        <f>IF(表1_86121822242660[[#This Row],[原国家]]="魏",0,IF(表1_86121822242660[[#This Row],[原国家]]="蜀",1,2))</f>
        <v>0</v>
      </c>
      <c r="J20" s="20"/>
      <c r="K20" s="20"/>
      <c r="L20" s="20"/>
      <c r="M20" s="20"/>
      <c r="N20" s="20"/>
      <c r="O20" s="20"/>
      <c r="P20" s="26"/>
      <c r="Q20" s="31" t="s">
        <v>25</v>
      </c>
      <c r="R20" s="19">
        <f>IF(表1_86121822242660[[#This Row],[目标国家]]="魏",0,IF(表1_86121822242660[[#This Row],[目标国家]]="蜀",1,2))</f>
        <v>0</v>
      </c>
      <c r="S20" s="20"/>
      <c r="T20" s="20"/>
      <c r="U20" s="20"/>
      <c r="V20" s="20"/>
      <c r="W20" s="32"/>
      <c r="X20" s="33" t="e">
        <f>"{"&amp;"'coin':"&amp;表1_86121822242660[[#This Row],[补偿Coin]]&amp;",'"&amp;配置!$A$2&amp;"':"&amp;表1_86121822242660[[#This Row],[补偿辎重]]&amp;"},"</f>
        <v>#N/A</v>
      </c>
      <c r="Y20" s="34" t="str">
        <f>"      '"&amp;表1_86121822242660[[#This Row],[区服]]&amp;"':{"</f>
        <v>      '':{</v>
      </c>
    </row>
    <row r="21" ht="14.25" customHeight="1" spans="1:25">
      <c r="A21" s="17"/>
      <c r="B21" s="17" t="e">
        <f>VLOOKUP(表1_86121822242660[[#This Row],[区服]],$P$26:$Q$33,2,FALSE)</f>
        <v>#N/A</v>
      </c>
      <c r="C21" s="18"/>
      <c r="D21" s="19" t="str">
        <f>表1_86121822242660[[#This Row],[目标国家]]</f>
        <v>蜀</v>
      </c>
      <c r="E21" s="20" t="e">
        <f>(VLOOKUP(表1_86121822242660[[#This Row],[目标区服]],$R$26:$S$29,2,FALSE)-表1_86121822242660[[#This Row],[开服天数]])*配置!$B$1</f>
        <v>#N/A</v>
      </c>
      <c r="F21" s="20" t="e">
        <f>表1_86121822242660[[#This Row],[补偿Coin]]*(表1_86121822242660[[#This Row],[活跃高战玩家数]]+表1_86121822242660[[#This Row],[活跃中坚玩家数]])</f>
        <v>#N/A</v>
      </c>
      <c r="G21" s="20" t="e">
        <f>(VLOOKUP(表1_86121822242660[[#This Row],[目标区服]],$R$26:$S$29,2,FALSE)-表1_86121822242660[[#This Row],[开服天数]])*配置!$B$2</f>
        <v>#N/A</v>
      </c>
      <c r="H21" s="19" t="s">
        <v>26</v>
      </c>
      <c r="I21" s="19">
        <f>IF(表1_86121822242660[[#This Row],[原国家]]="魏",0,IF(表1_86121822242660[[#This Row],[原国家]]="蜀",1,2))</f>
        <v>1</v>
      </c>
      <c r="J21" s="20"/>
      <c r="K21" s="20"/>
      <c r="L21" s="20"/>
      <c r="M21" s="20"/>
      <c r="N21" s="20"/>
      <c r="O21" s="20"/>
      <c r="P21" s="26"/>
      <c r="Q21" s="31" t="s">
        <v>26</v>
      </c>
      <c r="R21" s="19">
        <f>IF(表1_86121822242660[[#This Row],[目标国家]]="魏",0,IF(表1_86121822242660[[#This Row],[目标国家]]="蜀",1,2))</f>
        <v>1</v>
      </c>
      <c r="S21" s="20"/>
      <c r="T21" s="20"/>
      <c r="U21" s="20"/>
      <c r="V21" s="20"/>
      <c r="W21" s="32"/>
      <c r="X21" s="33" t="e">
        <f>"{"&amp;"'coin':"&amp;表1_86121822242660[[#This Row],[补偿Coin]]&amp;",'"&amp;配置!$A$2&amp;"':"&amp;表1_86121822242660[[#This Row],[补偿辎重]]&amp;"},"</f>
        <v>#N/A</v>
      </c>
      <c r="Y21" s="34" t="e">
        <f>"            'to_zone':'"&amp;表1_86121822242660[[#This Row],[目标区服]]&amp;"',
            'reward':"&amp;表1_86121822242660[[#This Row],[辅助导出]]&amp;"
            'country':["&amp;R20&amp;","&amp;R21&amp;","&amp;R22&amp;"],"</f>
        <v>#N/A</v>
      </c>
    </row>
    <row r="22" ht="14.25" customHeight="1" spans="1:25">
      <c r="A22" s="17"/>
      <c r="B22" s="17" t="e">
        <f>VLOOKUP(表1_86121822242660[[#This Row],[区服]],$P$26:$Q$33,2,FALSE)</f>
        <v>#N/A</v>
      </c>
      <c r="C22" s="18"/>
      <c r="D22" s="19" t="str">
        <f>表1_86121822242660[[#This Row],[目标国家]]</f>
        <v>吴</v>
      </c>
      <c r="E22" s="20" t="e">
        <f>(VLOOKUP(表1_86121822242660[[#This Row],[目标区服]],$R$26:$S$29,2,FALSE)-表1_86121822242660[[#This Row],[开服天数]])*配置!$B$1</f>
        <v>#N/A</v>
      </c>
      <c r="F22" s="20" t="e">
        <f>表1_86121822242660[[#This Row],[补偿Coin]]*(表1_86121822242660[[#This Row],[活跃高战玩家数]]+表1_86121822242660[[#This Row],[活跃中坚玩家数]])</f>
        <v>#N/A</v>
      </c>
      <c r="G22" s="20" t="e">
        <f>(VLOOKUP(表1_86121822242660[[#This Row],[目标区服]],$R$26:$S$29,2,FALSE)-表1_86121822242660[[#This Row],[开服天数]])*配置!$B$2</f>
        <v>#N/A</v>
      </c>
      <c r="H22" s="19" t="s">
        <v>27</v>
      </c>
      <c r="I22" s="19">
        <f>IF(表1_86121822242660[[#This Row],[原国家]]="魏",0,IF(表1_86121822242660[[#This Row],[原国家]]="蜀",1,2))</f>
        <v>2</v>
      </c>
      <c r="J22" s="20"/>
      <c r="K22" s="20"/>
      <c r="L22" s="20"/>
      <c r="M22" s="20"/>
      <c r="N22" s="20"/>
      <c r="O22" s="20"/>
      <c r="P22" s="26"/>
      <c r="Q22" s="31" t="s">
        <v>27</v>
      </c>
      <c r="R22" s="19">
        <f>IF(表1_86121822242660[[#This Row],[目标国家]]="魏",0,IF(表1_86121822242660[[#This Row],[目标国家]]="蜀",1,2))</f>
        <v>2</v>
      </c>
      <c r="S22" s="20"/>
      <c r="T22" s="20"/>
      <c r="U22" s="20"/>
      <c r="V22" s="20"/>
      <c r="W22" s="32"/>
      <c r="X22" s="33" t="e">
        <f>"{"&amp;"'coin':"&amp;表1_86121822242660[[#This Row],[补偿Coin]]&amp;",'"&amp;配置!$A$2&amp;"':"&amp;表1_86121822242660[[#This Row],[补偿辎重]]&amp;"},"</f>
        <v>#N/A</v>
      </c>
      <c r="Y22" s="34" t="str">
        <f t="shared" ref="Y22" si="4">"      },"</f>
        <v>      },</v>
      </c>
    </row>
    <row r="25" ht="37.5" customHeight="1" spans="1:19">
      <c r="A25" s="36" t="s">
        <v>28</v>
      </c>
      <c r="B25" s="37" t="s">
        <v>29</v>
      </c>
      <c r="C25" s="38" t="s">
        <v>30</v>
      </c>
      <c r="D25" s="38" t="s">
        <v>31</v>
      </c>
      <c r="E25" s="38" t="s">
        <v>32</v>
      </c>
      <c r="F25" s="38" t="s">
        <v>33</v>
      </c>
      <c r="G25" s="38" t="s">
        <v>15</v>
      </c>
      <c r="H25" s="37" t="s">
        <v>18</v>
      </c>
      <c r="I25" s="37" t="s">
        <v>19</v>
      </c>
      <c r="J25" s="37" t="s">
        <v>34</v>
      </c>
      <c r="K25" s="38" t="s">
        <v>35</v>
      </c>
      <c r="L25" s="38" t="s">
        <v>36</v>
      </c>
      <c r="M25" s="38" t="s">
        <v>37</v>
      </c>
      <c r="N25" s="38" t="s">
        <v>88</v>
      </c>
      <c r="P25" s="51" t="s">
        <v>0</v>
      </c>
      <c r="Q25" s="51" t="s">
        <v>1</v>
      </c>
      <c r="R25" s="51"/>
      <c r="S25" s="51" t="s">
        <v>38</v>
      </c>
    </row>
    <row r="26" ht="15.75" customHeight="1" spans="1:19">
      <c r="A26" s="39" t="s">
        <v>111</v>
      </c>
      <c r="B26" s="39" t="s">
        <v>25</v>
      </c>
      <c r="C26" s="39">
        <f>COUNTIFS(表1_86121822242660[目标区服],表2_97131923252761[[#This Row],[合区区服]],表1_86121822242660[目标国家（映射）],表2_97131923252761[[#This Row],[国家]])</f>
        <v>2</v>
      </c>
      <c r="D26" s="39">
        <f>SUMIFS(表1_86121822242660[活跃高战玩家数],表1_86121822242660[目标区服],表2_97131923252761[[#This Row],[合区区服]],表1_86121822242660[目标国家（映射）],表2_97131923252761[[#This Row],[国家]])</f>
        <v>8</v>
      </c>
      <c r="E26" s="39">
        <f>SUMIFS(表1_86121822242660[活跃中坚玩家数],表1_86121822242660[目标区服],表2_97131923252761[[#This Row],[合区区服]],表1_86121822242660[目标国家（映射）],表2_97131923252761[[#This Row],[国家]])</f>
        <v>43</v>
      </c>
      <c r="F26" s="39">
        <f t="array" ref="F26">MAX((表1_86121822242660[目标区服]=表2_97131923252761[[#This Row],[合区区服]])*(表1_86121822242660[目标国家（映射）]=表2_97131923252761[[#This Row],[国家]])*表1_86121822242660[活跃尖端战力])</f>
        <v>3203767</v>
      </c>
      <c r="G26" s="40">
        <f>SUMIFS(表1_86121822242660[活跃总战力],表1_86121822242660[目标区服],表2_97131923252761[[#This Row],[合区区服]],表1_86121822242660[目标国家（映射）],表2_97131923252761[[#This Row],[国家]])</f>
        <v>54581241</v>
      </c>
      <c r="H26" s="39">
        <f>SUMIFS(表1_86121822242660[活跃实际充值],表1_86121822242660[目标区服],表2_97131923252761[[#This Row],[合区区服]],表1_86121822242660[目标国家（映射）],表2_97131923252761[[#This Row],[国家]])</f>
        <v>130740</v>
      </c>
      <c r="I26" s="39">
        <f>SUMIFS(表1_86121822242660[活跃虚拟充值],表1_86121822242660[目标区服],表2_97131923252761[[#This Row],[合区区服]],表1_86121822242660[目标国家（映射）],表2_97131923252761[[#This Row],[国家]])</f>
        <v>0</v>
      </c>
      <c r="J26" s="39">
        <f>SUMIFS(表1_86121822242660[活跃Coin],表1_86121822242660[目标区服],表2_97131923252761[[#This Row],[合区区服]],表1_86121822242660[目标国家（映射）],表2_97131923252761[[#This Row],[国家]])</f>
        <v>1266369</v>
      </c>
      <c r="K26" s="39">
        <f>SUMIFS(表1_86121822242660[共计补偿Coin],表1_86121822242660[目标区服],表2_97131923252761[[#This Row],[合区区服]],表1_86121822242660[目标国家（映射）],表2_97131923252761[[#This Row],[国家]])</f>
        <v>51000</v>
      </c>
      <c r="L26" s="39">
        <f>表2_97131923252761[[#This Row],[活跃Coin]]+表2_97131923252761[[#This Row],[共计补偿Coin]]</f>
        <v>1317369</v>
      </c>
      <c r="M26" s="39">
        <f>SUMIFS(表1_86121822242660[综合国力],表1_86121822242660[目标区服],表2_97131923252761[[#This Row],[合区区服]],表1_86121822242660[目标国家（映射）],表2_97131923252761[[#This Row],[国家]])</f>
        <v>20738</v>
      </c>
      <c r="N26" s="39">
        <f t="array" ref="N26">MAX((表1_86121822242660[目标区服]=表2_97131923252761[[#This Row],[合区区服]])*(表1_86121822242660[目标国家（映射）]=表2_97131923252761[[#This Row],[国家]])*表1_86121822242660[单将最高战力])</f>
        <v>1144943</v>
      </c>
      <c r="P26" s="51">
        <v>128</v>
      </c>
      <c r="Q26" s="51">
        <v>58</v>
      </c>
      <c r="R26" s="51" t="s">
        <v>111</v>
      </c>
      <c r="S26" s="51">
        <v>60</v>
      </c>
    </row>
    <row r="27" ht="15" spans="1:19">
      <c r="A27" s="39" t="s">
        <v>111</v>
      </c>
      <c r="B27" s="39" t="s">
        <v>26</v>
      </c>
      <c r="C27" s="39">
        <f>COUNTIFS(表1_86121822242660[目标区服],表2_97131923252761[[#This Row],[合区区服]],表1_86121822242660[目标国家（映射）],表2_97131923252761[[#This Row],[国家]])</f>
        <v>1</v>
      </c>
      <c r="D27" s="39">
        <f>SUMIFS(表1_86121822242660[活跃高战玩家数],表1_86121822242660[目标区服],表2_97131923252761[[#This Row],[合区区服]],表1_86121822242660[目标国家（映射）],表2_97131923252761[[#This Row],[国家]])</f>
        <v>8</v>
      </c>
      <c r="E27" s="39">
        <f>SUMIFS(表1_86121822242660[活跃中坚玩家数],表1_86121822242660[目标区服],表2_97131923252761[[#This Row],[合区区服]],表1_86121822242660[目标国家（映射）],表2_97131923252761[[#This Row],[国家]])</f>
        <v>31</v>
      </c>
      <c r="F27" s="39">
        <f t="array" ref="F27">MAX((表1_86121822242660[目标区服]=表2_97131923252761[[#This Row],[合区区服]])*(表1_86121822242660[目标国家（映射）]=表2_97131923252761[[#This Row],[国家]])*表1_86121822242660[活跃尖端战力])</f>
        <v>4064381</v>
      </c>
      <c r="G27" s="40">
        <f>SUMIFS(表1_86121822242660[活跃总战力],表1_86121822242660[目标区服],表2_97131923252761[[#This Row],[合区区服]],表1_86121822242660[目标国家（映射）],表2_97131923252761[[#This Row],[国家]])</f>
        <v>50130609</v>
      </c>
      <c r="H27" s="39">
        <f>SUMIFS(表1_86121822242660[活跃实际充值],表1_86121822242660[目标区服],表2_97131923252761[[#This Row],[合区区服]],表1_86121822242660[目标国家（映射）],表2_97131923252761[[#This Row],[国家]])</f>
        <v>217788</v>
      </c>
      <c r="I27" s="39">
        <f>SUMIFS(表1_86121822242660[活跃虚拟充值],表1_86121822242660[目标区服],表2_97131923252761[[#This Row],[合区区服]],表1_86121822242660[目标国家（映射）],表2_97131923252761[[#This Row],[国家]])</f>
        <v>0</v>
      </c>
      <c r="J27" s="39">
        <f>SUMIFS(表1_86121822242660[活跃Coin],表1_86121822242660[目标区服],表2_97131923252761[[#This Row],[合区区服]],表1_86121822242660[目标国家（映射）],表2_97131923252761[[#This Row],[国家]])</f>
        <v>809088</v>
      </c>
      <c r="K27" s="39">
        <f>SUMIFS(表1_86121822242660[共计补偿Coin],表1_86121822242660[目标区服],表2_97131923252761[[#This Row],[合区区服]],表1_86121822242660[目标国家（映射）],表2_97131923252761[[#This Row],[国家]])</f>
        <v>58500</v>
      </c>
      <c r="L27" s="39">
        <f>表2_97131923252761[[#This Row],[活跃Coin]]+表2_97131923252761[[#This Row],[共计补偿Coin]]</f>
        <v>867588</v>
      </c>
      <c r="M27" s="39">
        <f>SUMIFS(表1_86121822242660[综合国力],表1_86121822242660[目标区服],表2_97131923252761[[#This Row],[合区区服]],表1_86121822242660[目标国家（映射）],表2_97131923252761[[#This Row],[国家]])</f>
        <v>20566</v>
      </c>
      <c r="N27" s="39">
        <f t="array" ref="N27">MAX((表1_86121822242660[目标区服]=表2_97131923252761[[#This Row],[合区区服]])*(表1_86121822242660[目标国家（映射）]=表2_97131923252761[[#This Row],[国家]])*表1_86121822242660[单将最高战力])</f>
        <v>1092772</v>
      </c>
      <c r="P27" s="51">
        <v>129</v>
      </c>
      <c r="Q27" s="51">
        <v>57</v>
      </c>
      <c r="R27" s="51" t="s">
        <v>112</v>
      </c>
      <c r="S27" s="51">
        <v>58</v>
      </c>
    </row>
    <row r="28" ht="15" spans="1:19">
      <c r="A28" s="39" t="s">
        <v>111</v>
      </c>
      <c r="B28" s="39" t="s">
        <v>27</v>
      </c>
      <c r="C28" s="39">
        <f>COUNTIFS(表1_86121822242660[目标区服],表2_97131923252761[[#This Row],[合区区服]],表1_86121822242660[目标国家（映射）],表2_97131923252761[[#This Row],[国家]])</f>
        <v>3</v>
      </c>
      <c r="D28" s="39">
        <f>SUMIFS(表1_86121822242660[活跃高战玩家数],表1_86121822242660[目标区服],表2_97131923252761[[#This Row],[合区区服]],表1_86121822242660[目标国家（映射）],表2_97131923252761[[#This Row],[国家]])</f>
        <v>2</v>
      </c>
      <c r="E28" s="39">
        <f>SUMIFS(表1_86121822242660[活跃中坚玩家数],表1_86121822242660[目标区服],表2_97131923252761[[#This Row],[合区区服]],表1_86121822242660[目标国家（映射）],表2_97131923252761[[#This Row],[国家]])</f>
        <v>50</v>
      </c>
      <c r="F28" s="39">
        <f t="array" ref="F28">MAX((表1_86121822242660[目标区服]=表2_97131923252761[[#This Row],[合区区服]])*(表1_86121822242660[目标国家（映射）]=表2_97131923252761[[#This Row],[国家]])*表1_86121822242660[活跃尖端战力])</f>
        <v>2946149</v>
      </c>
      <c r="G28" s="40">
        <f>SUMIFS(表1_86121822242660[活跃总战力],表1_86121822242660[目标区服],表2_97131923252761[[#This Row],[合区区服]],表1_86121822242660[目标国家（映射）],表2_97131923252761[[#This Row],[国家]])</f>
        <v>47441988</v>
      </c>
      <c r="H28" s="39">
        <f>SUMIFS(表1_86121822242660[活跃实际充值],表1_86121822242660[目标区服],表2_97131923252761[[#This Row],[合区区服]],表1_86121822242660[目标国家（映射）],表2_97131923252761[[#This Row],[国家]])</f>
        <v>199742</v>
      </c>
      <c r="I28" s="39">
        <f>SUMIFS(表1_86121822242660[活跃虚拟充值],表1_86121822242660[目标区服],表2_97131923252761[[#This Row],[合区区服]],表1_86121822242660[目标国家（映射）],表2_97131923252761[[#This Row],[国家]])</f>
        <v>158</v>
      </c>
      <c r="J28" s="39">
        <f>SUMIFS(表1_86121822242660[活跃Coin],表1_86121822242660[目标区服],表2_97131923252761[[#This Row],[合区区服]],表1_86121822242660[目标国家（映射）],表2_97131923252761[[#This Row],[国家]])</f>
        <v>765843</v>
      </c>
      <c r="K28" s="39">
        <f>SUMIFS(表1_86121822242660[共计补偿Coin],表1_86121822242660[目标区服],表2_97131923252761[[#This Row],[合区区服]],表1_86121822242660[目标国家（映射）],表2_97131923252761[[#This Row],[国家]])</f>
        <v>69500</v>
      </c>
      <c r="L28" s="39">
        <f>表2_97131923252761[[#This Row],[活跃Coin]]+表2_97131923252761[[#This Row],[共计补偿Coin]]</f>
        <v>835343</v>
      </c>
      <c r="M28" s="39">
        <f>SUMIFS(表1_86121822242660[综合国力],表1_86121822242660[目标区服],表2_97131923252761[[#This Row],[合区区服]],表1_86121822242660[目标国家（映射）],表2_97131923252761[[#This Row],[国家]])</f>
        <v>21285</v>
      </c>
      <c r="N28" s="39">
        <f t="array" ref="N28">MAX((表1_86121822242660[目标区服]=表2_97131923252761[[#This Row],[合区区服]])*(表1_86121822242660[目标国家（映射）]=表2_97131923252761[[#This Row],[国家]])*表1_86121822242660[单将最高战力])</f>
        <v>1059720</v>
      </c>
      <c r="P28" s="51">
        <v>130</v>
      </c>
      <c r="Q28" s="51">
        <v>56</v>
      </c>
      <c r="R28" s="51" t="s">
        <v>113</v>
      </c>
      <c r="S28" s="51">
        <v>56</v>
      </c>
    </row>
    <row r="29" ht="15" spans="1:19">
      <c r="A29" s="41" t="s">
        <v>112</v>
      </c>
      <c r="B29" s="41" t="s">
        <v>25</v>
      </c>
      <c r="C29" s="41">
        <f>COUNTIFS(表1_86121822242660[目标区服],表2_97131923252761[[#This Row],[合区区服]],表1_86121822242660[目标国家（映射）],表2_97131923252761[[#This Row],[国家]])</f>
        <v>3</v>
      </c>
      <c r="D29" s="41">
        <f>SUMIFS(表1_86121822242660[活跃高战玩家数],表1_86121822242660[目标区服],表2_97131923252761[[#This Row],[合区区服]],表1_86121822242660[目标国家（映射）],表2_97131923252761[[#This Row],[国家]])</f>
        <v>7</v>
      </c>
      <c r="E29" s="41">
        <f>SUMIFS(表1_86121822242660[活跃中坚玩家数],表1_86121822242660[目标区服],表2_97131923252761[[#This Row],[合区区服]],表1_86121822242660[目标国家（映射）],表2_97131923252761[[#This Row],[国家]])</f>
        <v>48</v>
      </c>
      <c r="F29" s="41">
        <f t="array" ref="F29">MAX((表1_86121822242660[目标区服]=表2_97131923252761[[#This Row],[合区区服]])*(表1_86121822242660[目标国家（映射）]=表2_97131923252761[[#This Row],[国家]])*表1_86121822242660[活跃尖端战力])</f>
        <v>3409580</v>
      </c>
      <c r="G29" s="42">
        <f>SUMIFS(表1_86121822242660[活跃总战力],表1_86121822242660[目标区服],表2_97131923252761[[#This Row],[合区区服]],表1_86121822242660[目标国家（映射）],表2_97131923252761[[#This Row],[国家]])</f>
        <v>53046973</v>
      </c>
      <c r="H29" s="41">
        <f>SUMIFS(表1_86121822242660[活跃实际充值],表1_86121822242660[目标区服],表2_97131923252761[[#This Row],[合区区服]],表1_86121822242660[目标国家（映射）],表2_97131923252761[[#This Row],[国家]])</f>
        <v>155134</v>
      </c>
      <c r="I29" s="41">
        <f>SUMIFS(表1_86121822242660[活跃虚拟充值],表1_86121822242660[目标区服],表2_97131923252761[[#This Row],[合区区服]],表1_86121822242660[目标国家（映射）],表2_97131923252761[[#This Row],[国家]])</f>
        <v>58888</v>
      </c>
      <c r="J29" s="41">
        <f>SUMIFS(表1_86121822242660[活跃Coin],表1_86121822242660[目标区服],表2_97131923252761[[#This Row],[合区区服]],表1_86121822242660[目标国家（映射）],表2_97131923252761[[#This Row],[国家]])</f>
        <v>1288348</v>
      </c>
      <c r="K29" s="41">
        <f>SUMIFS(表1_86121822242660[共计补偿Coin],表1_86121822242660[目标区服],表2_97131923252761[[#This Row],[合区区服]],表1_86121822242660[目标国家（映射）],表2_97131923252761[[#This Row],[国家]])</f>
        <v>75000</v>
      </c>
      <c r="L29" s="41">
        <f>表2_97131923252761[[#This Row],[活跃Coin]]+表2_97131923252761[[#This Row],[共计补偿Coin]]</f>
        <v>1363348</v>
      </c>
      <c r="M29" s="41">
        <f>SUMIFS(表1_86121822242660[综合国力],表1_86121822242660[目标区服],表2_97131923252761[[#This Row],[合区区服]],表1_86121822242660[目标国家（映射）],表2_97131923252761[[#This Row],[国家]])</f>
        <v>24311</v>
      </c>
      <c r="N29" s="41">
        <f t="array" ref="N29">MAX((表1_86121822242660[目标区服]=表2_97131923252761[[#This Row],[合区区服]])*(表1_86121822242660[目标国家（映射）]=表2_97131923252761[[#This Row],[国家]])*表1_86121822242660[单将最高战力])</f>
        <v>1033648</v>
      </c>
      <c r="P29" s="51">
        <v>131</v>
      </c>
      <c r="Q29" s="51">
        <v>55</v>
      </c>
      <c r="R29" s="51"/>
      <c r="S29" s="51"/>
    </row>
    <row r="30" ht="15" spans="1:17">
      <c r="A30" s="41" t="s">
        <v>112</v>
      </c>
      <c r="B30" s="41" t="s">
        <v>26</v>
      </c>
      <c r="C30" s="41">
        <f>COUNTIFS(表1_86121822242660[目标区服],表2_97131923252761[[#This Row],[合区区服]],表1_86121822242660[目标国家（映射）],表2_97131923252761[[#This Row],[国家]])</f>
        <v>1</v>
      </c>
      <c r="D30" s="41">
        <f>SUMIFS(表1_86121822242660[活跃高战玩家数],表1_86121822242660[目标区服],表2_97131923252761[[#This Row],[合区区服]],表1_86121822242660[目标国家（映射）],表2_97131923252761[[#This Row],[国家]])</f>
        <v>7</v>
      </c>
      <c r="E30" s="41">
        <f>SUMIFS(表1_86121822242660[活跃中坚玩家数],表1_86121822242660[目标区服],表2_97131923252761[[#This Row],[合区区服]],表1_86121822242660[目标国家（映射）],表2_97131923252761[[#This Row],[国家]])</f>
        <v>25</v>
      </c>
      <c r="F30" s="41">
        <f t="array" ref="F30">MAX((表1_86121822242660[目标区服]=表2_97131923252761[[#This Row],[合区区服]])*(表1_86121822242660[目标国家（映射）]=表2_97131923252761[[#This Row],[国家]])*表1_86121822242660[活跃尖端战力])</f>
        <v>4749565</v>
      </c>
      <c r="G30" s="42">
        <f>SUMIFS(表1_86121822242660[活跃总战力],表1_86121822242660[目标区服],表2_97131923252761[[#This Row],[合区区服]],表1_86121822242660[目标国家（映射）],表2_97131923252761[[#This Row],[国家]])</f>
        <v>42447383</v>
      </c>
      <c r="H30" s="41">
        <f>SUMIFS(表1_86121822242660[活跃实际充值],表1_86121822242660[目标区服],表2_97131923252761[[#This Row],[合区区服]],表1_86121822242660[目标国家（映射）],表2_97131923252761[[#This Row],[国家]])</f>
        <v>222652</v>
      </c>
      <c r="I30" s="41">
        <f>SUMIFS(表1_86121822242660[活跃虚拟充值],表1_86121822242660[目标区服],表2_97131923252761[[#This Row],[合区区服]],表1_86121822242660[目标国家（映射）],表2_97131923252761[[#This Row],[国家]])</f>
        <v>21626</v>
      </c>
      <c r="J30" s="41">
        <f>SUMIFS(表1_86121822242660[活跃Coin],表1_86121822242660[目标区服],表2_97131923252761[[#This Row],[合区区服]],表1_86121822242660[目标国家（映射）],表2_97131923252761[[#This Row],[国家]])</f>
        <v>908977</v>
      </c>
      <c r="K30" s="41">
        <f>SUMIFS(表1_86121822242660[共计补偿Coin],表1_86121822242660[目标区服],表2_97131923252761[[#This Row],[合区区服]],表1_86121822242660[目标国家（映射）],表2_97131923252761[[#This Row],[国家]])</f>
        <v>32000</v>
      </c>
      <c r="L30" s="41">
        <f>表2_97131923252761[[#This Row],[活跃Coin]]+表2_97131923252761[[#This Row],[共计补偿Coin]]</f>
        <v>940977</v>
      </c>
      <c r="M30" s="41">
        <f>SUMIFS(表1_86121822242660[综合国力],表1_86121822242660[目标区服],表2_97131923252761[[#This Row],[合区区服]],表1_86121822242660[目标国家（映射）],表2_97131923252761[[#This Row],[国家]])</f>
        <v>20037</v>
      </c>
      <c r="N30" s="41">
        <f t="array" ref="N30">MAX((表1_86121822242660[目标区服]=表2_97131923252761[[#This Row],[合区区服]])*(表1_86121822242660[目标国家（映射）]=表2_97131923252761[[#This Row],[国家]])*表1_86121822242660[单将最高战力])</f>
        <v>1357874</v>
      </c>
      <c r="P30" s="51">
        <v>132</v>
      </c>
      <c r="Q30" s="51">
        <v>54</v>
      </c>
    </row>
    <row r="31" ht="15" spans="1:17">
      <c r="A31" s="41" t="s">
        <v>112</v>
      </c>
      <c r="B31" s="43" t="s">
        <v>27</v>
      </c>
      <c r="C31" s="43">
        <f>COUNTIFS(表1_86121822242660[目标区服],表2_97131923252761[[#This Row],[合区区服]],表1_86121822242660[目标国家（映射）],表2_97131923252761[[#This Row],[国家]])</f>
        <v>2</v>
      </c>
      <c r="D31" s="43">
        <f>SUMIFS(表1_86121822242660[活跃高战玩家数],表1_86121822242660[目标区服],表2_97131923252761[[#This Row],[合区区服]],表1_86121822242660[目标国家（映射）],表2_97131923252761[[#This Row],[国家]])</f>
        <v>6</v>
      </c>
      <c r="E31" s="43">
        <f>SUMIFS(表1_86121822242660[活跃中坚玩家数],表1_86121822242660[目标区服],表2_97131923252761[[#This Row],[合区区服]],表1_86121822242660[目标国家（映射）],表2_97131923252761[[#This Row],[国家]])</f>
        <v>40</v>
      </c>
      <c r="F31" s="43">
        <f t="array" ref="F31">MAX((表1_86121822242660[目标区服]=表2_97131923252761[[#This Row],[合区区服]])*(表1_86121822242660[目标国家（映射）]=表2_97131923252761[[#This Row],[国家]])*表1_86121822242660[活跃尖端战力])</f>
        <v>3386877</v>
      </c>
      <c r="G31" s="44">
        <f>SUMIFS(表1_86121822242660[活跃总战力],表1_86121822242660[目标区服],表2_97131923252761[[#This Row],[合区区服]],表1_86121822242660[目标国家（映射）],表2_97131923252761[[#This Row],[国家]])</f>
        <v>46816884</v>
      </c>
      <c r="H31" s="43">
        <f>SUMIFS(表1_86121822242660[活跃实际充值],表1_86121822242660[目标区服],表2_97131923252761[[#This Row],[合区区服]],表1_86121822242660[目标国家（映射）],表2_97131923252761[[#This Row],[国家]])</f>
        <v>189856</v>
      </c>
      <c r="I31" s="43">
        <f>SUMIFS(表1_86121822242660[活跃虚拟充值],表1_86121822242660[目标区服],表2_97131923252761[[#This Row],[合区区服]],表1_86121822242660[目标国家（映射）],表2_97131923252761[[#This Row],[国家]])</f>
        <v>998</v>
      </c>
      <c r="J31" s="43">
        <f>SUMIFS(表1_86121822242660[活跃Coin],表1_86121822242660[目标区服],表2_97131923252761[[#This Row],[合区区服]],表1_86121822242660[目标国家（映射）],表2_97131923252761[[#This Row],[国家]])</f>
        <v>987384</v>
      </c>
      <c r="K31" s="43">
        <f>SUMIFS(表1_86121822242660[共计补偿Coin],表1_86121822242660[目标区服],表2_97131923252761[[#This Row],[合区区服]],表1_86121822242660[目标国家（映射）],表2_97131923252761[[#This Row],[国家]])</f>
        <v>60500</v>
      </c>
      <c r="L31" s="43">
        <f>表2_97131923252761[[#This Row],[活跃Coin]]+表2_97131923252761[[#This Row],[共计补偿Coin]]</f>
        <v>1047884</v>
      </c>
      <c r="M31" s="43">
        <f>SUMIFS(表1_86121822242660[综合国力],表1_86121822242660[目标区服],表2_97131923252761[[#This Row],[合区区服]],表1_86121822242660[目标国家（映射）],表2_97131923252761[[#This Row],[国家]])</f>
        <v>21562</v>
      </c>
      <c r="N31" s="41">
        <f t="array" ref="N31">MAX((表1_86121822242660[目标区服]=表2_97131923252761[[#This Row],[合区区服]])*(表1_86121822242660[目标国家（映射）]=表2_97131923252761[[#This Row],[国家]])*表1_86121822242660[单将最高战力])</f>
        <v>927773</v>
      </c>
      <c r="P31" s="51">
        <v>133</v>
      </c>
      <c r="Q31" s="51">
        <v>53</v>
      </c>
    </row>
    <row r="32" ht="15" spans="1:17">
      <c r="A32" s="45" t="s">
        <v>113</v>
      </c>
      <c r="B32" s="46" t="s">
        <v>25</v>
      </c>
      <c r="C32" s="46">
        <f>COUNTIFS(表1_86121822242660[目标区服],表2_97131923252761[[#This Row],[合区区服]],表1_86121822242660[目标国家（映射）],表2_97131923252761[[#This Row],[国家]])</f>
        <v>2</v>
      </c>
      <c r="D32" s="46">
        <f>SUMIFS(表1_86121822242660[活跃高战玩家数],表1_86121822242660[目标区服],表2_97131923252761[[#This Row],[合区区服]],表1_86121822242660[目标国家（映射）],表2_97131923252761[[#This Row],[国家]])</f>
        <v>5</v>
      </c>
      <c r="E32" s="46">
        <f>SUMIFS(表1_86121822242660[活跃中坚玩家数],表1_86121822242660[目标区服],表2_97131923252761[[#This Row],[合区区服]],表1_86121822242660[目标国家（映射）],表2_97131923252761[[#This Row],[国家]])</f>
        <v>40</v>
      </c>
      <c r="F32" s="46">
        <f t="array" ref="F32">MAX((表1_86121822242660[目标区服]=表2_97131923252761[[#This Row],[合区区服]])*(表1_86121822242660[目标国家（映射）]=表2_97131923252761[[#This Row],[国家]])*表1_86121822242660[活跃尖端战力])</f>
        <v>2766390</v>
      </c>
      <c r="G32" s="47">
        <f>SUMIFS(表1_86121822242660[活跃总战力],表1_86121822242660[目标区服],表2_97131923252761[[#This Row],[合区区服]],表1_86121822242660[目标国家（映射）],表2_97131923252761[[#This Row],[国家]])</f>
        <v>44013720</v>
      </c>
      <c r="H32" s="46">
        <f>SUMIFS(表1_86121822242660[活跃实际充值],表1_86121822242660[目标区服],表2_97131923252761[[#This Row],[合区区服]],表1_86121822242660[目标国家（映射）],表2_97131923252761[[#This Row],[国家]])</f>
        <v>139982</v>
      </c>
      <c r="I32" s="46">
        <f>SUMIFS(表1_86121822242660[活跃虚拟充值],表1_86121822242660[目标区服],表2_97131923252761[[#This Row],[合区区服]],表1_86121822242660[目标国家（映射）],表2_97131923252761[[#This Row],[国家]])</f>
        <v>0</v>
      </c>
      <c r="J32" s="46">
        <f>SUMIFS(表1_86121822242660[活跃Coin],表1_86121822242660[目标区服],表2_97131923252761[[#This Row],[合区区服]],表1_86121822242660[目标国家（映射）],表2_97131923252761[[#This Row],[国家]])</f>
        <v>853654</v>
      </c>
      <c r="K32" s="46">
        <f>SUMIFS(表1_86121822242660[共计补偿Coin],表1_86121822242660[目标区服],表2_97131923252761[[#This Row],[合区区服]],表1_86121822242660[目标国家（映射）],表2_97131923252761[[#This Row],[国家]])</f>
        <v>58000</v>
      </c>
      <c r="L32" s="46">
        <f>表2_97131923252761[[#This Row],[活跃Coin]]+表2_97131923252761[[#This Row],[共计补偿Coin]]</f>
        <v>911654</v>
      </c>
      <c r="M32" s="46">
        <f>SUMIFS(表1_86121822242660[综合国力],表1_86121822242660[目标区服],表2_97131923252761[[#This Row],[合区区服]],表1_86121822242660[目标国家（映射）],表2_97131923252761[[#This Row],[国家]])</f>
        <v>16831</v>
      </c>
      <c r="N32" s="46">
        <f t="array" ref="N32">MAX((表1_86121822242660[目标区服]=表2_97131923252761[[#This Row],[合区区服]])*(表1_86121822242660[目标国家（映射）]=表2_97131923252761[[#This Row],[国家]])*表1_86121822242660[单将最高战力])</f>
        <v>729886</v>
      </c>
      <c r="P32" s="51">
        <v>134</v>
      </c>
      <c r="Q32" s="51">
        <v>52</v>
      </c>
    </row>
    <row r="33" ht="15" spans="1:17">
      <c r="A33" s="45" t="s">
        <v>113</v>
      </c>
      <c r="B33" s="46" t="s">
        <v>26</v>
      </c>
      <c r="C33" s="46">
        <f>COUNTIFS(表1_86121822242660[目标区服],表2_97131923252761[[#This Row],[合区区服]],表1_86121822242660[目标国家（映射）],表2_97131923252761[[#This Row],[国家]])</f>
        <v>1</v>
      </c>
      <c r="D33" s="46">
        <f>SUMIFS(表1_86121822242660[活跃高战玩家数],表1_86121822242660[目标区服],表2_97131923252761[[#This Row],[合区区服]],表1_86121822242660[目标国家（映射）],表2_97131923252761[[#This Row],[国家]])</f>
        <v>9</v>
      </c>
      <c r="E33" s="46">
        <f>SUMIFS(表1_86121822242660[活跃中坚玩家数],表1_86121822242660[目标区服],表2_97131923252761[[#This Row],[合区区服]],表1_86121822242660[目标国家（映射）],表2_97131923252761[[#This Row],[国家]])</f>
        <v>24</v>
      </c>
      <c r="F33" s="46">
        <f t="array" ref="F33">MAX((表1_86121822242660[目标区服]=表2_97131923252761[[#This Row],[合区区服]])*(表1_86121822242660[目标国家（映射）]=表2_97131923252761[[#This Row],[国家]])*表1_86121822242660[活跃尖端战力])</f>
        <v>4881837</v>
      </c>
      <c r="G33" s="47">
        <f>SUMIFS(表1_86121822242660[活跃总战力],表1_86121822242660[目标区服],表2_97131923252761[[#This Row],[合区区服]],表1_86121822242660[目标国家（映射）],表2_97131923252761[[#This Row],[国家]])</f>
        <v>44949119</v>
      </c>
      <c r="H33" s="46">
        <f>SUMIFS(表1_86121822242660[活跃实际充值],表1_86121822242660[目标区服],表2_97131923252761[[#This Row],[合区区服]],表1_86121822242660[目标国家（映射）],表2_97131923252761[[#This Row],[国家]])</f>
        <v>505696</v>
      </c>
      <c r="I33" s="46">
        <f>SUMIFS(表1_86121822242660[活跃虚拟充值],表1_86121822242660[目标区服],表2_97131923252761[[#This Row],[合区区服]],表1_86121822242660[目标国家（映射）],表2_97131923252761[[#This Row],[国家]])</f>
        <v>0</v>
      </c>
      <c r="J33" s="46">
        <f>SUMIFS(表1_86121822242660[活跃Coin],表1_86121822242660[目标区服],表2_97131923252761[[#This Row],[合区区服]],表1_86121822242660[目标国家（映射）],表2_97131923252761[[#This Row],[国家]])</f>
        <v>2613756</v>
      </c>
      <c r="K33" s="46">
        <f>SUMIFS(表1_86121822242660[共计补偿Coin],表1_86121822242660[目标区服],表2_97131923252761[[#This Row],[合区区服]],表1_86121822242660[目标国家（映射）],表2_97131923252761[[#This Row],[国家]])</f>
        <v>33000</v>
      </c>
      <c r="L33" s="46">
        <f>表2_97131923252761[[#This Row],[活跃Coin]]+表2_97131923252761[[#This Row],[共计补偿Coin]]</f>
        <v>2646756</v>
      </c>
      <c r="M33" s="46">
        <f>SUMIFS(表1_86121822242660[综合国力],表1_86121822242660[目标区服],表2_97131923252761[[#This Row],[合区区服]],表1_86121822242660[目标国家（映射）],表2_97131923252761[[#This Row],[国家]])</f>
        <v>31030</v>
      </c>
      <c r="N33" s="46">
        <f t="array" ref="N33">MAX((表1_86121822242660[目标区服]=表2_97131923252761[[#This Row],[合区区服]])*(表1_86121822242660[目标国家（映射）]=表2_97131923252761[[#This Row],[国家]])*表1_86121822242660[单将最高战力])</f>
        <v>1233947</v>
      </c>
      <c r="P33" s="51">
        <v>135</v>
      </c>
      <c r="Q33" s="51">
        <v>51</v>
      </c>
    </row>
    <row r="34" ht="15" spans="1:14">
      <c r="A34" s="45" t="s">
        <v>113</v>
      </c>
      <c r="B34" s="48" t="s">
        <v>27</v>
      </c>
      <c r="C34" s="48">
        <f>COUNTIFS(表1_86121822242660[目标区服],表2_97131923252761[[#This Row],[合区区服]],表1_86121822242660[目标国家（映射）],表2_97131923252761[[#This Row],[国家]])</f>
        <v>3</v>
      </c>
      <c r="D34" s="48">
        <f>SUMIFS(表1_86121822242660[活跃高战玩家数],表1_86121822242660[目标区服],表2_97131923252761[[#This Row],[合区区服]],表1_86121822242660[目标国家（映射）],表2_97131923252761[[#This Row],[国家]])</f>
        <v>5</v>
      </c>
      <c r="E34" s="48">
        <f>SUMIFS(表1_86121822242660[活跃中坚玩家数],表1_86121822242660[目标区服],表2_97131923252761[[#This Row],[合区区服]],表1_86121822242660[目标国家（映射）],表2_97131923252761[[#This Row],[国家]])</f>
        <v>68</v>
      </c>
      <c r="F34" s="48">
        <f t="array" ref="F34">MAX((表1_86121822242660[目标区服]=表2_97131923252761[[#This Row],[合区区服]])*(表1_86121822242660[目标国家（映射）]=表2_97131923252761[[#This Row],[国家]])*表1_86121822242660[活跃尖端战力])</f>
        <v>2553543</v>
      </c>
      <c r="G34" s="458">
        <f>SUMIFS(表1_86121822242660[活跃总战力],表1_86121822242660[目标区服],表2_97131923252761[[#This Row],[合区区服]],表1_86121822242660[目标国家（映射）],表2_97131923252761[[#This Row],[国家]])</f>
        <v>69327024</v>
      </c>
      <c r="H34" s="48">
        <f>SUMIFS(表1_86121822242660[活跃实际充值],表1_86121822242660[目标区服],表2_97131923252761[[#This Row],[合区区服]],表1_86121822242660[目标国家（映射）],表2_97131923252761[[#This Row],[国家]])</f>
        <v>160326</v>
      </c>
      <c r="I34" s="48">
        <f>SUMIFS(表1_86121822242660[活跃虚拟充值],表1_86121822242660[目标区服],表2_97131923252761[[#This Row],[合区区服]],表1_86121822242660[目标国家（映射）],表2_97131923252761[[#This Row],[国家]])</f>
        <v>0</v>
      </c>
      <c r="J34" s="48">
        <f>SUMIFS(表1_86121822242660[活跃Coin],表1_86121822242660[目标区服],表2_97131923252761[[#This Row],[合区区服]],表1_86121822242660[目标国家（映射）],表2_97131923252761[[#This Row],[国家]])</f>
        <v>1190303</v>
      </c>
      <c r="K34" s="48">
        <f>SUMIFS(表1_86121822242660[共计补偿Coin],表1_86121822242660[目标区服],表2_97131923252761[[#This Row],[合区区服]],表1_86121822242660[目标国家（映射）],表2_97131923252761[[#This Row],[国家]])</f>
        <v>98500</v>
      </c>
      <c r="L34" s="48">
        <f>表2_97131923252761[[#This Row],[活跃Coin]]+表2_97131923252761[[#This Row],[共计补偿Coin]]</f>
        <v>1288803</v>
      </c>
      <c r="M34" s="48">
        <f>SUMIFS(表1_86121822242660[综合国力],表1_86121822242660[目标区服],表2_97131923252761[[#This Row],[合区区服]],表1_86121822242660[目标国家（映射）],表2_97131923252761[[#This Row],[国家]])</f>
        <v>24212</v>
      </c>
      <c r="N34" s="46">
        <f t="array" ref="N34">MAX((表1_86121822242660[目标区服]=表2_97131923252761[[#This Row],[合区区服]])*(表1_86121822242660[目标国家（映射）]=表2_97131923252761[[#This Row],[国家]])*表1_86121822242660[单将最高战力])</f>
        <v>789896</v>
      </c>
    </row>
    <row r="40" ht="27" spans="1:13">
      <c r="A40" s="49"/>
      <c r="B40" s="50" t="s">
        <v>9</v>
      </c>
      <c r="C40" s="50" t="s">
        <v>10</v>
      </c>
      <c r="D40" s="50" t="s">
        <v>11</v>
      </c>
      <c r="E40" s="50" t="s">
        <v>12</v>
      </c>
      <c r="F40" s="50" t="s">
        <v>13</v>
      </c>
      <c r="G40" s="50" t="s">
        <v>14</v>
      </c>
      <c r="H40" s="50" t="s">
        <v>15</v>
      </c>
      <c r="I40" s="50" t="s">
        <v>18</v>
      </c>
      <c r="J40" s="50" t="s">
        <v>19</v>
      </c>
      <c r="K40" s="50" t="s">
        <v>20</v>
      </c>
      <c r="L40" s="50" t="s">
        <v>21</v>
      </c>
      <c r="M40" s="50" t="s">
        <v>82</v>
      </c>
    </row>
    <row r="41" spans="1:13">
      <c r="A41" s="50" t="s">
        <v>25</v>
      </c>
      <c r="B41" s="50">
        <v>2</v>
      </c>
      <c r="C41" s="50">
        <v>84</v>
      </c>
      <c r="D41" s="50">
        <v>2</v>
      </c>
      <c r="E41" s="50">
        <v>19</v>
      </c>
      <c r="F41" s="50">
        <v>92779</v>
      </c>
      <c r="G41" s="50">
        <v>3203767</v>
      </c>
      <c r="H41" s="50">
        <v>22052399</v>
      </c>
      <c r="I41" s="50">
        <v>78140</v>
      </c>
      <c r="J41" s="50">
        <v>0</v>
      </c>
      <c r="K41" s="50">
        <v>554249</v>
      </c>
      <c r="L41" s="50">
        <v>9534</v>
      </c>
      <c r="M41" s="50">
        <v>1144943</v>
      </c>
    </row>
    <row r="42" spans="1:13">
      <c r="A42" s="50" t="s">
        <v>26</v>
      </c>
      <c r="B42" s="50">
        <v>4</v>
      </c>
      <c r="C42" s="50">
        <v>194</v>
      </c>
      <c r="D42" s="50">
        <v>6</v>
      </c>
      <c r="E42" s="50">
        <v>24</v>
      </c>
      <c r="F42" s="50">
        <v>140585</v>
      </c>
      <c r="G42" s="50">
        <v>2974808</v>
      </c>
      <c r="H42" s="50">
        <v>32528842</v>
      </c>
      <c r="I42" s="50">
        <v>52600</v>
      </c>
      <c r="J42" s="50">
        <v>0</v>
      </c>
      <c r="K42" s="50">
        <v>712120</v>
      </c>
      <c r="L42" s="50">
        <v>11204</v>
      </c>
      <c r="M42" s="50">
        <v>1011437</v>
      </c>
    </row>
    <row r="43" spans="1:13">
      <c r="A43" s="50" t="s">
        <v>27</v>
      </c>
      <c r="B43" s="50">
        <v>3</v>
      </c>
      <c r="C43" s="50">
        <v>117</v>
      </c>
      <c r="D43" s="50">
        <v>1</v>
      </c>
      <c r="E43" s="50">
        <v>16</v>
      </c>
      <c r="F43" s="50">
        <v>58103</v>
      </c>
      <c r="G43" s="50">
        <v>2283372</v>
      </c>
      <c r="H43" s="50">
        <v>15615600</v>
      </c>
      <c r="I43" s="50">
        <v>52760</v>
      </c>
      <c r="J43" s="50">
        <v>128</v>
      </c>
      <c r="K43" s="50">
        <v>294548</v>
      </c>
      <c r="L43" s="50">
        <v>7336</v>
      </c>
      <c r="M43" s="50">
        <v>804640</v>
      </c>
    </row>
    <row r="44" spans="1:13">
      <c r="A44" s="50" t="s">
        <v>25</v>
      </c>
      <c r="B44" s="50">
        <v>0</v>
      </c>
      <c r="C44" s="50">
        <v>57</v>
      </c>
      <c r="D44" s="50">
        <v>0</v>
      </c>
      <c r="E44" s="50">
        <v>13</v>
      </c>
      <c r="F44" s="50">
        <v>40767</v>
      </c>
      <c r="G44" s="50">
        <v>1372005</v>
      </c>
      <c r="H44" s="50">
        <v>10965276</v>
      </c>
      <c r="I44" s="50">
        <v>18156</v>
      </c>
      <c r="J44" s="50">
        <v>0</v>
      </c>
      <c r="K44" s="50">
        <v>172679</v>
      </c>
      <c r="L44" s="50">
        <v>3873</v>
      </c>
      <c r="M44" s="50">
        <v>413418</v>
      </c>
    </row>
    <row r="45" spans="1:13">
      <c r="A45" s="50" t="s">
        <v>26</v>
      </c>
      <c r="B45" s="50">
        <v>9</v>
      </c>
      <c r="C45" s="50">
        <v>270</v>
      </c>
      <c r="D45" s="50">
        <v>8</v>
      </c>
      <c r="E45" s="50">
        <v>31</v>
      </c>
      <c r="F45" s="50">
        <v>190157</v>
      </c>
      <c r="G45" s="50">
        <v>4064381</v>
      </c>
      <c r="H45" s="50">
        <v>50130609</v>
      </c>
      <c r="I45" s="50">
        <v>217788</v>
      </c>
      <c r="J45" s="50">
        <v>0</v>
      </c>
      <c r="K45" s="50">
        <v>809088</v>
      </c>
      <c r="L45" s="50">
        <v>20566</v>
      </c>
      <c r="M45" s="50">
        <v>1092772</v>
      </c>
    </row>
    <row r="46" spans="1:13">
      <c r="A46" s="50" t="s">
        <v>27</v>
      </c>
      <c r="B46" s="50">
        <v>0</v>
      </c>
      <c r="C46" s="50">
        <v>68</v>
      </c>
      <c r="D46" s="50">
        <v>1</v>
      </c>
      <c r="E46" s="50">
        <v>21</v>
      </c>
      <c r="F46" s="50">
        <v>70057</v>
      </c>
      <c r="G46" s="50">
        <v>2946149</v>
      </c>
      <c r="H46" s="50">
        <v>20861112</v>
      </c>
      <c r="I46" s="50">
        <v>128826</v>
      </c>
      <c r="J46" s="50">
        <v>30</v>
      </c>
      <c r="K46" s="50">
        <v>298616</v>
      </c>
      <c r="L46" s="50">
        <v>10076</v>
      </c>
      <c r="M46" s="50">
        <v>1059720</v>
      </c>
    </row>
    <row r="47" spans="1:13">
      <c r="A47" s="50" t="s">
        <v>25</v>
      </c>
      <c r="B47" s="50">
        <v>1</v>
      </c>
      <c r="C47" s="50">
        <v>59</v>
      </c>
      <c r="D47" s="50">
        <v>1</v>
      </c>
      <c r="E47" s="50">
        <v>14</v>
      </c>
      <c r="F47" s="50">
        <v>44379</v>
      </c>
      <c r="G47" s="50">
        <v>2940267</v>
      </c>
      <c r="H47" s="50">
        <v>13281347</v>
      </c>
      <c r="I47" s="50">
        <v>106864</v>
      </c>
      <c r="J47" s="50">
        <v>0</v>
      </c>
      <c r="K47" s="50">
        <v>427390</v>
      </c>
      <c r="L47" s="50">
        <v>8599</v>
      </c>
      <c r="M47" s="50">
        <v>1033648</v>
      </c>
    </row>
    <row r="48" spans="1:13">
      <c r="A48" s="50" t="s">
        <v>26</v>
      </c>
      <c r="B48" s="50">
        <v>6</v>
      </c>
      <c r="C48" s="50">
        <v>224</v>
      </c>
      <c r="D48" s="50">
        <v>7</v>
      </c>
      <c r="E48" s="50">
        <v>25</v>
      </c>
      <c r="F48" s="50">
        <v>170582</v>
      </c>
      <c r="G48" s="50">
        <v>4749565</v>
      </c>
      <c r="H48" s="50">
        <v>42447383</v>
      </c>
      <c r="I48" s="50">
        <v>222652</v>
      </c>
      <c r="J48" s="50">
        <v>21626</v>
      </c>
      <c r="K48" s="50">
        <v>908977</v>
      </c>
      <c r="L48" s="50">
        <v>20037</v>
      </c>
      <c r="M48" s="50">
        <v>1357874</v>
      </c>
    </row>
    <row r="49" spans="1:13">
      <c r="A49" s="50" t="s">
        <v>27</v>
      </c>
      <c r="B49" s="50">
        <v>2</v>
      </c>
      <c r="C49" s="50">
        <v>112</v>
      </c>
      <c r="D49" s="50">
        <v>2</v>
      </c>
      <c r="E49" s="50">
        <v>15</v>
      </c>
      <c r="F49" s="50">
        <v>70191</v>
      </c>
      <c r="G49" s="50">
        <v>2587595</v>
      </c>
      <c r="H49" s="50">
        <v>16063108</v>
      </c>
      <c r="I49" s="50">
        <v>40968</v>
      </c>
      <c r="J49" s="50">
        <v>998</v>
      </c>
      <c r="K49" s="50">
        <v>278275</v>
      </c>
      <c r="L49" s="50">
        <v>7243</v>
      </c>
      <c r="M49" s="50">
        <v>876814</v>
      </c>
    </row>
    <row r="50" spans="1:13">
      <c r="A50" s="50" t="s">
        <v>25</v>
      </c>
      <c r="B50" s="50">
        <v>2</v>
      </c>
      <c r="C50" s="50">
        <v>91</v>
      </c>
      <c r="D50" s="50">
        <v>2</v>
      </c>
      <c r="E50" s="50">
        <v>19</v>
      </c>
      <c r="F50" s="50">
        <v>80283</v>
      </c>
      <c r="G50" s="50">
        <v>2574267</v>
      </c>
      <c r="H50" s="50">
        <v>18704930</v>
      </c>
      <c r="I50" s="50">
        <v>20572</v>
      </c>
      <c r="J50" s="50">
        <v>0</v>
      </c>
      <c r="K50" s="50">
        <v>223269</v>
      </c>
      <c r="L50" s="50">
        <v>6684</v>
      </c>
      <c r="M50" s="50">
        <v>692539</v>
      </c>
    </row>
    <row r="51" spans="1:13">
      <c r="A51" s="50" t="s">
        <v>26</v>
      </c>
      <c r="B51" s="50">
        <v>4</v>
      </c>
      <c r="C51" s="50">
        <v>199</v>
      </c>
      <c r="D51" s="50">
        <v>4</v>
      </c>
      <c r="E51" s="50">
        <v>25</v>
      </c>
      <c r="F51" s="50">
        <v>129174</v>
      </c>
      <c r="G51" s="50">
        <v>3386877</v>
      </c>
      <c r="H51" s="50">
        <v>30753776</v>
      </c>
      <c r="I51" s="50">
        <v>148888</v>
      </c>
      <c r="J51" s="50">
        <v>0</v>
      </c>
      <c r="K51" s="50">
        <v>709109</v>
      </c>
      <c r="L51" s="50">
        <v>14319</v>
      </c>
      <c r="M51" s="50">
        <v>927773</v>
      </c>
    </row>
    <row r="52" spans="1:13">
      <c r="A52" s="50" t="s">
        <v>27</v>
      </c>
      <c r="B52" s="50">
        <v>3</v>
      </c>
      <c r="C52" s="50">
        <v>105</v>
      </c>
      <c r="D52" s="50">
        <v>4</v>
      </c>
      <c r="E52" s="50">
        <v>15</v>
      </c>
      <c r="F52" s="50">
        <v>84872</v>
      </c>
      <c r="G52" s="50">
        <v>3409580</v>
      </c>
      <c r="H52" s="50">
        <v>21060696</v>
      </c>
      <c r="I52" s="50">
        <v>27698</v>
      </c>
      <c r="J52" s="50">
        <v>58888</v>
      </c>
      <c r="K52" s="50">
        <v>637689</v>
      </c>
      <c r="L52" s="50">
        <v>9028</v>
      </c>
      <c r="M52" s="50">
        <v>948038</v>
      </c>
    </row>
    <row r="53" spans="1:13">
      <c r="A53" s="50" t="s">
        <v>25</v>
      </c>
      <c r="B53" s="50">
        <v>0</v>
      </c>
      <c r="C53" s="50">
        <v>20</v>
      </c>
      <c r="D53" s="50">
        <v>0</v>
      </c>
      <c r="E53" s="50">
        <v>22</v>
      </c>
      <c r="F53" s="50">
        <v>64481</v>
      </c>
      <c r="G53" s="50">
        <v>2220295</v>
      </c>
      <c r="H53" s="50">
        <v>17205733</v>
      </c>
      <c r="I53" s="50">
        <v>30810</v>
      </c>
      <c r="J53" s="50">
        <v>0</v>
      </c>
      <c r="K53" s="50">
        <v>186404</v>
      </c>
      <c r="L53" s="50">
        <v>5480</v>
      </c>
      <c r="M53" s="50">
        <v>663830</v>
      </c>
    </row>
    <row r="54" spans="1:13">
      <c r="A54" s="50" t="s">
        <v>26</v>
      </c>
      <c r="B54" s="50">
        <v>9</v>
      </c>
      <c r="C54" s="50">
        <v>344</v>
      </c>
      <c r="D54" s="50">
        <v>9</v>
      </c>
      <c r="E54" s="50">
        <v>24</v>
      </c>
      <c r="F54" s="50">
        <v>167297</v>
      </c>
      <c r="G54" s="50">
        <v>4881837</v>
      </c>
      <c r="H54" s="50">
        <v>44949119</v>
      </c>
      <c r="I54" s="50">
        <v>505696</v>
      </c>
      <c r="J54" s="50">
        <v>0</v>
      </c>
      <c r="K54" s="50">
        <v>2613756</v>
      </c>
      <c r="L54" s="50">
        <v>31030</v>
      </c>
      <c r="M54" s="50">
        <v>1233947</v>
      </c>
    </row>
    <row r="55" spans="1:13">
      <c r="A55" s="50" t="s">
        <v>27</v>
      </c>
      <c r="B55" s="50">
        <v>0</v>
      </c>
      <c r="C55" s="50">
        <v>31</v>
      </c>
      <c r="D55" s="50">
        <v>1</v>
      </c>
      <c r="E55" s="50">
        <v>18</v>
      </c>
      <c r="F55" s="50">
        <v>65269</v>
      </c>
      <c r="G55" s="50">
        <v>2223277</v>
      </c>
      <c r="H55" s="50">
        <v>16426997</v>
      </c>
      <c r="I55" s="50">
        <v>31274</v>
      </c>
      <c r="J55" s="50">
        <v>0</v>
      </c>
      <c r="K55" s="50">
        <v>158162</v>
      </c>
      <c r="L55" s="50">
        <v>5519</v>
      </c>
      <c r="M55" s="50">
        <v>606640</v>
      </c>
    </row>
    <row r="56" spans="1:13">
      <c r="A56" s="50" t="s">
        <v>25</v>
      </c>
      <c r="B56" s="50">
        <v>4</v>
      </c>
      <c r="C56" s="50">
        <v>126</v>
      </c>
      <c r="D56" s="50">
        <v>4</v>
      </c>
      <c r="E56" s="50">
        <v>22</v>
      </c>
      <c r="F56" s="50">
        <v>103647</v>
      </c>
      <c r="G56" s="50">
        <v>2766390</v>
      </c>
      <c r="H56" s="50">
        <v>27586723</v>
      </c>
      <c r="I56" s="50">
        <v>108708</v>
      </c>
      <c r="J56" s="50">
        <v>0</v>
      </c>
      <c r="K56" s="50">
        <v>695492</v>
      </c>
      <c r="L56" s="50">
        <v>11312</v>
      </c>
      <c r="M56" s="50">
        <v>729886</v>
      </c>
    </row>
    <row r="57" spans="1:13">
      <c r="A57" s="50" t="s">
        <v>26</v>
      </c>
      <c r="B57" s="50">
        <v>3</v>
      </c>
      <c r="C57" s="50">
        <v>177</v>
      </c>
      <c r="D57" s="50">
        <v>3</v>
      </c>
      <c r="E57" s="50">
        <v>22</v>
      </c>
      <c r="F57" s="50">
        <v>116173</v>
      </c>
      <c r="G57" s="50">
        <v>2553543</v>
      </c>
      <c r="H57" s="50">
        <v>27699650</v>
      </c>
      <c r="I57" s="50">
        <v>62346</v>
      </c>
      <c r="J57" s="50">
        <v>0</v>
      </c>
      <c r="K57" s="50">
        <v>653167</v>
      </c>
      <c r="L57" s="50">
        <v>10171</v>
      </c>
      <c r="M57" s="50">
        <v>789896</v>
      </c>
    </row>
    <row r="58" spans="1:13">
      <c r="A58" s="50" t="s">
        <v>27</v>
      </c>
      <c r="B58" s="50">
        <v>2</v>
      </c>
      <c r="C58" s="50">
        <v>92</v>
      </c>
      <c r="D58" s="50">
        <v>2</v>
      </c>
      <c r="E58" s="50">
        <v>24</v>
      </c>
      <c r="F58" s="50">
        <v>88320</v>
      </c>
      <c r="G58" s="50">
        <v>2367588</v>
      </c>
      <c r="H58" s="50">
        <v>24421641</v>
      </c>
      <c r="I58" s="50">
        <v>67170</v>
      </c>
      <c r="J58" s="50">
        <v>0</v>
      </c>
      <c r="K58" s="50">
        <v>350732</v>
      </c>
      <c r="L58" s="50">
        <v>8561</v>
      </c>
      <c r="M58" s="50">
        <v>617975</v>
      </c>
    </row>
    <row r="59" spans="1:13">
      <c r="A59" s="50" t="s">
        <v>25</v>
      </c>
      <c r="B59" s="50">
        <v>6</v>
      </c>
      <c r="C59" s="50">
        <v>261</v>
      </c>
      <c r="D59" s="50">
        <v>8</v>
      </c>
      <c r="E59" s="50">
        <v>33</v>
      </c>
      <c r="F59" s="50">
        <v>186559</v>
      </c>
      <c r="G59" s="50">
        <v>3873905</v>
      </c>
      <c r="H59" s="50">
        <v>53616987</v>
      </c>
      <c r="I59" s="50">
        <v>291838</v>
      </c>
      <c r="J59" s="50">
        <v>0</v>
      </c>
      <c r="K59" s="50">
        <v>1152579</v>
      </c>
      <c r="L59" s="50">
        <v>22709</v>
      </c>
      <c r="M59" s="50">
        <v>1136502</v>
      </c>
    </row>
    <row r="60" spans="1:13">
      <c r="A60" s="50" t="s">
        <v>26</v>
      </c>
      <c r="B60" s="50">
        <v>1</v>
      </c>
      <c r="C60" s="50">
        <v>66</v>
      </c>
      <c r="D60" s="50">
        <v>1</v>
      </c>
      <c r="E60" s="50">
        <v>22</v>
      </c>
      <c r="F60" s="50">
        <v>63555</v>
      </c>
      <c r="G60" s="50">
        <v>2542905</v>
      </c>
      <c r="H60" s="50">
        <v>21517574</v>
      </c>
      <c r="I60" s="50">
        <v>52690</v>
      </c>
      <c r="J60" s="50">
        <v>0</v>
      </c>
      <c r="K60" s="50">
        <v>196139</v>
      </c>
      <c r="L60" s="50">
        <v>7451</v>
      </c>
      <c r="M60" s="50">
        <v>814277</v>
      </c>
    </row>
    <row r="61" spans="1:13">
      <c r="A61" s="50" t="s">
        <v>27</v>
      </c>
      <c r="B61" s="50">
        <v>2</v>
      </c>
      <c r="C61" s="50">
        <v>68</v>
      </c>
      <c r="D61" s="50">
        <v>0</v>
      </c>
      <c r="E61" s="50">
        <v>14</v>
      </c>
      <c r="F61" s="50">
        <v>39185</v>
      </c>
      <c r="G61" s="50">
        <v>1595242</v>
      </c>
      <c r="H61" s="50">
        <v>12488045</v>
      </c>
      <c r="I61" s="50">
        <v>18132</v>
      </c>
      <c r="J61" s="50">
        <v>0</v>
      </c>
      <c r="K61" s="50">
        <v>153238</v>
      </c>
      <c r="L61" s="50">
        <v>4540</v>
      </c>
      <c r="M61" s="50">
        <v>504420</v>
      </c>
    </row>
  </sheetData>
  <conditionalFormatting sqref="F26:F28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{b6650047-7334-4b7f-b775-4e7638035771}</x14:id>
        </ext>
      </extLst>
    </cfRule>
  </conditionalFormatting>
  <conditionalFormatting sqref="F29:F31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{fb0acd32-8539-4bdf-9d84-ae8dd86b4551}</x14:id>
        </ext>
      </extLst>
    </cfRule>
  </conditionalFormatting>
  <conditionalFormatting sqref="F32:F3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{f0dddb8e-79f2-4a26-811f-4fe29d580738}</x14:id>
        </ext>
      </extLst>
    </cfRule>
  </conditionalFormatting>
  <conditionalFormatting sqref="G26:G28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{d380757c-3f3f-4209-8ff4-ce523e5ecdac}</x14:id>
        </ext>
      </extLst>
    </cfRule>
  </conditionalFormatting>
  <conditionalFormatting sqref="G29:G3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{cc16a74e-1836-4729-a1ed-d24ece2f8efa}</x14:id>
        </ext>
      </extLst>
    </cfRule>
  </conditionalFormatting>
  <conditionalFormatting sqref="G32:G34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{bb1d751b-112a-42b0-8472-d039b4c0422b}</x14:id>
        </ext>
      </extLst>
    </cfRule>
  </conditionalFormatting>
  <conditionalFormatting sqref="N26:N34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{95afd22d-f0c7-4c11-bfaf-1f49ac878ed8}</x14:id>
        </ext>
      </extLst>
    </cfRule>
  </conditionalFormatting>
  <conditionalFormatting sqref="O2:O19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{ed22aa78-689e-425a-b92d-884fc1763450}</x14:id>
        </ext>
      </extLst>
    </cfRule>
  </conditionalFormatting>
  <conditionalFormatting sqref="O20:O22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{b3208a10-bd61-406c-8135-8e3a9f308aba}</x14:id>
        </ext>
      </extLst>
    </cfRule>
  </conditionalFormatting>
  <conditionalFormatting sqref="P2:P19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{f6d015fe-1c66-4a4a-a3ef-cd2639a39fdd}</x14:id>
        </ext>
      </extLst>
    </cfRule>
  </conditionalFormatting>
  <conditionalFormatting sqref="P20:P2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{9f873589-2c11-4aaa-aa58-ed17e8aab8c3}</x14:id>
        </ext>
      </extLst>
    </cfRule>
  </conditionalFormatting>
  <conditionalFormatting sqref="P26:P33">
    <cfRule type="cellIs" dxfId="37" priority="1" operator="equal">
      <formula>$S$26</formula>
    </cfRule>
  </conditionalFormatting>
  <conditionalFormatting sqref="Q2:Q22">
    <cfRule type="cellIs" dxfId="38" priority="8" operator="equal">
      <formula>配置!$D$4</formula>
    </cfRule>
    <cfRule type="cellIs" dxfId="39" priority="9" operator="equal">
      <formula>配置!$D$3</formula>
    </cfRule>
    <cfRule type="cellIs" dxfId="37" priority="10" operator="equal">
      <formula>配置!$D$2</formula>
    </cfRule>
  </conditionalFormatting>
  <conditionalFormatting sqref="R26:R29">
    <cfRule type="cellIs" dxfId="37" priority="2" operator="equal">
      <formula>$S$26</formula>
    </cfRule>
  </conditionalFormatting>
  <conditionalFormatting sqref="O23:O24 Q1:R1 Q2 Q4:Q5 Q7:Q8 Q10:Q11 Q13:Q14 Q16:Q17 Q19:Q20 Q22">
    <cfRule type="cellIs" dxfId="37" priority="18" operator="equal">
      <formula>配置!$D$2</formula>
    </cfRule>
  </conditionalFormatting>
  <conditionalFormatting sqref="Q2 Q4:Q5 Q7:Q8 Q10:Q11 Q13:Q14 Q16:Q17 Q19:Q20 Q22">
    <cfRule type="cellIs" dxfId="38" priority="17" operator="equal">
      <formula>配置!$D$4</formula>
    </cfRule>
  </conditionalFormatting>
  <dataValidations count="1">
    <dataValidation type="list" allowBlank="1" showInputMessage="1" showErrorMessage="1" sqref="Q2:Q22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6650047-7334-4b7f-b775-4e76380357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fb0acd32-8539-4bdf-9d84-ae8dd86b45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f0dddb8e-79f2-4a26-811f-4fe29d5807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d380757c-3f3f-4209-8ff4-ce523e5ecd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cc16a74e-1836-4729-a1ed-d24ece2f8e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bb1d751b-112a-42b0-8472-d039b4c042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95afd22d-f0c7-4c11-bfaf-1f49ac878e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N26:N34</xm:sqref>
        </x14:conditionalFormatting>
        <x14:conditionalFormatting xmlns:xm="http://schemas.microsoft.com/office/excel/2006/main">
          <x14:cfRule type="dataBar" id="{ed22aa78-689e-425a-b92d-884fc17634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b3208a10-bd61-406c-8135-8e3a9f308a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f6d015fe-1c66-4a4a-a3ef-cd2639a39f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9f873589-2c11-4aaa-aa58-ed17e8aab8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</x14:conditionalFormatting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5"/>
  <sheetViews>
    <sheetView topLeftCell="A17" workbookViewId="0">
      <selection activeCell="S39" sqref="S39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1">
        <v>5040</v>
      </c>
      <c r="B2" s="371">
        <f>VLOOKUP(表1_86121822242662[[#This Row],[区服]],$P$35:$Q$44,2,FALSE)</f>
        <v>49</v>
      </c>
      <c r="C2" s="372" t="s">
        <v>114</v>
      </c>
      <c r="D2" s="373" t="str">
        <f>表1_86121822242662[[#This Row],[目标国家]]</f>
        <v>魏</v>
      </c>
      <c r="E2" s="374">
        <f>(VLOOKUP(表1_86121822242662[[#This Row],[目标区服]],$R$35:$S$39,2,FALSE)-表1_86121822242662[[#This Row],[开服天数]])*配置!$B$1</f>
        <v>1000</v>
      </c>
      <c r="F2" s="374">
        <f>表1_86121822242662[[#This Row],[补偿Coin]]*(表1_86121822242662[[#This Row],[活跃高战玩家数]]+表1_86121822242662[[#This Row],[活跃中坚玩家数]])</f>
        <v>20000</v>
      </c>
      <c r="G2" s="374">
        <f>(VLOOKUP(表1_86121822242662[[#This Row],[目标区服]],$R$35:$S$39,2,FALSE)-表1_86121822242662[[#This Row],[开服天数]])*配置!$B$2</f>
        <v>10</v>
      </c>
      <c r="H2" s="376" t="s">
        <v>25</v>
      </c>
      <c r="I2" s="376">
        <f>IF(表1_86121822242662[[#This Row],[原国家]]="魏",0,IF(表1_86121822242662[[#This Row],[原国家]]="蜀",1,2))</f>
        <v>0</v>
      </c>
      <c r="J2" s="380">
        <v>2</v>
      </c>
      <c r="K2" s="380">
        <v>57</v>
      </c>
      <c r="L2" s="380">
        <v>2</v>
      </c>
      <c r="M2" s="380">
        <v>18</v>
      </c>
      <c r="N2" s="380">
        <v>57218</v>
      </c>
      <c r="O2" s="380">
        <v>2010111</v>
      </c>
      <c r="P2" s="381">
        <v>13457679</v>
      </c>
      <c r="Q2" s="31" t="s">
        <v>25</v>
      </c>
      <c r="R2" s="376">
        <f>IF(表1_86121822242662[[#This Row],[目标国家]]="魏",0,IF(表1_86121822242662[[#This Row],[目标国家]]="蜀",1,2))</f>
        <v>0</v>
      </c>
      <c r="S2" s="380">
        <v>42638</v>
      </c>
      <c r="T2" s="380">
        <v>0</v>
      </c>
      <c r="U2" s="380">
        <v>184170</v>
      </c>
      <c r="V2" s="380">
        <v>5783</v>
      </c>
      <c r="W2" s="374">
        <v>664423</v>
      </c>
      <c r="X2" s="387" t="str">
        <f>"{"&amp;"'coin':"&amp;表1_86121822242662[[#This Row],[补偿Coin]]&amp;",'"&amp;配置!$A$2&amp;"':"&amp;表1_86121822242662[[#This Row],[补偿辎重]]&amp;"},"</f>
        <v>{'coin':1000,'item036':10},</v>
      </c>
      <c r="Y2" s="388" t="str">
        <f>"      '"&amp;表1_86121822242662[[#This Row],[区服]]&amp;"':{"</f>
        <v>      '5040':{</v>
      </c>
    </row>
    <row r="3" s="354" customFormat="1" ht="14.25" customHeight="1" spans="1:25">
      <c r="A3" s="375">
        <v>5040</v>
      </c>
      <c r="B3" s="371">
        <f>VLOOKUP(表1_86121822242662[[#This Row],[区服]],$P$35:$Q$44,2,FALSE)</f>
        <v>49</v>
      </c>
      <c r="C3" s="372" t="s">
        <v>114</v>
      </c>
      <c r="D3" s="376" t="str">
        <f>表1_86121822242662[[#This Row],[目标国家]]</f>
        <v>蜀</v>
      </c>
      <c r="E3" s="380">
        <f>(VLOOKUP(表1_86121822242662[[#This Row],[目标区服]],$R$35:$S$39,2,FALSE)-表1_86121822242662[[#This Row],[开服天数]])*配置!$B$1</f>
        <v>1000</v>
      </c>
      <c r="F3" s="380">
        <f>表1_86121822242662[[#This Row],[补偿Coin]]*(表1_86121822242662[[#This Row],[活跃高战玩家数]]+表1_86121822242662[[#This Row],[活跃中坚玩家数]])</f>
        <v>29000</v>
      </c>
      <c r="G3" s="380">
        <f>(VLOOKUP(表1_86121822242662[[#This Row],[目标区服]],$R$35:$S$39,2,FALSE)-表1_86121822242662[[#This Row],[开服天数]])*配置!$B$2</f>
        <v>10</v>
      </c>
      <c r="H3" s="376" t="s">
        <v>26</v>
      </c>
      <c r="I3" s="376">
        <f>IF(表1_86121822242662[[#This Row],[原国家]]="魏",0,IF(表1_86121822242662[[#This Row],[原国家]]="蜀",1,2))</f>
        <v>1</v>
      </c>
      <c r="J3" s="380">
        <v>4</v>
      </c>
      <c r="K3" s="380">
        <v>176</v>
      </c>
      <c r="L3" s="380">
        <v>4</v>
      </c>
      <c r="M3" s="380">
        <v>25</v>
      </c>
      <c r="N3" s="380">
        <v>126702</v>
      </c>
      <c r="O3" s="380">
        <v>3303517</v>
      </c>
      <c r="P3" s="381">
        <v>27957194</v>
      </c>
      <c r="Q3" s="31" t="s">
        <v>26</v>
      </c>
      <c r="R3" s="376">
        <f>IF(表1_86121822242662[[#This Row],[目标国家]]="魏",0,IF(表1_86121822242662[[#This Row],[目标国家]]="蜀",1,2))</f>
        <v>1</v>
      </c>
      <c r="S3" s="380">
        <v>96306</v>
      </c>
      <c r="T3" s="380">
        <v>0</v>
      </c>
      <c r="U3" s="380">
        <v>364034</v>
      </c>
      <c r="V3" s="380">
        <v>11963</v>
      </c>
      <c r="W3" s="374">
        <v>995586</v>
      </c>
      <c r="X3" s="387" t="str">
        <f>"{"&amp;"'coin':"&amp;表1_86121822242662[[#This Row],[补偿Coin]]&amp;",'"&amp;配置!$A$2&amp;"':"&amp;表1_86121822242662[[#This Row],[补偿辎重]]&amp;"},"</f>
        <v>{'coin':1000,'item036':10},</v>
      </c>
      <c r="Y3" s="388" t="str">
        <f>"            'to_zone':'"&amp;表1_86121822242662[[#This Row],[目标区服]]&amp;"',
            'reward':"&amp;表1_86121822242662[[#This Row],[辅助导出]]&amp;"
            'country':["&amp;R2&amp;","&amp;R3&amp;","&amp;R4&amp;"],"</f>
        <v>            'to_zone':'h1_518',
            'reward':{'coin':1000,'item036':10},
            'country':[0,1,2],</v>
      </c>
    </row>
    <row r="4" s="354" customFormat="1" ht="14.25" customHeight="1" spans="1:25">
      <c r="A4" s="375">
        <v>5040</v>
      </c>
      <c r="B4" s="371">
        <f>VLOOKUP(表1_86121822242662[[#This Row],[区服]],$P$35:$Q$44,2,FALSE)</f>
        <v>49</v>
      </c>
      <c r="C4" s="372" t="s">
        <v>114</v>
      </c>
      <c r="D4" s="376" t="str">
        <f>表1_86121822242662[[#This Row],[目标国家]]</f>
        <v>吴</v>
      </c>
      <c r="E4" s="380">
        <f>(VLOOKUP(表1_86121822242662[[#This Row],[目标区服]],$R$35:$S$39,2,FALSE)-表1_86121822242662[[#This Row],[开服天数]])*配置!$B$1</f>
        <v>1000</v>
      </c>
      <c r="F4" s="380">
        <f>表1_86121822242662[[#This Row],[补偿Coin]]*(表1_86121822242662[[#This Row],[活跃高战玩家数]]+表1_86121822242662[[#This Row],[活跃中坚玩家数]])</f>
        <v>23000</v>
      </c>
      <c r="G4" s="380">
        <f>(VLOOKUP(表1_86121822242662[[#This Row],[目标区服]],$R$35:$S$39,2,FALSE)-表1_86121822242662[[#This Row],[开服天数]])*配置!$B$2</f>
        <v>10</v>
      </c>
      <c r="H4" s="376" t="s">
        <v>27</v>
      </c>
      <c r="I4" s="376">
        <f>IF(表1_86121822242662[[#This Row],[原国家]]="魏",0,IF(表1_86121822242662[[#This Row],[原国家]]="蜀",1,2))</f>
        <v>2</v>
      </c>
      <c r="J4" s="380">
        <v>3</v>
      </c>
      <c r="K4" s="380">
        <v>162</v>
      </c>
      <c r="L4" s="380">
        <v>4</v>
      </c>
      <c r="M4" s="380">
        <v>19</v>
      </c>
      <c r="N4" s="380">
        <v>118654</v>
      </c>
      <c r="O4" s="380">
        <v>2900296</v>
      </c>
      <c r="P4" s="381">
        <v>24398523</v>
      </c>
      <c r="Q4" s="31" t="s">
        <v>27</v>
      </c>
      <c r="R4" s="376">
        <f>IF(表1_86121822242662[[#This Row],[目标国家]]="魏",0,IF(表1_86121822242662[[#This Row],[目标国家]]="蜀",1,2))</f>
        <v>2</v>
      </c>
      <c r="S4" s="380">
        <v>77890</v>
      </c>
      <c r="T4" s="380">
        <v>0</v>
      </c>
      <c r="U4" s="380">
        <v>311591</v>
      </c>
      <c r="V4" s="380">
        <v>10345</v>
      </c>
      <c r="W4" s="374">
        <v>824939</v>
      </c>
      <c r="X4" s="387" t="str">
        <f>"{"&amp;"'coin':"&amp;表1_86121822242662[[#This Row],[补偿Coin]]&amp;",'"&amp;配置!$A$2&amp;"':"&amp;表1_86121822242662[[#This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5">
        <v>5041</v>
      </c>
      <c r="B5" s="371">
        <f>VLOOKUP(表1_86121822242662[[#This Row],[区服]],$P$35:$Q$44,2,FALSE)</f>
        <v>48</v>
      </c>
      <c r="C5" s="372" t="s">
        <v>114</v>
      </c>
      <c r="D5" s="376" t="str">
        <f>表1_86121822242662[[#This Row],[目标国家]]</f>
        <v>魏</v>
      </c>
      <c r="E5" s="380">
        <f>(VLOOKUP(表1_86121822242662[[#This Row],[目标区服]],$R$35:$S$39,2,FALSE)-表1_86121822242662[[#This Row],[开服天数]])*配置!$B$1</f>
        <v>1500</v>
      </c>
      <c r="F5" s="380">
        <f>表1_86121822242662[[#This Row],[补偿Coin]]*(表1_86121822242662[[#This Row],[活跃高战玩家数]]+表1_86121822242662[[#This Row],[活跃中坚玩家数]])</f>
        <v>46500</v>
      </c>
      <c r="G5" s="380">
        <f>(VLOOKUP(表1_86121822242662[[#This Row],[目标区服]],$R$35:$S$39,2,FALSE)-表1_86121822242662[[#This Row],[开服天数]])*配置!$B$2</f>
        <v>15</v>
      </c>
      <c r="H5" s="376" t="s">
        <v>25</v>
      </c>
      <c r="I5" s="376">
        <f>IF(表1_86121822242662[[#This Row],[原国家]]="魏",0,IF(表1_86121822242662[[#This Row],[原国家]]="蜀",1,2))</f>
        <v>0</v>
      </c>
      <c r="J5" s="380">
        <v>5</v>
      </c>
      <c r="K5" s="380">
        <v>206</v>
      </c>
      <c r="L5" s="380">
        <v>5</v>
      </c>
      <c r="M5" s="380">
        <v>26</v>
      </c>
      <c r="N5" s="380">
        <v>128001</v>
      </c>
      <c r="O5" s="380">
        <v>2527703</v>
      </c>
      <c r="P5" s="381">
        <v>24468404</v>
      </c>
      <c r="Q5" s="31" t="s">
        <v>25</v>
      </c>
      <c r="R5" s="376">
        <f>IF(表1_86121822242662[[#This Row],[目标国家]]="魏",0,IF(表1_86121822242662[[#This Row],[目标国家]]="蜀",1,2))</f>
        <v>0</v>
      </c>
      <c r="S5" s="380">
        <v>77628</v>
      </c>
      <c r="T5" s="380">
        <v>0</v>
      </c>
      <c r="U5" s="380">
        <v>313311</v>
      </c>
      <c r="V5" s="380">
        <v>10660</v>
      </c>
      <c r="W5" s="374">
        <v>820756</v>
      </c>
      <c r="X5" s="387" t="str">
        <f>"{"&amp;"'coin':"&amp;表1_86121822242662[[#This Row],[补偿Coin]]&amp;",'"&amp;配置!$A$2&amp;"':"&amp;表1_86121822242662[[#This Row],[补偿辎重]]&amp;"},"</f>
        <v>{'coin':1500,'item036':15},</v>
      </c>
      <c r="Y5" s="388" t="str">
        <f>"      '"&amp;表1_86121822242662[[#This Row],[区服]]&amp;"':{"</f>
        <v>      '5041':{</v>
      </c>
    </row>
    <row r="6" s="354" customFormat="1" ht="14.25" customHeight="1" spans="1:25">
      <c r="A6" s="371">
        <v>5041</v>
      </c>
      <c r="B6" s="371">
        <f>VLOOKUP(表1_86121822242662[[#This Row],[区服]],$P$35:$Q$44,2,FALSE)</f>
        <v>48</v>
      </c>
      <c r="C6" s="372" t="s">
        <v>114</v>
      </c>
      <c r="D6" s="376" t="str">
        <f>表1_86121822242662[[#This Row],[目标国家]]</f>
        <v>吴</v>
      </c>
      <c r="E6" s="380">
        <f>(VLOOKUP(表1_86121822242662[[#This Row],[目标区服]],$R$35:$S$39,2,FALSE)-表1_86121822242662[[#This Row],[开服天数]])*配置!$B$1</f>
        <v>1500</v>
      </c>
      <c r="F6" s="380">
        <f>表1_86121822242662[[#This Row],[补偿Coin]]*(表1_86121822242662[[#This Row],[活跃高战玩家数]]+表1_86121822242662[[#This Row],[活跃中坚玩家数]])</f>
        <v>34500</v>
      </c>
      <c r="G6" s="380">
        <f>(VLOOKUP(表1_86121822242662[[#This Row],[目标区服]],$R$35:$S$39,2,FALSE)-表1_86121822242662[[#This Row],[开服天数]])*配置!$B$2</f>
        <v>15</v>
      </c>
      <c r="H6" s="376" t="s">
        <v>26</v>
      </c>
      <c r="I6" s="376">
        <f>IF(表1_86121822242662[[#This Row],[原国家]]="魏",0,IF(表1_86121822242662[[#This Row],[原国家]]="蜀",1,2))</f>
        <v>1</v>
      </c>
      <c r="J6" s="380">
        <v>4</v>
      </c>
      <c r="K6" s="380">
        <v>163</v>
      </c>
      <c r="L6" s="380">
        <v>5</v>
      </c>
      <c r="M6" s="380">
        <v>18</v>
      </c>
      <c r="N6" s="380">
        <v>111770</v>
      </c>
      <c r="O6" s="380">
        <v>1925083</v>
      </c>
      <c r="P6" s="381">
        <v>19843528</v>
      </c>
      <c r="Q6" s="31" t="s">
        <v>27</v>
      </c>
      <c r="R6" s="376">
        <f>IF(表1_86121822242662[[#This Row],[目标国家]]="魏",0,IF(表1_86121822242662[[#This Row],[目标国家]]="蜀",1,2))</f>
        <v>2</v>
      </c>
      <c r="S6" s="380">
        <v>42826</v>
      </c>
      <c r="T6" s="380">
        <v>0</v>
      </c>
      <c r="U6" s="380">
        <v>413886</v>
      </c>
      <c r="V6" s="380">
        <v>7990</v>
      </c>
      <c r="W6" s="374">
        <v>484406</v>
      </c>
      <c r="X6" s="387" t="str">
        <f>"{"&amp;"'coin':"&amp;表1_86121822242662[[#This Row],[补偿Coin]]&amp;",'"&amp;配置!$A$2&amp;"':"&amp;表1_86121822242662[[#This Row],[补偿辎重]]&amp;"},"</f>
        <v>{'coin':1500,'item036':15},</v>
      </c>
      <c r="Y6" s="388" t="str">
        <f>"            'to_zone':'"&amp;表1_86121822242662[[#This Row],[目标区服]]&amp;"',
            'reward':"&amp;表1_86121822242662[[#This Row],[辅助导出]]&amp;"
            'country':["&amp;R5&amp;","&amp;R6&amp;","&amp;R7&amp;"],"</f>
        <v>            'to_zone':'h1_518',
            'reward':{'coin':1500,'item036':15},
            'country':[0,2,1],</v>
      </c>
    </row>
    <row r="7" s="354" customFormat="1" ht="14.25" customHeight="1" spans="1:25">
      <c r="A7" s="371">
        <v>5041</v>
      </c>
      <c r="B7" s="371">
        <f>VLOOKUP(表1_86121822242662[[#This Row],[区服]],$P$35:$Q$44,2,FALSE)</f>
        <v>48</v>
      </c>
      <c r="C7" s="372" t="s">
        <v>114</v>
      </c>
      <c r="D7" s="376" t="str">
        <f>表1_86121822242662[[#This Row],[目标国家]]</f>
        <v>蜀</v>
      </c>
      <c r="E7" s="380">
        <f>(VLOOKUP(表1_86121822242662[[#This Row],[目标区服]],$R$35:$S$39,2,FALSE)-表1_86121822242662[[#This Row],[开服天数]])*配置!$B$1</f>
        <v>1500</v>
      </c>
      <c r="F7" s="380">
        <f>表1_86121822242662[[#This Row],[补偿Coin]]*(表1_86121822242662[[#This Row],[活跃高战玩家数]]+表1_86121822242662[[#This Row],[活跃中坚玩家数]])</f>
        <v>12000</v>
      </c>
      <c r="G7" s="380">
        <f>(VLOOKUP(表1_86121822242662[[#This Row],[目标区服]],$R$35:$S$39,2,FALSE)-表1_86121822242662[[#This Row],[开服天数]])*配置!$B$2</f>
        <v>15</v>
      </c>
      <c r="H7" s="376" t="s">
        <v>27</v>
      </c>
      <c r="I7" s="376">
        <f>IF(表1_86121822242662[[#This Row],[原国家]]="魏",0,IF(表1_86121822242662[[#This Row],[原国家]]="蜀",1,2))</f>
        <v>2</v>
      </c>
      <c r="J7" s="380">
        <v>0</v>
      </c>
      <c r="K7" s="380">
        <v>26</v>
      </c>
      <c r="L7" s="380">
        <v>0</v>
      </c>
      <c r="M7" s="380">
        <v>8</v>
      </c>
      <c r="N7" s="380">
        <v>15691</v>
      </c>
      <c r="O7" s="380">
        <v>726800</v>
      </c>
      <c r="P7" s="381">
        <v>3604058</v>
      </c>
      <c r="Q7" s="31" t="s">
        <v>26</v>
      </c>
      <c r="R7" s="376">
        <f>IF(表1_86121822242662[[#This Row],[目标国家]]="魏",0,IF(表1_86121822242662[[#This Row],[目标国家]]="蜀",1,2))</f>
        <v>1</v>
      </c>
      <c r="S7" s="380">
        <v>528</v>
      </c>
      <c r="T7" s="380">
        <v>0</v>
      </c>
      <c r="U7" s="380">
        <v>64161</v>
      </c>
      <c r="V7" s="380">
        <v>1473</v>
      </c>
      <c r="W7" s="374">
        <v>351458</v>
      </c>
      <c r="X7" s="387" t="str">
        <f>"{"&amp;"'coin':"&amp;表1_86121822242662[[#This Row],[补偿Coin]]&amp;",'"&amp;配置!$A$2&amp;"':"&amp;表1_86121822242662[[#This Row],[补偿辎重]]&amp;"},"</f>
        <v>{'coin':1500,'item036':15},</v>
      </c>
      <c r="Y7" s="388" t="str">
        <f t="shared" ref="Y7" si="0">"      },"</f>
        <v>      },</v>
      </c>
    </row>
    <row r="8" s="354" customFormat="1" ht="14.25" customHeight="1" spans="1:25">
      <c r="A8" s="259">
        <v>5042</v>
      </c>
      <c r="B8" s="210">
        <f>VLOOKUP(表1_86121822242662[[#This Row],[区服]],$P$35:$Q$44,2,FALSE)</f>
        <v>47</v>
      </c>
      <c r="C8" s="296" t="s">
        <v>115</v>
      </c>
      <c r="D8" s="212" t="str">
        <f>表1_86121822242662[[#This Row],[目标国家]]</f>
        <v>蜀</v>
      </c>
      <c r="E8" s="213">
        <f>(VLOOKUP(表1_86121822242662[[#This Row],[目标区服]],$R$35:$S$39,2,FALSE)-表1_86121822242662[[#This Row],[开服天数]])*配置!$B$1</f>
        <v>1000</v>
      </c>
      <c r="F8" s="213">
        <f>表1_86121822242662[[#This Row],[补偿Coin]]*(表1_86121822242662[[#This Row],[活跃高战玩家数]]+表1_86121822242662[[#This Row],[活跃中坚玩家数]])</f>
        <v>17000</v>
      </c>
      <c r="G8" s="260">
        <f>(VLOOKUP(表1_86121822242662[[#This Row],[目标区服]],$R$35:$S$39,2,FALSE)-表1_86121822242662[[#This Row],[开服天数]])*配置!$B$2</f>
        <v>10</v>
      </c>
      <c r="H8" s="212" t="s">
        <v>25</v>
      </c>
      <c r="I8" s="268">
        <f>IF(表1_86121822242662[[#This Row],[原国家]]="魏",0,IF(表1_86121822242662[[#This Row],[原国家]]="蜀",1,2))</f>
        <v>0</v>
      </c>
      <c r="J8" s="213">
        <v>3</v>
      </c>
      <c r="K8" s="213">
        <v>131</v>
      </c>
      <c r="L8" s="213">
        <v>4</v>
      </c>
      <c r="M8" s="213">
        <v>13</v>
      </c>
      <c r="N8" s="213">
        <v>79342</v>
      </c>
      <c r="O8" s="419">
        <v>2584234</v>
      </c>
      <c r="P8" s="420">
        <v>13019772</v>
      </c>
      <c r="Q8" s="31" t="s">
        <v>26</v>
      </c>
      <c r="R8" s="212">
        <f>IF(表1_86121822242662[[#This Row],[目标国家]]="魏",0,IF(表1_86121822242662[[#This Row],[目标国家]]="蜀",1,2))</f>
        <v>1</v>
      </c>
      <c r="S8" s="213">
        <v>65658</v>
      </c>
      <c r="T8" s="213">
        <v>0</v>
      </c>
      <c r="U8" s="213">
        <v>112863</v>
      </c>
      <c r="V8" s="213">
        <v>7919</v>
      </c>
      <c r="W8" s="213">
        <v>903533</v>
      </c>
      <c r="X8" s="278" t="str">
        <f>"{"&amp;"'coin':"&amp;表1_86121822242662[[#This Row],[补偿Coin]]&amp;",'"&amp;配置!$A$2&amp;"':"&amp;表1_86121822242662[[#This Row],[补偿辎重]]&amp;"},"</f>
        <v>{'coin':1000,'item036':10},</v>
      </c>
      <c r="Y8" s="278" t="str">
        <f>"      '"&amp;表1_86121822242662[[#This Row],[区服]]&amp;"':{"</f>
        <v>      '5042':{</v>
      </c>
    </row>
    <row r="9" s="354" customFormat="1" ht="14.25" customHeight="1" spans="1:25">
      <c r="A9" s="259">
        <v>5042</v>
      </c>
      <c r="B9" s="210">
        <f>VLOOKUP(表1_86121822242662[[#This Row],[区服]],$P$35:$Q$44,2,FALSE)</f>
        <v>47</v>
      </c>
      <c r="C9" s="296" t="s">
        <v>115</v>
      </c>
      <c r="D9" s="212" t="str">
        <f>表1_86121822242662[[#This Row],[目标国家]]</f>
        <v>吴</v>
      </c>
      <c r="E9" s="213">
        <f>(VLOOKUP(表1_86121822242662[[#This Row],[目标区服]],$R$35:$S$39,2,FALSE)-表1_86121822242662[[#This Row],[开服天数]])*配置!$B$1</f>
        <v>1000</v>
      </c>
      <c r="F9" s="213">
        <f>表1_86121822242662[[#This Row],[补偿Coin]]*(表1_86121822242662[[#This Row],[活跃高战玩家数]]+表1_86121822242662[[#This Row],[活跃中坚玩家数]])</f>
        <v>25000</v>
      </c>
      <c r="G9" s="260">
        <f>(VLOOKUP(表1_86121822242662[[#This Row],[目标区服]],$R$35:$S$39,2,FALSE)-表1_86121822242662[[#This Row],[开服天数]])*配置!$B$2</f>
        <v>10</v>
      </c>
      <c r="H9" s="212" t="s">
        <v>26</v>
      </c>
      <c r="I9" s="268">
        <f>IF(表1_86121822242662[[#This Row],[原国家]]="魏",0,IF(表1_86121822242662[[#This Row],[原国家]]="蜀",1,2))</f>
        <v>1</v>
      </c>
      <c r="J9" s="213">
        <v>4</v>
      </c>
      <c r="K9" s="213">
        <v>187</v>
      </c>
      <c r="L9" s="213">
        <v>6</v>
      </c>
      <c r="M9" s="213">
        <v>19</v>
      </c>
      <c r="N9" s="213">
        <v>139293</v>
      </c>
      <c r="O9" s="419">
        <v>2599966</v>
      </c>
      <c r="P9" s="420">
        <v>20659641</v>
      </c>
      <c r="Q9" s="31" t="s">
        <v>27</v>
      </c>
      <c r="R9" s="212">
        <f>IF(表1_86121822242662[[#This Row],[目标国家]]="魏",0,IF(表1_86121822242662[[#This Row],[目标国家]]="蜀",1,2))</f>
        <v>2</v>
      </c>
      <c r="S9" s="213">
        <v>73652</v>
      </c>
      <c r="T9" s="213">
        <v>0</v>
      </c>
      <c r="U9" s="213">
        <v>365689</v>
      </c>
      <c r="V9" s="213">
        <v>10024</v>
      </c>
      <c r="W9" s="213">
        <v>718449</v>
      </c>
      <c r="X9" s="278" t="str">
        <f>"{"&amp;"'coin':"&amp;表1_86121822242662[[#This Row],[补偿Coin]]&amp;",'"&amp;配置!$A$2&amp;"':"&amp;表1_86121822242662[[#This Row],[补偿辎重]]&amp;"},"</f>
        <v>{'coin':1000,'item036':10},</v>
      </c>
      <c r="Y9" s="278" t="str">
        <f>"            'to_zone':'"&amp;表1_86121822242662[[#This Row],[目标区服]]&amp;"',
            'reward':"&amp;表1_86121822242662[[#This Row],[辅助导出]]&amp;"
            'country':["&amp;R8&amp;","&amp;R9&amp;","&amp;R10&amp;"],"</f>
        <v>            'to_zone':'h1_519',
            'reward':{'coin':1000,'item036':10},
            'country':[1,2,0],</v>
      </c>
    </row>
    <row r="10" s="354" customFormat="1" ht="14.25" customHeight="1" spans="1:25">
      <c r="A10" s="259">
        <v>5042</v>
      </c>
      <c r="B10" s="210">
        <f>VLOOKUP(表1_86121822242662[[#This Row],[区服]],$P$35:$Q$44,2,FALSE)</f>
        <v>47</v>
      </c>
      <c r="C10" s="296" t="s">
        <v>115</v>
      </c>
      <c r="D10" s="212" t="str">
        <f>表1_86121822242662[[#This Row],[目标国家]]</f>
        <v>魏</v>
      </c>
      <c r="E10" s="213">
        <f>(VLOOKUP(表1_86121822242662[[#This Row],[目标区服]],$R$35:$S$39,2,FALSE)-表1_86121822242662[[#This Row],[开服天数]])*配置!$B$1</f>
        <v>1000</v>
      </c>
      <c r="F10" s="213">
        <f>表1_86121822242662[[#This Row],[补偿Coin]]*(表1_86121822242662[[#This Row],[活跃高战玩家数]]+表1_86121822242662[[#This Row],[活跃中坚玩家数]])</f>
        <v>9000</v>
      </c>
      <c r="G10" s="260">
        <f>(VLOOKUP(表1_86121822242662[[#This Row],[目标区服]],$R$35:$S$39,2,FALSE)-表1_86121822242662[[#This Row],[开服天数]])*配置!$B$2</f>
        <v>10</v>
      </c>
      <c r="H10" s="212" t="s">
        <v>27</v>
      </c>
      <c r="I10" s="268">
        <f>IF(表1_86121822242662[[#This Row],[原国家]]="魏",0,IF(表1_86121822242662[[#This Row],[原国家]]="蜀",1,2))</f>
        <v>2</v>
      </c>
      <c r="J10" s="213">
        <v>2</v>
      </c>
      <c r="K10" s="213">
        <v>77</v>
      </c>
      <c r="L10" s="213">
        <v>0</v>
      </c>
      <c r="M10" s="213">
        <v>9</v>
      </c>
      <c r="N10" s="213">
        <v>39098</v>
      </c>
      <c r="O10" s="419">
        <v>933167</v>
      </c>
      <c r="P10" s="420">
        <v>5149437</v>
      </c>
      <c r="Q10" s="31" t="s">
        <v>25</v>
      </c>
      <c r="R10" s="212">
        <f>IF(表1_86121822242662[[#This Row],[目标国家]]="魏",0,IF(表1_86121822242662[[#This Row],[目标国家]]="蜀",1,2))</f>
        <v>0</v>
      </c>
      <c r="S10" s="213">
        <v>1780</v>
      </c>
      <c r="T10" s="213">
        <v>0</v>
      </c>
      <c r="U10" s="213">
        <v>89411</v>
      </c>
      <c r="V10" s="213">
        <v>2711</v>
      </c>
      <c r="W10" s="213">
        <v>303495</v>
      </c>
      <c r="X10" s="278" t="str">
        <f>"{"&amp;"'coin':"&amp;表1_86121822242662[[#This Row],[补偿Coin]]&amp;",'"&amp;配置!$A$2&amp;"':"&amp;表1_86121822242662[[#This Row],[补偿辎重]]&amp;"},"</f>
        <v>{'coin':1000,'item036':10},</v>
      </c>
      <c r="Y10" s="278" t="str">
        <f>"      },"</f>
        <v>      },</v>
      </c>
    </row>
    <row r="11" s="354" customFormat="1" ht="14.25" customHeight="1" spans="1:25">
      <c r="A11" s="259">
        <v>5043</v>
      </c>
      <c r="B11" s="210">
        <f>VLOOKUP(表1_86121822242662[[#This Row],[区服]],$P$35:$Q$44,2,FALSE)</f>
        <v>46</v>
      </c>
      <c r="C11" s="296" t="s">
        <v>115</v>
      </c>
      <c r="D11" s="212" t="str">
        <f>表1_86121822242662[[#This Row],[目标国家]]</f>
        <v>魏</v>
      </c>
      <c r="E11" s="213">
        <f>(VLOOKUP(表1_86121822242662[[#This Row],[目标区服]],$R$35:$S$39,2,FALSE)-表1_86121822242662[[#This Row],[开服天数]])*配置!$B$1</f>
        <v>1500</v>
      </c>
      <c r="F11" s="213">
        <f>表1_86121822242662[[#This Row],[补偿Coin]]*(表1_86121822242662[[#This Row],[活跃高战玩家数]]+表1_86121822242662[[#This Row],[活跃中坚玩家数]])</f>
        <v>45000</v>
      </c>
      <c r="G11" s="260">
        <f>(VLOOKUP(表1_86121822242662[[#This Row],[目标区服]],$R$35:$S$39,2,FALSE)-表1_86121822242662[[#This Row],[开服天数]])*配置!$B$2</f>
        <v>15</v>
      </c>
      <c r="H11" s="212" t="s">
        <v>25</v>
      </c>
      <c r="I11" s="268">
        <f>IF(表1_86121822242662[[#This Row],[原国家]]="魏",0,IF(表1_86121822242662[[#This Row],[原国家]]="蜀",1,2))</f>
        <v>0</v>
      </c>
      <c r="J11" s="213">
        <v>3</v>
      </c>
      <c r="K11" s="213">
        <v>99</v>
      </c>
      <c r="L11" s="213">
        <v>4</v>
      </c>
      <c r="M11" s="213">
        <v>26</v>
      </c>
      <c r="N11" s="213">
        <v>119570</v>
      </c>
      <c r="O11" s="419">
        <v>2924301</v>
      </c>
      <c r="P11" s="420">
        <v>26852323</v>
      </c>
      <c r="Q11" s="31" t="s">
        <v>25</v>
      </c>
      <c r="R11" s="212">
        <f>IF(表1_86121822242662[[#This Row],[目标国家]]="魏",0,IF(表1_86121822242662[[#This Row],[目标国家]]="蜀",1,2))</f>
        <v>0</v>
      </c>
      <c r="S11" s="213">
        <v>122492</v>
      </c>
      <c r="T11" s="213">
        <v>0</v>
      </c>
      <c r="U11" s="213">
        <v>393381</v>
      </c>
      <c r="V11" s="213">
        <v>11368</v>
      </c>
      <c r="W11" s="213">
        <v>804908</v>
      </c>
      <c r="X11" s="278" t="str">
        <f>"{"&amp;"'coin':"&amp;表1_86121822242662[[#This Row],[补偿Coin]]&amp;",'"&amp;配置!$A$2&amp;"':"&amp;表1_86121822242662[[#This Row],[补偿辎重]]&amp;"},"</f>
        <v>{'coin':1500,'item036':15},</v>
      </c>
      <c r="Y11" s="278" t="str">
        <f>"      '"&amp;表1_86121822242662[[#This Row],[区服]]&amp;"':{"</f>
        <v>      '5043':{</v>
      </c>
    </row>
    <row r="12" s="354" customFormat="1" ht="14.25" customHeight="1" spans="1:25">
      <c r="A12" s="259">
        <v>5043</v>
      </c>
      <c r="B12" s="210">
        <f>VLOOKUP(表1_86121822242662[[#This Row],[区服]],$P$35:$Q$44,2,FALSE)</f>
        <v>46</v>
      </c>
      <c r="C12" s="296" t="s">
        <v>115</v>
      </c>
      <c r="D12" s="212" t="str">
        <f>表1_86121822242662[[#This Row],[目标国家]]</f>
        <v>蜀</v>
      </c>
      <c r="E12" s="213">
        <f>(VLOOKUP(表1_86121822242662[[#This Row],[目标区服]],$R$35:$S$39,2,FALSE)-表1_86121822242662[[#This Row],[开服天数]])*配置!$B$1</f>
        <v>1500</v>
      </c>
      <c r="F12" s="213">
        <f>表1_86121822242662[[#This Row],[补偿Coin]]*(表1_86121822242662[[#This Row],[活跃高战玩家数]]+表1_86121822242662[[#This Row],[活跃中坚玩家数]])</f>
        <v>40500</v>
      </c>
      <c r="G12" s="260">
        <f>(VLOOKUP(表1_86121822242662[[#This Row],[目标区服]],$R$35:$S$39,2,FALSE)-表1_86121822242662[[#This Row],[开服天数]])*配置!$B$2</f>
        <v>15</v>
      </c>
      <c r="H12" s="212" t="s">
        <v>26</v>
      </c>
      <c r="I12" s="268">
        <f>IF(表1_86121822242662[[#This Row],[原国家]]="魏",0,IF(表1_86121822242662[[#This Row],[原国家]]="蜀",1,2))</f>
        <v>1</v>
      </c>
      <c r="J12" s="213">
        <v>3</v>
      </c>
      <c r="K12" s="213">
        <v>220</v>
      </c>
      <c r="L12" s="213">
        <v>2</v>
      </c>
      <c r="M12" s="213">
        <v>25</v>
      </c>
      <c r="N12" s="213">
        <v>98590</v>
      </c>
      <c r="O12" s="419">
        <v>3456627</v>
      </c>
      <c r="P12" s="420">
        <v>23158835</v>
      </c>
      <c r="Q12" s="31" t="s">
        <v>26</v>
      </c>
      <c r="R12" s="212">
        <f>IF(表1_86121822242662[[#This Row],[目标国家]]="魏",0,IF(表1_86121822242662[[#This Row],[目标国家]]="蜀",1,2))</f>
        <v>1</v>
      </c>
      <c r="S12" s="213">
        <v>93854</v>
      </c>
      <c r="T12" s="213">
        <v>0</v>
      </c>
      <c r="U12" s="213">
        <v>425683</v>
      </c>
      <c r="V12" s="213">
        <v>11793</v>
      </c>
      <c r="W12" s="213">
        <v>979962</v>
      </c>
      <c r="X12" s="278" t="str">
        <f>"{"&amp;"'coin':"&amp;表1_86121822242662[[#This Row],[补偿Coin]]&amp;",'"&amp;配置!$A$2&amp;"':"&amp;表1_86121822242662[[#This Row],[补偿辎重]]&amp;"},"</f>
        <v>{'coin':1500,'item036':15},</v>
      </c>
      <c r="Y12" s="278" t="str">
        <f>"            'to_zone':'"&amp;表1_86121822242662[[#This Row],[目标区服]]&amp;"',
            'reward':"&amp;表1_86121822242662[[#This Row],[辅助导出]]&amp;"
            'country':["&amp;R11&amp;","&amp;R12&amp;","&amp;R13&amp;"],"</f>
        <v>            'to_zone':'h1_519',
            'reward':{'coin':1500,'item036':15},
            'country':[0,1,2],</v>
      </c>
    </row>
    <row r="13" s="354" customFormat="1" ht="14.25" customHeight="1" spans="1:25">
      <c r="A13" s="259">
        <v>5043</v>
      </c>
      <c r="B13" s="210">
        <f>VLOOKUP(表1_86121822242662[[#This Row],[区服]],$P$35:$Q$44,2,FALSE)</f>
        <v>46</v>
      </c>
      <c r="C13" s="296" t="s">
        <v>115</v>
      </c>
      <c r="D13" s="212" t="str">
        <f>表1_86121822242662[[#This Row],[目标国家]]</f>
        <v>吴</v>
      </c>
      <c r="E13" s="213">
        <f>(VLOOKUP(表1_86121822242662[[#This Row],[目标区服]],$R$35:$S$39,2,FALSE)-表1_86121822242662[[#This Row],[开服天数]])*配置!$B$1</f>
        <v>1500</v>
      </c>
      <c r="F13" s="213">
        <f>表1_86121822242662[[#This Row],[补偿Coin]]*(表1_86121822242662[[#This Row],[活跃高战玩家数]]+表1_86121822242662[[#This Row],[活跃中坚玩家数]])</f>
        <v>27000</v>
      </c>
      <c r="G13" s="260">
        <f>(VLOOKUP(表1_86121822242662[[#This Row],[目标区服]],$R$35:$S$39,2,FALSE)-表1_86121822242662[[#This Row],[开服天数]])*配置!$B$2</f>
        <v>15</v>
      </c>
      <c r="H13" s="212" t="s">
        <v>27</v>
      </c>
      <c r="I13" s="268">
        <f>IF(表1_86121822242662[[#This Row],[原国家]]="魏",0,IF(表1_86121822242662[[#This Row],[原国家]]="蜀",1,2))</f>
        <v>2</v>
      </c>
      <c r="J13" s="213">
        <v>3</v>
      </c>
      <c r="K13" s="213">
        <v>76</v>
      </c>
      <c r="L13" s="213">
        <v>4</v>
      </c>
      <c r="M13" s="213">
        <v>14</v>
      </c>
      <c r="N13" s="213">
        <v>86052</v>
      </c>
      <c r="O13" s="419">
        <v>2845478</v>
      </c>
      <c r="P13" s="420">
        <v>19573161</v>
      </c>
      <c r="Q13" s="31" t="s">
        <v>27</v>
      </c>
      <c r="R13" s="212">
        <f>IF(表1_86121822242662[[#This Row],[目标国家]]="魏",0,IF(表1_86121822242662[[#This Row],[目标国家]]="蜀",1,2))</f>
        <v>2</v>
      </c>
      <c r="S13" s="213">
        <v>90872</v>
      </c>
      <c r="T13" s="213">
        <v>0</v>
      </c>
      <c r="U13" s="213">
        <v>629099</v>
      </c>
      <c r="V13" s="213">
        <v>9333</v>
      </c>
      <c r="W13" s="213">
        <v>790611</v>
      </c>
      <c r="X13" s="278" t="str">
        <f>"{"&amp;"'coin':"&amp;表1_86121822242662[[#This Row],[补偿Coin]]&amp;",'"&amp;配置!$A$2&amp;"':"&amp;表1_86121822242662[[#This Row],[补偿辎重]]&amp;"},"</f>
        <v>{'coin':1500,'item036':15},</v>
      </c>
      <c r="Y13" s="278" t="str">
        <f t="shared" ref="Y13" si="1">"      },"</f>
        <v>      },</v>
      </c>
    </row>
    <row r="14" s="354" customFormat="1" ht="14.25" customHeight="1" spans="1:25">
      <c r="A14" s="605">
        <v>5044</v>
      </c>
      <c r="B14" s="606">
        <f>VLOOKUP(表1_86121822242662[[#This Row],[区服]],$P$35:$Q$44,2,FALSE)</f>
        <v>45</v>
      </c>
      <c r="C14" s="607" t="s">
        <v>116</v>
      </c>
      <c r="D14" s="608" t="str">
        <f>表1_86121822242662[[#This Row],[目标国家]]</f>
        <v>魏</v>
      </c>
      <c r="E14" s="609">
        <f>(VLOOKUP(表1_86121822242662[[#This Row],[目标区服]],$R$35:$S$39,2,FALSE)-表1_86121822242662[[#This Row],[开服天数]])*配置!$B$1</f>
        <v>1000</v>
      </c>
      <c r="F14" s="609">
        <f>表1_86121822242662[[#This Row],[补偿Coin]]*(表1_86121822242662[[#This Row],[活跃高战玩家数]]+表1_86121822242662[[#This Row],[活跃中坚玩家数]])</f>
        <v>19000</v>
      </c>
      <c r="G14" s="609">
        <f>(VLOOKUP(表1_86121822242662[[#This Row],[目标区服]],$R$35:$S$39,2,FALSE)-表1_86121822242662[[#This Row],[开服天数]])*配置!$B$2</f>
        <v>10</v>
      </c>
      <c r="H14" s="608" t="s">
        <v>25</v>
      </c>
      <c r="I14" s="608">
        <f>IF(表1_86121822242662[[#This Row],[原国家]]="魏",0,IF(表1_86121822242662[[#This Row],[原国家]]="蜀",1,2))</f>
        <v>0</v>
      </c>
      <c r="J14" s="609">
        <v>2</v>
      </c>
      <c r="K14" s="609">
        <v>74</v>
      </c>
      <c r="L14" s="609">
        <v>1</v>
      </c>
      <c r="M14" s="609">
        <v>18</v>
      </c>
      <c r="N14" s="609">
        <v>68560</v>
      </c>
      <c r="O14" s="609">
        <v>1731365</v>
      </c>
      <c r="P14" s="616">
        <v>14013952</v>
      </c>
      <c r="Q14" s="619" t="s">
        <v>25</v>
      </c>
      <c r="R14" s="608">
        <f>IF(表1_86121822242662[[#This Row],[目标国家]]="魏",0,IF(表1_86121822242662[[#This Row],[目标国家]]="蜀",1,2))</f>
        <v>0</v>
      </c>
      <c r="S14" s="609">
        <v>32710</v>
      </c>
      <c r="T14" s="609">
        <v>0</v>
      </c>
      <c r="U14" s="609">
        <v>421144</v>
      </c>
      <c r="V14" s="609">
        <v>5607</v>
      </c>
      <c r="W14" s="620">
        <v>497653</v>
      </c>
      <c r="X14" s="621" t="str">
        <f>"{"&amp;"'coin':"&amp;表1_86121822242662[[#This Row],[补偿Coin]]&amp;",'"&amp;配置!$A$2&amp;"':"&amp;表1_86121822242662[[#This Row],[补偿辎重]]&amp;"},"</f>
        <v>{'coin':1000,'item036':10},</v>
      </c>
      <c r="Y14" s="624" t="str">
        <f>"      '"&amp;表1_86121822242662[[#This Row],[区服]]&amp;"':{"</f>
        <v>      '5044':{</v>
      </c>
    </row>
    <row r="15" s="354" customFormat="1" ht="14.25" customHeight="1" spans="1:25">
      <c r="A15" s="606">
        <v>5044</v>
      </c>
      <c r="B15" s="606">
        <f>VLOOKUP(表1_86121822242662[[#This Row],[区服]],$P$35:$Q$44,2,FALSE)</f>
        <v>45</v>
      </c>
      <c r="C15" s="607" t="s">
        <v>116</v>
      </c>
      <c r="D15" s="608" t="str">
        <f>表1_86121822242662[[#This Row],[目标国家]]</f>
        <v>蜀</v>
      </c>
      <c r="E15" s="609">
        <f>(VLOOKUP(表1_86121822242662[[#This Row],[目标区服]],$R$35:$S$39,2,FALSE)-表1_86121822242662[[#This Row],[开服天数]])*配置!$B$1</f>
        <v>1000</v>
      </c>
      <c r="F15" s="609">
        <f>表1_86121822242662[[#This Row],[补偿Coin]]*(表1_86121822242662[[#This Row],[活跃高战玩家数]]+表1_86121822242662[[#This Row],[活跃中坚玩家数]])</f>
        <v>33000</v>
      </c>
      <c r="G15" s="609">
        <f>(VLOOKUP(表1_86121822242662[[#This Row],[目标区服]],$R$35:$S$39,2,FALSE)-表1_86121822242662[[#This Row],[开服天数]])*配置!$B$2</f>
        <v>10</v>
      </c>
      <c r="H15" s="608" t="s">
        <v>26</v>
      </c>
      <c r="I15" s="608">
        <f>IF(表1_86121822242662[[#This Row],[原国家]]="魏",0,IF(表1_86121822242662[[#This Row],[原国家]]="蜀",1,2))</f>
        <v>1</v>
      </c>
      <c r="J15" s="609">
        <v>3</v>
      </c>
      <c r="K15" s="609">
        <v>163</v>
      </c>
      <c r="L15" s="609">
        <v>4</v>
      </c>
      <c r="M15" s="609">
        <v>29</v>
      </c>
      <c r="N15" s="609">
        <v>120980</v>
      </c>
      <c r="O15" s="609">
        <v>2483749</v>
      </c>
      <c r="P15" s="616">
        <v>26216766</v>
      </c>
      <c r="Q15" s="619" t="s">
        <v>26</v>
      </c>
      <c r="R15" s="608">
        <f>IF(表1_86121822242662[[#This Row],[目标国家]]="魏",0,IF(表1_86121822242662[[#This Row],[目标国家]]="蜀",1,2))</f>
        <v>1</v>
      </c>
      <c r="S15" s="609">
        <v>49050</v>
      </c>
      <c r="T15" s="609">
        <v>0</v>
      </c>
      <c r="U15" s="609">
        <v>310703</v>
      </c>
      <c r="V15" s="609">
        <v>9267</v>
      </c>
      <c r="W15" s="620">
        <v>660760</v>
      </c>
      <c r="X15" s="621" t="str">
        <f>"{"&amp;"'coin':"&amp;表1_86121822242662[[#This Row],[补偿Coin]]&amp;",'"&amp;配置!$A$2&amp;"':"&amp;表1_86121822242662[[#This Row],[补偿辎重]]&amp;"},"</f>
        <v>{'coin':1000,'item036':10},</v>
      </c>
      <c r="Y15" s="624" t="str">
        <f>"            'to_zone':'"&amp;表1_86121822242662[[#This Row],[目标区服]]&amp;"',
            'reward':"&amp;表1_86121822242662[[#This Row],[辅助导出]]&amp;"
            'country':["&amp;R14&amp;","&amp;R15&amp;","&amp;R16&amp;"],"</f>
        <v>            'to_zone':'h1_520',
            'reward':{'coin':1000,'item036':10},
            'country':[0,1,2],</v>
      </c>
    </row>
    <row r="16" s="354" customFormat="1" ht="14.25" customHeight="1" spans="1:25">
      <c r="A16" s="606">
        <v>5044</v>
      </c>
      <c r="B16" s="606">
        <f>VLOOKUP(表1_86121822242662[[#This Row],[区服]],$P$35:$Q$44,2,FALSE)</f>
        <v>45</v>
      </c>
      <c r="C16" s="607" t="s">
        <v>116</v>
      </c>
      <c r="D16" s="608" t="str">
        <f>表1_86121822242662[[#This Row],[目标国家]]</f>
        <v>吴</v>
      </c>
      <c r="E16" s="609">
        <f>(VLOOKUP(表1_86121822242662[[#This Row],[目标区服]],$R$35:$S$39,2,FALSE)-表1_86121822242662[[#This Row],[开服天数]])*配置!$B$1</f>
        <v>1000</v>
      </c>
      <c r="F16" s="609">
        <f>表1_86121822242662[[#This Row],[补偿Coin]]*(表1_86121822242662[[#This Row],[活跃高战玩家数]]+表1_86121822242662[[#This Row],[活跃中坚玩家数]])</f>
        <v>25000</v>
      </c>
      <c r="G16" s="609">
        <f>(VLOOKUP(表1_86121822242662[[#This Row],[目标区服]],$R$35:$S$39,2,FALSE)-表1_86121822242662[[#This Row],[开服天数]])*配置!$B$2</f>
        <v>10</v>
      </c>
      <c r="H16" s="608" t="s">
        <v>27</v>
      </c>
      <c r="I16" s="608">
        <f>IF(表1_86121822242662[[#This Row],[原国家]]="魏",0,IF(表1_86121822242662[[#This Row],[原国家]]="蜀",1,2))</f>
        <v>2</v>
      </c>
      <c r="J16" s="609">
        <v>4</v>
      </c>
      <c r="K16" s="609">
        <v>158</v>
      </c>
      <c r="L16" s="609">
        <v>5</v>
      </c>
      <c r="M16" s="609">
        <v>20</v>
      </c>
      <c r="N16" s="609">
        <v>117172</v>
      </c>
      <c r="O16" s="609">
        <v>2129761</v>
      </c>
      <c r="P16" s="616">
        <v>22686584</v>
      </c>
      <c r="Q16" s="619" t="s">
        <v>27</v>
      </c>
      <c r="R16" s="608">
        <f>IF(表1_86121822242662[[#This Row],[目标国家]]="魏",0,IF(表1_86121822242662[[#This Row],[目标国家]]="蜀",1,2))</f>
        <v>2</v>
      </c>
      <c r="S16" s="609">
        <v>34386</v>
      </c>
      <c r="T16" s="609">
        <v>0</v>
      </c>
      <c r="U16" s="609">
        <v>490537</v>
      </c>
      <c r="V16" s="609">
        <v>8241</v>
      </c>
      <c r="W16" s="620">
        <v>588047</v>
      </c>
      <c r="X16" s="621" t="str">
        <f>"{"&amp;"'coin':"&amp;表1_86121822242662[[#This Row],[补偿Coin]]&amp;",'"&amp;配置!$A$2&amp;"':"&amp;表1_86121822242662[[#This Row],[补偿辎重]]&amp;"},"</f>
        <v>{'coin':1000,'item036':10},</v>
      </c>
      <c r="Y16" s="624" t="str">
        <f t="shared" ref="Y16" si="2">"      },"</f>
        <v>      },</v>
      </c>
    </row>
    <row r="17" s="354" customFormat="1" ht="14.25" customHeight="1" spans="1:25">
      <c r="A17" s="605">
        <v>5045</v>
      </c>
      <c r="B17" s="606">
        <f>VLOOKUP(表1_86121822242662[[#This Row],[区服]],$P$35:$Q$44,2,FALSE)</f>
        <v>44</v>
      </c>
      <c r="C17" s="607" t="s">
        <v>116</v>
      </c>
      <c r="D17" s="608" t="str">
        <f>表1_86121822242662[[#This Row],[目标国家]]</f>
        <v>魏</v>
      </c>
      <c r="E17" s="609">
        <f>(VLOOKUP(表1_86121822242662[[#This Row],[目标区服]],$R$35:$S$39,2,FALSE)-表1_86121822242662[[#This Row],[开服天数]])*配置!$B$1</f>
        <v>1500</v>
      </c>
      <c r="F17" s="609">
        <f>表1_86121822242662[[#This Row],[补偿Coin]]*(表1_86121822242662[[#This Row],[活跃高战玩家数]]+表1_86121822242662[[#This Row],[活跃中坚玩家数]])</f>
        <v>34500</v>
      </c>
      <c r="G17" s="610">
        <f>(VLOOKUP(表1_86121822242662[[#This Row],[目标区服]],$R$35:$S$39,2,FALSE)-表1_86121822242662[[#This Row],[开服天数]])*配置!$B$2</f>
        <v>15</v>
      </c>
      <c r="H17" s="608" t="s">
        <v>25</v>
      </c>
      <c r="I17" s="617">
        <f>IF(表1_86121822242662[[#This Row],[原国家]]="魏",0,IF(表1_86121822242662[[#This Row],[原国家]]="蜀",1,2))</f>
        <v>0</v>
      </c>
      <c r="J17" s="609">
        <v>2</v>
      </c>
      <c r="K17" s="609">
        <v>70</v>
      </c>
      <c r="L17" s="609">
        <v>4</v>
      </c>
      <c r="M17" s="609">
        <v>19</v>
      </c>
      <c r="N17" s="609">
        <v>116786</v>
      </c>
      <c r="O17" s="618">
        <v>2666512</v>
      </c>
      <c r="P17" s="616">
        <v>22753894</v>
      </c>
      <c r="Q17" s="619" t="s">
        <v>25</v>
      </c>
      <c r="R17" s="608">
        <f>IF(表1_86121822242662[[#This Row],[目标国家]]="魏",0,IF(表1_86121822242662[[#This Row],[目标国家]]="蜀",1,2))</f>
        <v>0</v>
      </c>
      <c r="S17" s="609">
        <v>127958</v>
      </c>
      <c r="T17" s="609">
        <v>0</v>
      </c>
      <c r="U17" s="609">
        <v>261174</v>
      </c>
      <c r="V17" s="609">
        <v>10395</v>
      </c>
      <c r="W17" s="609">
        <v>746054</v>
      </c>
      <c r="X17" s="622" t="str">
        <f>"{"&amp;"'coin':"&amp;表1_86121822242662[[#This Row],[补偿Coin]]&amp;",'"&amp;配置!$A$2&amp;"':"&amp;表1_86121822242662[[#This Row],[补偿辎重]]&amp;"},"</f>
        <v>{'coin':1500,'item036':15},</v>
      </c>
      <c r="Y17" s="622" t="str">
        <f>"      '"&amp;表1_86121822242662[[#This Row],[区服]]&amp;"':{"</f>
        <v>      '5045':{</v>
      </c>
    </row>
    <row r="18" s="354" customFormat="1" ht="14.25" customHeight="1" spans="1:25">
      <c r="A18" s="605">
        <v>5045</v>
      </c>
      <c r="B18" s="606">
        <f>VLOOKUP(表1_86121822242662[[#This Row],[区服]],$P$35:$Q$44,2,FALSE)</f>
        <v>44</v>
      </c>
      <c r="C18" s="607" t="s">
        <v>116</v>
      </c>
      <c r="D18" s="608" t="str">
        <f>表1_86121822242662[[#This Row],[目标国家]]</f>
        <v>蜀</v>
      </c>
      <c r="E18" s="609">
        <f>(VLOOKUP(表1_86121822242662[[#This Row],[目标区服]],$R$35:$S$39,2,FALSE)-表1_86121822242662[[#This Row],[开服天数]])*配置!$B$1</f>
        <v>1500</v>
      </c>
      <c r="F18" s="609">
        <f>表1_86121822242662[[#This Row],[补偿Coin]]*(表1_86121822242662[[#This Row],[活跃高战玩家数]]+表1_86121822242662[[#This Row],[活跃中坚玩家数]])</f>
        <v>33000</v>
      </c>
      <c r="G18" s="610">
        <f>(VLOOKUP(表1_86121822242662[[#This Row],[目标区服]],$R$35:$S$39,2,FALSE)-表1_86121822242662[[#This Row],[开服天数]])*配置!$B$2</f>
        <v>15</v>
      </c>
      <c r="H18" s="608" t="s">
        <v>26</v>
      </c>
      <c r="I18" s="617">
        <f>IF(表1_86121822242662[[#This Row],[原国家]]="魏",0,IF(表1_86121822242662[[#This Row],[原国家]]="蜀",1,2))</f>
        <v>1</v>
      </c>
      <c r="J18" s="609">
        <v>4</v>
      </c>
      <c r="K18" s="609">
        <v>133</v>
      </c>
      <c r="L18" s="609">
        <v>2</v>
      </c>
      <c r="M18" s="609">
        <v>20</v>
      </c>
      <c r="N18" s="609">
        <v>85470</v>
      </c>
      <c r="O18" s="618">
        <v>2192943</v>
      </c>
      <c r="P18" s="616">
        <v>17639553</v>
      </c>
      <c r="Q18" s="619" t="s">
        <v>26</v>
      </c>
      <c r="R18" s="608">
        <f>IF(表1_86121822242662[[#This Row],[目标国家]]="魏",0,IF(表1_86121822242662[[#This Row],[目标国家]]="蜀",1,2))</f>
        <v>1</v>
      </c>
      <c r="S18" s="609">
        <v>44560</v>
      </c>
      <c r="T18" s="609">
        <v>0</v>
      </c>
      <c r="U18" s="609">
        <v>183492</v>
      </c>
      <c r="V18" s="609">
        <v>7542</v>
      </c>
      <c r="W18" s="609">
        <v>693801</v>
      </c>
      <c r="X18" s="622" t="str">
        <f>"{"&amp;"'coin':"&amp;表1_86121822242662[[#This Row],[补偿Coin]]&amp;",'"&amp;配置!$A$2&amp;"':"&amp;表1_86121822242662[[#This Row],[补偿辎重]]&amp;"},"</f>
        <v>{'coin':1500,'item036':15},</v>
      </c>
      <c r="Y18" s="622" t="str">
        <f>"            'to_zone':'"&amp;表1_86121822242662[[#This Row],[目标区服]]&amp;"',
            'reward':"&amp;表1_86121822242662[[#This Row],[辅助导出]]&amp;"
            'country':["&amp;R17&amp;","&amp;R18&amp;","&amp;R19&amp;"],"</f>
        <v>            'to_zone':'h1_520',
            'reward':{'coin':1500,'item036':15},
            'country':[0,1,2],</v>
      </c>
    </row>
    <row r="19" s="354" customFormat="1" ht="14.25" customHeight="1" spans="1:25">
      <c r="A19" s="605">
        <v>5045</v>
      </c>
      <c r="B19" s="606">
        <f>VLOOKUP(表1_86121822242662[[#This Row],[区服]],$P$35:$Q$44,2,FALSE)</f>
        <v>44</v>
      </c>
      <c r="C19" s="607" t="s">
        <v>116</v>
      </c>
      <c r="D19" s="608" t="str">
        <f>表1_86121822242662[[#This Row],[目标国家]]</f>
        <v>吴</v>
      </c>
      <c r="E19" s="609">
        <f>(VLOOKUP(表1_86121822242662[[#This Row],[目标区服]],$R$35:$S$39,2,FALSE)-表1_86121822242662[[#This Row],[开服天数]])*配置!$B$1</f>
        <v>1500</v>
      </c>
      <c r="F19" s="609">
        <f>表1_86121822242662[[#This Row],[补偿Coin]]*(表1_86121822242662[[#This Row],[活跃高战玩家数]]+表1_86121822242662[[#This Row],[活跃中坚玩家数]])</f>
        <v>45000</v>
      </c>
      <c r="G19" s="610">
        <f>(VLOOKUP(表1_86121822242662[[#This Row],[目标区服]],$R$35:$S$39,2,FALSE)-表1_86121822242662[[#This Row],[开服天数]])*配置!$B$2</f>
        <v>15</v>
      </c>
      <c r="H19" s="608" t="s">
        <v>27</v>
      </c>
      <c r="I19" s="617">
        <f>IF(表1_86121822242662[[#This Row],[原国家]]="魏",0,IF(表1_86121822242662[[#This Row],[原国家]]="蜀",1,2))</f>
        <v>2</v>
      </c>
      <c r="J19" s="609">
        <v>3</v>
      </c>
      <c r="K19" s="609">
        <v>192</v>
      </c>
      <c r="L19" s="609">
        <v>4</v>
      </c>
      <c r="M19" s="609">
        <v>26</v>
      </c>
      <c r="N19" s="609">
        <v>103286</v>
      </c>
      <c r="O19" s="618">
        <v>3013665</v>
      </c>
      <c r="P19" s="616">
        <v>23600204</v>
      </c>
      <c r="Q19" s="619" t="s">
        <v>27</v>
      </c>
      <c r="R19" s="608">
        <f>IF(表1_86121822242662[[#This Row],[目标国家]]="魏",0,IF(表1_86121822242662[[#This Row],[目标国家]]="蜀",1,2))</f>
        <v>2</v>
      </c>
      <c r="S19" s="609">
        <v>97446</v>
      </c>
      <c r="T19" s="609">
        <v>0</v>
      </c>
      <c r="U19" s="609">
        <v>401519</v>
      </c>
      <c r="V19" s="609">
        <v>11234</v>
      </c>
      <c r="W19" s="609">
        <v>861690</v>
      </c>
      <c r="X19" s="622" t="str">
        <f>"{"&amp;"'coin':"&amp;表1_86121822242662[[#This Row],[补偿Coin]]&amp;",'"&amp;配置!$A$2&amp;"':"&amp;表1_86121822242662[[#This Row],[补偿辎重]]&amp;"},"</f>
        <v>{'coin':1500,'item036':15},</v>
      </c>
      <c r="Y19" s="622" t="str">
        <f>"      },"</f>
        <v>      },</v>
      </c>
    </row>
    <row r="20" s="354" customFormat="1" ht="14.25" customHeight="1" spans="1:25">
      <c r="A20" s="514">
        <v>5046</v>
      </c>
      <c r="B20" s="515">
        <f>VLOOKUP(表1_86121822242662[[#This Row],[区服]],$P$35:$Q$44,2,FALSE)</f>
        <v>43</v>
      </c>
      <c r="C20" s="589" t="s">
        <v>117</v>
      </c>
      <c r="D20" s="517" t="str">
        <f>表1_86121822242662[[#This Row],[目标国家]]</f>
        <v>魏</v>
      </c>
      <c r="E20" s="519">
        <f>(VLOOKUP(表1_86121822242662[[#This Row],[目标区服]],$R$35:$S$39,2,FALSE)-表1_86121822242662[[#This Row],[开服天数]])*配置!$B$1</f>
        <v>1000</v>
      </c>
      <c r="F20" s="519">
        <f>表1_86121822242662[[#This Row],[补偿Coin]]*(表1_86121822242662[[#This Row],[活跃高战玩家数]]+表1_86121822242662[[#This Row],[活跃中坚玩家数]])</f>
        <v>17000</v>
      </c>
      <c r="G20" s="520">
        <f>(VLOOKUP(表1_86121822242662[[#This Row],[目标区服]],$R$35:$S$39,2,FALSE)-表1_86121822242662[[#This Row],[开服天数]])*配置!$B$2</f>
        <v>10</v>
      </c>
      <c r="H20" s="517" t="s">
        <v>25</v>
      </c>
      <c r="I20" s="527">
        <f>IF(表1_86121822242662[[#This Row],[原国家]]="魏",0,IF(表1_86121822242662[[#This Row],[原国家]]="蜀",1,2))</f>
        <v>0</v>
      </c>
      <c r="J20" s="519">
        <v>2</v>
      </c>
      <c r="K20" s="519">
        <v>85</v>
      </c>
      <c r="L20" s="519">
        <v>3</v>
      </c>
      <c r="M20" s="519">
        <v>14</v>
      </c>
      <c r="N20" s="519">
        <v>85093</v>
      </c>
      <c r="O20" s="528">
        <v>2097841</v>
      </c>
      <c r="P20" s="529">
        <v>12983452</v>
      </c>
      <c r="Q20" s="532" t="s">
        <v>25</v>
      </c>
      <c r="R20" s="517">
        <f>IF(表1_86121822242662[[#This Row],[目标国家]]="魏",0,IF(表1_86121822242662[[#This Row],[目标国家]]="蜀",1,2))</f>
        <v>0</v>
      </c>
      <c r="S20" s="519">
        <v>41236</v>
      </c>
      <c r="T20" s="519">
        <v>0</v>
      </c>
      <c r="U20" s="519">
        <v>145891</v>
      </c>
      <c r="V20" s="519">
        <v>6181</v>
      </c>
      <c r="W20" s="519">
        <v>653703</v>
      </c>
      <c r="X20" s="534" t="str">
        <f>"{"&amp;"'coin':"&amp;表1_86121822242662[[#This Row],[补偿Coin]]&amp;",'"&amp;配置!$A$2&amp;"':"&amp;表1_86121822242662[[#This Row],[补偿辎重]]&amp;"},"</f>
        <v>{'coin':1000,'item036':10},</v>
      </c>
      <c r="Y20" s="534" t="str">
        <f>"      '"&amp;表1_86121822242662[[#This Row],[区服]]&amp;"':{"</f>
        <v>      '5046':{</v>
      </c>
    </row>
    <row r="21" s="354" customFormat="1" ht="14.25" customHeight="1" spans="1:25">
      <c r="A21" s="514">
        <v>5046</v>
      </c>
      <c r="B21" s="515">
        <f>VLOOKUP(表1_86121822242662[[#This Row],[区服]],$P$35:$Q$44,2,FALSE)</f>
        <v>43</v>
      </c>
      <c r="C21" s="589" t="s">
        <v>117</v>
      </c>
      <c r="D21" s="517" t="str">
        <f>表1_86121822242662[[#This Row],[目标国家]]</f>
        <v>蜀</v>
      </c>
      <c r="E21" s="519">
        <f>(VLOOKUP(表1_86121822242662[[#This Row],[目标区服]],$R$35:$S$39,2,FALSE)-表1_86121822242662[[#This Row],[开服天数]])*配置!$B$1</f>
        <v>1000</v>
      </c>
      <c r="F21" s="519">
        <f>表1_86121822242662[[#This Row],[补偿Coin]]*(表1_86121822242662[[#This Row],[活跃高战玩家数]]+表1_86121822242662[[#This Row],[活跃中坚玩家数]])</f>
        <v>17000</v>
      </c>
      <c r="G21" s="520">
        <f>(VLOOKUP(表1_86121822242662[[#This Row],[目标区服]],$R$35:$S$39,2,FALSE)-表1_86121822242662[[#This Row],[开服天数]])*配置!$B$2</f>
        <v>10</v>
      </c>
      <c r="H21" s="517" t="s">
        <v>26</v>
      </c>
      <c r="I21" s="527">
        <f>IF(表1_86121822242662[[#This Row],[原国家]]="魏",0,IF(表1_86121822242662[[#This Row],[原国家]]="蜀",1,2))</f>
        <v>1</v>
      </c>
      <c r="J21" s="519">
        <v>3</v>
      </c>
      <c r="K21" s="519">
        <v>149</v>
      </c>
      <c r="L21" s="519">
        <v>3</v>
      </c>
      <c r="M21" s="519">
        <v>14</v>
      </c>
      <c r="N21" s="519">
        <v>86064</v>
      </c>
      <c r="O21" s="528">
        <v>1908992</v>
      </c>
      <c r="P21" s="529">
        <v>13144579</v>
      </c>
      <c r="Q21" s="532" t="s">
        <v>26</v>
      </c>
      <c r="R21" s="517">
        <f>IF(表1_86121822242662[[#This Row],[目标国家]]="魏",0,IF(表1_86121822242662[[#This Row],[目标国家]]="蜀",1,2))</f>
        <v>1</v>
      </c>
      <c r="S21" s="519">
        <v>100932</v>
      </c>
      <c r="T21" s="519">
        <v>0</v>
      </c>
      <c r="U21" s="519">
        <v>388593</v>
      </c>
      <c r="V21" s="519">
        <v>8666</v>
      </c>
      <c r="W21" s="519">
        <v>633541</v>
      </c>
      <c r="X21" s="534" t="str">
        <f>"{"&amp;"'coin':"&amp;表1_86121822242662[[#This Row],[补偿Coin]]&amp;",'"&amp;配置!$A$2&amp;"':"&amp;表1_86121822242662[[#This Row],[补偿辎重]]&amp;"},"</f>
        <v>{'coin':1000,'item036':10},</v>
      </c>
      <c r="Y21" s="534" t="str">
        <f>"            'to_zone':'"&amp;表1_86121822242662[[#This Row],[目标区服]]&amp;"',
            'reward':"&amp;表1_86121822242662[[#This Row],[辅助导出]]&amp;"
            'country':["&amp;R20&amp;","&amp;R21&amp;","&amp;R22&amp;"],"</f>
        <v>            'to_zone':'h1_521',
            'reward':{'coin':1000,'item036':10},
            'country':[0,1,2],</v>
      </c>
    </row>
    <row r="22" s="354" customFormat="1" ht="14.25" customHeight="1" spans="1:25">
      <c r="A22" s="514">
        <v>5046</v>
      </c>
      <c r="B22" s="515">
        <f>VLOOKUP(表1_86121822242662[[#This Row],[区服]],$P$35:$Q$44,2,FALSE)</f>
        <v>43</v>
      </c>
      <c r="C22" s="589" t="s">
        <v>117</v>
      </c>
      <c r="D22" s="517" t="str">
        <f>表1_86121822242662[[#This Row],[目标国家]]</f>
        <v>吴</v>
      </c>
      <c r="E22" s="519">
        <f>(VLOOKUP(表1_86121822242662[[#This Row],[目标区服]],$R$35:$S$39,2,FALSE)-表1_86121822242662[[#This Row],[开服天数]])*配置!$B$1</f>
        <v>1000</v>
      </c>
      <c r="F22" s="519">
        <f>表1_86121822242662[[#This Row],[补偿Coin]]*(表1_86121822242662[[#This Row],[活跃高战玩家数]]+表1_86121822242662[[#This Row],[活跃中坚玩家数]])</f>
        <v>21000</v>
      </c>
      <c r="G22" s="520">
        <f>(VLOOKUP(表1_86121822242662[[#This Row],[目标区服]],$R$35:$S$39,2,FALSE)-表1_86121822242662[[#This Row],[开服天数]])*配置!$B$2</f>
        <v>10</v>
      </c>
      <c r="H22" s="517" t="s">
        <v>27</v>
      </c>
      <c r="I22" s="527">
        <f>IF(表1_86121822242662[[#This Row],[原国家]]="魏",0,IF(表1_86121822242662[[#This Row],[原国家]]="蜀",1,2))</f>
        <v>2</v>
      </c>
      <c r="J22" s="519">
        <v>4</v>
      </c>
      <c r="K22" s="519">
        <v>161</v>
      </c>
      <c r="L22" s="519">
        <v>3</v>
      </c>
      <c r="M22" s="519">
        <v>18</v>
      </c>
      <c r="N22" s="519">
        <v>98287</v>
      </c>
      <c r="O22" s="528">
        <v>2446891</v>
      </c>
      <c r="P22" s="529">
        <v>15919039</v>
      </c>
      <c r="Q22" s="532" t="s">
        <v>27</v>
      </c>
      <c r="R22" s="517">
        <f>IF(表1_86121822242662[[#This Row],[目标国家]]="魏",0,IF(表1_86121822242662[[#This Row],[目标国家]]="蜀",1,2))</f>
        <v>2</v>
      </c>
      <c r="S22" s="519">
        <v>28134</v>
      </c>
      <c r="T22" s="519">
        <v>0</v>
      </c>
      <c r="U22" s="519">
        <v>487309</v>
      </c>
      <c r="V22" s="519">
        <v>7627</v>
      </c>
      <c r="W22" s="519">
        <v>669663</v>
      </c>
      <c r="X22" s="534" t="str">
        <f>"{"&amp;"'coin':"&amp;表1_86121822242662[[#This Row],[补偿Coin]]&amp;",'"&amp;配置!$A$2&amp;"':"&amp;表1_86121822242662[[#This Row],[补偿辎重]]&amp;"},"</f>
        <v>{'coin':1000,'item036':10},</v>
      </c>
      <c r="Y22" s="534" t="str">
        <f t="shared" ref="Y22" si="3">"      },"</f>
        <v>      },</v>
      </c>
    </row>
    <row r="23" ht="14.25" customHeight="1" spans="1:25">
      <c r="A23" s="515">
        <v>5047</v>
      </c>
      <c r="B23" s="515">
        <f>VLOOKUP(表1_86121822242662[[#This Row],[区服]],$P$35:$Q$44,2,FALSE)</f>
        <v>43</v>
      </c>
      <c r="C23" s="589" t="s">
        <v>117</v>
      </c>
      <c r="D23" s="517" t="str">
        <f>表1_86121822242662[[#This Row],[目标国家]]</f>
        <v>吴</v>
      </c>
      <c r="E23" s="519">
        <f>(VLOOKUP(表1_86121822242662[[#This Row],[目标区服]],$R$35:$S$39,2,FALSE)-表1_86121822242662[[#This Row],[开服天数]])*配置!$B$1</f>
        <v>1000</v>
      </c>
      <c r="F23" s="519">
        <f>表1_86121822242662[[#This Row],[补偿Coin]]*(表1_86121822242662[[#This Row],[活跃高战玩家数]]+表1_86121822242662[[#This Row],[活跃中坚玩家数]])</f>
        <v>24000</v>
      </c>
      <c r="G23" s="519">
        <f>(VLOOKUP(表1_86121822242662[[#This Row],[目标区服]],$R$35:$S$39,2,FALSE)-表1_86121822242662[[#This Row],[开服天数]])*配置!$B$2</f>
        <v>10</v>
      </c>
      <c r="H23" s="517" t="s">
        <v>25</v>
      </c>
      <c r="I23" s="517">
        <f>IF(表1_86121822242662[[#This Row],[原国家]]="魏",0,IF(表1_86121822242662[[#This Row],[原国家]]="蜀",1,2))</f>
        <v>0</v>
      </c>
      <c r="J23" s="519">
        <v>3</v>
      </c>
      <c r="K23" s="519">
        <v>146</v>
      </c>
      <c r="L23" s="519">
        <v>5</v>
      </c>
      <c r="M23" s="519">
        <v>19</v>
      </c>
      <c r="N23" s="519">
        <v>105857</v>
      </c>
      <c r="O23" s="519">
        <v>1796086</v>
      </c>
      <c r="P23" s="529">
        <v>16601502</v>
      </c>
      <c r="Q23" s="532" t="s">
        <v>27</v>
      </c>
      <c r="R23" s="517">
        <f>IF(表1_86121822242662[[#This Row],[目标国家]]="魏",0,IF(表1_86121822242662[[#This Row],[目标国家]]="蜀",1,2))</f>
        <v>2</v>
      </c>
      <c r="S23" s="519">
        <v>20238</v>
      </c>
      <c r="T23" s="519">
        <v>0</v>
      </c>
      <c r="U23" s="519">
        <v>314383</v>
      </c>
      <c r="V23" s="519">
        <v>6509</v>
      </c>
      <c r="W23" s="535">
        <v>547324</v>
      </c>
      <c r="X23" s="623" t="str">
        <f>"{"&amp;"'coin':"&amp;表1_86121822242662[[#This Row],[补偿Coin]]&amp;",'"&amp;配置!$A$2&amp;"':"&amp;表1_86121822242662[[#This Row],[补偿辎重]]&amp;"},"</f>
        <v>{'coin':1000,'item036':10},</v>
      </c>
      <c r="Y23" s="536" t="str">
        <f>"      '"&amp;表1_86121822242662[[#This Row],[区服]]&amp;"':{"</f>
        <v>      '5047':{</v>
      </c>
    </row>
    <row r="24" ht="14.25" customHeight="1" spans="1:25">
      <c r="A24" s="515">
        <v>5047</v>
      </c>
      <c r="B24" s="515">
        <f>VLOOKUP(表1_86121822242662[[#This Row],[区服]],$P$35:$Q$44,2,FALSE)</f>
        <v>43</v>
      </c>
      <c r="C24" s="589" t="s">
        <v>117</v>
      </c>
      <c r="D24" s="517" t="str">
        <f>表1_86121822242662[[#This Row],[目标国家]]</f>
        <v>魏</v>
      </c>
      <c r="E24" s="519">
        <f>(VLOOKUP(表1_86121822242662[[#This Row],[目标区服]],$R$35:$S$39,2,FALSE)-表1_86121822242662[[#This Row],[开服天数]])*配置!$B$1</f>
        <v>1000</v>
      </c>
      <c r="F24" s="519">
        <f>表1_86121822242662[[#This Row],[补偿Coin]]*(表1_86121822242662[[#This Row],[活跃高战玩家数]]+表1_86121822242662[[#This Row],[活跃中坚玩家数]])</f>
        <v>29000</v>
      </c>
      <c r="G24" s="519">
        <f>(VLOOKUP(表1_86121822242662[[#This Row],[目标区服]],$R$35:$S$39,2,FALSE)-表1_86121822242662[[#This Row],[开服天数]])*配置!$B$2</f>
        <v>10</v>
      </c>
      <c r="H24" s="517" t="s">
        <v>26</v>
      </c>
      <c r="I24" s="517">
        <f>IF(表1_86121822242662[[#This Row],[原国家]]="魏",0,IF(表1_86121822242662[[#This Row],[原国家]]="蜀",1,2))</f>
        <v>1</v>
      </c>
      <c r="J24" s="519">
        <v>4</v>
      </c>
      <c r="K24" s="519">
        <v>167</v>
      </c>
      <c r="L24" s="519">
        <v>3</v>
      </c>
      <c r="M24" s="519">
        <v>26</v>
      </c>
      <c r="N24" s="519">
        <v>127247</v>
      </c>
      <c r="O24" s="519">
        <v>1710454</v>
      </c>
      <c r="P24" s="529">
        <v>19726159</v>
      </c>
      <c r="Q24" s="532" t="s">
        <v>25</v>
      </c>
      <c r="R24" s="517">
        <f>IF(表1_86121822242662[[#This Row],[目标国家]]="魏",0,IF(表1_86121822242662[[#This Row],[目标国家]]="蜀",1,2))</f>
        <v>0</v>
      </c>
      <c r="S24" s="519">
        <v>23374</v>
      </c>
      <c r="T24" s="519">
        <v>0</v>
      </c>
      <c r="U24" s="519">
        <v>376579</v>
      </c>
      <c r="V24" s="519">
        <v>7278</v>
      </c>
      <c r="W24" s="535">
        <v>455239</v>
      </c>
      <c r="X24" s="623" t="str">
        <f>"{"&amp;"'coin':"&amp;表1_86121822242662[[#This Row],[补偿Coin]]&amp;",'"&amp;配置!$A$2&amp;"':"&amp;表1_86121822242662[[#This Row],[补偿辎重]]&amp;"},"</f>
        <v>{'coin':1000,'item036':10},</v>
      </c>
      <c r="Y24" s="536" t="str">
        <f>"            'to_zone':'"&amp;表1_86121822242662[[#This Row],[目标区服]]&amp;"',
            'reward':"&amp;表1_86121822242662[[#This Row],[辅助导出]]&amp;"
            'country':["&amp;R23&amp;","&amp;R24&amp;","&amp;R25&amp;"],"</f>
        <v>            'to_zone':'h1_521',
            'reward':{'coin':1000,'item036':10},
            'country':[2,0,1],</v>
      </c>
    </row>
    <row r="25" ht="14.25" customHeight="1" spans="1:25">
      <c r="A25" s="515">
        <v>5047</v>
      </c>
      <c r="B25" s="515">
        <f>VLOOKUP(表1_86121822242662[[#This Row],[区服]],$P$35:$Q$44,2,FALSE)</f>
        <v>43</v>
      </c>
      <c r="C25" s="589" t="s">
        <v>117</v>
      </c>
      <c r="D25" s="517" t="str">
        <f>表1_86121822242662[[#This Row],[目标国家]]</f>
        <v>蜀</v>
      </c>
      <c r="E25" s="519">
        <f>(VLOOKUP(表1_86121822242662[[#This Row],[目标区服]],$R$35:$S$39,2,FALSE)-表1_86121822242662[[#This Row],[开服天数]])*配置!$B$1</f>
        <v>1000</v>
      </c>
      <c r="F25" s="519">
        <f>表1_86121822242662[[#This Row],[补偿Coin]]*(表1_86121822242662[[#This Row],[活跃高战玩家数]]+表1_86121822242662[[#This Row],[活跃中坚玩家数]])</f>
        <v>14000</v>
      </c>
      <c r="G25" s="519">
        <f>(VLOOKUP(表1_86121822242662[[#This Row],[目标区服]],$R$35:$S$39,2,FALSE)-表1_86121822242662[[#This Row],[开服天数]])*配置!$B$2</f>
        <v>10</v>
      </c>
      <c r="H25" s="517" t="s">
        <v>27</v>
      </c>
      <c r="I25" s="517">
        <f>IF(表1_86121822242662[[#This Row],[原国家]]="魏",0,IF(表1_86121822242662[[#This Row],[原国家]]="蜀",1,2))</f>
        <v>2</v>
      </c>
      <c r="J25" s="519">
        <v>2</v>
      </c>
      <c r="K25" s="519">
        <v>82</v>
      </c>
      <c r="L25" s="519">
        <v>2</v>
      </c>
      <c r="M25" s="519">
        <v>12</v>
      </c>
      <c r="N25" s="519">
        <v>68765</v>
      </c>
      <c r="O25" s="519">
        <v>1410773</v>
      </c>
      <c r="P25" s="529">
        <v>9988665</v>
      </c>
      <c r="Q25" s="532" t="s">
        <v>26</v>
      </c>
      <c r="R25" s="517">
        <f>IF(表1_86121822242662[[#This Row],[目标国家]]="魏",0,IF(表1_86121822242662[[#This Row],[目标国家]]="蜀",1,2))</f>
        <v>1</v>
      </c>
      <c r="S25" s="519">
        <v>9226</v>
      </c>
      <c r="T25" s="519">
        <v>0</v>
      </c>
      <c r="U25" s="519">
        <v>197970</v>
      </c>
      <c r="V25" s="519">
        <v>4149</v>
      </c>
      <c r="W25" s="535">
        <v>377630</v>
      </c>
      <c r="X25" s="623" t="str">
        <f>"{"&amp;"'coin':"&amp;表1_86121822242662[[#This Row],[补偿Coin]]&amp;",'"&amp;配置!$A$2&amp;"':"&amp;表1_86121822242662[[#This Row],[补偿辎重]]&amp;"},"</f>
        <v>{'coin':1000,'item036':10},</v>
      </c>
      <c r="Y25" s="536" t="str">
        <f t="shared" ref="Y25" si="4">"      },"</f>
        <v>      },</v>
      </c>
    </row>
    <row r="26" ht="14.25" customHeight="1" spans="1:25">
      <c r="A26" s="17">
        <v>5048</v>
      </c>
      <c r="B26" s="17">
        <f>VLOOKUP(表1_86121822242662[[#This Row],[区服]],$P$35:$Q$44,2,FALSE)</f>
        <v>42</v>
      </c>
      <c r="C26" s="18" t="s">
        <v>118</v>
      </c>
      <c r="D26" s="19" t="str">
        <f>表1_86121822242662[[#This Row],[目标国家]]</f>
        <v>魏</v>
      </c>
      <c r="E26" s="20">
        <f>(VLOOKUP(表1_86121822242662[[#This Row],[目标区服]],$R$35:$S$39,2,FALSE)-表1_86121822242662[[#This Row],[开服天数]])*配置!$B$1</f>
        <v>1000</v>
      </c>
      <c r="F26" s="20">
        <f>表1_86121822242662[[#This Row],[补偿Coin]]*(表1_86121822242662[[#This Row],[活跃高战玩家数]]+表1_86121822242662[[#This Row],[活跃中坚玩家数]])</f>
        <v>28000</v>
      </c>
      <c r="G26" s="20">
        <f>(VLOOKUP(表1_86121822242662[[#This Row],[目标区服]],$R$35:$S$39,2,FALSE)-表1_86121822242662[[#This Row],[开服天数]])*配置!$B$2</f>
        <v>10</v>
      </c>
      <c r="H26" s="19" t="s">
        <v>25</v>
      </c>
      <c r="I26" s="19">
        <f>IF(表1_86121822242662[[#This Row],[原国家]]="魏",0,IF(表1_86121822242662[[#This Row],[原国家]]="蜀",1,2))</f>
        <v>0</v>
      </c>
      <c r="J26" s="20">
        <v>5</v>
      </c>
      <c r="K26" s="20">
        <v>182</v>
      </c>
      <c r="L26" s="20">
        <v>4</v>
      </c>
      <c r="M26" s="20">
        <v>24</v>
      </c>
      <c r="N26" s="20">
        <v>106137</v>
      </c>
      <c r="O26" s="20">
        <v>2332029</v>
      </c>
      <c r="P26" s="26">
        <v>19699852</v>
      </c>
      <c r="Q26" s="31" t="s">
        <v>25</v>
      </c>
      <c r="R26" s="19">
        <f>IF(表1_86121822242662[[#This Row],[目标国家]]="魏",0,IF(表1_86121822242662[[#This Row],[目标国家]]="蜀",1,2))</f>
        <v>0</v>
      </c>
      <c r="S26" s="20">
        <v>64662</v>
      </c>
      <c r="T26" s="20">
        <v>0</v>
      </c>
      <c r="U26" s="20">
        <v>249902</v>
      </c>
      <c r="V26" s="20">
        <v>9217</v>
      </c>
      <c r="W26" s="32">
        <v>686180</v>
      </c>
      <c r="X26" s="33" t="str">
        <f>"{"&amp;"'coin':"&amp;表1_86121822242662[[#This Row],[补偿Coin]]&amp;",'"&amp;配置!$A$2&amp;"':"&amp;表1_86121822242662[[#This Row],[补偿辎重]]&amp;"},"</f>
        <v>{'coin':1000,'item036':10},</v>
      </c>
      <c r="Y26" s="34" t="str">
        <f>"      '"&amp;表1_86121822242662[[#This Row],[区服]]&amp;"':{"</f>
        <v>      '5048':{</v>
      </c>
    </row>
    <row r="27" ht="14.25" customHeight="1" spans="1:25">
      <c r="A27" s="17">
        <v>5048</v>
      </c>
      <c r="B27" s="17">
        <f>VLOOKUP(表1_86121822242662[[#This Row],[区服]],$P$35:$Q$44,2,FALSE)</f>
        <v>42</v>
      </c>
      <c r="C27" s="18" t="s">
        <v>118</v>
      </c>
      <c r="D27" s="19" t="str">
        <f>表1_86121822242662[[#This Row],[目标国家]]</f>
        <v>蜀</v>
      </c>
      <c r="E27" s="20">
        <f>(VLOOKUP(表1_86121822242662[[#This Row],[目标区服]],$R$35:$S$39,2,FALSE)-表1_86121822242662[[#This Row],[开服天数]])*配置!$B$1</f>
        <v>1000</v>
      </c>
      <c r="F27" s="20">
        <f>表1_86121822242662[[#This Row],[补偿Coin]]*(表1_86121822242662[[#This Row],[活跃高战玩家数]]+表1_86121822242662[[#This Row],[活跃中坚玩家数]])</f>
        <v>22000</v>
      </c>
      <c r="G27" s="20">
        <f>(VLOOKUP(表1_86121822242662[[#This Row],[目标区服]],$R$35:$S$39,2,FALSE)-表1_86121822242662[[#This Row],[开服天数]])*配置!$B$2</f>
        <v>10</v>
      </c>
      <c r="H27" s="19" t="s">
        <v>26</v>
      </c>
      <c r="I27" s="19">
        <f>IF(表1_86121822242662[[#This Row],[原国家]]="魏",0,IF(表1_86121822242662[[#This Row],[原国家]]="蜀",1,2))</f>
        <v>1</v>
      </c>
      <c r="J27" s="20">
        <v>1</v>
      </c>
      <c r="K27" s="20">
        <v>74</v>
      </c>
      <c r="L27" s="20">
        <v>1</v>
      </c>
      <c r="M27" s="20">
        <v>21</v>
      </c>
      <c r="N27" s="20">
        <v>65724</v>
      </c>
      <c r="O27" s="20">
        <v>1221339</v>
      </c>
      <c r="P27" s="26">
        <v>12349305</v>
      </c>
      <c r="Q27" s="31" t="s">
        <v>26</v>
      </c>
      <c r="R27" s="19">
        <f>IF(表1_86121822242662[[#This Row],[目标国家]]="魏",0,IF(表1_86121822242662[[#This Row],[目标国家]]="蜀",1,2))</f>
        <v>1</v>
      </c>
      <c r="S27" s="20">
        <v>8954</v>
      </c>
      <c r="T27" s="20">
        <v>0</v>
      </c>
      <c r="U27" s="20">
        <v>120817</v>
      </c>
      <c r="V27" s="20">
        <v>3953</v>
      </c>
      <c r="W27" s="32">
        <v>387340</v>
      </c>
      <c r="X27" s="33" t="str">
        <f>"{"&amp;"'coin':"&amp;表1_86121822242662[[#This Row],[补偿Coin]]&amp;",'"&amp;配置!$A$2&amp;"':"&amp;表1_86121822242662[[#This Row],[补偿辎重]]&amp;"},"</f>
        <v>{'coin':1000,'item036':10},</v>
      </c>
      <c r="Y27" s="34" t="str">
        <f>"            'to_zone':'"&amp;表1_86121822242662[[#This Row],[目标区服]]&amp;"',
            'reward':"&amp;表1_86121822242662[[#This Row],[辅助导出]]&amp;"
            'country':["&amp;R26&amp;","&amp;R27&amp;","&amp;R28&amp;"],"</f>
        <v>            'to_zone':'h1_522',
            'reward':{'coin':1000,'item036':10},
            'country':[0,1,1],</v>
      </c>
    </row>
    <row r="28" ht="14.25" customHeight="1" spans="1:25">
      <c r="A28" s="17">
        <v>5048</v>
      </c>
      <c r="B28" s="17">
        <f>VLOOKUP(表1_86121822242662[[#This Row],[区服]],$P$35:$Q$44,2,FALSE)</f>
        <v>42</v>
      </c>
      <c r="C28" s="18" t="s">
        <v>118</v>
      </c>
      <c r="D28" s="19" t="str">
        <f>表1_86121822242662[[#This Row],[目标国家]]</f>
        <v>蜀</v>
      </c>
      <c r="E28" s="20">
        <f>(VLOOKUP(表1_86121822242662[[#This Row],[目标区服]],$R$35:$S$39,2,FALSE)-表1_86121822242662[[#This Row],[开服天数]])*配置!$B$1</f>
        <v>1000</v>
      </c>
      <c r="F28" s="20">
        <f>表1_86121822242662[[#This Row],[补偿Coin]]*(表1_86121822242662[[#This Row],[活跃高战玩家数]]+表1_86121822242662[[#This Row],[活跃中坚玩家数]])</f>
        <v>28000</v>
      </c>
      <c r="G28" s="20">
        <f>(VLOOKUP(表1_86121822242662[[#This Row],[目标区服]],$R$35:$S$39,2,FALSE)-表1_86121822242662[[#This Row],[开服天数]])*配置!$B$2</f>
        <v>10</v>
      </c>
      <c r="H28" s="19" t="s">
        <v>27</v>
      </c>
      <c r="I28" s="19">
        <f>IF(表1_86121822242662[[#This Row],[原国家]]="魏",0,IF(表1_86121822242662[[#This Row],[原国家]]="蜀",1,2))</f>
        <v>2</v>
      </c>
      <c r="J28" s="20">
        <v>3</v>
      </c>
      <c r="K28" s="20">
        <v>139</v>
      </c>
      <c r="L28" s="20">
        <v>3</v>
      </c>
      <c r="M28" s="20">
        <v>25</v>
      </c>
      <c r="N28" s="20">
        <v>122101</v>
      </c>
      <c r="O28" s="20">
        <v>1801266</v>
      </c>
      <c r="P28" s="26">
        <v>19661356</v>
      </c>
      <c r="Q28" s="31" t="s">
        <v>26</v>
      </c>
      <c r="R28" s="19">
        <f>IF(表1_86121822242662[[#This Row],[目标国家]]="魏",0,IF(表1_86121822242662[[#This Row],[目标国家]]="蜀",1,2))</f>
        <v>1</v>
      </c>
      <c r="S28" s="20">
        <v>23724</v>
      </c>
      <c r="T28" s="20">
        <v>0</v>
      </c>
      <c r="U28" s="20">
        <v>271681</v>
      </c>
      <c r="V28" s="20">
        <v>6915</v>
      </c>
      <c r="W28" s="32">
        <v>483323</v>
      </c>
      <c r="X28" s="33" t="str">
        <f>"{"&amp;"'coin':"&amp;表1_86121822242662[[#This Row],[补偿Coin]]&amp;",'"&amp;配置!$A$2&amp;"':"&amp;表1_86121822242662[[#This Row],[补偿辎重]]&amp;"},"</f>
        <v>{'coin':1000,'item036':10},</v>
      </c>
      <c r="Y28" s="34" t="str">
        <f t="shared" ref="Y28" si="5">"      },"</f>
        <v>      },</v>
      </c>
    </row>
    <row r="29" ht="14.25" customHeight="1" spans="1:25">
      <c r="A29" s="17">
        <v>5049</v>
      </c>
      <c r="B29" s="17">
        <f>VLOOKUP(表1_86121822242662[[#This Row],[区服]],$P$35:$Q$44,2,FALSE)</f>
        <v>41</v>
      </c>
      <c r="C29" s="18" t="s">
        <v>118</v>
      </c>
      <c r="D29" s="19" t="str">
        <f>表1_86121822242662[[#This Row],[目标国家]]</f>
        <v>魏</v>
      </c>
      <c r="E29" s="20">
        <f>(VLOOKUP(表1_86121822242662[[#This Row],[目标区服]],$R$35:$S$39,2,FALSE)-表1_86121822242662[[#This Row],[开服天数]])*配置!$B$1</f>
        <v>1500</v>
      </c>
      <c r="F29" s="20">
        <f>表1_86121822242662[[#This Row],[补偿Coin]]*(表1_86121822242662[[#This Row],[活跃高战玩家数]]+表1_86121822242662[[#This Row],[活跃中坚玩家数]])</f>
        <v>22500</v>
      </c>
      <c r="G29" s="20">
        <f>(VLOOKUP(表1_86121822242662[[#This Row],[目标区服]],$R$35:$S$39,2,FALSE)-表1_86121822242662[[#This Row],[开服天数]])*配置!$B$2</f>
        <v>15</v>
      </c>
      <c r="H29" s="19" t="s">
        <v>25</v>
      </c>
      <c r="I29" s="19">
        <f>IF(表1_86121822242662[[#This Row],[原国家]]="魏",0,IF(表1_86121822242662[[#This Row],[原国家]]="蜀",1,2))</f>
        <v>0</v>
      </c>
      <c r="J29" s="20">
        <v>0</v>
      </c>
      <c r="K29" s="20">
        <v>44</v>
      </c>
      <c r="L29" s="20">
        <v>1</v>
      </c>
      <c r="M29" s="20">
        <v>14</v>
      </c>
      <c r="N29" s="20">
        <v>52753</v>
      </c>
      <c r="O29" s="20">
        <v>1182214</v>
      </c>
      <c r="P29" s="26">
        <v>7245852</v>
      </c>
      <c r="Q29" s="31" t="s">
        <v>25</v>
      </c>
      <c r="R29" s="19">
        <f>IF(表1_86121822242662[[#This Row],[目标国家]]="魏",0,IF(表1_86121822242662[[#This Row],[目标国家]]="蜀",1,2))</f>
        <v>0</v>
      </c>
      <c r="S29" s="20">
        <v>13882</v>
      </c>
      <c r="T29" s="20">
        <v>0</v>
      </c>
      <c r="U29" s="20">
        <v>109539</v>
      </c>
      <c r="V29" s="20">
        <v>3081</v>
      </c>
      <c r="W29" s="32">
        <v>348063</v>
      </c>
      <c r="X29" s="33" t="str">
        <f>"{"&amp;"'coin':"&amp;表1_86121822242662[[#This Row],[补偿Coin]]&amp;",'"&amp;配置!$A$2&amp;"':"&amp;表1_86121822242662[[#This Row],[补偿辎重]]&amp;"},"</f>
        <v>{'coin':1500,'item036':15},</v>
      </c>
      <c r="Y29" s="34" t="str">
        <f>"      '"&amp;表1_86121822242662[[#This Row],[区服]]&amp;"':{"</f>
        <v>      '5049':{</v>
      </c>
    </row>
    <row r="30" ht="14.25" customHeight="1" spans="1:25">
      <c r="A30" s="17">
        <v>5049</v>
      </c>
      <c r="B30" s="17">
        <f>VLOOKUP(表1_86121822242662[[#This Row],[区服]],$P$35:$Q$44,2,FALSE)</f>
        <v>41</v>
      </c>
      <c r="C30" s="18" t="s">
        <v>118</v>
      </c>
      <c r="D30" s="19" t="str">
        <f>表1_86121822242662[[#This Row],[目标国家]]</f>
        <v>蜀</v>
      </c>
      <c r="E30" s="20">
        <f>(VLOOKUP(表1_86121822242662[[#This Row],[目标区服]],$R$35:$S$39,2,FALSE)-表1_86121822242662[[#This Row],[开服天数]])*配置!$B$1</f>
        <v>1500</v>
      </c>
      <c r="F30" s="20">
        <f>表1_86121822242662[[#This Row],[补偿Coin]]*(表1_86121822242662[[#This Row],[活跃高战玩家数]]+表1_86121822242662[[#This Row],[活跃中坚玩家数]])</f>
        <v>25500</v>
      </c>
      <c r="G30" s="20">
        <f>(VLOOKUP(表1_86121822242662[[#This Row],[目标区服]],$R$35:$S$39,2,FALSE)-表1_86121822242662[[#This Row],[开服天数]])*配置!$B$2</f>
        <v>15</v>
      </c>
      <c r="H30" s="19" t="s">
        <v>26</v>
      </c>
      <c r="I30" s="19">
        <f>IF(表1_86121822242662[[#This Row],[原国家]]="魏",0,IF(表1_86121822242662[[#This Row],[原国家]]="蜀",1,2))</f>
        <v>1</v>
      </c>
      <c r="J30" s="20">
        <v>0</v>
      </c>
      <c r="K30" s="20">
        <v>62</v>
      </c>
      <c r="L30" s="20">
        <v>0</v>
      </c>
      <c r="M30" s="20">
        <v>17</v>
      </c>
      <c r="N30" s="20">
        <v>52694</v>
      </c>
      <c r="O30" s="20">
        <v>970702</v>
      </c>
      <c r="P30" s="26">
        <v>7388364</v>
      </c>
      <c r="Q30" s="31" t="s">
        <v>26</v>
      </c>
      <c r="R30" s="19">
        <f>IF(表1_86121822242662[[#This Row],[目标国家]]="魏",0,IF(表1_86121822242662[[#This Row],[目标国家]]="蜀",1,2))</f>
        <v>1</v>
      </c>
      <c r="S30" s="20">
        <v>2812</v>
      </c>
      <c r="T30" s="20">
        <v>0</v>
      </c>
      <c r="U30" s="20">
        <v>131290</v>
      </c>
      <c r="V30" s="20">
        <v>2743</v>
      </c>
      <c r="W30" s="32">
        <v>262692</v>
      </c>
      <c r="X30" s="33" t="str">
        <f>"{"&amp;"'coin':"&amp;表1_86121822242662[[#This Row],[补偿Coin]]&amp;",'"&amp;配置!$A$2&amp;"':"&amp;表1_86121822242662[[#This Row],[补偿辎重]]&amp;"},"</f>
        <v>{'coin':1500,'item036':15},</v>
      </c>
      <c r="Y30" s="34" t="str">
        <f>"            'to_zone':'"&amp;表1_86121822242662[[#This Row],[目标区服]]&amp;"',
            'reward':"&amp;表1_86121822242662[[#This Row],[辅助导出]]&amp;"
            'country':["&amp;R29&amp;","&amp;R30&amp;","&amp;R31&amp;"],"</f>
        <v>            'to_zone':'h1_522',
            'reward':{'coin':1500,'item036':15},
            'country':[0,1,2],</v>
      </c>
    </row>
    <row r="31" ht="14.25" customHeight="1" spans="1:25">
      <c r="A31" s="17">
        <v>5049</v>
      </c>
      <c r="B31" s="17">
        <f>VLOOKUP(表1_86121822242662[[#This Row],[区服]],$P$35:$Q$44,2,FALSE)</f>
        <v>41</v>
      </c>
      <c r="C31" s="18" t="s">
        <v>118</v>
      </c>
      <c r="D31" s="19" t="str">
        <f>表1_86121822242662[[#This Row],[目标国家]]</f>
        <v>吴</v>
      </c>
      <c r="E31" s="20">
        <f>(VLOOKUP(表1_86121822242662[[#This Row],[目标区服]],$R$35:$S$39,2,FALSE)-表1_86121822242662[[#This Row],[开服天数]])*配置!$B$1</f>
        <v>1500</v>
      </c>
      <c r="F31" s="20">
        <f>表1_86121822242662[[#This Row],[补偿Coin]]*(表1_86121822242662[[#This Row],[活跃高战玩家数]]+表1_86121822242662[[#This Row],[活跃中坚玩家数]])</f>
        <v>43500</v>
      </c>
      <c r="G31" s="20">
        <f>(VLOOKUP(表1_86121822242662[[#This Row],[目标区服]],$R$35:$S$39,2,FALSE)-表1_86121822242662[[#This Row],[开服天数]])*配置!$B$2</f>
        <v>15</v>
      </c>
      <c r="H31" s="19" t="s">
        <v>27</v>
      </c>
      <c r="I31" s="19">
        <f>IF(表1_86121822242662[[#This Row],[原国家]]="魏",0,IF(表1_86121822242662[[#This Row],[原国家]]="蜀",1,2))</f>
        <v>2</v>
      </c>
      <c r="J31" s="20">
        <v>9</v>
      </c>
      <c r="K31" s="20">
        <v>289</v>
      </c>
      <c r="L31" s="20">
        <v>8</v>
      </c>
      <c r="M31" s="20">
        <v>21</v>
      </c>
      <c r="N31" s="20">
        <v>173783</v>
      </c>
      <c r="O31" s="20">
        <v>2253745</v>
      </c>
      <c r="P31" s="26">
        <v>23863497</v>
      </c>
      <c r="Q31" s="31" t="s">
        <v>27</v>
      </c>
      <c r="R31" s="19">
        <f>IF(表1_86121822242662[[#This Row],[目标国家]]="魏",0,IF(表1_86121822242662[[#This Row],[目标国家]]="蜀",1,2))</f>
        <v>2</v>
      </c>
      <c r="S31" s="20">
        <v>113364</v>
      </c>
      <c r="T31" s="20">
        <v>0</v>
      </c>
      <c r="U31" s="20">
        <v>504045</v>
      </c>
      <c r="V31" s="20">
        <v>12951</v>
      </c>
      <c r="W31" s="32">
        <v>709834</v>
      </c>
      <c r="X31" s="33" t="str">
        <f>"{"&amp;"'coin':"&amp;表1_86121822242662[[#This Row],[补偿Coin]]&amp;",'"&amp;配置!$A$2&amp;"':"&amp;表1_86121822242662[[#This Row],[补偿辎重]]&amp;"},"</f>
        <v>{'coin':1500,'item036':15},</v>
      </c>
      <c r="Y31" s="34" t="str">
        <f t="shared" ref="Y31" si="6">"      },"</f>
        <v>      },</v>
      </c>
    </row>
    <row r="34" ht="37.5" customHeight="1" spans="1:19">
      <c r="A34" s="36" t="s">
        <v>28</v>
      </c>
      <c r="B34" s="37" t="s">
        <v>29</v>
      </c>
      <c r="C34" s="38" t="s">
        <v>30</v>
      </c>
      <c r="D34" s="38" t="s">
        <v>31</v>
      </c>
      <c r="E34" s="38" t="s">
        <v>32</v>
      </c>
      <c r="F34" s="38" t="s">
        <v>33</v>
      </c>
      <c r="G34" s="38" t="s">
        <v>15</v>
      </c>
      <c r="H34" s="37" t="s">
        <v>18</v>
      </c>
      <c r="I34" s="37" t="s">
        <v>19</v>
      </c>
      <c r="J34" s="37" t="s">
        <v>34</v>
      </c>
      <c r="K34" s="38" t="s">
        <v>35</v>
      </c>
      <c r="L34" s="38" t="s">
        <v>36</v>
      </c>
      <c r="M34" s="38" t="s">
        <v>37</v>
      </c>
      <c r="N34" s="38" t="s">
        <v>88</v>
      </c>
      <c r="P34" s="51" t="s">
        <v>0</v>
      </c>
      <c r="Q34" s="51" t="s">
        <v>1</v>
      </c>
      <c r="R34" s="51"/>
      <c r="S34" s="51" t="s">
        <v>38</v>
      </c>
    </row>
    <row r="35" ht="15.75" customHeight="1" spans="1:19">
      <c r="A35" s="39" t="s">
        <v>114</v>
      </c>
      <c r="B35" s="39" t="s">
        <v>25</v>
      </c>
      <c r="C35" s="39">
        <f>COUNTIFS(表1_86121822242662[目标区服],表2_97131923252763[[#This Row],[合区区服]],表1_86121822242662[目标国家（映射）],表2_97131923252763[[#This Row],[国家]])</f>
        <v>2</v>
      </c>
      <c r="D35" s="39">
        <f>SUMIFS(表1_86121822242662[活跃高战玩家数],表1_86121822242662[目标区服],表2_97131923252763[[#This Row],[合区区服]],表1_86121822242662[目标国家（映射）],表2_97131923252763[[#This Row],[国家]])</f>
        <v>7</v>
      </c>
      <c r="E35" s="39">
        <f>SUMIFS(表1_86121822242662[活跃中坚玩家数],表1_86121822242662[目标区服],表2_97131923252763[[#This Row],[合区区服]],表1_86121822242662[目标国家（映射）],表2_97131923252763[[#This Row],[国家]])</f>
        <v>44</v>
      </c>
      <c r="F35" s="39">
        <f t="array" ref="F35">MAX((表1_86121822242662[目标区服]=表2_97131923252763[[#This Row],[合区区服]])*(表1_86121822242662[目标国家（映射）]=表2_97131923252763[[#This Row],[国家]])*表1_86121822242662[活跃尖端战力])</f>
        <v>2527703</v>
      </c>
      <c r="G35" s="40">
        <f>SUMIFS(表1_86121822242662[活跃总战力],表1_86121822242662[目标区服],表2_97131923252763[[#This Row],[合区区服]],表1_86121822242662[目标国家（映射）],表2_97131923252763[[#This Row],[国家]])</f>
        <v>37926083</v>
      </c>
      <c r="H35" s="39">
        <f>SUMIFS(表1_86121822242662[活跃实际充值],表1_86121822242662[目标区服],表2_97131923252763[[#This Row],[合区区服]],表1_86121822242662[目标国家（映射）],表2_97131923252763[[#This Row],[国家]])</f>
        <v>120266</v>
      </c>
      <c r="I35" s="39">
        <f>SUMIFS(表1_86121822242662[活跃虚拟充值],表1_86121822242662[目标区服],表2_97131923252763[[#This Row],[合区区服]],表1_86121822242662[目标国家（映射）],表2_97131923252763[[#This Row],[国家]])</f>
        <v>0</v>
      </c>
      <c r="J35" s="39">
        <f>SUMIFS(表1_86121822242662[活跃Coin],表1_86121822242662[目标区服],表2_97131923252763[[#This Row],[合区区服]],表1_86121822242662[目标国家（映射）],表2_97131923252763[[#This Row],[国家]])</f>
        <v>497481</v>
      </c>
      <c r="K35" s="39">
        <f>SUMIFS(表1_86121822242662[共计补偿Coin],表1_86121822242662[目标区服],表2_97131923252763[[#This Row],[合区区服]],表1_86121822242662[目标国家（映射）],表2_97131923252763[[#This Row],[国家]])</f>
        <v>66500</v>
      </c>
      <c r="L35" s="39">
        <f>表2_97131923252763[[#This Row],[活跃Coin]]+表2_97131923252763[[#This Row],[共计补偿Coin]]</f>
        <v>563981</v>
      </c>
      <c r="M35" s="39">
        <f>SUMIFS(表1_86121822242662[综合国力],表1_86121822242662[目标区服],表2_97131923252763[[#This Row],[合区区服]],表1_86121822242662[目标国家（映射）],表2_97131923252763[[#This Row],[国家]])</f>
        <v>16443</v>
      </c>
      <c r="N35" s="39">
        <f t="array" ref="N35">MAX((表1_86121822242662[目标区服]=表2_97131923252763[[#This Row],[合区区服]])*(表1_86121822242662[目标国家（映射）]=表2_97131923252763[[#This Row],[国家]])*表1_86121822242662[单将最高战力])</f>
        <v>820756</v>
      </c>
      <c r="P35" s="51">
        <v>5040</v>
      </c>
      <c r="Q35" s="51">
        <v>49</v>
      </c>
      <c r="R35" s="51" t="s">
        <v>114</v>
      </c>
      <c r="S35" s="51">
        <v>51</v>
      </c>
    </row>
    <row r="36" ht="15" spans="1:19">
      <c r="A36" s="39" t="s">
        <v>114</v>
      </c>
      <c r="B36" s="39" t="s">
        <v>26</v>
      </c>
      <c r="C36" s="39">
        <f>COUNTIFS(表1_86121822242662[目标区服],表2_97131923252763[[#This Row],[合区区服]],表1_86121822242662[目标国家（映射）],表2_97131923252763[[#This Row],[国家]])</f>
        <v>2</v>
      </c>
      <c r="D36" s="39">
        <f>SUMIFS(表1_86121822242662[活跃高战玩家数],表1_86121822242662[目标区服],表2_97131923252763[[#This Row],[合区区服]],表1_86121822242662[目标国家（映射）],表2_97131923252763[[#This Row],[国家]])</f>
        <v>4</v>
      </c>
      <c r="E36" s="39">
        <f>SUMIFS(表1_86121822242662[活跃中坚玩家数],表1_86121822242662[目标区服],表2_97131923252763[[#This Row],[合区区服]],表1_86121822242662[目标国家（映射）],表2_97131923252763[[#This Row],[国家]])</f>
        <v>33</v>
      </c>
      <c r="F36" s="39">
        <f t="array" ref="F36">MAX((表1_86121822242662[目标区服]=表2_97131923252763[[#This Row],[合区区服]])*(表1_86121822242662[目标国家（映射）]=表2_97131923252763[[#This Row],[国家]])*表1_86121822242662[活跃尖端战力])</f>
        <v>3303517</v>
      </c>
      <c r="G36" s="40">
        <f>SUMIFS(表1_86121822242662[活跃总战力],表1_86121822242662[目标区服],表2_97131923252763[[#This Row],[合区区服]],表1_86121822242662[目标国家（映射）],表2_97131923252763[[#This Row],[国家]])</f>
        <v>31561252</v>
      </c>
      <c r="H36" s="39">
        <f>SUMIFS(表1_86121822242662[活跃实际充值],表1_86121822242662[目标区服],表2_97131923252763[[#This Row],[合区区服]],表1_86121822242662[目标国家（映射）],表2_97131923252763[[#This Row],[国家]])</f>
        <v>96834</v>
      </c>
      <c r="I36" s="39">
        <f>SUMIFS(表1_86121822242662[活跃虚拟充值],表1_86121822242662[目标区服],表2_97131923252763[[#This Row],[合区区服]],表1_86121822242662[目标国家（映射）],表2_97131923252763[[#This Row],[国家]])</f>
        <v>0</v>
      </c>
      <c r="J36" s="39">
        <f>SUMIFS(表1_86121822242662[活跃Coin],表1_86121822242662[目标区服],表2_97131923252763[[#This Row],[合区区服]],表1_86121822242662[目标国家（映射）],表2_97131923252763[[#This Row],[国家]])</f>
        <v>428195</v>
      </c>
      <c r="K36" s="39">
        <f>SUMIFS(表1_86121822242662[共计补偿Coin],表1_86121822242662[目标区服],表2_97131923252763[[#This Row],[合区区服]],表1_86121822242662[目标国家（映射）],表2_97131923252763[[#This Row],[国家]])</f>
        <v>41000</v>
      </c>
      <c r="L36" s="39">
        <f>表2_97131923252763[[#This Row],[活跃Coin]]+表2_97131923252763[[#This Row],[共计补偿Coin]]</f>
        <v>469195</v>
      </c>
      <c r="M36" s="39">
        <f>SUMIFS(表1_86121822242662[综合国力],表1_86121822242662[目标区服],表2_97131923252763[[#This Row],[合区区服]],表1_86121822242662[目标国家（映射）],表2_97131923252763[[#This Row],[国家]])</f>
        <v>13436</v>
      </c>
      <c r="N36" s="39">
        <f t="array" ref="N36">MAX((表1_86121822242662[目标区服]=表2_97131923252763[[#This Row],[合区区服]])*(表1_86121822242662[目标国家（映射）]=表2_97131923252763[[#This Row],[国家]])*表1_86121822242662[单将最高战力])</f>
        <v>995586</v>
      </c>
      <c r="P36" s="51">
        <v>5041</v>
      </c>
      <c r="Q36" s="51">
        <v>48</v>
      </c>
      <c r="R36" s="51" t="s">
        <v>115</v>
      </c>
      <c r="S36" s="51">
        <v>49</v>
      </c>
    </row>
    <row r="37" ht="15" spans="1:19">
      <c r="A37" s="39" t="s">
        <v>114</v>
      </c>
      <c r="B37" s="39" t="s">
        <v>27</v>
      </c>
      <c r="C37" s="39">
        <f>COUNTIFS(表1_86121822242662[目标区服],表2_97131923252763[[#This Row],[合区区服]],表1_86121822242662[目标国家（映射）],表2_97131923252763[[#This Row],[国家]])</f>
        <v>2</v>
      </c>
      <c r="D37" s="39">
        <f>SUMIFS(表1_86121822242662[活跃高战玩家数],表1_86121822242662[目标区服],表2_97131923252763[[#This Row],[合区区服]],表1_86121822242662[目标国家（映射）],表2_97131923252763[[#This Row],[国家]])</f>
        <v>9</v>
      </c>
      <c r="E37" s="39">
        <f>SUMIFS(表1_86121822242662[活跃中坚玩家数],表1_86121822242662[目标区服],表2_97131923252763[[#This Row],[合区区服]],表1_86121822242662[目标国家（映射）],表2_97131923252763[[#This Row],[国家]])</f>
        <v>37</v>
      </c>
      <c r="F37" s="39">
        <f t="array" ref="F37">MAX((表1_86121822242662[目标区服]=表2_97131923252763[[#This Row],[合区区服]])*(表1_86121822242662[目标国家（映射）]=表2_97131923252763[[#This Row],[国家]])*表1_86121822242662[活跃尖端战力])</f>
        <v>2900296</v>
      </c>
      <c r="G37" s="40">
        <f>SUMIFS(表1_86121822242662[活跃总战力],表1_86121822242662[目标区服],表2_97131923252763[[#This Row],[合区区服]],表1_86121822242662[目标国家（映射）],表2_97131923252763[[#This Row],[国家]])</f>
        <v>44242051</v>
      </c>
      <c r="H37" s="39">
        <f>SUMIFS(表1_86121822242662[活跃实际充值],表1_86121822242662[目标区服],表2_97131923252763[[#This Row],[合区区服]],表1_86121822242662[目标国家（映射）],表2_97131923252763[[#This Row],[国家]])</f>
        <v>120716</v>
      </c>
      <c r="I37" s="39">
        <f>SUMIFS(表1_86121822242662[活跃虚拟充值],表1_86121822242662[目标区服],表2_97131923252763[[#This Row],[合区区服]],表1_86121822242662[目标国家（映射）],表2_97131923252763[[#This Row],[国家]])</f>
        <v>0</v>
      </c>
      <c r="J37" s="39">
        <f>SUMIFS(表1_86121822242662[活跃Coin],表1_86121822242662[目标区服],表2_97131923252763[[#This Row],[合区区服]],表1_86121822242662[目标国家（映射）],表2_97131923252763[[#This Row],[国家]])</f>
        <v>725477</v>
      </c>
      <c r="K37" s="39">
        <f>SUMIFS(表1_86121822242662[共计补偿Coin],表1_86121822242662[目标区服],表2_97131923252763[[#This Row],[合区区服]],表1_86121822242662[目标国家（映射）],表2_97131923252763[[#This Row],[国家]])</f>
        <v>57500</v>
      </c>
      <c r="L37" s="39">
        <f>表2_97131923252763[[#This Row],[活跃Coin]]+表2_97131923252763[[#This Row],[共计补偿Coin]]</f>
        <v>782977</v>
      </c>
      <c r="M37" s="39">
        <f>SUMIFS(表1_86121822242662[综合国力],表1_86121822242662[目标区服],表2_97131923252763[[#This Row],[合区区服]],表1_86121822242662[目标国家（映射）],表2_97131923252763[[#This Row],[国家]])</f>
        <v>18335</v>
      </c>
      <c r="N37" s="39">
        <f t="array" ref="N37">MAX((表1_86121822242662[目标区服]=表2_97131923252763[[#This Row],[合区区服]])*(表1_86121822242662[目标国家（映射）]=表2_97131923252763[[#This Row],[国家]])*表1_86121822242662[单将最高战力])</f>
        <v>824939</v>
      </c>
      <c r="P37" s="51">
        <v>5042</v>
      </c>
      <c r="Q37" s="51">
        <v>47</v>
      </c>
      <c r="R37" s="51" t="s">
        <v>116</v>
      </c>
      <c r="S37" s="51">
        <v>47</v>
      </c>
    </row>
    <row r="38" ht="15" spans="1:19">
      <c r="A38" s="41" t="s">
        <v>115</v>
      </c>
      <c r="B38" s="41" t="s">
        <v>25</v>
      </c>
      <c r="C38" s="41">
        <f>COUNTIFS(表1_86121822242662[目标区服],表2_97131923252763[[#This Row],[合区区服]],表1_86121822242662[目标国家（映射）],表2_97131923252763[[#This Row],[国家]])</f>
        <v>2</v>
      </c>
      <c r="D38" s="41">
        <f>SUMIFS(表1_86121822242662[活跃高战玩家数],表1_86121822242662[目标区服],表2_97131923252763[[#This Row],[合区区服]],表1_86121822242662[目标国家（映射）],表2_97131923252763[[#This Row],[国家]])</f>
        <v>4</v>
      </c>
      <c r="E38" s="41">
        <f>SUMIFS(表1_86121822242662[活跃中坚玩家数],表1_86121822242662[目标区服],表2_97131923252763[[#This Row],[合区区服]],表1_86121822242662[目标国家（映射）],表2_97131923252763[[#This Row],[国家]])</f>
        <v>35</v>
      </c>
      <c r="F38" s="41">
        <f t="array" ref="F38">MAX((表1_86121822242662[目标区服]=表2_97131923252763[[#This Row],[合区区服]])*(表1_86121822242662[目标国家（映射）]=表2_97131923252763[[#This Row],[国家]])*表1_86121822242662[活跃尖端战力])</f>
        <v>2924301</v>
      </c>
      <c r="G38" s="42">
        <f>SUMIFS(表1_86121822242662[活跃总战力],表1_86121822242662[目标区服],表2_97131923252763[[#This Row],[合区区服]],表1_86121822242662[目标国家（映射）],表2_97131923252763[[#This Row],[国家]])</f>
        <v>32001760</v>
      </c>
      <c r="H38" s="41">
        <f>SUMIFS(表1_86121822242662[活跃实际充值],表1_86121822242662[目标区服],表2_97131923252763[[#This Row],[合区区服]],表1_86121822242662[目标国家（映射）],表2_97131923252763[[#This Row],[国家]])</f>
        <v>124272</v>
      </c>
      <c r="I38" s="41">
        <f>SUMIFS(表1_86121822242662[活跃虚拟充值],表1_86121822242662[目标区服],表2_97131923252763[[#This Row],[合区区服]],表1_86121822242662[目标国家（映射）],表2_97131923252763[[#This Row],[国家]])</f>
        <v>0</v>
      </c>
      <c r="J38" s="41">
        <f>SUMIFS(表1_86121822242662[活跃Coin],表1_86121822242662[目标区服],表2_97131923252763[[#This Row],[合区区服]],表1_86121822242662[目标国家（映射）],表2_97131923252763[[#This Row],[国家]])</f>
        <v>482792</v>
      </c>
      <c r="K38" s="41">
        <f>SUMIFS(表1_86121822242662[共计补偿Coin],表1_86121822242662[目标区服],表2_97131923252763[[#This Row],[合区区服]],表1_86121822242662[目标国家（映射）],表2_97131923252763[[#This Row],[国家]])</f>
        <v>54000</v>
      </c>
      <c r="L38" s="41">
        <f>表2_97131923252763[[#This Row],[活跃Coin]]+表2_97131923252763[[#This Row],[共计补偿Coin]]</f>
        <v>536792</v>
      </c>
      <c r="M38" s="41">
        <f>SUMIFS(表1_86121822242662[综合国力],表1_86121822242662[目标区服],表2_97131923252763[[#This Row],[合区区服]],表1_86121822242662[目标国家（映射）],表2_97131923252763[[#This Row],[国家]])</f>
        <v>14079</v>
      </c>
      <c r="N38" s="41">
        <f t="array" ref="N38">MAX((表1_86121822242662[目标区服]=表2_97131923252763[[#This Row],[合区区服]])*(表1_86121822242662[目标国家（映射）]=表2_97131923252763[[#This Row],[国家]])*表1_86121822242662[单将最高战力])</f>
        <v>804908</v>
      </c>
      <c r="P38" s="51">
        <v>5043</v>
      </c>
      <c r="Q38" s="51">
        <v>46</v>
      </c>
      <c r="R38" s="51" t="s">
        <v>117</v>
      </c>
      <c r="S38" s="51">
        <v>45</v>
      </c>
    </row>
    <row r="39" ht="15" spans="1:19">
      <c r="A39" s="41" t="s">
        <v>115</v>
      </c>
      <c r="B39" s="41" t="s">
        <v>26</v>
      </c>
      <c r="C39" s="41">
        <f>COUNTIFS(表1_86121822242662[目标区服],表2_97131923252763[[#This Row],[合区区服]],表1_86121822242662[目标国家（映射）],表2_97131923252763[[#This Row],[国家]])</f>
        <v>2</v>
      </c>
      <c r="D39" s="41">
        <f>SUMIFS(表1_86121822242662[活跃高战玩家数],表1_86121822242662[目标区服],表2_97131923252763[[#This Row],[合区区服]],表1_86121822242662[目标国家（映射）],表2_97131923252763[[#This Row],[国家]])</f>
        <v>6</v>
      </c>
      <c r="E39" s="41">
        <f>SUMIFS(表1_86121822242662[活跃中坚玩家数],表1_86121822242662[目标区服],表2_97131923252763[[#This Row],[合区区服]],表1_86121822242662[目标国家（映射）],表2_97131923252763[[#This Row],[国家]])</f>
        <v>38</v>
      </c>
      <c r="F39" s="41">
        <f t="array" ref="F39">MAX((表1_86121822242662[目标区服]=表2_97131923252763[[#This Row],[合区区服]])*(表1_86121822242662[目标国家（映射）]=表2_97131923252763[[#This Row],[国家]])*表1_86121822242662[活跃尖端战力])</f>
        <v>3456627</v>
      </c>
      <c r="G39" s="42">
        <f>SUMIFS(表1_86121822242662[活跃总战力],表1_86121822242662[目标区服],表2_97131923252763[[#This Row],[合区区服]],表1_86121822242662[目标国家（映射）],表2_97131923252763[[#This Row],[国家]])</f>
        <v>36178607</v>
      </c>
      <c r="H39" s="41">
        <f>SUMIFS(表1_86121822242662[活跃实际充值],表1_86121822242662[目标区服],表2_97131923252763[[#This Row],[合区区服]],表1_86121822242662[目标国家（映射）],表2_97131923252763[[#This Row],[国家]])</f>
        <v>159512</v>
      </c>
      <c r="I39" s="41">
        <f>SUMIFS(表1_86121822242662[活跃虚拟充值],表1_86121822242662[目标区服],表2_97131923252763[[#This Row],[合区区服]],表1_86121822242662[目标国家（映射）],表2_97131923252763[[#This Row],[国家]])</f>
        <v>0</v>
      </c>
      <c r="J39" s="41">
        <f>SUMIFS(表1_86121822242662[活跃Coin],表1_86121822242662[目标区服],表2_97131923252763[[#This Row],[合区区服]],表1_86121822242662[目标国家（映射）],表2_97131923252763[[#This Row],[国家]])</f>
        <v>538546</v>
      </c>
      <c r="K39" s="41">
        <f>SUMIFS(表1_86121822242662[共计补偿Coin],表1_86121822242662[目标区服],表2_97131923252763[[#This Row],[合区区服]],表1_86121822242662[目标国家（映射）],表2_97131923252763[[#This Row],[国家]])</f>
        <v>57500</v>
      </c>
      <c r="L39" s="41">
        <f>表2_97131923252763[[#This Row],[活跃Coin]]+表2_97131923252763[[#This Row],[共计补偿Coin]]</f>
        <v>596046</v>
      </c>
      <c r="M39" s="41">
        <f>SUMIFS(表1_86121822242662[综合国力],表1_86121822242662[目标区服],表2_97131923252763[[#This Row],[合区区服]],表1_86121822242662[目标国家（映射）],表2_97131923252763[[#This Row],[国家]])</f>
        <v>19712</v>
      </c>
      <c r="N39" s="41">
        <f t="array" ref="N39">MAX((表1_86121822242662[目标区服]=表2_97131923252763[[#This Row],[合区区服]])*(表1_86121822242662[目标国家（映射）]=表2_97131923252763[[#This Row],[国家]])*表1_86121822242662[单将最高战力])</f>
        <v>979962</v>
      </c>
      <c r="P39" s="51">
        <v>5044</v>
      </c>
      <c r="Q39" s="51">
        <v>45</v>
      </c>
      <c r="R39" s="51" t="s">
        <v>118</v>
      </c>
      <c r="S39" s="51">
        <v>44</v>
      </c>
    </row>
    <row r="40" ht="15" spans="1:17">
      <c r="A40" s="41" t="s">
        <v>115</v>
      </c>
      <c r="B40" s="43" t="s">
        <v>27</v>
      </c>
      <c r="C40" s="43">
        <f>COUNTIFS(表1_86121822242662[目标区服],表2_97131923252763[[#This Row],[合区区服]],表1_86121822242662[目标国家（映射）],表2_97131923252763[[#This Row],[国家]])</f>
        <v>2</v>
      </c>
      <c r="D40" s="43">
        <f>SUMIFS(表1_86121822242662[活跃高战玩家数],表1_86121822242662[目标区服],表2_97131923252763[[#This Row],[合区区服]],表1_86121822242662[目标国家（映射）],表2_97131923252763[[#This Row],[国家]])</f>
        <v>10</v>
      </c>
      <c r="E40" s="43">
        <f>SUMIFS(表1_86121822242662[活跃中坚玩家数],表1_86121822242662[目标区服],表2_97131923252763[[#This Row],[合区区服]],表1_86121822242662[目标国家（映射）],表2_97131923252763[[#This Row],[国家]])</f>
        <v>33</v>
      </c>
      <c r="F40" s="43">
        <f t="array" ref="F40">MAX((表1_86121822242662[目标区服]=表2_97131923252763[[#This Row],[合区区服]])*(表1_86121822242662[目标国家（映射）]=表2_97131923252763[[#This Row],[国家]])*表1_86121822242662[活跃尖端战力])</f>
        <v>2845478</v>
      </c>
      <c r="G40" s="44">
        <f>SUMIFS(表1_86121822242662[活跃总战力],表1_86121822242662[目标区服],表2_97131923252763[[#This Row],[合区区服]],表1_86121822242662[目标国家（映射）],表2_97131923252763[[#This Row],[国家]])</f>
        <v>40232802</v>
      </c>
      <c r="H40" s="43">
        <f>SUMIFS(表1_86121822242662[活跃实际充值],表1_86121822242662[目标区服],表2_97131923252763[[#This Row],[合区区服]],表1_86121822242662[目标国家（映射）],表2_97131923252763[[#This Row],[国家]])</f>
        <v>164524</v>
      </c>
      <c r="I40" s="43">
        <f>SUMIFS(表1_86121822242662[活跃虚拟充值],表1_86121822242662[目标区服],表2_97131923252763[[#This Row],[合区区服]],表1_86121822242662[目标国家（映射）],表2_97131923252763[[#This Row],[国家]])</f>
        <v>0</v>
      </c>
      <c r="J40" s="43">
        <f>SUMIFS(表1_86121822242662[活跃Coin],表1_86121822242662[目标区服],表2_97131923252763[[#This Row],[合区区服]],表1_86121822242662[目标国家（映射）],表2_97131923252763[[#This Row],[国家]])</f>
        <v>994788</v>
      </c>
      <c r="K40" s="43">
        <f>SUMIFS(表1_86121822242662[共计补偿Coin],表1_86121822242662[目标区服],表2_97131923252763[[#This Row],[合区区服]],表1_86121822242662[目标国家（映射）],表2_97131923252763[[#This Row],[国家]])</f>
        <v>52000</v>
      </c>
      <c r="L40" s="43">
        <f>表2_97131923252763[[#This Row],[活跃Coin]]+表2_97131923252763[[#This Row],[共计补偿Coin]]</f>
        <v>1046788</v>
      </c>
      <c r="M40" s="43">
        <f>SUMIFS(表1_86121822242662[综合国力],表1_86121822242662[目标区服],表2_97131923252763[[#This Row],[合区区服]],表1_86121822242662[目标国家（映射）],表2_97131923252763[[#This Row],[国家]])</f>
        <v>19357</v>
      </c>
      <c r="N40" s="41">
        <f t="array" ref="N40">MAX((表1_86121822242662[目标区服]=表2_97131923252763[[#This Row],[合区区服]])*(表1_86121822242662[目标国家（映射）]=表2_97131923252763[[#This Row],[国家]])*表1_86121822242662[单将最高战力])</f>
        <v>790611</v>
      </c>
      <c r="P40" s="51">
        <v>5045</v>
      </c>
      <c r="Q40" s="51">
        <v>44</v>
      </c>
    </row>
    <row r="41" ht="15" spans="1:17">
      <c r="A41" s="611" t="s">
        <v>116</v>
      </c>
      <c r="B41" s="612" t="s">
        <v>25</v>
      </c>
      <c r="C41" s="612">
        <f>COUNTIFS(表1_86121822242662[目标区服],表2_97131923252763[[#This Row],[合区区服]],表1_86121822242662[目标国家（映射）],表2_97131923252763[[#This Row],[国家]])</f>
        <v>2</v>
      </c>
      <c r="D41" s="612">
        <f>SUMIFS(表1_86121822242662[活跃高战玩家数],表1_86121822242662[目标区服],表2_97131923252763[[#This Row],[合区区服]],表1_86121822242662[目标国家（映射）],表2_97131923252763[[#This Row],[国家]])</f>
        <v>5</v>
      </c>
      <c r="E41" s="612">
        <f>SUMIFS(表1_86121822242662[活跃中坚玩家数],表1_86121822242662[目标区服],表2_97131923252763[[#This Row],[合区区服]],表1_86121822242662[目标国家（映射）],表2_97131923252763[[#This Row],[国家]])</f>
        <v>37</v>
      </c>
      <c r="F41" s="612">
        <f t="array" ref="F41">MAX((表1_86121822242662[目标区服]=表2_97131923252763[[#This Row],[合区区服]])*(表1_86121822242662[目标国家（映射）]=表2_97131923252763[[#This Row],[国家]])*表1_86121822242662[活跃尖端战力])</f>
        <v>2666512</v>
      </c>
      <c r="G41" s="613">
        <f>SUMIFS(表1_86121822242662[活跃总战力],表1_86121822242662[目标区服],表2_97131923252763[[#This Row],[合区区服]],表1_86121822242662[目标国家（映射）],表2_97131923252763[[#This Row],[国家]])</f>
        <v>36767846</v>
      </c>
      <c r="H41" s="612">
        <f>SUMIFS(表1_86121822242662[活跃实际充值],表1_86121822242662[目标区服],表2_97131923252763[[#This Row],[合区区服]],表1_86121822242662[目标国家（映射）],表2_97131923252763[[#This Row],[国家]])</f>
        <v>160668</v>
      </c>
      <c r="I41" s="612">
        <f>SUMIFS(表1_86121822242662[活跃虚拟充值],表1_86121822242662[目标区服],表2_97131923252763[[#This Row],[合区区服]],表1_86121822242662[目标国家（映射）],表2_97131923252763[[#This Row],[国家]])</f>
        <v>0</v>
      </c>
      <c r="J41" s="612">
        <f>SUMIFS(表1_86121822242662[活跃Coin],表1_86121822242662[目标区服],表2_97131923252763[[#This Row],[合区区服]],表1_86121822242662[目标国家（映射）],表2_97131923252763[[#This Row],[国家]])</f>
        <v>682318</v>
      </c>
      <c r="K41" s="612">
        <f>SUMIFS(表1_86121822242662[共计补偿Coin],表1_86121822242662[目标区服],表2_97131923252763[[#This Row],[合区区服]],表1_86121822242662[目标国家（映射）],表2_97131923252763[[#This Row],[国家]])</f>
        <v>53500</v>
      </c>
      <c r="L41" s="612">
        <f>表2_97131923252763[[#This Row],[活跃Coin]]+表2_97131923252763[[#This Row],[共计补偿Coin]]</f>
        <v>735818</v>
      </c>
      <c r="M41" s="612">
        <f>SUMIFS(表1_86121822242662[综合国力],表1_86121822242662[目标区服],表2_97131923252763[[#This Row],[合区区服]],表1_86121822242662[目标国家（映射）],表2_97131923252763[[#This Row],[国家]])</f>
        <v>16002</v>
      </c>
      <c r="N41" s="612">
        <f t="array" ref="N41">MAX((表1_86121822242662[目标区服]=表2_97131923252763[[#This Row],[合区区服]])*(表1_86121822242662[目标国家（映射）]=表2_97131923252763[[#This Row],[国家]])*表1_86121822242662[单将最高战力])</f>
        <v>746054</v>
      </c>
      <c r="P41" s="51">
        <v>5046</v>
      </c>
      <c r="Q41" s="51">
        <v>43</v>
      </c>
    </row>
    <row r="42" ht="15" spans="1:17">
      <c r="A42" s="611" t="s">
        <v>116</v>
      </c>
      <c r="B42" s="612" t="s">
        <v>26</v>
      </c>
      <c r="C42" s="612">
        <f>COUNTIFS(表1_86121822242662[目标区服],表2_97131923252763[[#This Row],[合区区服]],表1_86121822242662[目标国家（映射）],表2_97131923252763[[#This Row],[国家]])</f>
        <v>2</v>
      </c>
      <c r="D42" s="612">
        <f>SUMIFS(表1_86121822242662[活跃高战玩家数],表1_86121822242662[目标区服],表2_97131923252763[[#This Row],[合区区服]],表1_86121822242662[目标国家（映射）],表2_97131923252763[[#This Row],[国家]])</f>
        <v>6</v>
      </c>
      <c r="E42" s="612">
        <f>SUMIFS(表1_86121822242662[活跃中坚玩家数],表1_86121822242662[目标区服],表2_97131923252763[[#This Row],[合区区服]],表1_86121822242662[目标国家（映射）],表2_97131923252763[[#This Row],[国家]])</f>
        <v>49</v>
      </c>
      <c r="F42" s="612">
        <f t="array" ref="F42">MAX((表1_86121822242662[目标区服]=表2_97131923252763[[#This Row],[合区区服]])*(表1_86121822242662[目标国家（映射）]=表2_97131923252763[[#This Row],[国家]])*表1_86121822242662[活跃尖端战力])</f>
        <v>2483749</v>
      </c>
      <c r="G42" s="613">
        <f>SUMIFS(表1_86121822242662[活跃总战力],表1_86121822242662[目标区服],表2_97131923252763[[#This Row],[合区区服]],表1_86121822242662[目标国家（映射）],表2_97131923252763[[#This Row],[国家]])</f>
        <v>43856319</v>
      </c>
      <c r="H42" s="612">
        <f>SUMIFS(表1_86121822242662[活跃实际充值],表1_86121822242662[目标区服],表2_97131923252763[[#This Row],[合区区服]],表1_86121822242662[目标国家（映射）],表2_97131923252763[[#This Row],[国家]])</f>
        <v>93610</v>
      </c>
      <c r="I42" s="612">
        <f>SUMIFS(表1_86121822242662[活跃虚拟充值],表1_86121822242662[目标区服],表2_97131923252763[[#This Row],[合区区服]],表1_86121822242662[目标国家（映射）],表2_97131923252763[[#This Row],[国家]])</f>
        <v>0</v>
      </c>
      <c r="J42" s="612">
        <f>SUMIFS(表1_86121822242662[活跃Coin],表1_86121822242662[目标区服],表2_97131923252763[[#This Row],[合区区服]],表1_86121822242662[目标国家（映射）],表2_97131923252763[[#This Row],[国家]])</f>
        <v>494195</v>
      </c>
      <c r="K42" s="612">
        <f>SUMIFS(表1_86121822242662[共计补偿Coin],表1_86121822242662[目标区服],表2_97131923252763[[#This Row],[合区区服]],表1_86121822242662[目标国家（映射）],表2_97131923252763[[#This Row],[国家]])</f>
        <v>66000</v>
      </c>
      <c r="L42" s="612">
        <f>表2_97131923252763[[#This Row],[活跃Coin]]+表2_97131923252763[[#This Row],[共计补偿Coin]]</f>
        <v>560195</v>
      </c>
      <c r="M42" s="612">
        <f>SUMIFS(表1_86121822242662[综合国力],表1_86121822242662[目标区服],表2_97131923252763[[#This Row],[合区区服]],表1_86121822242662[目标国家（映射）],表2_97131923252763[[#This Row],[国家]])</f>
        <v>16809</v>
      </c>
      <c r="N42" s="612">
        <f t="array" ref="N42">MAX((表1_86121822242662[目标区服]=表2_97131923252763[[#This Row],[合区区服]])*(表1_86121822242662[目标国家（映射）]=表2_97131923252763[[#This Row],[国家]])*表1_86121822242662[单将最高战力])</f>
        <v>693801</v>
      </c>
      <c r="P42" s="51">
        <v>5047</v>
      </c>
      <c r="Q42" s="51">
        <v>43</v>
      </c>
    </row>
    <row r="43" ht="15" spans="1:17">
      <c r="A43" s="611" t="s">
        <v>116</v>
      </c>
      <c r="B43" s="614" t="s">
        <v>27</v>
      </c>
      <c r="C43" s="614">
        <f>COUNTIFS(表1_86121822242662[目标区服],表2_97131923252763[[#This Row],[合区区服]],表1_86121822242662[目标国家（映射）],表2_97131923252763[[#This Row],[国家]])</f>
        <v>2</v>
      </c>
      <c r="D43" s="614">
        <f>SUMIFS(表1_86121822242662[活跃高战玩家数],表1_86121822242662[目标区服],表2_97131923252763[[#This Row],[合区区服]],表1_86121822242662[目标国家（映射）],表2_97131923252763[[#This Row],[国家]])</f>
        <v>9</v>
      </c>
      <c r="E43" s="614">
        <f>SUMIFS(表1_86121822242662[活跃中坚玩家数],表1_86121822242662[目标区服],表2_97131923252763[[#This Row],[合区区服]],表1_86121822242662[目标国家（映射）],表2_97131923252763[[#This Row],[国家]])</f>
        <v>46</v>
      </c>
      <c r="F43" s="614">
        <f t="array" ref="F43">MAX((表1_86121822242662[目标区服]=表2_97131923252763[[#This Row],[合区区服]])*(表1_86121822242662[目标国家（映射）]=表2_97131923252763[[#This Row],[国家]])*表1_86121822242662[活跃尖端战力])</f>
        <v>3013665</v>
      </c>
      <c r="G43" s="615">
        <f>SUMIFS(表1_86121822242662[活跃总战力],表1_86121822242662[目标区服],表2_97131923252763[[#This Row],[合区区服]],表1_86121822242662[目标国家（映射）],表2_97131923252763[[#This Row],[国家]])</f>
        <v>46286788</v>
      </c>
      <c r="H43" s="614">
        <f>SUMIFS(表1_86121822242662[活跃实际充值],表1_86121822242662[目标区服],表2_97131923252763[[#This Row],[合区区服]],表1_86121822242662[目标国家（映射）],表2_97131923252763[[#This Row],[国家]])</f>
        <v>131832</v>
      </c>
      <c r="I43" s="614">
        <f>SUMIFS(表1_86121822242662[活跃虚拟充值],表1_86121822242662[目标区服],表2_97131923252763[[#This Row],[合区区服]],表1_86121822242662[目标国家（映射）],表2_97131923252763[[#This Row],[国家]])</f>
        <v>0</v>
      </c>
      <c r="J43" s="614">
        <f>SUMIFS(表1_86121822242662[活跃Coin],表1_86121822242662[目标区服],表2_97131923252763[[#This Row],[合区区服]],表1_86121822242662[目标国家（映射）],表2_97131923252763[[#This Row],[国家]])</f>
        <v>892056</v>
      </c>
      <c r="K43" s="614">
        <f>SUMIFS(表1_86121822242662[共计补偿Coin],表1_86121822242662[目标区服],表2_97131923252763[[#This Row],[合区区服]],表1_86121822242662[目标国家（映射）],表2_97131923252763[[#This Row],[国家]])</f>
        <v>70000</v>
      </c>
      <c r="L43" s="614">
        <f>表2_97131923252763[[#This Row],[活跃Coin]]+表2_97131923252763[[#This Row],[共计补偿Coin]]</f>
        <v>962056</v>
      </c>
      <c r="M43" s="614">
        <f>SUMIFS(表1_86121822242662[综合国力],表1_86121822242662[目标区服],表2_97131923252763[[#This Row],[合区区服]],表1_86121822242662[目标国家（映射）],表2_97131923252763[[#This Row],[国家]])</f>
        <v>19475</v>
      </c>
      <c r="N43" s="612">
        <f t="array" ref="N43">MAX((表1_86121822242662[目标区服]=表2_97131923252763[[#This Row],[合区区服]])*(表1_86121822242662[目标国家（映射）]=表2_97131923252763[[#This Row],[国家]])*表1_86121822242662[单将最高战力])</f>
        <v>861690</v>
      </c>
      <c r="P43" s="51">
        <v>5048</v>
      </c>
      <c r="Q43" s="484">
        <v>42</v>
      </c>
    </row>
    <row r="44" ht="15" spans="1:17">
      <c r="A44" s="522" t="s">
        <v>117</v>
      </c>
      <c r="B44" s="522" t="s">
        <v>25</v>
      </c>
      <c r="C44" s="522">
        <f>COUNTIFS(表1_86121822242662[目标区服],表2_97131923252763[[#This Row],[合区区服]],表1_86121822242662[目标国家（映射）],表2_97131923252763[[#This Row],[国家]])</f>
        <v>2</v>
      </c>
      <c r="D44" s="522">
        <f>SUMIFS(表1_86121822242662[活跃高战玩家数],表1_86121822242662[目标区服],表2_97131923252763[[#This Row],[合区区服]],表1_86121822242662[目标国家（映射）],表2_97131923252763[[#This Row],[国家]])</f>
        <v>6</v>
      </c>
      <c r="E44" s="522">
        <f>SUMIFS(表1_86121822242662[活跃中坚玩家数],表1_86121822242662[目标区服],表2_97131923252763[[#This Row],[合区区服]],表1_86121822242662[目标国家（映射）],表2_97131923252763[[#This Row],[国家]])</f>
        <v>40</v>
      </c>
      <c r="F44" s="522">
        <f t="array" ref="F44">MAX((表1_86121822242662[目标区服]=表2_97131923252763[[#This Row],[合区区服]])*(表1_86121822242662[目标国家（映射）]=表2_97131923252763[[#This Row],[国家]])*表1_86121822242662[活跃尖端战力])</f>
        <v>2097841</v>
      </c>
      <c r="G44" s="523">
        <f>SUMIFS(表1_86121822242662[活跃总战力],表1_86121822242662[目标区服],表2_97131923252763[[#This Row],[合区区服]],表1_86121822242662[目标国家（映射）],表2_97131923252763[[#This Row],[国家]])</f>
        <v>32709611</v>
      </c>
      <c r="H44" s="522">
        <f>SUMIFS(表1_86121822242662[活跃实际充值],表1_86121822242662[目标区服],表2_97131923252763[[#This Row],[合区区服]],表1_86121822242662[目标国家（映射）],表2_97131923252763[[#This Row],[国家]])</f>
        <v>64610</v>
      </c>
      <c r="I44" s="522">
        <f>SUMIFS(表1_86121822242662[活跃虚拟充值],表1_86121822242662[目标区服],表2_97131923252763[[#This Row],[合区区服]],表1_86121822242662[目标国家（映射）],表2_97131923252763[[#This Row],[国家]])</f>
        <v>0</v>
      </c>
      <c r="J44" s="522">
        <f>SUMIFS(表1_86121822242662[活跃Coin],表1_86121822242662[目标区服],表2_97131923252763[[#This Row],[合区区服]],表1_86121822242662[目标国家（映射）],表2_97131923252763[[#This Row],[国家]])</f>
        <v>522470</v>
      </c>
      <c r="K44" s="522">
        <f>SUMIFS(表1_86121822242662[共计补偿Coin],表1_86121822242662[目标区服],表2_97131923252763[[#This Row],[合区区服]],表1_86121822242662[目标国家（映射）],表2_97131923252763[[#This Row],[国家]])</f>
        <v>46000</v>
      </c>
      <c r="L44" s="522">
        <f>表2_97131923252763[[#This Row],[活跃Coin]]+表2_97131923252763[[#This Row],[共计补偿Coin]]</f>
        <v>568470</v>
      </c>
      <c r="M44" s="522">
        <f>SUMIFS(表1_86121822242662[综合国力],表1_86121822242662[目标区服],表2_97131923252763[[#This Row],[合区区服]],表1_86121822242662[目标国家（映射）],表2_97131923252763[[#This Row],[国家]])</f>
        <v>13459</v>
      </c>
      <c r="N44" s="522">
        <f t="array" ref="N44">MAX((表1_86121822242662[目标区服]=表2_97131923252763[[#This Row],[合区区服]])*(表1_86121822242662[目标国家（映射）]=表2_97131923252763[[#This Row],[国家]])*表1_86121822242662[单将最高战力])</f>
        <v>653703</v>
      </c>
      <c r="P44" s="51">
        <v>5049</v>
      </c>
      <c r="Q44" s="51">
        <v>41</v>
      </c>
    </row>
    <row r="45" ht="15" spans="1:14">
      <c r="A45" s="522" t="s">
        <v>117</v>
      </c>
      <c r="B45" s="522" t="s">
        <v>26</v>
      </c>
      <c r="C45" s="522">
        <f>COUNTIFS(表1_86121822242662[目标区服],表2_97131923252763[[#This Row],[合区区服]],表1_86121822242662[目标国家（映射）],表2_97131923252763[[#This Row],[国家]])</f>
        <v>2</v>
      </c>
      <c r="D45" s="522">
        <f>SUMIFS(表1_86121822242662[活跃高战玩家数],表1_86121822242662[目标区服],表2_97131923252763[[#This Row],[合区区服]],表1_86121822242662[目标国家（映射）],表2_97131923252763[[#This Row],[国家]])</f>
        <v>5</v>
      </c>
      <c r="E45" s="522">
        <f>SUMIFS(表1_86121822242662[活跃中坚玩家数],表1_86121822242662[目标区服],表2_97131923252763[[#This Row],[合区区服]],表1_86121822242662[目标国家（映射）],表2_97131923252763[[#This Row],[国家]])</f>
        <v>26</v>
      </c>
      <c r="F45" s="522">
        <f t="array" ref="F45">MAX((表1_86121822242662[目标区服]=表2_97131923252763[[#This Row],[合区区服]])*(表1_86121822242662[目标国家（映射）]=表2_97131923252763[[#This Row],[国家]])*表1_86121822242662[活跃尖端战力])</f>
        <v>1908992</v>
      </c>
      <c r="G45" s="523">
        <f>SUMIFS(表1_86121822242662[活跃总战力],表1_86121822242662[目标区服],表2_97131923252763[[#This Row],[合区区服]],表1_86121822242662[目标国家（映射）],表2_97131923252763[[#This Row],[国家]])</f>
        <v>23133244</v>
      </c>
      <c r="H45" s="522">
        <f>SUMIFS(表1_86121822242662[活跃实际充值],表1_86121822242662[目标区服],表2_97131923252763[[#This Row],[合区区服]],表1_86121822242662[目标国家（映射）],表2_97131923252763[[#This Row],[国家]])</f>
        <v>110158</v>
      </c>
      <c r="I45" s="522">
        <f>SUMIFS(表1_86121822242662[活跃虚拟充值],表1_86121822242662[目标区服],表2_97131923252763[[#This Row],[合区区服]],表1_86121822242662[目标国家（映射）],表2_97131923252763[[#This Row],[国家]])</f>
        <v>0</v>
      </c>
      <c r="J45" s="522">
        <f>SUMIFS(表1_86121822242662[活跃Coin],表1_86121822242662[目标区服],表2_97131923252763[[#This Row],[合区区服]],表1_86121822242662[目标国家（映射）],表2_97131923252763[[#This Row],[国家]])</f>
        <v>586563</v>
      </c>
      <c r="K45" s="522">
        <f>SUMIFS(表1_86121822242662[共计补偿Coin],表1_86121822242662[目标区服],表2_97131923252763[[#This Row],[合区区服]],表1_86121822242662[目标国家（映射）],表2_97131923252763[[#This Row],[国家]])</f>
        <v>31000</v>
      </c>
      <c r="L45" s="522">
        <f>表2_97131923252763[[#This Row],[活跃Coin]]+表2_97131923252763[[#This Row],[共计补偿Coin]]</f>
        <v>617563</v>
      </c>
      <c r="M45" s="522">
        <f>SUMIFS(表1_86121822242662[综合国力],表1_86121822242662[目标区服],表2_97131923252763[[#This Row],[合区区服]],表1_86121822242662[目标国家（映射）],表2_97131923252763[[#This Row],[国家]])</f>
        <v>12815</v>
      </c>
      <c r="N45" s="522">
        <f t="array" ref="N45">MAX((表1_86121822242662[目标区服]=表2_97131923252763[[#This Row],[合区区服]])*(表1_86121822242662[目标国家（映射）]=表2_97131923252763[[#This Row],[国家]])*表1_86121822242662[单将最高战力])</f>
        <v>633541</v>
      </c>
    </row>
    <row r="46" ht="15" spans="1:14">
      <c r="A46" s="522" t="s">
        <v>117</v>
      </c>
      <c r="B46" s="525" t="s">
        <v>27</v>
      </c>
      <c r="C46" s="525">
        <f>COUNTIFS(表1_86121822242662[目标区服],表2_97131923252763[[#This Row],[合区区服]],表1_86121822242662[目标国家（映射）],表2_97131923252763[[#This Row],[国家]])</f>
        <v>2</v>
      </c>
      <c r="D46" s="525">
        <f>SUMIFS(表1_86121822242662[活跃高战玩家数],表1_86121822242662[目标区服],表2_97131923252763[[#This Row],[合区区服]],表1_86121822242662[目标国家（映射）],表2_97131923252763[[#This Row],[国家]])</f>
        <v>8</v>
      </c>
      <c r="E46" s="525">
        <f>SUMIFS(表1_86121822242662[活跃中坚玩家数],表1_86121822242662[目标区服],表2_97131923252763[[#This Row],[合区区服]],表1_86121822242662[目标国家（映射）],表2_97131923252763[[#This Row],[国家]])</f>
        <v>37</v>
      </c>
      <c r="F46" s="525">
        <f t="array" ref="F46">MAX((表1_86121822242662[目标区服]=表2_97131923252763[[#This Row],[合区区服]])*(表1_86121822242662[目标国家（映射）]=表2_97131923252763[[#This Row],[国家]])*表1_86121822242662[活跃尖端战力])</f>
        <v>2446891</v>
      </c>
      <c r="G46" s="526">
        <f>SUMIFS(表1_86121822242662[活跃总战力],表1_86121822242662[目标区服],表2_97131923252763[[#This Row],[合区区服]],表1_86121822242662[目标国家（映射）],表2_97131923252763[[#This Row],[国家]])</f>
        <v>32520541</v>
      </c>
      <c r="H46" s="525">
        <f>SUMIFS(表1_86121822242662[活跃实际充值],表1_86121822242662[目标区服],表2_97131923252763[[#This Row],[合区区服]],表1_86121822242662[目标国家（映射）],表2_97131923252763[[#This Row],[国家]])</f>
        <v>48372</v>
      </c>
      <c r="I46" s="525">
        <f>SUMIFS(表1_86121822242662[活跃虚拟充值],表1_86121822242662[目标区服],表2_97131923252763[[#This Row],[合区区服]],表1_86121822242662[目标国家（映射）],表2_97131923252763[[#This Row],[国家]])</f>
        <v>0</v>
      </c>
      <c r="J46" s="525">
        <f>SUMIFS(表1_86121822242662[活跃Coin],表1_86121822242662[目标区服],表2_97131923252763[[#This Row],[合区区服]],表1_86121822242662[目标国家（映射）],表2_97131923252763[[#This Row],[国家]])</f>
        <v>801692</v>
      </c>
      <c r="K46" s="525">
        <f>SUMIFS(表1_86121822242662[共计补偿Coin],表1_86121822242662[目标区服],表2_97131923252763[[#This Row],[合区区服]],表1_86121822242662[目标国家（映射）],表2_97131923252763[[#This Row],[国家]])</f>
        <v>45000</v>
      </c>
      <c r="L46" s="525">
        <f>表2_97131923252763[[#This Row],[活跃Coin]]+表2_97131923252763[[#This Row],[共计补偿Coin]]</f>
        <v>846692</v>
      </c>
      <c r="M46" s="525">
        <f>SUMIFS(表1_86121822242662[综合国力],表1_86121822242662[目标区服],表2_97131923252763[[#This Row],[合区区服]],表1_86121822242662[目标国家（映射）],表2_97131923252763[[#This Row],[国家]])</f>
        <v>14136</v>
      </c>
      <c r="N46" s="522">
        <f t="array" ref="N46">MAX((表1_86121822242662[目标区服]=表2_97131923252763[[#This Row],[合区区服]])*(表1_86121822242662[目标国家（映射）]=表2_97131923252763[[#This Row],[国家]])*表1_86121822242662[单将最高战力])</f>
        <v>669663</v>
      </c>
    </row>
    <row r="47" ht="15" spans="1:14">
      <c r="A47" s="18" t="s">
        <v>118</v>
      </c>
      <c r="B47" s="46" t="s">
        <v>25</v>
      </c>
      <c r="C47" s="46">
        <f>COUNTIFS(表1_86121822242662[目标区服],表2_97131923252763[[#This Row],[合区区服]],表1_86121822242662[目标国家（映射）],表2_97131923252763[[#This Row],[国家]])</f>
        <v>2</v>
      </c>
      <c r="D47" s="46">
        <f>SUMIFS(表1_86121822242662[活跃高战玩家数],表1_86121822242662[目标区服],表2_97131923252763[[#This Row],[合区区服]],表1_86121822242662[目标国家（映射）],表2_97131923252763[[#This Row],[国家]])</f>
        <v>5</v>
      </c>
      <c r="E47" s="46">
        <f>SUMIFS(表1_86121822242662[活跃中坚玩家数],表1_86121822242662[目标区服],表2_97131923252763[[#This Row],[合区区服]],表1_86121822242662[目标国家（映射）],表2_97131923252763[[#This Row],[国家]])</f>
        <v>38</v>
      </c>
      <c r="F47" s="46">
        <f t="array" ref="F47">MAX((表1_86121822242662[目标区服]=表2_97131923252763[[#This Row],[合区区服]])*(表1_86121822242662[目标国家（映射）]=表2_97131923252763[[#This Row],[国家]])*表1_86121822242662[活跃尖端战力])</f>
        <v>2332029</v>
      </c>
      <c r="G47" s="47">
        <f>SUMIFS(表1_86121822242662[活跃总战力],表1_86121822242662[目标区服],表2_97131923252763[[#This Row],[合区区服]],表1_86121822242662[目标国家（映射）],表2_97131923252763[[#This Row],[国家]])</f>
        <v>26945704</v>
      </c>
      <c r="H47" s="46">
        <f>SUMIFS(表1_86121822242662[活跃实际充值],表1_86121822242662[目标区服],表2_97131923252763[[#This Row],[合区区服]],表1_86121822242662[目标国家（映射）],表2_97131923252763[[#This Row],[国家]])</f>
        <v>78544</v>
      </c>
      <c r="I47" s="46">
        <f>SUMIFS(表1_86121822242662[活跃虚拟充值],表1_86121822242662[目标区服],表2_97131923252763[[#This Row],[合区区服]],表1_86121822242662[目标国家（映射）],表2_97131923252763[[#This Row],[国家]])</f>
        <v>0</v>
      </c>
      <c r="J47" s="46">
        <f>SUMIFS(表1_86121822242662[活跃Coin],表1_86121822242662[目标区服],表2_97131923252763[[#This Row],[合区区服]],表1_86121822242662[目标国家（映射）],表2_97131923252763[[#This Row],[国家]])</f>
        <v>359441</v>
      </c>
      <c r="K47" s="46">
        <f>SUMIFS(表1_86121822242662[共计补偿Coin],表1_86121822242662[目标区服],表2_97131923252763[[#This Row],[合区区服]],表1_86121822242662[目标国家（映射）],表2_97131923252763[[#This Row],[国家]])</f>
        <v>50500</v>
      </c>
      <c r="L47" s="46">
        <f>表2_97131923252763[[#This Row],[活跃Coin]]+表2_97131923252763[[#This Row],[共计补偿Coin]]</f>
        <v>409941</v>
      </c>
      <c r="M47" s="46">
        <f>SUMIFS(表1_86121822242662[综合国力],表1_86121822242662[目标区服],表2_97131923252763[[#This Row],[合区区服]],表1_86121822242662[目标国家（映射）],表2_97131923252763[[#This Row],[国家]])</f>
        <v>12298</v>
      </c>
      <c r="N47" s="46">
        <f t="array" ref="N47">MAX((表1_86121822242662[目标区服]=表2_97131923252763[[#This Row],[合区区服]])*(表1_86121822242662[目标国家（映射）]=表2_97131923252763[[#This Row],[国家]])*表1_86121822242662[单将最高战力])</f>
        <v>686180</v>
      </c>
    </row>
    <row r="48" ht="15" spans="1:14">
      <c r="A48" s="18" t="s">
        <v>118</v>
      </c>
      <c r="B48" s="46" t="s">
        <v>26</v>
      </c>
      <c r="C48" s="46">
        <f>COUNTIFS(表1_86121822242662[目标区服],表2_97131923252763[[#This Row],[合区区服]],表1_86121822242662[目标国家（映射）],表2_97131923252763[[#This Row],[国家]])</f>
        <v>3</v>
      </c>
      <c r="D48" s="46">
        <f>SUMIFS(表1_86121822242662[活跃高战玩家数],表1_86121822242662[目标区服],表2_97131923252763[[#This Row],[合区区服]],表1_86121822242662[目标国家（映射）],表2_97131923252763[[#This Row],[国家]])</f>
        <v>4</v>
      </c>
      <c r="E48" s="46">
        <f>SUMIFS(表1_86121822242662[活跃中坚玩家数],表1_86121822242662[目标区服],表2_97131923252763[[#This Row],[合区区服]],表1_86121822242662[目标国家（映射）],表2_97131923252763[[#This Row],[国家]])</f>
        <v>63</v>
      </c>
      <c r="F48" s="46">
        <f t="array" ref="F48">MAX((表1_86121822242662[目标区服]=表2_97131923252763[[#This Row],[合区区服]])*(表1_86121822242662[目标国家（映射）]=表2_97131923252763[[#This Row],[国家]])*表1_86121822242662[活跃尖端战力])</f>
        <v>1801266</v>
      </c>
      <c r="G48" s="47">
        <f>SUMIFS(表1_86121822242662[活跃总战力],表1_86121822242662[目标区服],表2_97131923252763[[#This Row],[合区区服]],表1_86121822242662[目标国家（映射）],表2_97131923252763[[#This Row],[国家]])</f>
        <v>39399025</v>
      </c>
      <c r="H48" s="46">
        <f>SUMIFS(表1_86121822242662[活跃实际充值],表1_86121822242662[目标区服],表2_97131923252763[[#This Row],[合区区服]],表1_86121822242662[目标国家（映射）],表2_97131923252763[[#This Row],[国家]])</f>
        <v>35490</v>
      </c>
      <c r="I48" s="46">
        <f>SUMIFS(表1_86121822242662[活跃虚拟充值],表1_86121822242662[目标区服],表2_97131923252763[[#This Row],[合区区服]],表1_86121822242662[目标国家（映射）],表2_97131923252763[[#This Row],[国家]])</f>
        <v>0</v>
      </c>
      <c r="J48" s="46">
        <f>SUMIFS(表1_86121822242662[活跃Coin],表1_86121822242662[目标区服],表2_97131923252763[[#This Row],[合区区服]],表1_86121822242662[目标国家（映射）],表2_97131923252763[[#This Row],[国家]])</f>
        <v>523788</v>
      </c>
      <c r="K48" s="46">
        <f>SUMIFS(表1_86121822242662[共计补偿Coin],表1_86121822242662[目标区服],表2_97131923252763[[#This Row],[合区区服]],表1_86121822242662[目标国家（映射）],表2_97131923252763[[#This Row],[国家]])</f>
        <v>75500</v>
      </c>
      <c r="L48" s="46">
        <f>表2_97131923252763[[#This Row],[活跃Coin]]+表2_97131923252763[[#This Row],[共计补偿Coin]]</f>
        <v>599288</v>
      </c>
      <c r="M48" s="46">
        <f>SUMIFS(表1_86121822242662[综合国力],表1_86121822242662[目标区服],表2_97131923252763[[#This Row],[合区区服]],表1_86121822242662[目标国家（映射）],表2_97131923252763[[#This Row],[国家]])</f>
        <v>13611</v>
      </c>
      <c r="N48" s="46">
        <f t="array" ref="N48">MAX((表1_86121822242662[目标区服]=表2_97131923252763[[#This Row],[合区区服]])*(表1_86121822242662[目标国家（映射）]=表2_97131923252763[[#This Row],[国家]])*表1_86121822242662[单将最高战力])</f>
        <v>483323</v>
      </c>
    </row>
    <row r="49" ht="15" spans="1:14">
      <c r="A49" s="18" t="s">
        <v>118</v>
      </c>
      <c r="B49" s="48" t="s">
        <v>27</v>
      </c>
      <c r="C49" s="48">
        <f>COUNTIFS(表1_86121822242662[目标区服],表2_97131923252763[[#This Row],[合区区服]],表1_86121822242662[目标国家（映射）],表2_97131923252763[[#This Row],[国家]])</f>
        <v>1</v>
      </c>
      <c r="D49" s="48">
        <f>SUMIFS(表1_86121822242662[活跃高战玩家数],表1_86121822242662[目标区服],表2_97131923252763[[#This Row],[合区区服]],表1_86121822242662[目标国家（映射）],表2_97131923252763[[#This Row],[国家]])</f>
        <v>8</v>
      </c>
      <c r="E49" s="48">
        <f>SUMIFS(表1_86121822242662[活跃中坚玩家数],表1_86121822242662[目标区服],表2_97131923252763[[#This Row],[合区区服]],表1_86121822242662[目标国家（映射）],表2_97131923252763[[#This Row],[国家]])</f>
        <v>21</v>
      </c>
      <c r="F49" s="48">
        <f t="array" ref="F49">MAX((表1_86121822242662[目标区服]=表2_97131923252763[[#This Row],[合区区服]])*(表1_86121822242662[目标国家（映射）]=表2_97131923252763[[#This Row],[国家]])*表1_86121822242662[活跃尖端战力])</f>
        <v>2253745</v>
      </c>
      <c r="G49" s="458">
        <f>SUMIFS(表1_86121822242662[活跃总战力],表1_86121822242662[目标区服],表2_97131923252763[[#This Row],[合区区服]],表1_86121822242662[目标国家（映射）],表2_97131923252763[[#This Row],[国家]])</f>
        <v>23863497</v>
      </c>
      <c r="H49" s="48">
        <f>SUMIFS(表1_86121822242662[活跃实际充值],表1_86121822242662[目标区服],表2_97131923252763[[#This Row],[合区区服]],表1_86121822242662[目标国家（映射）],表2_97131923252763[[#This Row],[国家]])</f>
        <v>113364</v>
      </c>
      <c r="I49" s="48">
        <f>SUMIFS(表1_86121822242662[活跃虚拟充值],表1_86121822242662[目标区服],表2_97131923252763[[#This Row],[合区区服]],表1_86121822242662[目标国家（映射）],表2_97131923252763[[#This Row],[国家]])</f>
        <v>0</v>
      </c>
      <c r="J49" s="48">
        <f>SUMIFS(表1_86121822242662[活跃Coin],表1_86121822242662[目标区服],表2_97131923252763[[#This Row],[合区区服]],表1_86121822242662[目标国家（映射）],表2_97131923252763[[#This Row],[国家]])</f>
        <v>504045</v>
      </c>
      <c r="K49" s="48">
        <f>SUMIFS(表1_86121822242662[共计补偿Coin],表1_86121822242662[目标区服],表2_97131923252763[[#This Row],[合区区服]],表1_86121822242662[目标国家（映射）],表2_97131923252763[[#This Row],[国家]])</f>
        <v>43500</v>
      </c>
      <c r="L49" s="48">
        <f>表2_97131923252763[[#This Row],[活跃Coin]]+表2_97131923252763[[#This Row],[共计补偿Coin]]</f>
        <v>547545</v>
      </c>
      <c r="M49" s="48">
        <f>SUMIFS(表1_86121822242662[综合国力],表1_86121822242662[目标区服],表2_97131923252763[[#This Row],[合区区服]],表1_86121822242662[目标国家（映射）],表2_97131923252763[[#This Row],[国家]])</f>
        <v>12951</v>
      </c>
      <c r="N49" s="46">
        <f t="array" ref="N49">MAX((表1_86121822242662[目标区服]=表2_97131923252763[[#This Row],[合区区服]])*(表1_86121822242662[目标国家（映射）]=表2_97131923252763[[#This Row],[国家]])*表1_86121822242662[单将最高战力])</f>
        <v>709834</v>
      </c>
    </row>
    <row r="55" ht="27" spans="1:13">
      <c r="A55" s="49"/>
      <c r="B55" s="50" t="s">
        <v>9</v>
      </c>
      <c r="C55" s="50" t="s">
        <v>10</v>
      </c>
      <c r="D55" s="50" t="s">
        <v>11</v>
      </c>
      <c r="E55" s="50" t="s">
        <v>12</v>
      </c>
      <c r="F55" s="50" t="s">
        <v>13</v>
      </c>
      <c r="G55" s="50" t="s">
        <v>14</v>
      </c>
      <c r="H55" s="50" t="s">
        <v>15</v>
      </c>
      <c r="I55" s="50" t="s">
        <v>18</v>
      </c>
      <c r="J55" s="50" t="s">
        <v>19</v>
      </c>
      <c r="K55" s="50" t="s">
        <v>20</v>
      </c>
      <c r="L55" s="50" t="s">
        <v>21</v>
      </c>
      <c r="M55" s="50" t="s">
        <v>82</v>
      </c>
    </row>
    <row r="56" spans="1:13">
      <c r="A56" s="50" t="s">
        <v>25</v>
      </c>
      <c r="B56" s="50">
        <v>2</v>
      </c>
      <c r="C56" s="50">
        <v>57</v>
      </c>
      <c r="D56" s="50">
        <v>2</v>
      </c>
      <c r="E56" s="50">
        <v>18</v>
      </c>
      <c r="F56" s="50">
        <v>57218</v>
      </c>
      <c r="G56" s="50">
        <v>2010111</v>
      </c>
      <c r="H56" s="50">
        <v>13457679</v>
      </c>
      <c r="I56" s="50">
        <v>42638</v>
      </c>
      <c r="J56" s="50">
        <v>0</v>
      </c>
      <c r="K56" s="50">
        <v>184170</v>
      </c>
      <c r="L56" s="50">
        <v>5783</v>
      </c>
      <c r="M56" s="50">
        <v>664423</v>
      </c>
    </row>
    <row r="57" spans="1:13">
      <c r="A57" s="50" t="s">
        <v>26</v>
      </c>
      <c r="B57" s="50">
        <v>4</v>
      </c>
      <c r="C57" s="50">
        <v>176</v>
      </c>
      <c r="D57" s="50">
        <v>4</v>
      </c>
      <c r="E57" s="50">
        <v>25</v>
      </c>
      <c r="F57" s="50">
        <v>126702</v>
      </c>
      <c r="G57" s="50">
        <v>3303517</v>
      </c>
      <c r="H57" s="50">
        <v>27957194</v>
      </c>
      <c r="I57" s="50">
        <v>96306</v>
      </c>
      <c r="J57" s="50">
        <v>0</v>
      </c>
      <c r="K57" s="50">
        <v>364034</v>
      </c>
      <c r="L57" s="50">
        <v>11963</v>
      </c>
      <c r="M57" s="50">
        <v>995586</v>
      </c>
    </row>
    <row r="58" spans="1:13">
      <c r="A58" s="50" t="s">
        <v>27</v>
      </c>
      <c r="B58" s="50">
        <v>3</v>
      </c>
      <c r="C58" s="50">
        <v>162</v>
      </c>
      <c r="D58" s="50">
        <v>4</v>
      </c>
      <c r="E58" s="50">
        <v>19</v>
      </c>
      <c r="F58" s="50">
        <v>118654</v>
      </c>
      <c r="G58" s="50">
        <v>2900296</v>
      </c>
      <c r="H58" s="50">
        <v>24398523</v>
      </c>
      <c r="I58" s="50">
        <v>77890</v>
      </c>
      <c r="J58" s="50">
        <v>0</v>
      </c>
      <c r="K58" s="50">
        <v>311591</v>
      </c>
      <c r="L58" s="50">
        <v>10345</v>
      </c>
      <c r="M58" s="50">
        <v>824939</v>
      </c>
    </row>
    <row r="59" spans="1:13">
      <c r="A59" s="50" t="s">
        <v>25</v>
      </c>
      <c r="B59" s="50">
        <v>5</v>
      </c>
      <c r="C59" s="50">
        <v>206</v>
      </c>
      <c r="D59" s="50">
        <v>5</v>
      </c>
      <c r="E59" s="50">
        <v>26</v>
      </c>
      <c r="F59" s="50">
        <v>128001</v>
      </c>
      <c r="G59" s="50">
        <v>2527703</v>
      </c>
      <c r="H59" s="50">
        <v>24468404</v>
      </c>
      <c r="I59" s="50">
        <v>77628</v>
      </c>
      <c r="J59" s="50">
        <v>0</v>
      </c>
      <c r="K59" s="50">
        <v>313311</v>
      </c>
      <c r="L59" s="50">
        <v>10660</v>
      </c>
      <c r="M59" s="50">
        <v>820756</v>
      </c>
    </row>
    <row r="60" spans="1:13">
      <c r="A60" s="50" t="s">
        <v>26</v>
      </c>
      <c r="B60" s="50">
        <v>4</v>
      </c>
      <c r="C60" s="50">
        <v>163</v>
      </c>
      <c r="D60" s="50">
        <v>5</v>
      </c>
      <c r="E60" s="50">
        <v>18</v>
      </c>
      <c r="F60" s="50">
        <v>111770</v>
      </c>
      <c r="G60" s="50">
        <v>1925083</v>
      </c>
      <c r="H60" s="50">
        <v>19843528</v>
      </c>
      <c r="I60" s="50">
        <v>42826</v>
      </c>
      <c r="J60" s="50">
        <v>0</v>
      </c>
      <c r="K60" s="50">
        <v>413886</v>
      </c>
      <c r="L60" s="50">
        <v>7990</v>
      </c>
      <c r="M60" s="50">
        <v>484406</v>
      </c>
    </row>
    <row r="61" spans="1:13">
      <c r="A61" s="50" t="s">
        <v>27</v>
      </c>
      <c r="B61" s="50">
        <v>0</v>
      </c>
      <c r="C61" s="50">
        <v>26</v>
      </c>
      <c r="D61" s="50">
        <v>0</v>
      </c>
      <c r="E61" s="50">
        <v>8</v>
      </c>
      <c r="F61" s="50">
        <v>15691</v>
      </c>
      <c r="G61" s="50">
        <v>726800</v>
      </c>
      <c r="H61" s="50">
        <v>3604058</v>
      </c>
      <c r="I61" s="50">
        <v>528</v>
      </c>
      <c r="J61" s="50">
        <v>0</v>
      </c>
      <c r="K61" s="50">
        <v>64161</v>
      </c>
      <c r="L61" s="50">
        <v>1473</v>
      </c>
      <c r="M61" s="50">
        <v>351458</v>
      </c>
    </row>
    <row r="62" spans="1:13">
      <c r="A62" s="50" t="s">
        <v>25</v>
      </c>
      <c r="B62" s="50">
        <v>3</v>
      </c>
      <c r="C62" s="50">
        <v>131</v>
      </c>
      <c r="D62" s="50">
        <v>4</v>
      </c>
      <c r="E62" s="50">
        <v>13</v>
      </c>
      <c r="F62" s="50">
        <v>79342</v>
      </c>
      <c r="G62" s="50">
        <v>2584234</v>
      </c>
      <c r="H62" s="50">
        <v>13019772</v>
      </c>
      <c r="I62" s="50">
        <v>65658</v>
      </c>
      <c r="J62" s="50">
        <v>0</v>
      </c>
      <c r="K62" s="50">
        <v>112863</v>
      </c>
      <c r="L62" s="50">
        <v>7919</v>
      </c>
      <c r="M62" s="50">
        <v>903533</v>
      </c>
    </row>
    <row r="63" spans="1:13">
      <c r="A63" s="50" t="s">
        <v>26</v>
      </c>
      <c r="B63" s="50">
        <v>4</v>
      </c>
      <c r="C63" s="50">
        <v>187</v>
      </c>
      <c r="D63" s="50">
        <v>6</v>
      </c>
      <c r="E63" s="50">
        <v>19</v>
      </c>
      <c r="F63" s="50">
        <v>139293</v>
      </c>
      <c r="G63" s="50">
        <v>2599966</v>
      </c>
      <c r="H63" s="50">
        <v>20659641</v>
      </c>
      <c r="I63" s="50">
        <v>73652</v>
      </c>
      <c r="J63" s="50">
        <v>0</v>
      </c>
      <c r="K63" s="50">
        <v>365689</v>
      </c>
      <c r="L63" s="50">
        <v>10024</v>
      </c>
      <c r="M63" s="50">
        <v>718449</v>
      </c>
    </row>
    <row r="64" spans="1:13">
      <c r="A64" s="50" t="s">
        <v>27</v>
      </c>
      <c r="B64" s="50">
        <v>2</v>
      </c>
      <c r="C64" s="50">
        <v>77</v>
      </c>
      <c r="D64" s="50">
        <v>0</v>
      </c>
      <c r="E64" s="50">
        <v>9</v>
      </c>
      <c r="F64" s="50">
        <v>39098</v>
      </c>
      <c r="G64" s="50">
        <v>933167</v>
      </c>
      <c r="H64" s="50">
        <v>5149437</v>
      </c>
      <c r="I64" s="50">
        <v>1780</v>
      </c>
      <c r="J64" s="50">
        <v>0</v>
      </c>
      <c r="K64" s="50">
        <v>89411</v>
      </c>
      <c r="L64" s="50">
        <v>2711</v>
      </c>
      <c r="M64" s="50">
        <v>303495</v>
      </c>
    </row>
    <row r="65" spans="1:13">
      <c r="A65" s="50" t="s">
        <v>25</v>
      </c>
      <c r="B65" s="50">
        <v>3</v>
      </c>
      <c r="C65" s="50">
        <v>99</v>
      </c>
      <c r="D65" s="50">
        <v>4</v>
      </c>
      <c r="E65" s="50">
        <v>26</v>
      </c>
      <c r="F65" s="50">
        <v>119570</v>
      </c>
      <c r="G65" s="50">
        <v>2924301</v>
      </c>
      <c r="H65" s="50">
        <v>26852323</v>
      </c>
      <c r="I65" s="50">
        <v>122492</v>
      </c>
      <c r="J65" s="50">
        <v>0</v>
      </c>
      <c r="K65" s="50">
        <v>393381</v>
      </c>
      <c r="L65" s="50">
        <v>11368</v>
      </c>
      <c r="M65" s="50">
        <v>804908</v>
      </c>
    </row>
    <row r="66" spans="1:13">
      <c r="A66" s="50" t="s">
        <v>26</v>
      </c>
      <c r="B66" s="50">
        <v>3</v>
      </c>
      <c r="C66" s="50">
        <v>220</v>
      </c>
      <c r="D66" s="50">
        <v>2</v>
      </c>
      <c r="E66" s="50">
        <v>25</v>
      </c>
      <c r="F66" s="50">
        <v>98590</v>
      </c>
      <c r="G66" s="50">
        <v>3456627</v>
      </c>
      <c r="H66" s="50">
        <v>23158835</v>
      </c>
      <c r="I66" s="50">
        <v>93854</v>
      </c>
      <c r="J66" s="50">
        <v>0</v>
      </c>
      <c r="K66" s="50">
        <v>425683</v>
      </c>
      <c r="L66" s="50">
        <v>11793</v>
      </c>
      <c r="M66" s="50">
        <v>979962</v>
      </c>
    </row>
    <row r="67" spans="1:13">
      <c r="A67" s="50" t="s">
        <v>27</v>
      </c>
      <c r="B67" s="50">
        <v>3</v>
      </c>
      <c r="C67" s="50">
        <v>76</v>
      </c>
      <c r="D67" s="50">
        <v>4</v>
      </c>
      <c r="E67" s="50">
        <v>14</v>
      </c>
      <c r="F67" s="50">
        <v>86052</v>
      </c>
      <c r="G67" s="50">
        <v>2845478</v>
      </c>
      <c r="H67" s="50">
        <v>19573161</v>
      </c>
      <c r="I67" s="50">
        <v>90872</v>
      </c>
      <c r="J67" s="50">
        <v>0</v>
      </c>
      <c r="K67" s="50">
        <v>629099</v>
      </c>
      <c r="L67" s="50">
        <v>9333</v>
      </c>
      <c r="M67" s="50">
        <v>790611</v>
      </c>
    </row>
    <row r="68" spans="1:13">
      <c r="A68" s="50" t="s">
        <v>25</v>
      </c>
      <c r="B68" s="50">
        <v>2</v>
      </c>
      <c r="C68" s="50">
        <v>74</v>
      </c>
      <c r="D68" s="50">
        <v>1</v>
      </c>
      <c r="E68" s="50">
        <v>18</v>
      </c>
      <c r="F68" s="50">
        <v>68560</v>
      </c>
      <c r="G68" s="50">
        <v>1731365</v>
      </c>
      <c r="H68" s="50">
        <v>14013952</v>
      </c>
      <c r="I68" s="50">
        <v>32710</v>
      </c>
      <c r="J68" s="50">
        <v>0</v>
      </c>
      <c r="K68" s="50">
        <v>421144</v>
      </c>
      <c r="L68" s="50">
        <v>5607</v>
      </c>
      <c r="M68" s="50">
        <v>497653</v>
      </c>
    </row>
    <row r="69" spans="1:13">
      <c r="A69" s="50" t="s">
        <v>26</v>
      </c>
      <c r="B69" s="50">
        <v>3</v>
      </c>
      <c r="C69" s="50">
        <v>163</v>
      </c>
      <c r="D69" s="50">
        <v>4</v>
      </c>
      <c r="E69" s="50">
        <v>29</v>
      </c>
      <c r="F69" s="50">
        <v>120980</v>
      </c>
      <c r="G69" s="50">
        <v>2483749</v>
      </c>
      <c r="H69" s="50">
        <v>26216766</v>
      </c>
      <c r="I69" s="50">
        <v>49050</v>
      </c>
      <c r="J69" s="50">
        <v>0</v>
      </c>
      <c r="K69" s="50">
        <v>310703</v>
      </c>
      <c r="L69" s="50">
        <v>9267</v>
      </c>
      <c r="M69" s="50">
        <v>660760</v>
      </c>
    </row>
    <row r="70" spans="1:13">
      <c r="A70" s="50" t="s">
        <v>27</v>
      </c>
      <c r="B70" s="50">
        <v>4</v>
      </c>
      <c r="C70" s="50">
        <v>158</v>
      </c>
      <c r="D70" s="50">
        <v>5</v>
      </c>
      <c r="E70" s="50">
        <v>20</v>
      </c>
      <c r="F70" s="50">
        <v>117172</v>
      </c>
      <c r="G70" s="50">
        <v>2129761</v>
      </c>
      <c r="H70" s="50">
        <v>22686584</v>
      </c>
      <c r="I70" s="50">
        <v>34386</v>
      </c>
      <c r="J70" s="50">
        <v>0</v>
      </c>
      <c r="K70" s="50">
        <v>490537</v>
      </c>
      <c r="L70" s="50">
        <v>8241</v>
      </c>
      <c r="M70" s="50">
        <v>588047</v>
      </c>
    </row>
    <row r="71" spans="1:13">
      <c r="A71" s="50" t="s">
        <v>25</v>
      </c>
      <c r="B71" s="50">
        <v>2</v>
      </c>
      <c r="C71" s="50">
        <v>70</v>
      </c>
      <c r="D71" s="50">
        <v>4</v>
      </c>
      <c r="E71" s="50">
        <v>19</v>
      </c>
      <c r="F71" s="50">
        <v>116786</v>
      </c>
      <c r="G71" s="50">
        <v>2666512</v>
      </c>
      <c r="H71" s="50">
        <v>22753894</v>
      </c>
      <c r="I71" s="50">
        <v>127958</v>
      </c>
      <c r="J71" s="50">
        <v>0</v>
      </c>
      <c r="K71" s="50">
        <v>261174</v>
      </c>
      <c r="L71" s="50">
        <v>10395</v>
      </c>
      <c r="M71" s="50">
        <v>746054</v>
      </c>
    </row>
    <row r="72" spans="1:13">
      <c r="A72" s="50" t="s">
        <v>26</v>
      </c>
      <c r="B72" s="50">
        <v>4</v>
      </c>
      <c r="C72" s="50">
        <v>133</v>
      </c>
      <c r="D72" s="50">
        <v>2</v>
      </c>
      <c r="E72" s="50">
        <v>20</v>
      </c>
      <c r="F72" s="50">
        <v>85470</v>
      </c>
      <c r="G72" s="50">
        <v>2192943</v>
      </c>
      <c r="H72" s="50">
        <v>17639553</v>
      </c>
      <c r="I72" s="50">
        <v>44560</v>
      </c>
      <c r="J72" s="50">
        <v>0</v>
      </c>
      <c r="K72" s="50">
        <v>183492</v>
      </c>
      <c r="L72" s="50">
        <v>7542</v>
      </c>
      <c r="M72" s="50">
        <v>693801</v>
      </c>
    </row>
    <row r="73" spans="1:13">
      <c r="A73" s="50" t="s">
        <v>27</v>
      </c>
      <c r="B73" s="50">
        <v>3</v>
      </c>
      <c r="C73" s="50">
        <v>192</v>
      </c>
      <c r="D73" s="50">
        <v>4</v>
      </c>
      <c r="E73" s="50">
        <v>26</v>
      </c>
      <c r="F73" s="50">
        <v>103286</v>
      </c>
      <c r="G73" s="50">
        <v>3013665</v>
      </c>
      <c r="H73" s="50">
        <v>23600204</v>
      </c>
      <c r="I73" s="50">
        <v>97446</v>
      </c>
      <c r="J73" s="50">
        <v>0</v>
      </c>
      <c r="K73" s="50">
        <v>401519</v>
      </c>
      <c r="L73" s="50">
        <v>11234</v>
      </c>
      <c r="M73" s="50">
        <v>861690</v>
      </c>
    </row>
    <row r="74" spans="1:13">
      <c r="A74" s="50" t="s">
        <v>25</v>
      </c>
      <c r="B74" s="50">
        <v>2</v>
      </c>
      <c r="C74" s="50">
        <v>85</v>
      </c>
      <c r="D74" s="50">
        <v>3</v>
      </c>
      <c r="E74" s="50">
        <v>14</v>
      </c>
      <c r="F74" s="50">
        <v>85093</v>
      </c>
      <c r="G74" s="50">
        <v>2097841</v>
      </c>
      <c r="H74" s="50">
        <v>12983452</v>
      </c>
      <c r="I74" s="50">
        <v>41236</v>
      </c>
      <c r="J74" s="50">
        <v>0</v>
      </c>
      <c r="K74" s="50">
        <v>145891</v>
      </c>
      <c r="L74" s="50">
        <v>6181</v>
      </c>
      <c r="M74" s="50">
        <v>653703</v>
      </c>
    </row>
    <row r="75" spans="1:13">
      <c r="A75" s="50" t="s">
        <v>26</v>
      </c>
      <c r="B75" s="50">
        <v>3</v>
      </c>
      <c r="C75" s="50">
        <v>149</v>
      </c>
      <c r="D75" s="50">
        <v>3</v>
      </c>
      <c r="E75" s="50">
        <v>14</v>
      </c>
      <c r="F75" s="50">
        <v>86064</v>
      </c>
      <c r="G75" s="50">
        <v>1908992</v>
      </c>
      <c r="H75" s="50">
        <v>13144579</v>
      </c>
      <c r="I75" s="50">
        <v>100932</v>
      </c>
      <c r="J75" s="50">
        <v>0</v>
      </c>
      <c r="K75" s="50">
        <v>388593</v>
      </c>
      <c r="L75" s="50">
        <v>8666</v>
      </c>
      <c r="M75" s="50">
        <v>633541</v>
      </c>
    </row>
    <row r="76" spans="1:13">
      <c r="A76" s="50" t="s">
        <v>27</v>
      </c>
      <c r="B76" s="50">
        <v>4</v>
      </c>
      <c r="C76" s="50">
        <v>161</v>
      </c>
      <c r="D76" s="50">
        <v>3</v>
      </c>
      <c r="E76" s="50">
        <v>18</v>
      </c>
      <c r="F76" s="50">
        <v>98287</v>
      </c>
      <c r="G76" s="50">
        <v>2446891</v>
      </c>
      <c r="H76" s="50">
        <v>15919039</v>
      </c>
      <c r="I76" s="50">
        <v>28134</v>
      </c>
      <c r="J76" s="50">
        <v>0</v>
      </c>
      <c r="K76" s="50">
        <v>487309</v>
      </c>
      <c r="L76" s="50">
        <v>7627</v>
      </c>
      <c r="M76" s="50">
        <v>669663</v>
      </c>
    </row>
    <row r="77" spans="1:13">
      <c r="A77" s="50" t="s">
        <v>25</v>
      </c>
      <c r="B77" s="50">
        <v>3</v>
      </c>
      <c r="C77" s="50">
        <v>146</v>
      </c>
      <c r="D77" s="50">
        <v>5</v>
      </c>
      <c r="E77" s="50">
        <v>19</v>
      </c>
      <c r="F77" s="50">
        <v>105857</v>
      </c>
      <c r="G77" s="50">
        <v>1796086</v>
      </c>
      <c r="H77" s="50">
        <v>16601502</v>
      </c>
      <c r="I77" s="50">
        <v>20238</v>
      </c>
      <c r="J77" s="50">
        <v>0</v>
      </c>
      <c r="K77" s="50">
        <v>314383</v>
      </c>
      <c r="L77" s="50">
        <v>6509</v>
      </c>
      <c r="M77" s="50">
        <v>547324</v>
      </c>
    </row>
    <row r="78" spans="1:13">
      <c r="A78" s="50" t="s">
        <v>26</v>
      </c>
      <c r="B78" s="50">
        <v>4</v>
      </c>
      <c r="C78" s="50">
        <v>167</v>
      </c>
      <c r="D78" s="50">
        <v>3</v>
      </c>
      <c r="E78" s="50">
        <v>26</v>
      </c>
      <c r="F78" s="50">
        <v>127247</v>
      </c>
      <c r="G78" s="50">
        <v>1710454</v>
      </c>
      <c r="H78" s="50">
        <v>19726159</v>
      </c>
      <c r="I78" s="50">
        <v>23374</v>
      </c>
      <c r="J78" s="50">
        <v>0</v>
      </c>
      <c r="K78" s="50">
        <v>376579</v>
      </c>
      <c r="L78" s="50">
        <v>7278</v>
      </c>
      <c r="M78" s="50">
        <v>455239</v>
      </c>
    </row>
    <row r="79" spans="1:13">
      <c r="A79" s="50" t="s">
        <v>27</v>
      </c>
      <c r="B79" s="50">
        <v>2</v>
      </c>
      <c r="C79" s="50">
        <v>82</v>
      </c>
      <c r="D79" s="50">
        <v>2</v>
      </c>
      <c r="E79" s="50">
        <v>12</v>
      </c>
      <c r="F79" s="50">
        <v>68765</v>
      </c>
      <c r="G79" s="50">
        <v>1410773</v>
      </c>
      <c r="H79" s="50">
        <v>9988665</v>
      </c>
      <c r="I79" s="50">
        <v>9226</v>
      </c>
      <c r="J79" s="50">
        <v>0</v>
      </c>
      <c r="K79" s="50">
        <v>197970</v>
      </c>
      <c r="L79" s="50">
        <v>4149</v>
      </c>
      <c r="M79" s="50">
        <v>377630</v>
      </c>
    </row>
    <row r="80" spans="1:13">
      <c r="A80" s="50" t="s">
        <v>25</v>
      </c>
      <c r="B80" s="50">
        <v>5</v>
      </c>
      <c r="C80" s="50">
        <v>182</v>
      </c>
      <c r="D80" s="50">
        <v>4</v>
      </c>
      <c r="E80" s="50">
        <v>24</v>
      </c>
      <c r="F80" s="50">
        <v>106137</v>
      </c>
      <c r="G80" s="50">
        <v>2332029</v>
      </c>
      <c r="H80" s="50">
        <v>19699852</v>
      </c>
      <c r="I80" s="50">
        <v>64662</v>
      </c>
      <c r="J80" s="50">
        <v>0</v>
      </c>
      <c r="K80" s="50">
        <v>249902</v>
      </c>
      <c r="L80" s="50">
        <v>9217</v>
      </c>
      <c r="M80" s="50">
        <v>686180</v>
      </c>
    </row>
    <row r="81" spans="1:13">
      <c r="A81" s="50" t="s">
        <v>26</v>
      </c>
      <c r="B81" s="50">
        <v>1</v>
      </c>
      <c r="C81" s="50">
        <v>74</v>
      </c>
      <c r="D81" s="50">
        <v>1</v>
      </c>
      <c r="E81" s="50">
        <v>21</v>
      </c>
      <c r="F81" s="50">
        <v>65724</v>
      </c>
      <c r="G81" s="50">
        <v>1221339</v>
      </c>
      <c r="H81" s="50">
        <v>12349305</v>
      </c>
      <c r="I81" s="50">
        <v>8954</v>
      </c>
      <c r="J81" s="50">
        <v>0</v>
      </c>
      <c r="K81" s="50">
        <v>120817</v>
      </c>
      <c r="L81" s="50">
        <v>3953</v>
      </c>
      <c r="M81" s="50">
        <v>387340</v>
      </c>
    </row>
    <row r="82" spans="1:13">
      <c r="A82" s="50" t="s">
        <v>27</v>
      </c>
      <c r="B82" s="50">
        <v>3</v>
      </c>
      <c r="C82" s="50">
        <v>139</v>
      </c>
      <c r="D82" s="50">
        <v>3</v>
      </c>
      <c r="E82" s="50">
        <v>25</v>
      </c>
      <c r="F82" s="50">
        <v>122101</v>
      </c>
      <c r="G82" s="50">
        <v>1801266</v>
      </c>
      <c r="H82" s="50">
        <v>19661356</v>
      </c>
      <c r="I82" s="50">
        <v>23724</v>
      </c>
      <c r="J82" s="50">
        <v>0</v>
      </c>
      <c r="K82" s="50">
        <v>271681</v>
      </c>
      <c r="L82" s="50">
        <v>6915</v>
      </c>
      <c r="M82" s="50">
        <v>483323</v>
      </c>
    </row>
    <row r="83" spans="1:13">
      <c r="A83" s="50" t="s">
        <v>25</v>
      </c>
      <c r="B83" s="50">
        <v>0</v>
      </c>
      <c r="C83" s="50">
        <v>44</v>
      </c>
      <c r="D83" s="50">
        <v>1</v>
      </c>
      <c r="E83" s="50">
        <v>14</v>
      </c>
      <c r="F83" s="50">
        <v>52753</v>
      </c>
      <c r="G83" s="50">
        <v>1182214</v>
      </c>
      <c r="H83" s="50">
        <v>7245852</v>
      </c>
      <c r="I83" s="50">
        <v>13882</v>
      </c>
      <c r="J83" s="50">
        <v>0</v>
      </c>
      <c r="K83" s="50">
        <v>109539</v>
      </c>
      <c r="L83" s="50">
        <v>3081</v>
      </c>
      <c r="M83" s="50">
        <v>348063</v>
      </c>
    </row>
    <row r="84" spans="1:13">
      <c r="A84" s="50" t="s">
        <v>26</v>
      </c>
      <c r="B84" s="50">
        <v>0</v>
      </c>
      <c r="C84" s="50">
        <v>62</v>
      </c>
      <c r="D84" s="50">
        <v>0</v>
      </c>
      <c r="E84" s="50">
        <v>17</v>
      </c>
      <c r="F84" s="50">
        <v>52694</v>
      </c>
      <c r="G84" s="50">
        <v>970702</v>
      </c>
      <c r="H84" s="50">
        <v>7388364</v>
      </c>
      <c r="I84" s="50">
        <v>2812</v>
      </c>
      <c r="J84" s="50">
        <v>0</v>
      </c>
      <c r="K84" s="50">
        <v>131290</v>
      </c>
      <c r="L84" s="50">
        <v>2743</v>
      </c>
      <c r="M84" s="50">
        <v>262692</v>
      </c>
    </row>
    <row r="85" spans="1:13">
      <c r="A85" s="50" t="s">
        <v>27</v>
      </c>
      <c r="B85" s="50">
        <v>9</v>
      </c>
      <c r="C85" s="50">
        <v>289</v>
      </c>
      <c r="D85" s="50">
        <v>8</v>
      </c>
      <c r="E85" s="50">
        <v>21</v>
      </c>
      <c r="F85" s="50">
        <v>173783</v>
      </c>
      <c r="G85" s="50">
        <v>2253745</v>
      </c>
      <c r="H85" s="50">
        <v>23863497</v>
      </c>
      <c r="I85" s="50">
        <v>113364</v>
      </c>
      <c r="J85" s="50">
        <v>0</v>
      </c>
      <c r="K85" s="50">
        <v>504045</v>
      </c>
      <c r="L85" s="50">
        <v>12951</v>
      </c>
      <c r="M85" s="50">
        <v>709834</v>
      </c>
    </row>
  </sheetData>
  <conditionalFormatting sqref="F35:F37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{5c5b0d3e-4e2d-4f9f-8aa6-a9bcce2a6419}</x14:id>
        </ext>
      </extLst>
    </cfRule>
  </conditionalFormatting>
  <conditionalFormatting sqref="F38:F4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{9e359217-a0da-4582-9985-14d225257099}</x14:id>
        </ext>
      </extLst>
    </cfRule>
  </conditionalFormatting>
  <conditionalFormatting sqref="F41:F4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{74de2854-6c7d-4cd7-aa15-557ee365dcee}</x14:id>
        </ext>
      </extLst>
    </cfRule>
  </conditionalFormatting>
  <conditionalFormatting sqref="F44:F46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{72f04895-05ff-42e1-8948-9611662e9e4a}</x14:id>
        </ext>
      </extLst>
    </cfRule>
  </conditionalFormatting>
  <conditionalFormatting sqref="F47:F4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{74a5e67d-8be5-4d1e-a425-58b38d566eda}</x14:id>
        </ext>
      </extLst>
    </cfRule>
  </conditionalFormatting>
  <conditionalFormatting sqref="G35:G37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{63c69e44-f50c-405c-87ea-9cdb1dded579}</x14:id>
        </ext>
      </extLst>
    </cfRule>
  </conditionalFormatting>
  <conditionalFormatting sqref="G38:G4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{c232ac33-36fa-4543-beb2-350da53b3289}</x14:id>
        </ext>
      </extLst>
    </cfRule>
  </conditionalFormatting>
  <conditionalFormatting sqref="G41:G43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{e29c8a8d-1b7d-4100-8ca9-11fc990b4580}</x14:id>
        </ext>
      </extLst>
    </cfRule>
  </conditionalFormatting>
  <conditionalFormatting sqref="G44:G46">
    <cfRule type="dataBar" priority="2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{c7a2758f-d273-45ed-94d6-e52f7c0ec2b0}</x14:id>
        </ext>
      </extLst>
    </cfRule>
  </conditionalFormatting>
  <conditionalFormatting sqref="G47:G49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{a74fb8bd-5037-4041-889c-e4e3baf83eb0}</x14:id>
        </ext>
      </extLst>
    </cfRule>
  </conditionalFormatting>
  <conditionalFormatting sqref="N38:N43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{24b45ed5-d73d-40ec-b521-05f784eaa9cf}</x14:id>
        </ext>
      </extLst>
    </cfRule>
  </conditionalFormatting>
  <conditionalFormatting sqref="O14:O22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{15d93a96-e343-41cd-8dc7-e963f4dc9c39}</x14:id>
        </ext>
      </extLst>
    </cfRule>
  </conditionalFormatting>
  <conditionalFormatting sqref="O29:O31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{56be3f08-ffff-4922-8ef8-62dd7b72ed92}</x14:id>
        </ext>
      </extLst>
    </cfRule>
  </conditionalFormatting>
  <conditionalFormatting sqref="P14:P22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{f7829aa4-6786-4d32-978c-0a4966435b60}</x14:id>
        </ext>
      </extLst>
    </cfRule>
  </conditionalFormatting>
  <conditionalFormatting sqref="P29:P31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{629164ab-cea3-4723-8235-526c6f7b7fd6}</x14:id>
        </ext>
      </extLst>
    </cfRule>
  </conditionalFormatting>
  <conditionalFormatting sqref="P35:P44">
    <cfRule type="cellIs" dxfId="37" priority="14" operator="equal">
      <formula>$S$35</formula>
    </cfRule>
  </conditionalFormatting>
  <conditionalFormatting sqref="Q14:Q22">
    <cfRule type="cellIs" dxfId="38" priority="7" operator="equal">
      <formula>配置!$D$4</formula>
    </cfRule>
    <cfRule type="cellIs" dxfId="39" priority="8" operator="equal">
      <formula>配置!$D$3</formula>
    </cfRule>
    <cfRule type="cellIs" dxfId="37" priority="9" operator="equal">
      <formula>配置!$D$2</formula>
    </cfRule>
  </conditionalFormatting>
  <conditionalFormatting sqref="R35:R39">
    <cfRule type="cellIs" dxfId="37" priority="15" operator="equal">
      <formula>$S$35</formula>
    </cfRule>
  </conditionalFormatting>
  <conditionalFormatting sqref="W2:W3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{f61da1a6-c7e7-46c3-a4ef-73db65964f5d}</x14:id>
        </ext>
      </extLst>
    </cfRule>
  </conditionalFormatting>
  <conditionalFormatting sqref="O32:O33 Q1:R1 Q2 Q4:Q5 Q7:Q8 Q10:Q11 Q13 Q25:Q26 Q28:Q29 Q31 Q23">
    <cfRule type="cellIs" dxfId="37" priority="31" operator="equal">
      <formula>配置!$D$2</formula>
    </cfRule>
  </conditionalFormatting>
  <conditionalFormatting sqref="O2:O13 O23:O28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{0115b5d5-a00a-490d-b8ea-2dceee4601ac}</x14:id>
        </ext>
      </extLst>
    </cfRule>
  </conditionalFormatting>
  <conditionalFormatting sqref="P2:P13 P23:P2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{734eaec0-e4ec-4447-800f-715ed6736afb}</x14:id>
        </ext>
      </extLst>
    </cfRule>
  </conditionalFormatting>
  <conditionalFormatting sqref="Q2 Q4:Q5 Q7:Q8 Q10:Q11 Q13 Q25:Q26 Q28:Q29 Q31 Q23">
    <cfRule type="cellIs" dxfId="38" priority="30" operator="equal">
      <formula>配置!$D$4</formula>
    </cfRule>
  </conditionalFormatting>
  <conditionalFormatting sqref="Q2:Q13 Q23:Q31">
    <cfRule type="cellIs" dxfId="38" priority="21" operator="equal">
      <formula>配置!$D$4</formula>
    </cfRule>
    <cfRule type="cellIs" dxfId="39" priority="22" operator="equal">
      <formula>配置!$D$3</formula>
    </cfRule>
    <cfRule type="cellIs" dxfId="37" priority="23" operator="equal">
      <formula>配置!$D$2</formula>
    </cfRule>
  </conditionalFormatting>
  <conditionalFormatting sqref="Q14 Q16:Q17 Q19:Q20 Q22">
    <cfRule type="cellIs" dxfId="38" priority="12" operator="equal">
      <formula>配置!$D$4</formula>
    </cfRule>
    <cfRule type="cellIs" dxfId="37" priority="13" operator="equal">
      <formula>配置!$D$2</formula>
    </cfRule>
  </conditionalFormatting>
  <conditionalFormatting sqref="N35:N37 N44:N49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{9a6e24bc-8e0a-495f-8c5b-01d4863d86c4}</x14:id>
        </ext>
      </extLst>
    </cfRule>
  </conditionalFormatting>
  <dataValidations count="1">
    <dataValidation type="list" allowBlank="1" showInputMessage="1" showErrorMessage="1" sqref="Q2:Q31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c5b0d3e-4e2d-4f9f-8aa6-a9bcce2a64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F35:F37</xm:sqref>
        </x14:conditionalFormatting>
        <x14:conditionalFormatting xmlns:xm="http://schemas.microsoft.com/office/excel/2006/main">
          <x14:cfRule type="dataBar" id="{9e359217-a0da-4582-9985-14d2252570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F38:F40</xm:sqref>
        </x14:conditionalFormatting>
        <x14:conditionalFormatting xmlns:xm="http://schemas.microsoft.com/office/excel/2006/main">
          <x14:cfRule type="dataBar" id="{74de2854-6c7d-4cd7-aa15-557ee365dc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F41:F43</xm:sqref>
        </x14:conditionalFormatting>
        <x14:conditionalFormatting xmlns:xm="http://schemas.microsoft.com/office/excel/2006/main">
          <x14:cfRule type="dataBar" id="{72f04895-05ff-42e1-8948-9611662e9e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F44:F46</xm:sqref>
        </x14:conditionalFormatting>
        <x14:conditionalFormatting xmlns:xm="http://schemas.microsoft.com/office/excel/2006/main">
          <x14:cfRule type="dataBar" id="{74a5e67d-8be5-4d1e-a425-58b38d566e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F47:F49</xm:sqref>
        </x14:conditionalFormatting>
        <x14:conditionalFormatting xmlns:xm="http://schemas.microsoft.com/office/excel/2006/main">
          <x14:cfRule type="dataBar" id="{63c69e44-f50c-405c-87ea-9cdb1dded5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G35:G37</xm:sqref>
        </x14:conditionalFormatting>
        <x14:conditionalFormatting xmlns:xm="http://schemas.microsoft.com/office/excel/2006/main">
          <x14:cfRule type="dataBar" id="{c232ac33-36fa-4543-beb2-350da53b32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G38:G40</xm:sqref>
        </x14:conditionalFormatting>
        <x14:conditionalFormatting xmlns:xm="http://schemas.microsoft.com/office/excel/2006/main">
          <x14:cfRule type="dataBar" id="{e29c8a8d-1b7d-4100-8ca9-11fc990b45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G41:G43</xm:sqref>
        </x14:conditionalFormatting>
        <x14:conditionalFormatting xmlns:xm="http://schemas.microsoft.com/office/excel/2006/main">
          <x14:cfRule type="dataBar" id="{c7a2758f-d273-45ed-94d6-e52f7c0ec2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G44:G46</xm:sqref>
        </x14:conditionalFormatting>
        <x14:conditionalFormatting xmlns:xm="http://schemas.microsoft.com/office/excel/2006/main">
          <x14:cfRule type="dataBar" id="{a74fb8bd-5037-4041-889c-e4e3baf83e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G47:G49</xm:sqref>
        </x14:conditionalFormatting>
        <x14:conditionalFormatting xmlns:xm="http://schemas.microsoft.com/office/excel/2006/main">
          <x14:cfRule type="dataBar" id="{24b45ed5-d73d-40ec-b521-05f784eaa9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N38:N43</xm:sqref>
        </x14:conditionalFormatting>
        <x14:conditionalFormatting xmlns:xm="http://schemas.microsoft.com/office/excel/2006/main">
          <x14:cfRule type="dataBar" id="{15d93a96-e343-41cd-8dc7-e963f4dc9c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O14:O22</xm:sqref>
        </x14:conditionalFormatting>
        <x14:conditionalFormatting xmlns:xm="http://schemas.microsoft.com/office/excel/2006/main">
          <x14:cfRule type="dataBar" id="{56be3f08-ffff-4922-8ef8-62dd7b72ed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O29:O31</xm:sqref>
        </x14:conditionalFormatting>
        <x14:conditionalFormatting xmlns:xm="http://schemas.microsoft.com/office/excel/2006/main">
          <x14:cfRule type="dataBar" id="{f7829aa4-6786-4d32-978c-0a4966435b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P14:P22</xm:sqref>
        </x14:conditionalFormatting>
        <x14:conditionalFormatting xmlns:xm="http://schemas.microsoft.com/office/excel/2006/main">
          <x14:cfRule type="dataBar" id="{629164ab-cea3-4723-8235-526c6f7b7f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P29:P31</xm:sqref>
        </x14:conditionalFormatting>
        <x14:conditionalFormatting xmlns:xm="http://schemas.microsoft.com/office/excel/2006/main">
          <x14:cfRule type="dataBar" id="{f61da1a6-c7e7-46c3-a4ef-73db65964f5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W2:W31</xm:sqref>
        </x14:conditionalFormatting>
        <x14:conditionalFormatting xmlns:xm="http://schemas.microsoft.com/office/excel/2006/main">
          <x14:cfRule type="dataBar" id="{0115b5d5-a00a-490d-b8ea-2dceee4601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O2:O13 O23:O28</xm:sqref>
        </x14:conditionalFormatting>
        <x14:conditionalFormatting xmlns:xm="http://schemas.microsoft.com/office/excel/2006/main">
          <x14:cfRule type="dataBar" id="{734eaec0-e4ec-4447-800f-715ed6736a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P2:P13 P23:P28</xm:sqref>
        </x14:conditionalFormatting>
        <x14:conditionalFormatting xmlns:xm="http://schemas.microsoft.com/office/excel/2006/main">
          <x14:cfRule type="dataBar" id="{9a6e24bc-8e0a-495f-8c5b-01d4863d86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N35:N37 N44:N49</xm:sqref>
        </x14:conditionalFormatting>
      </x14:conditionalFormatting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0"/>
  <sheetViews>
    <sheetView workbookViewId="0">
      <selection activeCell="Y25" sqref="Y2:Y25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1">
        <v>134</v>
      </c>
      <c r="B2" s="371">
        <f>VLOOKUP(表1_86121822242664[[#This Row],[区服]],$P$29:$Q$36,2,FALSE)</f>
        <v>66</v>
      </c>
      <c r="C2" s="372" t="s">
        <v>119</v>
      </c>
      <c r="D2" s="373" t="str">
        <f>表1_86121822242664[[#This Row],[目标国家]]</f>
        <v>魏</v>
      </c>
      <c r="E2" s="374">
        <f>(VLOOKUP(表1_86121822242664[[#This Row],[目标区服]],$R$29:$S$32,2,FALSE)-表1_86121822242664[[#This Row],[开服天数]])*配置!$B$1</f>
        <v>1000</v>
      </c>
      <c r="F2" s="374">
        <f>表1_86121822242664[[#This Row],[补偿Coin]]*(表1_86121822242664[[#This Row],[活跃高战玩家数]]+表1_86121822242664[[#This Row],[活跃中坚玩家数]])</f>
        <v>37000</v>
      </c>
      <c r="G2" s="374">
        <f>(VLOOKUP(表1_86121822242664[[#This Row],[目标区服]],$R$29:$S$32,2,FALSE)-表1_86121822242664[[#This Row],[开服天数]])*配置!$B$2</f>
        <v>10</v>
      </c>
      <c r="H2" s="376" t="s">
        <v>25</v>
      </c>
      <c r="I2" s="376">
        <f>IF(表1_86121822242664[[#This Row],[原国家]]="魏",0,IF(表1_86121822242664[[#This Row],[原国家]]="蜀",1,2))</f>
        <v>0</v>
      </c>
      <c r="J2" s="380">
        <v>6</v>
      </c>
      <c r="K2" s="380">
        <v>274</v>
      </c>
      <c r="L2" s="380">
        <v>9</v>
      </c>
      <c r="M2" s="380">
        <v>28</v>
      </c>
      <c r="N2" s="380">
        <v>182841</v>
      </c>
      <c r="O2" s="380">
        <v>4538688</v>
      </c>
      <c r="P2" s="381">
        <v>58520965</v>
      </c>
      <c r="Q2" s="31" t="s">
        <v>25</v>
      </c>
      <c r="R2" s="376">
        <f>IF(表1_86121822242664[[#This Row],[目标国家]]="魏",0,IF(表1_86121822242664[[#This Row],[目标国家]]="蜀",1,2))</f>
        <v>0</v>
      </c>
      <c r="S2" s="380">
        <v>325308</v>
      </c>
      <c r="T2" s="380">
        <v>0</v>
      </c>
      <c r="U2" s="380">
        <v>1627748</v>
      </c>
      <c r="V2" s="380">
        <v>25218</v>
      </c>
      <c r="W2" s="374">
        <v>1211040</v>
      </c>
      <c r="X2" s="387" t="str">
        <f>"{"&amp;"'coin':"&amp;表1_86121822242664[[#This Row],[补偿Coin]]&amp;",'"&amp;配置!$A$2&amp;"':"&amp;表1_86121822242664[[#This Row],[补偿辎重]]&amp;"},"</f>
        <v>{'coin':1000,'item036':10},</v>
      </c>
      <c r="Y2" s="388" t="str">
        <f>"      '"&amp;表1_86121822242664[[#This Row],[区服]]&amp;"':{"</f>
        <v>      '134':{</v>
      </c>
    </row>
    <row r="3" s="354" customFormat="1" ht="14.25" customHeight="1" spans="1:25">
      <c r="A3" s="375">
        <v>134</v>
      </c>
      <c r="B3" s="371">
        <f>VLOOKUP(表1_86121822242664[[#This Row],[区服]],$P$29:$Q$36,2,FALSE)</f>
        <v>66</v>
      </c>
      <c r="C3" s="372" t="s">
        <v>119</v>
      </c>
      <c r="D3" s="376" t="str">
        <f>表1_86121822242664[[#This Row],[目标国家]]</f>
        <v>蜀</v>
      </c>
      <c r="E3" s="380">
        <f>(VLOOKUP(表1_86121822242664[[#This Row],[目标区服]],$R$29:$S$32,2,FALSE)-表1_86121822242664[[#This Row],[开服天数]])*配置!$B$1</f>
        <v>1000</v>
      </c>
      <c r="F3" s="380">
        <f>表1_86121822242664[[#This Row],[补偿Coin]]*(表1_86121822242664[[#This Row],[活跃高战玩家数]]+表1_86121822242664[[#This Row],[活跃中坚玩家数]])</f>
        <v>20000</v>
      </c>
      <c r="G3" s="380">
        <f>(VLOOKUP(表1_86121822242664[[#This Row],[目标区服]],$R$29:$S$32,2,FALSE)-表1_86121822242664[[#This Row],[开服天数]])*配置!$B$2</f>
        <v>10</v>
      </c>
      <c r="H3" s="376" t="s">
        <v>26</v>
      </c>
      <c r="I3" s="376">
        <f>IF(表1_86121822242664[[#This Row],[原国家]]="魏",0,IF(表1_86121822242664[[#This Row],[原国家]]="蜀",1,2))</f>
        <v>1</v>
      </c>
      <c r="J3" s="380">
        <v>2</v>
      </c>
      <c r="K3" s="380">
        <v>61</v>
      </c>
      <c r="L3" s="380">
        <v>1</v>
      </c>
      <c r="M3" s="380">
        <v>19</v>
      </c>
      <c r="N3" s="380">
        <v>52975</v>
      </c>
      <c r="O3" s="380">
        <v>2722650</v>
      </c>
      <c r="P3" s="381">
        <v>21252213</v>
      </c>
      <c r="Q3" s="31" t="s">
        <v>26</v>
      </c>
      <c r="R3" s="376">
        <f>IF(表1_86121822242664[[#This Row],[目标国家]]="魏",0,IF(表1_86121822242664[[#This Row],[目标国家]]="蜀",1,2))</f>
        <v>1</v>
      </c>
      <c r="S3" s="380">
        <v>60230</v>
      </c>
      <c r="T3" s="380">
        <v>0</v>
      </c>
      <c r="U3" s="380">
        <v>124780</v>
      </c>
      <c r="V3" s="380">
        <v>7792</v>
      </c>
      <c r="W3" s="374">
        <v>930426</v>
      </c>
      <c r="X3" s="387" t="str">
        <f>"{"&amp;"'coin':"&amp;表1_86121822242664[[#This Row],[补偿Coin]]&amp;",'"&amp;配置!$A$2&amp;"':"&amp;表1_86121822242664[[#This Row],[补偿辎重]]&amp;"},"</f>
        <v>{'coin':1000,'item036':10},</v>
      </c>
      <c r="Y3" s="388" t="str">
        <f>"            'to_zone':'"&amp;表1_86121822242664[[#This Row],[目标区服]]&amp;"',
            'reward':"&amp;表1_86121822242664[[#This Row],[辅助导出]]&amp;"
            'country':["&amp;R2&amp;","&amp;R3&amp;","&amp;R4&amp;"],"</f>
        <v>            'to_zone':'h1_57',
            'reward':{'coin':1000,'item036':10},
            'country':[0,1,1],</v>
      </c>
    </row>
    <row r="4" s="354" customFormat="1" ht="14.25" customHeight="1" spans="1:25">
      <c r="A4" s="375">
        <v>134</v>
      </c>
      <c r="B4" s="371">
        <f>VLOOKUP(表1_86121822242664[[#This Row],[区服]],$P$29:$Q$36,2,FALSE)</f>
        <v>66</v>
      </c>
      <c r="C4" s="372" t="s">
        <v>119</v>
      </c>
      <c r="D4" s="376" t="str">
        <f>表1_86121822242664[[#This Row],[目标国家]]</f>
        <v>蜀</v>
      </c>
      <c r="E4" s="380">
        <f>(VLOOKUP(表1_86121822242664[[#This Row],[目标区服]],$R$29:$S$32,2,FALSE)-表1_86121822242664[[#This Row],[开服天数]])*配置!$B$1</f>
        <v>1000</v>
      </c>
      <c r="F4" s="380">
        <f>表1_86121822242664[[#This Row],[补偿Coin]]*(表1_86121822242664[[#This Row],[活跃高战玩家数]]+表1_86121822242664[[#This Row],[活跃中坚玩家数]])</f>
        <v>12000</v>
      </c>
      <c r="G4" s="380">
        <f>(VLOOKUP(表1_86121822242664[[#This Row],[目标区服]],$R$29:$S$32,2,FALSE)-表1_86121822242664[[#This Row],[开服天数]])*配置!$B$2</f>
        <v>10</v>
      </c>
      <c r="H4" s="376" t="s">
        <v>27</v>
      </c>
      <c r="I4" s="376">
        <f>IF(表1_86121822242664[[#This Row],[原国家]]="魏",0,IF(表1_86121822242664[[#This Row],[原国家]]="蜀",1,2))</f>
        <v>2</v>
      </c>
      <c r="J4" s="380">
        <v>1</v>
      </c>
      <c r="K4" s="380">
        <v>60</v>
      </c>
      <c r="L4" s="380">
        <v>0</v>
      </c>
      <c r="M4" s="380">
        <v>12</v>
      </c>
      <c r="N4" s="380">
        <v>43380</v>
      </c>
      <c r="O4" s="380">
        <v>1710348</v>
      </c>
      <c r="P4" s="381">
        <v>13734486</v>
      </c>
      <c r="Q4" s="31" t="s">
        <v>26</v>
      </c>
      <c r="R4" s="376">
        <f>IF(表1_86121822242664[[#This Row],[目标国家]]="魏",0,IF(表1_86121822242664[[#This Row],[目标国家]]="蜀",1,2))</f>
        <v>1</v>
      </c>
      <c r="S4" s="380">
        <v>17366</v>
      </c>
      <c r="T4" s="380">
        <v>0</v>
      </c>
      <c r="U4" s="380">
        <v>191426</v>
      </c>
      <c r="V4" s="380">
        <v>4617</v>
      </c>
      <c r="W4" s="374">
        <v>556199</v>
      </c>
      <c r="X4" s="387" t="str">
        <f>"{"&amp;"'coin':"&amp;表1_86121822242664[[#This Row],[补偿Coin]]&amp;",'"&amp;配置!$A$2&amp;"':"&amp;表1_86121822242664[[#This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5">
        <v>135</v>
      </c>
      <c r="B5" s="371">
        <f>VLOOKUP(表1_86121822242664[[#This Row],[区服]],$P$29:$Q$36,2,FALSE)</f>
        <v>65</v>
      </c>
      <c r="C5" s="372" t="s">
        <v>119</v>
      </c>
      <c r="D5" s="376" t="str">
        <f>表1_86121822242664[[#This Row],[目标国家]]</f>
        <v>吴</v>
      </c>
      <c r="E5" s="380">
        <f>(VLOOKUP(表1_86121822242664[[#This Row],[目标区服]],$R$29:$S$32,2,FALSE)-表1_86121822242664[[#This Row],[开服天数]])*配置!$B$1</f>
        <v>1500</v>
      </c>
      <c r="F5" s="380">
        <f>表1_86121822242664[[#This Row],[补偿Coin]]*(表1_86121822242664[[#This Row],[活跃高战玩家数]]+表1_86121822242664[[#This Row],[活跃中坚玩家数]])</f>
        <v>28500</v>
      </c>
      <c r="G5" s="380">
        <f>(VLOOKUP(表1_86121822242664[[#This Row],[目标区服]],$R$29:$S$32,2,FALSE)-表1_86121822242664[[#This Row],[开服天数]])*配置!$B$2</f>
        <v>15</v>
      </c>
      <c r="H5" s="376" t="s">
        <v>25</v>
      </c>
      <c r="I5" s="376">
        <f>IF(表1_86121822242664[[#This Row],[原国家]]="魏",0,IF(表1_86121822242664[[#This Row],[原国家]]="蜀",1,2))</f>
        <v>0</v>
      </c>
      <c r="J5" s="380">
        <v>0</v>
      </c>
      <c r="K5" s="380">
        <v>33</v>
      </c>
      <c r="L5" s="380">
        <v>0</v>
      </c>
      <c r="M5" s="380">
        <v>19</v>
      </c>
      <c r="N5" s="380">
        <v>27696</v>
      </c>
      <c r="O5" s="380">
        <v>1766904</v>
      </c>
      <c r="P5" s="381">
        <v>14523352</v>
      </c>
      <c r="Q5" s="31" t="s">
        <v>27</v>
      </c>
      <c r="R5" s="376">
        <f>IF(表1_86121822242664[[#This Row],[目标国家]]="魏",0,IF(表1_86121822242664[[#This Row],[目标国家]]="蜀",1,2))</f>
        <v>2</v>
      </c>
      <c r="S5" s="380">
        <v>12760</v>
      </c>
      <c r="T5" s="380">
        <v>0</v>
      </c>
      <c r="U5" s="380">
        <v>185299</v>
      </c>
      <c r="V5" s="380">
        <v>4163</v>
      </c>
      <c r="W5" s="374">
        <v>601447</v>
      </c>
      <c r="X5" s="387" t="str">
        <f>"{"&amp;"'coin':"&amp;表1_86121822242664[[#This Row],[补偿Coin]]&amp;",'"&amp;配置!$A$2&amp;"':"&amp;表1_86121822242664[[#This Row],[补偿辎重]]&amp;"},"</f>
        <v>{'coin':1500,'item036':15},</v>
      </c>
      <c r="Y5" s="388" t="str">
        <f>"      '"&amp;表1_86121822242664[[#This Row],[区服]]&amp;"':{"</f>
        <v>      '135':{</v>
      </c>
    </row>
    <row r="6" s="354" customFormat="1" ht="14.25" customHeight="1" spans="1:25">
      <c r="A6" s="371">
        <v>135</v>
      </c>
      <c r="B6" s="371">
        <f>VLOOKUP(表1_86121822242664[[#This Row],[区服]],$P$29:$Q$36,2,FALSE)</f>
        <v>65</v>
      </c>
      <c r="C6" s="372" t="s">
        <v>119</v>
      </c>
      <c r="D6" s="376" t="str">
        <f>表1_86121822242664[[#This Row],[目标国家]]</f>
        <v>吴</v>
      </c>
      <c r="E6" s="380">
        <f>(VLOOKUP(表1_86121822242664[[#This Row],[目标区服]],$R$29:$S$32,2,FALSE)-表1_86121822242664[[#This Row],[开服天数]])*配置!$B$1</f>
        <v>1500</v>
      </c>
      <c r="F6" s="380">
        <f>表1_86121822242664[[#This Row],[补偿Coin]]*(表1_86121822242664[[#This Row],[活跃高战玩家数]]+表1_86121822242664[[#This Row],[活跃中坚玩家数]])</f>
        <v>40500</v>
      </c>
      <c r="G6" s="380">
        <f>(VLOOKUP(表1_86121822242664[[#This Row],[目标区服]],$R$29:$S$32,2,FALSE)-表1_86121822242664[[#This Row],[开服天数]])*配置!$B$2</f>
        <v>15</v>
      </c>
      <c r="H6" s="376" t="s">
        <v>26</v>
      </c>
      <c r="I6" s="376">
        <f>IF(表1_86121822242664[[#This Row],[原国家]]="魏",0,IF(表1_86121822242664[[#This Row],[原国家]]="蜀",1,2))</f>
        <v>1</v>
      </c>
      <c r="J6" s="380">
        <v>5</v>
      </c>
      <c r="K6" s="380">
        <v>193</v>
      </c>
      <c r="L6" s="380">
        <v>5</v>
      </c>
      <c r="M6" s="380">
        <v>22</v>
      </c>
      <c r="N6" s="380">
        <v>130166</v>
      </c>
      <c r="O6" s="380">
        <v>3014782</v>
      </c>
      <c r="P6" s="381">
        <v>33546902</v>
      </c>
      <c r="Q6" s="31" t="s">
        <v>27</v>
      </c>
      <c r="R6" s="376">
        <f>IF(表1_86121822242664[[#This Row],[目标国家]]="魏",0,IF(表1_86121822242664[[#This Row],[目标国家]]="蜀",1,2))</f>
        <v>2</v>
      </c>
      <c r="S6" s="380">
        <v>58954</v>
      </c>
      <c r="T6" s="380">
        <v>0</v>
      </c>
      <c r="U6" s="380">
        <v>1408776</v>
      </c>
      <c r="V6" s="380">
        <v>11923</v>
      </c>
      <c r="W6" s="374">
        <v>954501</v>
      </c>
      <c r="X6" s="387" t="str">
        <f>"{"&amp;"'coin':"&amp;表1_86121822242664[[#This Row],[补偿Coin]]&amp;",'"&amp;配置!$A$2&amp;"':"&amp;表1_86121822242664[[#This Row],[补偿辎重]]&amp;"},"</f>
        <v>{'coin':1500,'item036':15},</v>
      </c>
      <c r="Y6" s="388" t="str">
        <f>"            'to_zone':'"&amp;表1_86121822242664[[#This Row],[目标区服]]&amp;"',
            'reward':"&amp;表1_86121822242664[[#This Row],[辅助导出]]&amp;"
            'country':["&amp;R5&amp;","&amp;R6&amp;","&amp;R7&amp;"],"</f>
        <v>            'to_zone':'h1_57',
            'reward':{'coin':1500,'item036':15},
            'country':[2,2,1],</v>
      </c>
    </row>
    <row r="7" s="354" customFormat="1" ht="14.25" customHeight="1" spans="1:25">
      <c r="A7" s="371">
        <v>135</v>
      </c>
      <c r="B7" s="371">
        <f>VLOOKUP(表1_86121822242664[[#This Row],[区服]],$P$29:$Q$36,2,FALSE)</f>
        <v>65</v>
      </c>
      <c r="C7" s="372" t="s">
        <v>119</v>
      </c>
      <c r="D7" s="376" t="str">
        <f>表1_86121822242664[[#This Row],[目标国家]]</f>
        <v>蜀</v>
      </c>
      <c r="E7" s="380">
        <f>(VLOOKUP(表1_86121822242664[[#This Row],[目标区服]],$R$29:$S$32,2,FALSE)-表1_86121822242664[[#This Row],[开服天数]])*配置!$B$1</f>
        <v>1500</v>
      </c>
      <c r="F7" s="380">
        <f>表1_86121822242664[[#This Row],[补偿Coin]]*(表1_86121822242664[[#This Row],[活跃高战玩家数]]+表1_86121822242664[[#This Row],[活跃中坚玩家数]])</f>
        <v>34500</v>
      </c>
      <c r="G7" s="380">
        <f>(VLOOKUP(表1_86121822242664[[#This Row],[目标区服]],$R$29:$S$32,2,FALSE)-表1_86121822242664[[#This Row],[开服天数]])*配置!$B$2</f>
        <v>15</v>
      </c>
      <c r="H7" s="376" t="s">
        <v>27</v>
      </c>
      <c r="I7" s="376">
        <f>IF(表1_86121822242664[[#This Row],[原国家]]="魏",0,IF(表1_86121822242664[[#This Row],[原国家]]="蜀",1,2))</f>
        <v>2</v>
      </c>
      <c r="J7" s="380">
        <v>4</v>
      </c>
      <c r="K7" s="380">
        <v>169</v>
      </c>
      <c r="L7" s="380">
        <v>4</v>
      </c>
      <c r="M7" s="380">
        <v>19</v>
      </c>
      <c r="N7" s="380">
        <v>116585</v>
      </c>
      <c r="O7" s="380">
        <v>2412669</v>
      </c>
      <c r="P7" s="381">
        <v>28477634</v>
      </c>
      <c r="Q7" s="31" t="s">
        <v>26</v>
      </c>
      <c r="R7" s="376">
        <f>IF(表1_86121822242664[[#This Row],[目标国家]]="魏",0,IF(表1_86121822242664[[#This Row],[目标国家]]="蜀",1,2))</f>
        <v>1</v>
      </c>
      <c r="S7" s="380">
        <v>32668</v>
      </c>
      <c r="T7" s="380">
        <v>0</v>
      </c>
      <c r="U7" s="380">
        <v>1234282</v>
      </c>
      <c r="V7" s="380">
        <v>9530</v>
      </c>
      <c r="W7" s="374">
        <v>726487</v>
      </c>
      <c r="X7" s="387" t="str">
        <f>"{"&amp;"'coin':"&amp;表1_86121822242664[[#This Row],[补偿Coin]]&amp;",'"&amp;配置!$A$2&amp;"':"&amp;表1_86121822242664[[#This Row],[补偿辎重]]&amp;"},"</f>
        <v>{'coin':1500,'item036':15},</v>
      </c>
      <c r="Y7" s="388" t="str">
        <f t="shared" ref="Y7" si="0">"      },"</f>
        <v>      },</v>
      </c>
    </row>
    <row r="8" s="354" customFormat="1" ht="14.25" customHeight="1" spans="1:25">
      <c r="A8" s="259">
        <v>136</v>
      </c>
      <c r="B8" s="210">
        <f>VLOOKUP(表1_86121822242664[[#This Row],[区服]],$P$29:$Q$36,2,FALSE)</f>
        <v>64</v>
      </c>
      <c r="C8" s="296" t="s">
        <v>120</v>
      </c>
      <c r="D8" s="212" t="str">
        <f>表1_86121822242664[[#This Row],[目标国家]]</f>
        <v>魏</v>
      </c>
      <c r="E8" s="213">
        <f>(VLOOKUP(表1_86121822242664[[#This Row],[目标区服]],$R$29:$S$32,2,FALSE)-表1_86121822242664[[#This Row],[开服天数]])*配置!$B$1</f>
        <v>1000</v>
      </c>
      <c r="F8" s="213">
        <f>表1_86121822242664[[#This Row],[补偿Coin]]*(表1_86121822242664[[#This Row],[活跃高战玩家数]]+表1_86121822242664[[#This Row],[活跃中坚玩家数]])</f>
        <v>12000</v>
      </c>
      <c r="G8" s="260">
        <f>(VLOOKUP(表1_86121822242664[[#This Row],[目标区服]],$R$29:$S$32,2,FALSE)-表1_86121822242664[[#This Row],[开服天数]])*配置!$B$2</f>
        <v>10</v>
      </c>
      <c r="H8" s="212" t="s">
        <v>25</v>
      </c>
      <c r="I8" s="268">
        <f>IF(表1_86121822242664[[#This Row],[原国家]]="魏",0,IF(表1_86121822242664[[#This Row],[原国家]]="蜀",1,2))</f>
        <v>0</v>
      </c>
      <c r="J8" s="213">
        <v>0</v>
      </c>
      <c r="K8" s="213">
        <v>48</v>
      </c>
      <c r="L8" s="213">
        <v>1</v>
      </c>
      <c r="M8" s="213">
        <v>11</v>
      </c>
      <c r="N8" s="213">
        <v>51786</v>
      </c>
      <c r="O8" s="419">
        <v>2205102</v>
      </c>
      <c r="P8" s="420">
        <v>13161451</v>
      </c>
      <c r="Q8" s="31" t="s">
        <v>25</v>
      </c>
      <c r="R8" s="212">
        <f>IF(表1_86121822242664[[#This Row],[目标国家]]="魏",0,IF(表1_86121822242664[[#This Row],[目标国家]]="蜀",1,2))</f>
        <v>0</v>
      </c>
      <c r="S8" s="213">
        <v>24490</v>
      </c>
      <c r="T8" s="213">
        <v>0</v>
      </c>
      <c r="U8" s="213">
        <v>232859</v>
      </c>
      <c r="V8" s="213">
        <v>5111</v>
      </c>
      <c r="W8" s="213">
        <v>732198</v>
      </c>
      <c r="X8" s="278" t="str">
        <f>"{"&amp;"'coin':"&amp;表1_86121822242664[[#This Row],[补偿Coin]]&amp;",'"&amp;配置!$A$2&amp;"':"&amp;表1_86121822242664[[#This Row],[补偿辎重]]&amp;"},"</f>
        <v>{'coin':1000,'item036':10},</v>
      </c>
      <c r="Y8" s="278" t="str">
        <f>"      '"&amp;表1_86121822242664[[#This Row],[区服]]&amp;"':{"</f>
        <v>      '136':{</v>
      </c>
    </row>
    <row r="9" s="354" customFormat="1" ht="14.25" customHeight="1" spans="1:25">
      <c r="A9" s="259">
        <v>136</v>
      </c>
      <c r="B9" s="210">
        <f>VLOOKUP(表1_86121822242664[[#This Row],[区服]],$P$29:$Q$36,2,FALSE)</f>
        <v>64</v>
      </c>
      <c r="C9" s="296" t="s">
        <v>120</v>
      </c>
      <c r="D9" s="212" t="str">
        <f>表1_86121822242664[[#This Row],[目标国家]]</f>
        <v>蜀</v>
      </c>
      <c r="E9" s="213">
        <f>(VLOOKUP(表1_86121822242664[[#This Row],[目标区服]],$R$29:$S$32,2,FALSE)-表1_86121822242664[[#This Row],[开服天数]])*配置!$B$1</f>
        <v>1000</v>
      </c>
      <c r="F9" s="213">
        <f>表1_86121822242664[[#This Row],[补偿Coin]]*(表1_86121822242664[[#This Row],[活跃高战玩家数]]+表1_86121822242664[[#This Row],[活跃中坚玩家数]])</f>
        <v>42000</v>
      </c>
      <c r="G9" s="260">
        <f>(VLOOKUP(表1_86121822242664[[#This Row],[目标区服]],$R$29:$S$32,2,FALSE)-表1_86121822242664[[#This Row],[开服天数]])*配置!$B$2</f>
        <v>10</v>
      </c>
      <c r="H9" s="212" t="s">
        <v>26</v>
      </c>
      <c r="I9" s="268">
        <f>IF(表1_86121822242664[[#This Row],[原国家]]="魏",0,IF(表1_86121822242664[[#This Row],[原国家]]="蜀",1,2))</f>
        <v>1</v>
      </c>
      <c r="J9" s="213">
        <v>6</v>
      </c>
      <c r="K9" s="213">
        <v>233</v>
      </c>
      <c r="L9" s="213">
        <v>6</v>
      </c>
      <c r="M9" s="213">
        <v>36</v>
      </c>
      <c r="N9" s="213">
        <v>178049</v>
      </c>
      <c r="O9" s="419">
        <v>4791896</v>
      </c>
      <c r="P9" s="420">
        <v>52802850</v>
      </c>
      <c r="Q9" s="31" t="s">
        <v>26</v>
      </c>
      <c r="R9" s="212">
        <f>IF(表1_86121822242664[[#This Row],[目标国家]]="魏",0,IF(表1_86121822242664[[#This Row],[目标国家]]="蜀",1,2))</f>
        <v>1</v>
      </c>
      <c r="S9" s="213">
        <v>236362</v>
      </c>
      <c r="T9" s="213">
        <v>0</v>
      </c>
      <c r="U9" s="213">
        <v>1914596</v>
      </c>
      <c r="V9" s="213">
        <v>21940</v>
      </c>
      <c r="W9" s="213">
        <v>1151434</v>
      </c>
      <c r="X9" s="278" t="str">
        <f>"{"&amp;"'coin':"&amp;表1_86121822242664[[#This Row],[补偿Coin]]&amp;",'"&amp;配置!$A$2&amp;"':"&amp;表1_86121822242664[[#This Row],[补偿辎重]]&amp;"},"</f>
        <v>{'coin':1000,'item036':10},</v>
      </c>
      <c r="Y9" s="278" t="str">
        <f>"            'to_zone':'"&amp;表1_86121822242664[[#This Row],[目标区服]]&amp;"',
            'reward':"&amp;表1_86121822242664[[#This Row],[辅助导出]]&amp;"
            'country':["&amp;R8&amp;","&amp;R9&amp;","&amp;R10&amp;"],"</f>
        <v>            'to_zone':'h1_58',
            'reward':{'coin':1000,'item036':10},
            'country':[0,1,2],</v>
      </c>
    </row>
    <row r="10" s="354" customFormat="1" ht="14.25" customHeight="1" spans="1:25">
      <c r="A10" s="259">
        <v>136</v>
      </c>
      <c r="B10" s="210">
        <f>VLOOKUP(表1_86121822242664[[#This Row],[区服]],$P$29:$Q$36,2,FALSE)</f>
        <v>64</v>
      </c>
      <c r="C10" s="296" t="s">
        <v>120</v>
      </c>
      <c r="D10" s="212" t="str">
        <f>表1_86121822242664[[#This Row],[目标国家]]</f>
        <v>吴</v>
      </c>
      <c r="E10" s="213">
        <f>(VLOOKUP(表1_86121822242664[[#This Row],[目标区服]],$R$29:$S$32,2,FALSE)-表1_86121822242664[[#This Row],[开服天数]])*配置!$B$1</f>
        <v>1000</v>
      </c>
      <c r="F10" s="213">
        <f>表1_86121822242664[[#This Row],[补偿Coin]]*(表1_86121822242664[[#This Row],[活跃高战玩家数]]+表1_86121822242664[[#This Row],[活跃中坚玩家数]])</f>
        <v>16000</v>
      </c>
      <c r="G10" s="260">
        <f>(VLOOKUP(表1_86121822242664[[#This Row],[目标区服]],$R$29:$S$32,2,FALSE)-表1_86121822242664[[#This Row],[开服天数]])*配置!$B$2</f>
        <v>10</v>
      </c>
      <c r="H10" s="212" t="s">
        <v>27</v>
      </c>
      <c r="I10" s="268">
        <f>IF(表1_86121822242664[[#This Row],[原国家]]="魏",0,IF(表1_86121822242664[[#This Row],[原国家]]="蜀",1,2))</f>
        <v>2</v>
      </c>
      <c r="J10" s="213">
        <v>3</v>
      </c>
      <c r="K10" s="213">
        <v>113</v>
      </c>
      <c r="L10" s="213">
        <v>2</v>
      </c>
      <c r="M10" s="213">
        <v>14</v>
      </c>
      <c r="N10" s="213">
        <v>45030</v>
      </c>
      <c r="O10" s="419">
        <v>2444077</v>
      </c>
      <c r="P10" s="420">
        <v>15164439</v>
      </c>
      <c r="Q10" s="31" t="s">
        <v>27</v>
      </c>
      <c r="R10" s="212">
        <f>IF(表1_86121822242664[[#This Row],[目标国家]]="魏",0,IF(表1_86121822242664[[#This Row],[目标国家]]="蜀",1,2))</f>
        <v>2</v>
      </c>
      <c r="S10" s="213">
        <v>36226</v>
      </c>
      <c r="T10" s="213">
        <v>0</v>
      </c>
      <c r="U10" s="213">
        <v>236877</v>
      </c>
      <c r="V10" s="213">
        <v>6820</v>
      </c>
      <c r="W10" s="213">
        <v>737733</v>
      </c>
      <c r="X10" s="278" t="str">
        <f>"{"&amp;"'coin':"&amp;表1_86121822242664[[#This Row],[补偿Coin]]&amp;",'"&amp;配置!$A$2&amp;"':"&amp;表1_86121822242664[[#This Row],[补偿辎重]]&amp;"},"</f>
        <v>{'coin':1000,'item036':10},</v>
      </c>
      <c r="Y10" s="278" t="str">
        <f>"      },"</f>
        <v>      },</v>
      </c>
    </row>
    <row r="11" s="354" customFormat="1" ht="14.25" customHeight="1" spans="1:25">
      <c r="A11" s="259">
        <v>137</v>
      </c>
      <c r="B11" s="210">
        <f>VLOOKUP(表1_86121822242664[[#This Row],[区服]],$P$29:$Q$36,2,FALSE)</f>
        <v>63</v>
      </c>
      <c r="C11" s="296" t="s">
        <v>120</v>
      </c>
      <c r="D11" s="212" t="str">
        <f>表1_86121822242664[[#This Row],[目标国家]]</f>
        <v>魏</v>
      </c>
      <c r="E11" s="213">
        <f>(VLOOKUP(表1_86121822242664[[#This Row],[目标区服]],$R$29:$S$32,2,FALSE)-表1_86121822242664[[#This Row],[开服天数]])*配置!$B$1</f>
        <v>1500</v>
      </c>
      <c r="F11" s="213">
        <f>表1_86121822242664[[#This Row],[补偿Coin]]*(表1_86121822242664[[#This Row],[活跃高战玩家数]]+表1_86121822242664[[#This Row],[活跃中坚玩家数]])</f>
        <v>33000</v>
      </c>
      <c r="G11" s="260">
        <f>(VLOOKUP(表1_86121822242664[[#This Row],[目标区服]],$R$29:$S$32,2,FALSE)-表1_86121822242664[[#This Row],[开服天数]])*配置!$B$2</f>
        <v>15</v>
      </c>
      <c r="H11" s="212" t="s">
        <v>25</v>
      </c>
      <c r="I11" s="268">
        <f>IF(表1_86121822242664[[#This Row],[原国家]]="魏",0,IF(表1_86121822242664[[#This Row],[原国家]]="蜀",1,2))</f>
        <v>0</v>
      </c>
      <c r="J11" s="213">
        <v>1</v>
      </c>
      <c r="K11" s="213">
        <v>66</v>
      </c>
      <c r="L11" s="213">
        <v>4</v>
      </c>
      <c r="M11" s="213">
        <v>18</v>
      </c>
      <c r="N11" s="213">
        <v>82493</v>
      </c>
      <c r="O11" s="419">
        <v>3937878</v>
      </c>
      <c r="P11" s="420">
        <v>28817618</v>
      </c>
      <c r="Q11" s="31" t="s">
        <v>25</v>
      </c>
      <c r="R11" s="212">
        <f>IF(表1_86121822242664[[#This Row],[目标国家]]="魏",0,IF(表1_86121822242664[[#This Row],[目标国家]]="蜀",1,2))</f>
        <v>0</v>
      </c>
      <c r="S11" s="213">
        <v>111564</v>
      </c>
      <c r="T11" s="213">
        <v>0</v>
      </c>
      <c r="U11" s="213">
        <v>560598</v>
      </c>
      <c r="V11" s="213">
        <v>11619</v>
      </c>
      <c r="W11" s="213">
        <v>1148812</v>
      </c>
      <c r="X11" s="278" t="str">
        <f>"{"&amp;"'coin':"&amp;表1_86121822242664[[#This Row],[补偿Coin]]&amp;",'"&amp;配置!$A$2&amp;"':"&amp;表1_86121822242664[[#This Row],[补偿辎重]]&amp;"},"</f>
        <v>{'coin':1500,'item036':15},</v>
      </c>
      <c r="Y11" s="278" t="str">
        <f>"      '"&amp;表1_86121822242664[[#This Row],[区服]]&amp;"':{"</f>
        <v>      '137':{</v>
      </c>
    </row>
    <row r="12" s="354" customFormat="1" ht="14.25" customHeight="1" spans="1:25">
      <c r="A12" s="259">
        <v>137</v>
      </c>
      <c r="B12" s="210">
        <f>VLOOKUP(表1_86121822242664[[#This Row],[区服]],$P$29:$Q$36,2,FALSE)</f>
        <v>63</v>
      </c>
      <c r="C12" s="296" t="s">
        <v>120</v>
      </c>
      <c r="D12" s="212" t="str">
        <f>表1_86121822242664[[#This Row],[目标国家]]</f>
        <v>魏</v>
      </c>
      <c r="E12" s="213">
        <f>(VLOOKUP(表1_86121822242664[[#This Row],[目标区服]],$R$29:$S$32,2,FALSE)-表1_86121822242664[[#This Row],[开服天数]])*配置!$B$1</f>
        <v>1500</v>
      </c>
      <c r="F12" s="213">
        <f>表1_86121822242664[[#This Row],[补偿Coin]]*(表1_86121822242664[[#This Row],[活跃高战玩家数]]+表1_86121822242664[[#This Row],[活跃中坚玩家数]])</f>
        <v>33000</v>
      </c>
      <c r="G12" s="260">
        <f>(VLOOKUP(表1_86121822242664[[#This Row],[目标区服]],$R$29:$S$32,2,FALSE)-表1_86121822242664[[#This Row],[开服天数]])*配置!$B$2</f>
        <v>15</v>
      </c>
      <c r="H12" s="212" t="s">
        <v>26</v>
      </c>
      <c r="I12" s="268">
        <f>IF(表1_86121822242664[[#This Row],[原国家]]="魏",0,IF(表1_86121822242664[[#This Row],[原国家]]="蜀",1,2))</f>
        <v>1</v>
      </c>
      <c r="J12" s="213">
        <v>2</v>
      </c>
      <c r="K12" s="213">
        <v>88</v>
      </c>
      <c r="L12" s="213">
        <v>1</v>
      </c>
      <c r="M12" s="213">
        <v>21</v>
      </c>
      <c r="N12" s="213">
        <v>82054</v>
      </c>
      <c r="O12" s="419">
        <v>3397258</v>
      </c>
      <c r="P12" s="420">
        <v>27637750</v>
      </c>
      <c r="Q12" s="31" t="s">
        <v>25</v>
      </c>
      <c r="R12" s="212">
        <f>IF(表1_86121822242664[[#This Row],[目标国家]]="魏",0,IF(表1_86121822242664[[#This Row],[目标国家]]="蜀",1,2))</f>
        <v>0</v>
      </c>
      <c r="S12" s="213">
        <v>75572</v>
      </c>
      <c r="T12" s="213">
        <v>0</v>
      </c>
      <c r="U12" s="213">
        <v>560074</v>
      </c>
      <c r="V12" s="213">
        <v>10198</v>
      </c>
      <c r="W12" s="213">
        <v>1014558</v>
      </c>
      <c r="X12" s="278" t="str">
        <f>"{"&amp;"'coin':"&amp;表1_86121822242664[[#This Row],[补偿Coin]]&amp;",'"&amp;配置!$A$2&amp;"':"&amp;表1_86121822242664[[#This Row],[补偿辎重]]&amp;"},"</f>
        <v>{'coin':1500,'item036':15},</v>
      </c>
      <c r="Y12" s="278" t="str">
        <f>"            'to_zone':'"&amp;表1_86121822242664[[#This Row],[目标区服]]&amp;"',
            'reward':"&amp;表1_86121822242664[[#This Row],[辅助导出]]&amp;"
            'country':["&amp;R11&amp;","&amp;R12&amp;","&amp;R13&amp;"],"</f>
        <v>            'to_zone':'h1_58',
            'reward':{'coin':1500,'item036':15},
            'country':[0,0,2],</v>
      </c>
    </row>
    <row r="13" s="354" customFormat="1" ht="14.25" customHeight="1" spans="1:25">
      <c r="A13" s="259">
        <v>137</v>
      </c>
      <c r="B13" s="210">
        <f>VLOOKUP(表1_86121822242664[[#This Row],[区服]],$P$29:$Q$36,2,FALSE)</f>
        <v>63</v>
      </c>
      <c r="C13" s="296" t="s">
        <v>120</v>
      </c>
      <c r="D13" s="212" t="str">
        <f>表1_86121822242664[[#This Row],[目标国家]]</f>
        <v>吴</v>
      </c>
      <c r="E13" s="213">
        <f>(VLOOKUP(表1_86121822242664[[#This Row],[目标区服]],$R$29:$S$32,2,FALSE)-表1_86121822242664[[#This Row],[开服天数]])*配置!$B$1</f>
        <v>1500</v>
      </c>
      <c r="F13" s="213">
        <f>表1_86121822242664[[#This Row],[补偿Coin]]*(表1_86121822242664[[#This Row],[活跃高战玩家数]]+表1_86121822242664[[#This Row],[活跃中坚玩家数]])</f>
        <v>46500</v>
      </c>
      <c r="G13" s="260">
        <f>(VLOOKUP(表1_86121822242664[[#This Row],[目标区服]],$R$29:$S$32,2,FALSE)-表1_86121822242664[[#This Row],[开服天数]])*配置!$B$2</f>
        <v>15</v>
      </c>
      <c r="H13" s="212" t="s">
        <v>27</v>
      </c>
      <c r="I13" s="268">
        <f>IF(表1_86121822242664[[#This Row],[原国家]]="魏",0,IF(表1_86121822242664[[#This Row],[原国家]]="蜀",1,2))</f>
        <v>2</v>
      </c>
      <c r="J13" s="213">
        <v>6</v>
      </c>
      <c r="K13" s="213">
        <v>241</v>
      </c>
      <c r="L13" s="213">
        <v>5</v>
      </c>
      <c r="M13" s="213">
        <v>26</v>
      </c>
      <c r="N13" s="213">
        <v>146043</v>
      </c>
      <c r="O13" s="419">
        <v>4768741</v>
      </c>
      <c r="P13" s="420">
        <v>48368999</v>
      </c>
      <c r="Q13" s="31" t="s">
        <v>27</v>
      </c>
      <c r="R13" s="212">
        <f>IF(表1_86121822242664[[#This Row],[目标国家]]="魏",0,IF(表1_86121822242664[[#This Row],[目标国家]]="蜀",1,2))</f>
        <v>2</v>
      </c>
      <c r="S13" s="213">
        <v>265246</v>
      </c>
      <c r="T13" s="213">
        <v>0</v>
      </c>
      <c r="U13" s="213">
        <v>1320108</v>
      </c>
      <c r="V13" s="213">
        <v>21963</v>
      </c>
      <c r="W13" s="213">
        <v>1172059</v>
      </c>
      <c r="X13" s="278" t="str">
        <f>"{"&amp;"'coin':"&amp;表1_86121822242664[[#This Row],[补偿Coin]]&amp;",'"&amp;配置!$A$2&amp;"':"&amp;表1_86121822242664[[#This Row],[补偿辎重]]&amp;"},"</f>
        <v>{'coin':1500,'item036':15},</v>
      </c>
      <c r="Y13" s="278" t="str">
        <f t="shared" ref="Y13" si="1">"      },"</f>
        <v>      },</v>
      </c>
    </row>
    <row r="14" ht="14.25" customHeight="1" spans="1:25">
      <c r="A14" s="17">
        <v>138</v>
      </c>
      <c r="B14" s="17">
        <f>VLOOKUP(表1_86121822242664[[#This Row],[区服]],$P$29:$Q$36,2,FALSE)</f>
        <v>62</v>
      </c>
      <c r="C14" s="18" t="s">
        <v>121</v>
      </c>
      <c r="D14" s="19" t="str">
        <f>表1_86121822242664[[#This Row],[目标国家]]</f>
        <v>魏</v>
      </c>
      <c r="E14" s="20">
        <f>(VLOOKUP(表1_86121822242664[[#This Row],[目标区服]],$R$29:$S$32,2,FALSE)-表1_86121822242664[[#This Row],[开服天数]])*配置!$B$1</f>
        <v>1000</v>
      </c>
      <c r="F14" s="20">
        <f>表1_86121822242664[[#This Row],[补偿Coin]]*(表1_86121822242664[[#This Row],[活跃高战玩家数]]+表1_86121822242664[[#This Row],[活跃中坚玩家数]])</f>
        <v>35000</v>
      </c>
      <c r="G14" s="20">
        <f>(VLOOKUP(表1_86121822242664[[#This Row],[目标区服]],$R$29:$S$32,2,FALSE)-表1_86121822242664[[#This Row],[开服天数]])*配置!$B$2</f>
        <v>10</v>
      </c>
      <c r="H14" s="19" t="s">
        <v>25</v>
      </c>
      <c r="I14" s="19">
        <f>IF(表1_86121822242664[[#This Row],[原国家]]="魏",0,IF(表1_86121822242664[[#This Row],[原国家]]="蜀",1,2))</f>
        <v>0</v>
      </c>
      <c r="J14" s="20">
        <v>9</v>
      </c>
      <c r="K14" s="20">
        <v>322</v>
      </c>
      <c r="L14" s="20">
        <v>9</v>
      </c>
      <c r="M14" s="20">
        <v>26</v>
      </c>
      <c r="N14" s="20">
        <v>196084</v>
      </c>
      <c r="O14" s="20">
        <v>5028646</v>
      </c>
      <c r="P14" s="26">
        <v>50418923</v>
      </c>
      <c r="Q14" s="31" t="s">
        <v>25</v>
      </c>
      <c r="R14" s="19">
        <f>IF(表1_86121822242664[[#This Row],[目标国家]]="魏",0,IF(表1_86121822242664[[#This Row],[目标国家]]="蜀",1,2))</f>
        <v>0</v>
      </c>
      <c r="S14" s="20">
        <v>312332</v>
      </c>
      <c r="T14" s="20">
        <v>976</v>
      </c>
      <c r="U14" s="20">
        <v>2052498</v>
      </c>
      <c r="V14" s="20">
        <v>25576</v>
      </c>
      <c r="W14" s="32">
        <v>1320536</v>
      </c>
      <c r="X14" s="33" t="str">
        <f>"{"&amp;"'coin':"&amp;表1_86121822242664[[#This Row],[补偿Coin]]&amp;",'"&amp;配置!$A$2&amp;"':"&amp;表1_86121822242664[[#This Row],[补偿辎重]]&amp;"},"</f>
        <v>{'coin':1000,'item036':10},</v>
      </c>
      <c r="Y14" s="34" t="str">
        <f>"      '"&amp;表1_86121822242664[[#This Row],[区服]]&amp;"':{"</f>
        <v>      '138':{</v>
      </c>
    </row>
    <row r="15" ht="14.25" customHeight="1" spans="1:25">
      <c r="A15" s="17">
        <v>138</v>
      </c>
      <c r="B15" s="17">
        <f>VLOOKUP(表1_86121822242664[[#This Row],[区服]],$P$29:$Q$36,2,FALSE)</f>
        <v>62</v>
      </c>
      <c r="C15" s="18" t="s">
        <v>121</v>
      </c>
      <c r="D15" s="19" t="str">
        <f>表1_86121822242664[[#This Row],[目标国家]]</f>
        <v>蜀</v>
      </c>
      <c r="E15" s="20">
        <f>(VLOOKUP(表1_86121822242664[[#This Row],[目标区服]],$R$29:$S$32,2,FALSE)-表1_86121822242664[[#This Row],[开服天数]])*配置!$B$1</f>
        <v>1000</v>
      </c>
      <c r="F15" s="20">
        <f>表1_86121822242664[[#This Row],[补偿Coin]]*(表1_86121822242664[[#This Row],[活跃高战玩家数]]+表1_86121822242664[[#This Row],[活跃中坚玩家数]])</f>
        <v>20000</v>
      </c>
      <c r="G15" s="20">
        <f>(VLOOKUP(表1_86121822242664[[#This Row],[目标区服]],$R$29:$S$32,2,FALSE)-表1_86121822242664[[#This Row],[开服天数]])*配置!$B$2</f>
        <v>10</v>
      </c>
      <c r="H15" s="19" t="s">
        <v>26</v>
      </c>
      <c r="I15" s="19">
        <f>IF(表1_86121822242664[[#This Row],[原国家]]="魏",0,IF(表1_86121822242664[[#This Row],[原国家]]="蜀",1,2))</f>
        <v>1</v>
      </c>
      <c r="J15" s="20">
        <v>0</v>
      </c>
      <c r="K15" s="20">
        <v>33</v>
      </c>
      <c r="L15" s="20">
        <v>0</v>
      </c>
      <c r="M15" s="20">
        <v>20</v>
      </c>
      <c r="N15" s="20">
        <v>44029</v>
      </c>
      <c r="O15" s="20">
        <v>1176759</v>
      </c>
      <c r="P15" s="26">
        <v>13633632</v>
      </c>
      <c r="Q15" s="31" t="s">
        <v>26</v>
      </c>
      <c r="R15" s="19">
        <f>IF(表1_86121822242664[[#This Row],[目标国家]]="魏",0,IF(表1_86121822242664[[#This Row],[目标国家]]="蜀",1,2))</f>
        <v>1</v>
      </c>
      <c r="S15" s="20">
        <v>11778</v>
      </c>
      <c r="T15" s="20">
        <v>0</v>
      </c>
      <c r="U15" s="20">
        <v>112729</v>
      </c>
      <c r="V15" s="20">
        <v>3499</v>
      </c>
      <c r="W15" s="32">
        <v>371628</v>
      </c>
      <c r="X15" s="33" t="str">
        <f>"{"&amp;"'coin':"&amp;表1_86121822242664[[#This Row],[补偿Coin]]&amp;",'"&amp;配置!$A$2&amp;"':"&amp;表1_86121822242664[[#This Row],[补偿辎重]]&amp;"},"</f>
        <v>{'coin':1000,'item036':10},</v>
      </c>
      <c r="Y15" s="34" t="str">
        <f>"            'to_zone':'"&amp;表1_86121822242664[[#This Row],[目标区服]]&amp;"',
            'reward':"&amp;表1_86121822242664[[#This Row],[辅助导出]]&amp;"
            'country':["&amp;R14&amp;","&amp;R15&amp;","&amp;R16&amp;"],"</f>
        <v>            'to_zone':'h1_59',
            'reward':{'coin':1000,'item036':10},
            'country':[0,1,1],</v>
      </c>
    </row>
    <row r="16" ht="14.25" customHeight="1" spans="1:25">
      <c r="A16" s="17">
        <v>138</v>
      </c>
      <c r="B16" s="17">
        <f>VLOOKUP(表1_86121822242664[[#This Row],[区服]],$P$29:$Q$36,2,FALSE)</f>
        <v>62</v>
      </c>
      <c r="C16" s="18" t="s">
        <v>121</v>
      </c>
      <c r="D16" s="19" t="str">
        <f>表1_86121822242664[[#This Row],[目标国家]]</f>
        <v>蜀</v>
      </c>
      <c r="E16" s="20">
        <f>(VLOOKUP(表1_86121822242664[[#This Row],[目标区服]],$R$29:$S$32,2,FALSE)-表1_86121822242664[[#This Row],[开服天数]])*配置!$B$1</f>
        <v>1000</v>
      </c>
      <c r="F16" s="20">
        <f>表1_86121822242664[[#This Row],[补偿Coin]]*(表1_86121822242664[[#This Row],[活跃高战玩家数]]+表1_86121822242664[[#This Row],[活跃中坚玩家数]])</f>
        <v>11000</v>
      </c>
      <c r="G16" s="20">
        <f>(VLOOKUP(表1_86121822242664[[#This Row],[目标区服]],$R$29:$S$32,2,FALSE)-表1_86121822242664[[#This Row],[开服天数]])*配置!$B$2</f>
        <v>10</v>
      </c>
      <c r="H16" s="19" t="s">
        <v>27</v>
      </c>
      <c r="I16" s="19">
        <f>IF(表1_86121822242664[[#This Row],[原国家]]="魏",0,IF(表1_86121822242664[[#This Row],[原国家]]="蜀",1,2))</f>
        <v>2</v>
      </c>
      <c r="J16" s="20">
        <v>0</v>
      </c>
      <c r="K16" s="20">
        <v>40</v>
      </c>
      <c r="L16" s="20">
        <v>1</v>
      </c>
      <c r="M16" s="20">
        <v>10</v>
      </c>
      <c r="N16" s="20">
        <v>33578</v>
      </c>
      <c r="O16" s="20">
        <v>2017591</v>
      </c>
      <c r="P16" s="26">
        <v>9674377</v>
      </c>
      <c r="Q16" s="31" t="s">
        <v>26</v>
      </c>
      <c r="R16" s="19">
        <f>IF(表1_86121822242664[[#This Row],[目标国家]]="魏",0,IF(表1_86121822242664[[#This Row],[目标国家]]="蜀",1,2))</f>
        <v>1</v>
      </c>
      <c r="S16" s="20">
        <v>53246</v>
      </c>
      <c r="T16" s="20">
        <v>0</v>
      </c>
      <c r="U16" s="20">
        <v>224066</v>
      </c>
      <c r="V16" s="20">
        <v>5262</v>
      </c>
      <c r="W16" s="32">
        <v>707509</v>
      </c>
      <c r="X16" s="33" t="str">
        <f>"{"&amp;"'coin':"&amp;表1_86121822242664[[#This Row],[补偿Coin]]&amp;",'"&amp;配置!$A$2&amp;"':"&amp;表1_86121822242664[[#This Row],[补偿辎重]]&amp;"},"</f>
        <v>{'coin':1000,'item036':10},</v>
      </c>
      <c r="Y16" s="34" t="str">
        <f t="shared" ref="Y16" si="2">"      },"</f>
        <v>      },</v>
      </c>
    </row>
    <row r="17" ht="14.25" customHeight="1" spans="1:25">
      <c r="A17" s="17">
        <v>139</v>
      </c>
      <c r="B17" s="17">
        <f>VLOOKUP(表1_86121822242664[[#This Row],[区服]],$P$29:$Q$36,2,FALSE)</f>
        <v>61</v>
      </c>
      <c r="C17" s="18" t="s">
        <v>121</v>
      </c>
      <c r="D17" s="19" t="str">
        <f>表1_86121822242664[[#This Row],[目标国家]]</f>
        <v>吴</v>
      </c>
      <c r="E17" s="20">
        <f>(VLOOKUP(表1_86121822242664[[#This Row],[目标区服]],$R$29:$S$32,2,FALSE)-表1_86121822242664[[#This Row],[开服天数]])*配置!$B$1</f>
        <v>1500</v>
      </c>
      <c r="F17" s="20">
        <f>表1_86121822242664[[#This Row],[补偿Coin]]*(表1_86121822242664[[#This Row],[活跃高战玩家数]]+表1_86121822242664[[#This Row],[活跃中坚玩家数]])</f>
        <v>33000</v>
      </c>
      <c r="G17" s="20">
        <f>(VLOOKUP(表1_86121822242664[[#This Row],[目标区服]],$R$29:$S$32,2,FALSE)-表1_86121822242664[[#This Row],[开服天数]])*配置!$B$2</f>
        <v>15</v>
      </c>
      <c r="H17" s="19" t="s">
        <v>25</v>
      </c>
      <c r="I17" s="19">
        <f>IF(表1_86121822242664[[#This Row],[原国家]]="魏",0,IF(表1_86121822242664[[#This Row],[原国家]]="蜀",1,2))</f>
        <v>0</v>
      </c>
      <c r="J17" s="20">
        <v>3</v>
      </c>
      <c r="K17" s="20">
        <v>97</v>
      </c>
      <c r="L17" s="20">
        <v>2</v>
      </c>
      <c r="M17" s="20">
        <v>20</v>
      </c>
      <c r="N17" s="20">
        <v>85231</v>
      </c>
      <c r="O17" s="20">
        <v>3057775</v>
      </c>
      <c r="P17" s="26">
        <v>26750481</v>
      </c>
      <c r="Q17" s="31" t="s">
        <v>27</v>
      </c>
      <c r="R17" s="19">
        <f>IF(表1_86121822242664[[#This Row],[目标国家]]="魏",0,IF(表1_86121822242664[[#This Row],[目标国家]]="蜀",1,2))</f>
        <v>2</v>
      </c>
      <c r="S17" s="20">
        <v>58036</v>
      </c>
      <c r="T17" s="20">
        <v>0</v>
      </c>
      <c r="U17" s="20">
        <v>414451</v>
      </c>
      <c r="V17" s="20">
        <v>9377</v>
      </c>
      <c r="W17" s="32">
        <v>1132365</v>
      </c>
      <c r="X17" s="33" t="str">
        <f>"{"&amp;"'coin':"&amp;表1_86121822242664[[#This Row],[补偿Coin]]&amp;",'"&amp;配置!$A$2&amp;"':"&amp;表1_86121822242664[[#This Row],[补偿辎重]]&amp;"},"</f>
        <v>{'coin':1500,'item036':15},</v>
      </c>
      <c r="Y17" s="34" t="str">
        <f>"      '"&amp;表1_86121822242664[[#This Row],[区服]]&amp;"':{"</f>
        <v>      '139':{</v>
      </c>
    </row>
    <row r="18" ht="14.25" customHeight="1" spans="1:25">
      <c r="A18" s="17">
        <v>139</v>
      </c>
      <c r="B18" s="17">
        <f>VLOOKUP(表1_86121822242664[[#This Row],[区服]],$P$29:$Q$36,2,FALSE)</f>
        <v>61</v>
      </c>
      <c r="C18" s="18" t="s">
        <v>121</v>
      </c>
      <c r="D18" s="19" t="str">
        <f>表1_86121822242664[[#This Row],[目标国家]]</f>
        <v>蜀</v>
      </c>
      <c r="E18" s="20">
        <f>(VLOOKUP(表1_86121822242664[[#This Row],[目标区服]],$R$29:$S$32,2,FALSE)-表1_86121822242664[[#This Row],[开服天数]])*配置!$B$1</f>
        <v>1500</v>
      </c>
      <c r="F18" s="20">
        <f>表1_86121822242664[[#This Row],[补偿Coin]]*(表1_86121822242664[[#This Row],[活跃高战玩家数]]+表1_86121822242664[[#This Row],[活跃中坚玩家数]])</f>
        <v>54000</v>
      </c>
      <c r="G18" s="20">
        <f>(VLOOKUP(表1_86121822242664[[#This Row],[目标区服]],$R$29:$S$32,2,FALSE)-表1_86121822242664[[#This Row],[开服天数]])*配置!$B$2</f>
        <v>15</v>
      </c>
      <c r="H18" s="19" t="s">
        <v>26</v>
      </c>
      <c r="I18" s="19">
        <f>IF(表1_86121822242664[[#This Row],[原国家]]="魏",0,IF(表1_86121822242664[[#This Row],[原国家]]="蜀",1,2))</f>
        <v>1</v>
      </c>
      <c r="J18" s="20">
        <v>2</v>
      </c>
      <c r="K18" s="20">
        <v>120</v>
      </c>
      <c r="L18" s="20">
        <v>4</v>
      </c>
      <c r="M18" s="20">
        <v>32</v>
      </c>
      <c r="N18" s="20">
        <v>136404</v>
      </c>
      <c r="O18" s="20">
        <v>3959585</v>
      </c>
      <c r="P18" s="26">
        <v>44640411</v>
      </c>
      <c r="Q18" s="31" t="s">
        <v>26</v>
      </c>
      <c r="R18" s="19">
        <f>IF(表1_86121822242664[[#This Row],[目标国家]]="魏",0,IF(表1_86121822242664[[#This Row],[目标国家]]="蜀",1,2))</f>
        <v>1</v>
      </c>
      <c r="S18" s="20">
        <v>149770</v>
      </c>
      <c r="T18" s="20">
        <v>0</v>
      </c>
      <c r="U18" s="20">
        <v>755120</v>
      </c>
      <c r="V18" s="20">
        <v>15376</v>
      </c>
      <c r="W18" s="32">
        <v>1193927</v>
      </c>
      <c r="X18" s="33" t="str">
        <f>"{"&amp;"'coin':"&amp;表1_86121822242664[[#This Row],[补偿Coin]]&amp;",'"&amp;配置!$A$2&amp;"':"&amp;表1_86121822242664[[#This Row],[补偿辎重]]&amp;"},"</f>
        <v>{'coin':1500,'item036':15},</v>
      </c>
      <c r="Y18" s="34" t="str">
        <f>"            'to_zone':'"&amp;表1_86121822242664[[#This Row],[目标区服]]&amp;"',
            'reward':"&amp;表1_86121822242664[[#This Row],[辅助导出]]&amp;"
            'country':["&amp;R17&amp;","&amp;R18&amp;","&amp;R19&amp;"],"</f>
        <v>            'to_zone':'h1_59',
            'reward':{'coin':1500,'item036':15},
            'country':[2,1,2],</v>
      </c>
    </row>
    <row r="19" ht="14.25" customHeight="1" spans="1:25">
      <c r="A19" s="17">
        <v>139</v>
      </c>
      <c r="B19" s="17">
        <f>VLOOKUP(表1_86121822242664[[#This Row],[区服]],$P$29:$Q$36,2,FALSE)</f>
        <v>61</v>
      </c>
      <c r="C19" s="18" t="s">
        <v>121</v>
      </c>
      <c r="D19" s="19" t="str">
        <f>表1_86121822242664[[#This Row],[目标国家]]</f>
        <v>吴</v>
      </c>
      <c r="E19" s="20">
        <f>(VLOOKUP(表1_86121822242664[[#This Row],[目标区服]],$R$29:$S$32,2,FALSE)-表1_86121822242664[[#This Row],[开服天数]])*配置!$B$1</f>
        <v>1500</v>
      </c>
      <c r="F19" s="20">
        <f>表1_86121822242664[[#This Row],[补偿Coin]]*(表1_86121822242664[[#This Row],[活跃高战玩家数]]+表1_86121822242664[[#This Row],[活跃中坚玩家数]])</f>
        <v>40500</v>
      </c>
      <c r="G19" s="20">
        <f>(VLOOKUP(表1_86121822242664[[#This Row],[目标区服]],$R$29:$S$32,2,FALSE)-表1_86121822242664[[#This Row],[开服天数]])*配置!$B$2</f>
        <v>15</v>
      </c>
      <c r="H19" s="19" t="s">
        <v>27</v>
      </c>
      <c r="I19" s="19">
        <f>IF(表1_86121822242664[[#This Row],[原国家]]="魏",0,IF(表1_86121822242664[[#This Row],[原国家]]="蜀",1,2))</f>
        <v>2</v>
      </c>
      <c r="J19" s="20">
        <v>4</v>
      </c>
      <c r="K19" s="20">
        <v>178</v>
      </c>
      <c r="L19" s="20">
        <v>4</v>
      </c>
      <c r="M19" s="20">
        <v>23</v>
      </c>
      <c r="N19" s="20">
        <v>100378</v>
      </c>
      <c r="O19" s="20">
        <v>4365048</v>
      </c>
      <c r="P19" s="26">
        <v>34630981</v>
      </c>
      <c r="Q19" s="31" t="s">
        <v>27</v>
      </c>
      <c r="R19" s="19">
        <f>IF(表1_86121822242664[[#This Row],[目标国家]]="魏",0,IF(表1_86121822242664[[#This Row],[目标国家]]="蜀",1,2))</f>
        <v>2</v>
      </c>
      <c r="S19" s="20">
        <v>125720</v>
      </c>
      <c r="T19" s="20">
        <v>0</v>
      </c>
      <c r="U19" s="20">
        <v>1131195</v>
      </c>
      <c r="V19" s="20">
        <v>14847</v>
      </c>
      <c r="W19" s="32">
        <v>1228526</v>
      </c>
      <c r="X19" s="33" t="str">
        <f>"{"&amp;"'coin':"&amp;表1_86121822242664[[#This Row],[补偿Coin]]&amp;",'"&amp;配置!$A$2&amp;"':"&amp;表1_86121822242664[[#This Row],[补偿辎重]]&amp;"},"</f>
        <v>{'coin':1500,'item036':15},</v>
      </c>
      <c r="Y19" s="34" t="str">
        <f t="shared" ref="Y19" si="3">"      },"</f>
        <v>      },</v>
      </c>
    </row>
    <row r="20" ht="14.25" customHeight="1" spans="1:25">
      <c r="A20" s="367">
        <v>140</v>
      </c>
      <c r="B20" s="214">
        <f>VLOOKUP(表1_86121822242664[[#This Row],[区服]],$P$29:$Q$36,2,FALSE)</f>
        <v>60</v>
      </c>
      <c r="C20" s="293" t="s">
        <v>122</v>
      </c>
      <c r="D20" s="216" t="str">
        <f>表1_86121822242664[[#This Row],[目标国家]]</f>
        <v>蜀</v>
      </c>
      <c r="E20" s="413">
        <f>(VLOOKUP(表1_86121822242664[[#This Row],[目标区服]],$R$29:$S$32,2,FALSE)-表1_86121822242664[[#This Row],[开服天数]])*配置!$B$1</f>
        <v>1000</v>
      </c>
      <c r="F20" s="217">
        <f>表1_86121822242664[[#This Row],[补偿Coin]]*(表1_86121822242664[[#This Row],[活跃高战玩家数]]+表1_86121822242664[[#This Row],[活跃中坚玩家数]])</f>
        <v>22000</v>
      </c>
      <c r="G20" s="368">
        <f>(VLOOKUP(表1_86121822242664[[#This Row],[目标区服]],$R$29:$S$32,2,FALSE)-表1_86121822242664[[#This Row],[开服天数]])*配置!$B$2</f>
        <v>10</v>
      </c>
      <c r="H20" s="216" t="s">
        <v>25</v>
      </c>
      <c r="I20" s="377">
        <f>IF(表1_86121822242664[[#This Row],[原国家]]="魏",0,IF(表1_86121822242664[[#This Row],[原国家]]="蜀",1,2))</f>
        <v>0</v>
      </c>
      <c r="J20" s="217">
        <v>2</v>
      </c>
      <c r="K20" s="217">
        <v>105</v>
      </c>
      <c r="L20" s="217">
        <v>1</v>
      </c>
      <c r="M20" s="217">
        <v>21</v>
      </c>
      <c r="N20" s="217">
        <v>81330</v>
      </c>
      <c r="O20" s="378">
        <v>2767756</v>
      </c>
      <c r="P20" s="334">
        <v>26863517</v>
      </c>
      <c r="Q20" s="247" t="s">
        <v>26</v>
      </c>
      <c r="R20" s="216">
        <f>IF(表1_86121822242664[[#This Row],[目标国家]]="魏",0,IF(表1_86121822242664[[#This Row],[目标国家]]="蜀",1,2))</f>
        <v>1</v>
      </c>
      <c r="S20" s="217">
        <v>52552</v>
      </c>
      <c r="T20" s="217">
        <v>0</v>
      </c>
      <c r="U20" s="217">
        <v>281872</v>
      </c>
      <c r="V20" s="217">
        <v>8828</v>
      </c>
      <c r="W20" s="294">
        <v>856737</v>
      </c>
      <c r="X20" s="249" t="str">
        <f>"{"&amp;"'coin':"&amp;表1_86121822242664[[#This Row],[补偿Coin]]&amp;",'"&amp;配置!$A$2&amp;"':"&amp;表1_86121822242664[[#This Row],[补偿辎重]]&amp;"},"</f>
        <v>{'coin':1000,'item036':10},</v>
      </c>
      <c r="Y20" s="251" t="str">
        <f>"      '"&amp;表1_86121822242664[[#This Row],[区服]]&amp;"':{"</f>
        <v>      '140':{</v>
      </c>
    </row>
    <row r="21" ht="14.25" customHeight="1" spans="1:25">
      <c r="A21" s="367">
        <v>140</v>
      </c>
      <c r="B21" s="214">
        <f>VLOOKUP(表1_86121822242664[[#This Row],[区服]],$P$29:$Q$36,2,FALSE)</f>
        <v>60</v>
      </c>
      <c r="C21" s="293" t="s">
        <v>122</v>
      </c>
      <c r="D21" s="216" t="str">
        <f>表1_86121822242664[[#This Row],[目标国家]]</f>
        <v>蜀</v>
      </c>
      <c r="E21" s="413">
        <f>(VLOOKUP(表1_86121822242664[[#This Row],[目标区服]],$R$29:$S$32,2,FALSE)-表1_86121822242664[[#This Row],[开服天数]])*配置!$B$1</f>
        <v>1000</v>
      </c>
      <c r="F21" s="217">
        <f>表1_86121822242664[[#This Row],[补偿Coin]]*(表1_86121822242664[[#This Row],[活跃高战玩家数]]+表1_86121822242664[[#This Row],[活跃中坚玩家数]])</f>
        <v>23000</v>
      </c>
      <c r="G21" s="368">
        <f>(VLOOKUP(表1_86121822242664[[#This Row],[目标区服]],$R$29:$S$32,2,FALSE)-表1_86121822242664[[#This Row],[开服天数]])*配置!$B$2</f>
        <v>10</v>
      </c>
      <c r="H21" s="216" t="s">
        <v>26</v>
      </c>
      <c r="I21" s="377">
        <f>IF(表1_86121822242664[[#This Row],[原国家]]="魏",0,IF(表1_86121822242664[[#This Row],[原国家]]="蜀",1,2))</f>
        <v>1</v>
      </c>
      <c r="J21" s="217">
        <v>3</v>
      </c>
      <c r="K21" s="217">
        <v>162</v>
      </c>
      <c r="L21" s="217">
        <v>3</v>
      </c>
      <c r="M21" s="217">
        <v>20</v>
      </c>
      <c r="N21" s="217">
        <v>82805</v>
      </c>
      <c r="O21" s="378">
        <v>5019452</v>
      </c>
      <c r="P21" s="334">
        <v>33269053</v>
      </c>
      <c r="Q21" s="247" t="s">
        <v>26</v>
      </c>
      <c r="R21" s="216">
        <f>IF(表1_86121822242664[[#This Row],[目标国家]]="魏",0,IF(表1_86121822242664[[#This Row],[目标国家]]="蜀",1,2))</f>
        <v>1</v>
      </c>
      <c r="S21" s="217">
        <v>217408</v>
      </c>
      <c r="T21" s="217">
        <v>0</v>
      </c>
      <c r="U21" s="217">
        <v>216027</v>
      </c>
      <c r="V21" s="217">
        <v>17310</v>
      </c>
      <c r="W21" s="294">
        <v>1440203</v>
      </c>
      <c r="X21" s="249" t="str">
        <f>"{"&amp;"'coin':"&amp;表1_86121822242664[[#This Row],[补偿Coin]]&amp;",'"&amp;配置!$A$2&amp;"':"&amp;表1_86121822242664[[#This Row],[补偿辎重]]&amp;"},"</f>
        <v>{'coin':1000,'item036':10},</v>
      </c>
      <c r="Y21" s="251" t="str">
        <f>"            'to_zone':'"&amp;表1_86121822242664[[#This Row],[目标区服]]&amp;"',
            'reward':"&amp;表1_86121822242664[[#This Row],[辅助导出]]&amp;"
            'country':["&amp;R20&amp;","&amp;R21&amp;","&amp;R22&amp;"],"</f>
        <v>            'to_zone':'h1_60',
            'reward':{'coin':1000,'item036':10},
            'country':[1,1,2],</v>
      </c>
    </row>
    <row r="22" ht="14.25" customHeight="1" spans="1:25">
      <c r="A22" s="367">
        <v>140</v>
      </c>
      <c r="B22" s="214">
        <f>VLOOKUP(表1_86121822242664[[#This Row],[区服]],$P$29:$Q$36,2,FALSE)</f>
        <v>60</v>
      </c>
      <c r="C22" s="293" t="s">
        <v>122</v>
      </c>
      <c r="D22" s="216" t="str">
        <f>表1_86121822242664[[#This Row],[目标国家]]</f>
        <v>吴</v>
      </c>
      <c r="E22" s="413">
        <f>(VLOOKUP(表1_86121822242664[[#This Row],[目标区服]],$R$29:$S$32,2,FALSE)-表1_86121822242664[[#This Row],[开服天数]])*配置!$B$1</f>
        <v>1000</v>
      </c>
      <c r="F22" s="217">
        <f>表1_86121822242664[[#This Row],[补偿Coin]]*(表1_86121822242664[[#This Row],[活跃高战玩家数]]+表1_86121822242664[[#This Row],[活跃中坚玩家数]])</f>
        <v>34000</v>
      </c>
      <c r="G22" s="368">
        <f>(VLOOKUP(表1_86121822242664[[#This Row],[目标区服]],$R$29:$S$32,2,FALSE)-表1_86121822242664[[#This Row],[开服天数]])*配置!$B$2</f>
        <v>10</v>
      </c>
      <c r="H22" s="216" t="s">
        <v>27</v>
      </c>
      <c r="I22" s="377">
        <f>IF(表1_86121822242664[[#This Row],[原国家]]="魏",0,IF(表1_86121822242664[[#This Row],[原国家]]="蜀",1,2))</f>
        <v>2</v>
      </c>
      <c r="J22" s="217">
        <v>4</v>
      </c>
      <c r="K22" s="217">
        <v>128</v>
      </c>
      <c r="L22" s="217">
        <v>5</v>
      </c>
      <c r="M22" s="217">
        <v>29</v>
      </c>
      <c r="N22" s="217">
        <v>131672</v>
      </c>
      <c r="O22" s="378">
        <v>4544027</v>
      </c>
      <c r="P22" s="334">
        <v>48152380</v>
      </c>
      <c r="Q22" s="247" t="s">
        <v>27</v>
      </c>
      <c r="R22" s="216">
        <f>IF(表1_86121822242664[[#This Row],[目标国家]]="魏",0,IF(表1_86121822242664[[#This Row],[目标国家]]="蜀",1,2))</f>
        <v>2</v>
      </c>
      <c r="S22" s="217">
        <v>186212</v>
      </c>
      <c r="T22" s="217">
        <v>0</v>
      </c>
      <c r="U22" s="217">
        <v>150747</v>
      </c>
      <c r="V22" s="217">
        <v>17359</v>
      </c>
      <c r="W22" s="294">
        <v>1244630</v>
      </c>
      <c r="X22" s="249" t="str">
        <f>"{"&amp;"'coin':"&amp;表1_86121822242664[[#This Row],[补偿Coin]]&amp;",'"&amp;配置!$A$2&amp;"':"&amp;表1_86121822242664[[#This Row],[补偿辎重]]&amp;"},"</f>
        <v>{'coin':1000,'item036':10},</v>
      </c>
      <c r="Y22" s="251" t="str">
        <f t="shared" ref="Y22" si="4">"      },"</f>
        <v>      },</v>
      </c>
    </row>
    <row r="23" ht="14.25" customHeight="1" spans="1:25">
      <c r="A23" s="214">
        <v>141</v>
      </c>
      <c r="B23" s="214">
        <f>VLOOKUP(表1_86121822242664[[#This Row],[区服]],$P$29:$Q$36,2,FALSE)</f>
        <v>59</v>
      </c>
      <c r="C23" s="293" t="s">
        <v>122</v>
      </c>
      <c r="D23" s="216" t="str">
        <f>表1_86121822242664[[#This Row],[目标国家]]</f>
        <v>吴</v>
      </c>
      <c r="E23" s="217">
        <f>(VLOOKUP(表1_86121822242664[[#This Row],[目标区服]],$R$29:$S$32,2,FALSE)-表1_86121822242664[[#This Row],[开服天数]])*配置!$B$1</f>
        <v>1500</v>
      </c>
      <c r="F23" s="217">
        <f>表1_86121822242664[[#This Row],[补偿Coin]]*(表1_86121822242664[[#This Row],[活跃高战玩家数]]+表1_86121822242664[[#This Row],[活跃中坚玩家数]])</f>
        <v>34500</v>
      </c>
      <c r="G23" s="217">
        <f>(VLOOKUP(表1_86121822242664[[#This Row],[目标区服]],$R$29:$S$32,2,FALSE)-表1_86121822242664[[#This Row],[开服天数]])*配置!$B$2</f>
        <v>15</v>
      </c>
      <c r="H23" s="216" t="s">
        <v>25</v>
      </c>
      <c r="I23" s="216">
        <f>IF(表1_86121822242664[[#This Row],[原国家]]="魏",0,IF(表1_86121822242664[[#This Row],[原国家]]="蜀",1,2))</f>
        <v>0</v>
      </c>
      <c r="J23" s="217">
        <v>2</v>
      </c>
      <c r="K23" s="217">
        <v>90</v>
      </c>
      <c r="L23" s="217">
        <v>3</v>
      </c>
      <c r="M23" s="217">
        <v>20</v>
      </c>
      <c r="N23" s="217">
        <v>80033</v>
      </c>
      <c r="O23" s="217">
        <v>3622493</v>
      </c>
      <c r="P23" s="334">
        <v>27802947</v>
      </c>
      <c r="Q23" s="247" t="s">
        <v>27</v>
      </c>
      <c r="R23" s="216">
        <f>IF(表1_86121822242664[[#This Row],[目标国家]]="魏",0,IF(表1_86121822242664[[#This Row],[目标国家]]="蜀",1,2))</f>
        <v>2</v>
      </c>
      <c r="S23" s="217">
        <v>103782</v>
      </c>
      <c r="T23" s="217">
        <v>0</v>
      </c>
      <c r="U23" s="217">
        <v>301683</v>
      </c>
      <c r="V23" s="217">
        <v>11167</v>
      </c>
      <c r="W23" s="294">
        <v>1213897</v>
      </c>
      <c r="X23" s="249" t="str">
        <f>"{"&amp;"'coin':"&amp;表1_86121822242664[[#This Row],[补偿Coin]]&amp;",'"&amp;配置!$A$2&amp;"':"&amp;表1_86121822242664[[#This Row],[补偿辎重]]&amp;"},"</f>
        <v>{'coin':1500,'item036':15},</v>
      </c>
      <c r="Y23" s="251" t="str">
        <f>"      '"&amp;表1_86121822242664[[#This Row],[区服]]&amp;"':{"</f>
        <v>      '141':{</v>
      </c>
    </row>
    <row r="24" ht="14.25" customHeight="1" spans="1:25">
      <c r="A24" s="214">
        <v>141</v>
      </c>
      <c r="B24" s="214">
        <f>VLOOKUP(表1_86121822242664[[#This Row],[区服]],$P$29:$Q$36,2,FALSE)</f>
        <v>59</v>
      </c>
      <c r="C24" s="293" t="s">
        <v>122</v>
      </c>
      <c r="D24" s="216" t="str">
        <f>表1_86121822242664[[#This Row],[目标国家]]</f>
        <v>魏</v>
      </c>
      <c r="E24" s="217">
        <f>(VLOOKUP(表1_86121822242664[[#This Row],[目标区服]],$R$29:$S$32,2,FALSE)-表1_86121822242664[[#This Row],[开服天数]])*配置!$B$1</f>
        <v>1500</v>
      </c>
      <c r="F24" s="217">
        <f>表1_86121822242664[[#This Row],[补偿Coin]]*(表1_86121822242664[[#This Row],[活跃高战玩家数]]+表1_86121822242664[[#This Row],[活跃中坚玩家数]])</f>
        <v>45000</v>
      </c>
      <c r="G24" s="217">
        <f>(VLOOKUP(表1_86121822242664[[#This Row],[目标区服]],$R$29:$S$32,2,FALSE)-表1_86121822242664[[#This Row],[开服天数]])*配置!$B$2</f>
        <v>15</v>
      </c>
      <c r="H24" s="216" t="s">
        <v>26</v>
      </c>
      <c r="I24" s="216">
        <f>IF(表1_86121822242664[[#This Row],[原国家]]="魏",0,IF(表1_86121822242664[[#This Row],[原国家]]="蜀",1,2))</f>
        <v>1</v>
      </c>
      <c r="J24" s="217">
        <v>3</v>
      </c>
      <c r="K24" s="217">
        <v>164</v>
      </c>
      <c r="L24" s="217">
        <v>3</v>
      </c>
      <c r="M24" s="217">
        <v>27</v>
      </c>
      <c r="N24" s="217">
        <v>113584</v>
      </c>
      <c r="O24" s="217">
        <v>4714272</v>
      </c>
      <c r="P24" s="334">
        <v>38884634</v>
      </c>
      <c r="Q24" s="247" t="s">
        <v>25</v>
      </c>
      <c r="R24" s="216">
        <f>IF(表1_86121822242664[[#This Row],[目标国家]]="魏",0,IF(表1_86121822242664[[#This Row],[目标国家]]="蜀",1,2))</f>
        <v>0</v>
      </c>
      <c r="S24" s="217">
        <v>189746</v>
      </c>
      <c r="T24" s="217">
        <v>0</v>
      </c>
      <c r="U24" s="217">
        <v>1155300</v>
      </c>
      <c r="V24" s="217">
        <v>17380</v>
      </c>
      <c r="W24" s="294">
        <v>1296091</v>
      </c>
      <c r="X24" s="249" t="str">
        <f>"{"&amp;"'coin':"&amp;表1_86121822242664[[#This Row],[补偿Coin]]&amp;",'"&amp;配置!$A$2&amp;"':"&amp;表1_86121822242664[[#This Row],[补偿辎重]]&amp;"},"</f>
        <v>{'coin':1500,'item036':15},</v>
      </c>
      <c r="Y24" s="251" t="str">
        <f>"            'to_zone':'"&amp;表1_86121822242664[[#This Row],[目标区服]]&amp;"',
            'reward':"&amp;表1_86121822242664[[#This Row],[辅助导出]]&amp;"
            'country':["&amp;R23&amp;","&amp;R24&amp;","&amp;R25&amp;"],"</f>
        <v>            'to_zone':'h1_60',
            'reward':{'coin':1500,'item036':15},
            'country':[2,0,0],</v>
      </c>
    </row>
    <row r="25" ht="14.25" customHeight="1" spans="1:25">
      <c r="A25" s="214">
        <v>141</v>
      </c>
      <c r="B25" s="214">
        <f>VLOOKUP(表1_86121822242664[[#This Row],[区服]],$P$29:$Q$36,2,FALSE)</f>
        <v>59</v>
      </c>
      <c r="C25" s="293" t="s">
        <v>122</v>
      </c>
      <c r="D25" s="216" t="str">
        <f>表1_86121822242664[[#This Row],[目标国家]]</f>
        <v>魏</v>
      </c>
      <c r="E25" s="217">
        <f>(VLOOKUP(表1_86121822242664[[#This Row],[目标区服]],$R$29:$S$32,2,FALSE)-表1_86121822242664[[#This Row],[开服天数]])*配置!$B$1</f>
        <v>1500</v>
      </c>
      <c r="F25" s="217">
        <f>表1_86121822242664[[#This Row],[补偿Coin]]*(表1_86121822242664[[#This Row],[活跃高战玩家数]]+表1_86121822242664[[#This Row],[活跃中坚玩家数]])</f>
        <v>40500</v>
      </c>
      <c r="G25" s="217">
        <f>(VLOOKUP(表1_86121822242664[[#This Row],[目标区服]],$R$29:$S$32,2,FALSE)-表1_86121822242664[[#This Row],[开服天数]])*配置!$B$2</f>
        <v>15</v>
      </c>
      <c r="H25" s="216" t="s">
        <v>27</v>
      </c>
      <c r="I25" s="216">
        <f>IF(表1_86121822242664[[#This Row],[原国家]]="魏",0,IF(表1_86121822242664[[#This Row],[原国家]]="蜀",1,2))</f>
        <v>2</v>
      </c>
      <c r="J25" s="217">
        <v>4</v>
      </c>
      <c r="K25" s="217">
        <v>141</v>
      </c>
      <c r="L25" s="217">
        <v>3</v>
      </c>
      <c r="M25" s="217">
        <v>24</v>
      </c>
      <c r="N25" s="217">
        <v>114358</v>
      </c>
      <c r="O25" s="217">
        <v>4358213</v>
      </c>
      <c r="P25" s="334">
        <v>36436718</v>
      </c>
      <c r="Q25" s="247" t="s">
        <v>25</v>
      </c>
      <c r="R25" s="216">
        <f>IF(表1_86121822242664[[#This Row],[目标国家]]="魏",0,IF(表1_86121822242664[[#This Row],[目标国家]]="蜀",1,2))</f>
        <v>0</v>
      </c>
      <c r="S25" s="217">
        <v>150008</v>
      </c>
      <c r="T25" s="217">
        <v>0</v>
      </c>
      <c r="U25" s="217">
        <v>587462</v>
      </c>
      <c r="V25" s="217">
        <v>15177</v>
      </c>
      <c r="W25" s="294">
        <v>1235845</v>
      </c>
      <c r="X25" s="249" t="str">
        <f>"{"&amp;"'coin':"&amp;表1_86121822242664[[#This Row],[补偿Coin]]&amp;",'"&amp;配置!$A$2&amp;"':"&amp;表1_86121822242664[[#This Row],[补偿辎重]]&amp;"},"</f>
        <v>{'coin':1500,'item036':15},</v>
      </c>
      <c r="Y25" s="251" t="str">
        <f t="shared" ref="Y25" si="5">"      },"</f>
        <v>      },</v>
      </c>
    </row>
    <row r="28" ht="37.5" customHeight="1" spans="1:19">
      <c r="A28" s="36" t="s">
        <v>28</v>
      </c>
      <c r="B28" s="37" t="s">
        <v>29</v>
      </c>
      <c r="C28" s="38" t="s">
        <v>30</v>
      </c>
      <c r="D28" s="38" t="s">
        <v>31</v>
      </c>
      <c r="E28" s="38" t="s">
        <v>32</v>
      </c>
      <c r="F28" s="38" t="s">
        <v>33</v>
      </c>
      <c r="G28" s="38" t="s">
        <v>15</v>
      </c>
      <c r="H28" s="37" t="s">
        <v>18</v>
      </c>
      <c r="I28" s="37" t="s">
        <v>19</v>
      </c>
      <c r="J28" s="37" t="s">
        <v>34</v>
      </c>
      <c r="K28" s="38" t="s">
        <v>35</v>
      </c>
      <c r="L28" s="38" t="s">
        <v>36</v>
      </c>
      <c r="M28" s="38" t="s">
        <v>37</v>
      </c>
      <c r="N28" s="38" t="s">
        <v>88</v>
      </c>
      <c r="P28" s="51" t="s">
        <v>0</v>
      </c>
      <c r="Q28" s="51" t="s">
        <v>1</v>
      </c>
      <c r="R28" s="51"/>
      <c r="S28" s="51" t="s">
        <v>38</v>
      </c>
    </row>
    <row r="29" ht="15.75" customHeight="1" spans="1:19">
      <c r="A29" s="39" t="s">
        <v>119</v>
      </c>
      <c r="B29" s="39" t="s">
        <v>25</v>
      </c>
      <c r="C29" s="39">
        <f>COUNTIFS(表1_86121822242664[目标区服],表2_97131923252765[[#This Row],[合区区服]],表1_86121822242664[目标国家（映射）],表2_97131923252765[[#This Row],[国家]])</f>
        <v>1</v>
      </c>
      <c r="D29" s="39">
        <f>SUMIFS(表1_86121822242664[活跃高战玩家数],表1_86121822242664[目标区服],表2_97131923252765[[#This Row],[合区区服]],表1_86121822242664[目标国家（映射）],表2_97131923252765[[#This Row],[国家]])</f>
        <v>9</v>
      </c>
      <c r="E29" s="39">
        <f>SUMIFS(表1_86121822242664[活跃中坚玩家数],表1_86121822242664[目标区服],表2_97131923252765[[#This Row],[合区区服]],表1_86121822242664[目标国家（映射）],表2_97131923252765[[#This Row],[国家]])</f>
        <v>28</v>
      </c>
      <c r="F29" s="39">
        <f t="array" ref="F29">MAX((表1_86121822242664[目标区服]=表2_97131923252765[[#This Row],[合区区服]])*(表1_86121822242664[目标国家（映射）]=表2_97131923252765[[#This Row],[国家]])*表1_86121822242664[活跃尖端战力])</f>
        <v>4538688</v>
      </c>
      <c r="G29" s="40">
        <f>SUMIFS(表1_86121822242664[活跃总战力],表1_86121822242664[目标区服],表2_97131923252765[[#This Row],[合区区服]],表1_86121822242664[目标国家（映射）],表2_97131923252765[[#This Row],[国家]])</f>
        <v>58520965</v>
      </c>
      <c r="H29" s="39">
        <f>SUMIFS(表1_86121822242664[活跃实际充值],表1_86121822242664[目标区服],表2_97131923252765[[#This Row],[合区区服]],表1_86121822242664[目标国家（映射）],表2_97131923252765[[#This Row],[国家]])</f>
        <v>325308</v>
      </c>
      <c r="I29" s="39">
        <f>SUMIFS(表1_86121822242664[活跃虚拟充值],表1_86121822242664[目标区服],表2_97131923252765[[#This Row],[合区区服]],表1_86121822242664[目标国家（映射）],表2_97131923252765[[#This Row],[国家]])</f>
        <v>0</v>
      </c>
      <c r="J29" s="39">
        <f>SUMIFS(表1_86121822242664[活跃Coin],表1_86121822242664[目标区服],表2_97131923252765[[#This Row],[合区区服]],表1_86121822242664[目标国家（映射）],表2_97131923252765[[#This Row],[国家]])</f>
        <v>1627748</v>
      </c>
      <c r="K29" s="39">
        <f>SUMIFS(表1_86121822242664[共计补偿Coin],表1_86121822242664[目标区服],表2_97131923252765[[#This Row],[合区区服]],表1_86121822242664[目标国家（映射）],表2_97131923252765[[#This Row],[国家]])</f>
        <v>37000</v>
      </c>
      <c r="L29" s="39">
        <f>表2_97131923252765[[#This Row],[活跃Coin]]+表2_97131923252765[[#This Row],[共计补偿Coin]]</f>
        <v>1664748</v>
      </c>
      <c r="M29" s="39">
        <f>SUMIFS(表1_86121822242664[综合国力],表1_86121822242664[目标区服],表2_97131923252765[[#This Row],[合区区服]],表1_86121822242664[目标国家（映射）],表2_97131923252765[[#This Row],[国家]])</f>
        <v>25218</v>
      </c>
      <c r="N29" s="39">
        <f t="array" ref="N29">MAX((表1_86121822242664[目标区服]=表2_97131923252765[[#This Row],[合区区服]])*(表1_86121822242664[目标国家（映射）]=表2_97131923252765[[#This Row],[国家]])*表1_86121822242664[单将最高战力])</f>
        <v>1211040</v>
      </c>
      <c r="P29" s="51">
        <v>134</v>
      </c>
      <c r="Q29" s="51">
        <v>66</v>
      </c>
      <c r="R29" s="51" t="s">
        <v>119</v>
      </c>
      <c r="S29" s="51">
        <v>68</v>
      </c>
    </row>
    <row r="30" ht="15" spans="1:19">
      <c r="A30" s="39" t="s">
        <v>119</v>
      </c>
      <c r="B30" s="39" t="s">
        <v>26</v>
      </c>
      <c r="C30" s="39">
        <f>COUNTIFS(表1_86121822242664[目标区服],表2_97131923252765[[#This Row],[合区区服]],表1_86121822242664[目标国家（映射）],表2_97131923252765[[#This Row],[国家]])</f>
        <v>3</v>
      </c>
      <c r="D30" s="39">
        <f>SUMIFS(表1_86121822242664[活跃高战玩家数],表1_86121822242664[目标区服],表2_97131923252765[[#This Row],[合区区服]],表1_86121822242664[目标国家（映射）],表2_97131923252765[[#This Row],[国家]])</f>
        <v>5</v>
      </c>
      <c r="E30" s="39">
        <f>SUMIFS(表1_86121822242664[活跃中坚玩家数],表1_86121822242664[目标区服],表2_97131923252765[[#This Row],[合区区服]],表1_86121822242664[目标国家（映射）],表2_97131923252765[[#This Row],[国家]])</f>
        <v>50</v>
      </c>
      <c r="F30" s="39">
        <f t="array" ref="F30">MAX((表1_86121822242664[目标区服]=表2_97131923252765[[#This Row],[合区区服]])*(表1_86121822242664[目标国家（映射）]=表2_97131923252765[[#This Row],[国家]])*表1_86121822242664[活跃尖端战力])</f>
        <v>2722650</v>
      </c>
      <c r="G30" s="40">
        <f>SUMIFS(表1_86121822242664[活跃总战力],表1_86121822242664[目标区服],表2_97131923252765[[#This Row],[合区区服]],表1_86121822242664[目标国家（映射）],表2_97131923252765[[#This Row],[国家]])</f>
        <v>63464333</v>
      </c>
      <c r="H30" s="39">
        <f>SUMIFS(表1_86121822242664[活跃实际充值],表1_86121822242664[目标区服],表2_97131923252765[[#This Row],[合区区服]],表1_86121822242664[目标国家（映射）],表2_97131923252765[[#This Row],[国家]])</f>
        <v>110264</v>
      </c>
      <c r="I30" s="39">
        <f>SUMIFS(表1_86121822242664[活跃虚拟充值],表1_86121822242664[目标区服],表2_97131923252765[[#This Row],[合区区服]],表1_86121822242664[目标国家（映射）],表2_97131923252765[[#This Row],[国家]])</f>
        <v>0</v>
      </c>
      <c r="J30" s="39">
        <f>SUMIFS(表1_86121822242664[活跃Coin],表1_86121822242664[目标区服],表2_97131923252765[[#This Row],[合区区服]],表1_86121822242664[目标国家（映射）],表2_97131923252765[[#This Row],[国家]])</f>
        <v>1550488</v>
      </c>
      <c r="K30" s="39">
        <f>SUMIFS(表1_86121822242664[共计补偿Coin],表1_86121822242664[目标区服],表2_97131923252765[[#This Row],[合区区服]],表1_86121822242664[目标国家（映射）],表2_97131923252765[[#This Row],[国家]])</f>
        <v>66500</v>
      </c>
      <c r="L30" s="39">
        <f>表2_97131923252765[[#This Row],[活跃Coin]]+表2_97131923252765[[#This Row],[共计补偿Coin]]</f>
        <v>1616988</v>
      </c>
      <c r="M30" s="39">
        <f>SUMIFS(表1_86121822242664[综合国力],表1_86121822242664[目标区服],表2_97131923252765[[#This Row],[合区区服]],表1_86121822242664[目标国家（映射）],表2_97131923252765[[#This Row],[国家]])</f>
        <v>21939</v>
      </c>
      <c r="N30" s="39">
        <f t="array" ref="N30">MAX((表1_86121822242664[目标区服]=表2_97131923252765[[#This Row],[合区区服]])*(表1_86121822242664[目标国家（映射）]=表2_97131923252765[[#This Row],[国家]])*表1_86121822242664[单将最高战力])</f>
        <v>930426</v>
      </c>
      <c r="P30" s="51">
        <v>135</v>
      </c>
      <c r="Q30" s="51">
        <v>65</v>
      </c>
      <c r="R30" s="51" t="s">
        <v>120</v>
      </c>
      <c r="S30" s="51">
        <v>66</v>
      </c>
    </row>
    <row r="31" ht="15" spans="1:19">
      <c r="A31" s="39" t="s">
        <v>119</v>
      </c>
      <c r="B31" s="39" t="s">
        <v>27</v>
      </c>
      <c r="C31" s="39">
        <f>COUNTIFS(表1_86121822242664[目标区服],表2_97131923252765[[#This Row],[合区区服]],表1_86121822242664[目标国家（映射）],表2_97131923252765[[#This Row],[国家]])</f>
        <v>2</v>
      </c>
      <c r="D31" s="39">
        <f>SUMIFS(表1_86121822242664[活跃高战玩家数],表1_86121822242664[目标区服],表2_97131923252765[[#This Row],[合区区服]],表1_86121822242664[目标国家（映射）],表2_97131923252765[[#This Row],[国家]])</f>
        <v>5</v>
      </c>
      <c r="E31" s="39">
        <f>SUMIFS(表1_86121822242664[活跃中坚玩家数],表1_86121822242664[目标区服],表2_97131923252765[[#This Row],[合区区服]],表1_86121822242664[目标国家（映射）],表2_97131923252765[[#This Row],[国家]])</f>
        <v>41</v>
      </c>
      <c r="F31" s="39">
        <f t="array" ref="F31">MAX((表1_86121822242664[目标区服]=表2_97131923252765[[#This Row],[合区区服]])*(表1_86121822242664[目标国家（映射）]=表2_97131923252765[[#This Row],[国家]])*表1_86121822242664[活跃尖端战力])</f>
        <v>3014782</v>
      </c>
      <c r="G31" s="40">
        <f>SUMIFS(表1_86121822242664[活跃总战力],表1_86121822242664[目标区服],表2_97131923252765[[#This Row],[合区区服]],表1_86121822242664[目标国家（映射）],表2_97131923252765[[#This Row],[国家]])</f>
        <v>48070254</v>
      </c>
      <c r="H31" s="39">
        <f>SUMIFS(表1_86121822242664[活跃实际充值],表1_86121822242664[目标区服],表2_97131923252765[[#This Row],[合区区服]],表1_86121822242664[目标国家（映射）],表2_97131923252765[[#This Row],[国家]])</f>
        <v>71714</v>
      </c>
      <c r="I31" s="39">
        <f>SUMIFS(表1_86121822242664[活跃虚拟充值],表1_86121822242664[目标区服],表2_97131923252765[[#This Row],[合区区服]],表1_86121822242664[目标国家（映射）],表2_97131923252765[[#This Row],[国家]])</f>
        <v>0</v>
      </c>
      <c r="J31" s="39">
        <f>SUMIFS(表1_86121822242664[活跃Coin],表1_86121822242664[目标区服],表2_97131923252765[[#This Row],[合区区服]],表1_86121822242664[目标国家（映射）],表2_97131923252765[[#This Row],[国家]])</f>
        <v>1594075</v>
      </c>
      <c r="K31" s="39">
        <f>SUMIFS(表1_86121822242664[共计补偿Coin],表1_86121822242664[目标区服],表2_97131923252765[[#This Row],[合区区服]],表1_86121822242664[目标国家（映射）],表2_97131923252765[[#This Row],[国家]])</f>
        <v>69000</v>
      </c>
      <c r="L31" s="39">
        <f>表2_97131923252765[[#This Row],[活跃Coin]]+表2_97131923252765[[#This Row],[共计补偿Coin]]</f>
        <v>1663075</v>
      </c>
      <c r="M31" s="39">
        <f>SUMIFS(表1_86121822242664[综合国力],表1_86121822242664[目标区服],表2_97131923252765[[#This Row],[合区区服]],表1_86121822242664[目标国家（映射）],表2_97131923252765[[#This Row],[国家]])</f>
        <v>16086</v>
      </c>
      <c r="N31" s="39">
        <f t="array" ref="N31">MAX((表1_86121822242664[目标区服]=表2_97131923252765[[#This Row],[合区区服]])*(表1_86121822242664[目标国家（映射）]=表2_97131923252765[[#This Row],[国家]])*表1_86121822242664[单将最高战力])</f>
        <v>954501</v>
      </c>
      <c r="P31" s="51">
        <v>136</v>
      </c>
      <c r="Q31" s="51">
        <v>64</v>
      </c>
      <c r="R31" s="51" t="s">
        <v>121</v>
      </c>
      <c r="S31" s="51">
        <v>64</v>
      </c>
    </row>
    <row r="32" ht="15" spans="1:19">
      <c r="A32" s="41" t="s">
        <v>120</v>
      </c>
      <c r="B32" s="41" t="s">
        <v>25</v>
      </c>
      <c r="C32" s="41">
        <f>COUNTIFS(表1_86121822242664[目标区服],表2_97131923252765[[#This Row],[合区区服]],表1_86121822242664[目标国家（映射）],表2_97131923252765[[#This Row],[国家]])</f>
        <v>3</v>
      </c>
      <c r="D32" s="41">
        <f>SUMIFS(表1_86121822242664[活跃高战玩家数],表1_86121822242664[目标区服],表2_97131923252765[[#This Row],[合区区服]],表1_86121822242664[目标国家（映射）],表2_97131923252765[[#This Row],[国家]])</f>
        <v>6</v>
      </c>
      <c r="E32" s="41">
        <f>SUMIFS(表1_86121822242664[活跃中坚玩家数],表1_86121822242664[目标区服],表2_97131923252765[[#This Row],[合区区服]],表1_86121822242664[目标国家（映射）],表2_97131923252765[[#This Row],[国家]])</f>
        <v>50</v>
      </c>
      <c r="F32" s="41">
        <f t="array" ref="F32">MAX((表1_86121822242664[目标区服]=表2_97131923252765[[#This Row],[合区区服]])*(表1_86121822242664[目标国家（映射）]=表2_97131923252765[[#This Row],[国家]])*表1_86121822242664[活跃尖端战力])</f>
        <v>3937878</v>
      </c>
      <c r="G32" s="42">
        <f>SUMIFS(表1_86121822242664[活跃总战力],表1_86121822242664[目标区服],表2_97131923252765[[#This Row],[合区区服]],表1_86121822242664[目标国家（映射）],表2_97131923252765[[#This Row],[国家]])</f>
        <v>69616819</v>
      </c>
      <c r="H32" s="41">
        <f>SUMIFS(表1_86121822242664[活跃实际充值],表1_86121822242664[目标区服],表2_97131923252765[[#This Row],[合区区服]],表1_86121822242664[目标国家（映射）],表2_97131923252765[[#This Row],[国家]])</f>
        <v>211626</v>
      </c>
      <c r="I32" s="41">
        <f>SUMIFS(表1_86121822242664[活跃虚拟充值],表1_86121822242664[目标区服],表2_97131923252765[[#This Row],[合区区服]],表1_86121822242664[目标国家（映射）],表2_97131923252765[[#This Row],[国家]])</f>
        <v>0</v>
      </c>
      <c r="J32" s="41">
        <f>SUMIFS(表1_86121822242664[活跃Coin],表1_86121822242664[目标区服],表2_97131923252765[[#This Row],[合区区服]],表1_86121822242664[目标国家（映射）],表2_97131923252765[[#This Row],[国家]])</f>
        <v>1353531</v>
      </c>
      <c r="K32" s="41">
        <f>SUMIFS(表1_86121822242664[共计补偿Coin],表1_86121822242664[目标区服],表2_97131923252765[[#This Row],[合区区服]],表1_86121822242664[目标国家（映射）],表2_97131923252765[[#This Row],[国家]])</f>
        <v>78000</v>
      </c>
      <c r="L32" s="41">
        <f>表2_97131923252765[[#This Row],[活跃Coin]]+表2_97131923252765[[#This Row],[共计补偿Coin]]</f>
        <v>1431531</v>
      </c>
      <c r="M32" s="41">
        <f>SUMIFS(表1_86121822242664[综合国力],表1_86121822242664[目标区服],表2_97131923252765[[#This Row],[合区区服]],表1_86121822242664[目标国家（映射）],表2_97131923252765[[#This Row],[国家]])</f>
        <v>26928</v>
      </c>
      <c r="N32" s="41">
        <f t="array" ref="N32">MAX((表1_86121822242664[目标区服]=表2_97131923252765[[#This Row],[合区区服]])*(表1_86121822242664[目标国家（映射）]=表2_97131923252765[[#This Row],[国家]])*表1_86121822242664[单将最高战力])</f>
        <v>1148812</v>
      </c>
      <c r="P32" s="51">
        <v>137</v>
      </c>
      <c r="Q32" s="51">
        <v>63</v>
      </c>
      <c r="R32" s="51" t="s">
        <v>122</v>
      </c>
      <c r="S32" s="51">
        <v>62</v>
      </c>
    </row>
    <row r="33" ht="15" spans="1:17">
      <c r="A33" s="41" t="s">
        <v>120</v>
      </c>
      <c r="B33" s="41" t="s">
        <v>26</v>
      </c>
      <c r="C33" s="41">
        <f>COUNTIFS(表1_86121822242664[目标区服],表2_97131923252765[[#This Row],[合区区服]],表1_86121822242664[目标国家（映射）],表2_97131923252765[[#This Row],[国家]])</f>
        <v>1</v>
      </c>
      <c r="D33" s="41">
        <f>SUMIFS(表1_86121822242664[活跃高战玩家数],表1_86121822242664[目标区服],表2_97131923252765[[#This Row],[合区区服]],表1_86121822242664[目标国家（映射）],表2_97131923252765[[#This Row],[国家]])</f>
        <v>6</v>
      </c>
      <c r="E33" s="41">
        <f>SUMIFS(表1_86121822242664[活跃中坚玩家数],表1_86121822242664[目标区服],表2_97131923252765[[#This Row],[合区区服]],表1_86121822242664[目标国家（映射）],表2_97131923252765[[#This Row],[国家]])</f>
        <v>36</v>
      </c>
      <c r="F33" s="41">
        <f t="array" ref="F33">MAX((表1_86121822242664[目标区服]=表2_97131923252765[[#This Row],[合区区服]])*(表1_86121822242664[目标国家（映射）]=表2_97131923252765[[#This Row],[国家]])*表1_86121822242664[活跃尖端战力])</f>
        <v>4791896</v>
      </c>
      <c r="G33" s="42">
        <f>SUMIFS(表1_86121822242664[活跃总战力],表1_86121822242664[目标区服],表2_97131923252765[[#This Row],[合区区服]],表1_86121822242664[目标国家（映射）],表2_97131923252765[[#This Row],[国家]])</f>
        <v>52802850</v>
      </c>
      <c r="H33" s="41">
        <f>SUMIFS(表1_86121822242664[活跃实际充值],表1_86121822242664[目标区服],表2_97131923252765[[#This Row],[合区区服]],表1_86121822242664[目标国家（映射）],表2_97131923252765[[#This Row],[国家]])</f>
        <v>236362</v>
      </c>
      <c r="I33" s="41">
        <f>SUMIFS(表1_86121822242664[活跃虚拟充值],表1_86121822242664[目标区服],表2_97131923252765[[#This Row],[合区区服]],表1_86121822242664[目标国家（映射）],表2_97131923252765[[#This Row],[国家]])</f>
        <v>0</v>
      </c>
      <c r="J33" s="41">
        <f>SUMIFS(表1_86121822242664[活跃Coin],表1_86121822242664[目标区服],表2_97131923252765[[#This Row],[合区区服]],表1_86121822242664[目标国家（映射）],表2_97131923252765[[#This Row],[国家]])</f>
        <v>1914596</v>
      </c>
      <c r="K33" s="41">
        <f>SUMIFS(表1_86121822242664[共计补偿Coin],表1_86121822242664[目标区服],表2_97131923252765[[#This Row],[合区区服]],表1_86121822242664[目标国家（映射）],表2_97131923252765[[#This Row],[国家]])</f>
        <v>42000</v>
      </c>
      <c r="L33" s="41">
        <f>表2_97131923252765[[#This Row],[活跃Coin]]+表2_97131923252765[[#This Row],[共计补偿Coin]]</f>
        <v>1956596</v>
      </c>
      <c r="M33" s="41">
        <f>SUMIFS(表1_86121822242664[综合国力],表1_86121822242664[目标区服],表2_97131923252765[[#This Row],[合区区服]],表1_86121822242664[目标国家（映射）],表2_97131923252765[[#This Row],[国家]])</f>
        <v>21940</v>
      </c>
      <c r="N33" s="41">
        <f t="array" ref="N33">MAX((表1_86121822242664[目标区服]=表2_97131923252765[[#This Row],[合区区服]])*(表1_86121822242664[目标国家（映射）]=表2_97131923252765[[#This Row],[国家]])*表1_86121822242664[单将最高战力])</f>
        <v>1151434</v>
      </c>
      <c r="P33" s="51">
        <v>138</v>
      </c>
      <c r="Q33" s="51">
        <v>62</v>
      </c>
    </row>
    <row r="34" ht="15" spans="1:17">
      <c r="A34" s="41" t="s">
        <v>120</v>
      </c>
      <c r="B34" s="43" t="s">
        <v>27</v>
      </c>
      <c r="C34" s="43">
        <f>COUNTIFS(表1_86121822242664[目标区服],表2_97131923252765[[#This Row],[合区区服]],表1_86121822242664[目标国家（映射）],表2_97131923252765[[#This Row],[国家]])</f>
        <v>2</v>
      </c>
      <c r="D34" s="43">
        <f>SUMIFS(表1_86121822242664[活跃高战玩家数],表1_86121822242664[目标区服],表2_97131923252765[[#This Row],[合区区服]],表1_86121822242664[目标国家（映射）],表2_97131923252765[[#This Row],[国家]])</f>
        <v>7</v>
      </c>
      <c r="E34" s="43">
        <f>SUMIFS(表1_86121822242664[活跃中坚玩家数],表1_86121822242664[目标区服],表2_97131923252765[[#This Row],[合区区服]],表1_86121822242664[目标国家（映射）],表2_97131923252765[[#This Row],[国家]])</f>
        <v>40</v>
      </c>
      <c r="F34" s="43">
        <f t="array" ref="F34">MAX((表1_86121822242664[目标区服]=表2_97131923252765[[#This Row],[合区区服]])*(表1_86121822242664[目标国家（映射）]=表2_97131923252765[[#This Row],[国家]])*表1_86121822242664[活跃尖端战力])</f>
        <v>4768741</v>
      </c>
      <c r="G34" s="44">
        <f>SUMIFS(表1_86121822242664[活跃总战力],表1_86121822242664[目标区服],表2_97131923252765[[#This Row],[合区区服]],表1_86121822242664[目标国家（映射）],表2_97131923252765[[#This Row],[国家]])</f>
        <v>63533438</v>
      </c>
      <c r="H34" s="43">
        <f>SUMIFS(表1_86121822242664[活跃实际充值],表1_86121822242664[目标区服],表2_97131923252765[[#This Row],[合区区服]],表1_86121822242664[目标国家（映射）],表2_97131923252765[[#This Row],[国家]])</f>
        <v>301472</v>
      </c>
      <c r="I34" s="43">
        <f>SUMIFS(表1_86121822242664[活跃虚拟充值],表1_86121822242664[目标区服],表2_97131923252765[[#This Row],[合区区服]],表1_86121822242664[目标国家（映射）],表2_97131923252765[[#This Row],[国家]])</f>
        <v>0</v>
      </c>
      <c r="J34" s="43">
        <f>SUMIFS(表1_86121822242664[活跃Coin],表1_86121822242664[目标区服],表2_97131923252765[[#This Row],[合区区服]],表1_86121822242664[目标国家（映射）],表2_97131923252765[[#This Row],[国家]])</f>
        <v>1556985</v>
      </c>
      <c r="K34" s="43">
        <f>SUMIFS(表1_86121822242664[共计补偿Coin],表1_86121822242664[目标区服],表2_97131923252765[[#This Row],[合区区服]],表1_86121822242664[目标国家（映射）],表2_97131923252765[[#This Row],[国家]])</f>
        <v>62500</v>
      </c>
      <c r="L34" s="43">
        <f>表2_97131923252765[[#This Row],[活跃Coin]]+表2_97131923252765[[#This Row],[共计补偿Coin]]</f>
        <v>1619485</v>
      </c>
      <c r="M34" s="43">
        <f>SUMIFS(表1_86121822242664[综合国力],表1_86121822242664[目标区服],表2_97131923252765[[#This Row],[合区区服]],表1_86121822242664[目标国家（映射）],表2_97131923252765[[#This Row],[国家]])</f>
        <v>28783</v>
      </c>
      <c r="N34" s="41">
        <f t="array" ref="N34">MAX((表1_86121822242664[目标区服]=表2_97131923252765[[#This Row],[合区区服]])*(表1_86121822242664[目标国家（映射）]=表2_97131923252765[[#This Row],[国家]])*表1_86121822242664[单将最高战力])</f>
        <v>1172059</v>
      </c>
      <c r="P34" s="51">
        <v>139</v>
      </c>
      <c r="Q34" s="51">
        <v>61</v>
      </c>
    </row>
    <row r="35" ht="15" spans="1:17">
      <c r="A35" s="45" t="s">
        <v>121</v>
      </c>
      <c r="B35" s="46" t="s">
        <v>25</v>
      </c>
      <c r="C35" s="46">
        <f>COUNTIFS(表1_86121822242664[目标区服],表2_97131923252765[[#This Row],[合区区服]],表1_86121822242664[目标国家（映射）],表2_97131923252765[[#This Row],[国家]])</f>
        <v>1</v>
      </c>
      <c r="D35" s="46">
        <f>SUMIFS(表1_86121822242664[活跃高战玩家数],表1_86121822242664[目标区服],表2_97131923252765[[#This Row],[合区区服]],表1_86121822242664[目标国家（映射）],表2_97131923252765[[#This Row],[国家]])</f>
        <v>9</v>
      </c>
      <c r="E35" s="46">
        <f>SUMIFS(表1_86121822242664[活跃中坚玩家数],表1_86121822242664[目标区服],表2_97131923252765[[#This Row],[合区区服]],表1_86121822242664[目标国家（映射）],表2_97131923252765[[#This Row],[国家]])</f>
        <v>26</v>
      </c>
      <c r="F35" s="46">
        <f t="array" ref="F35">MAX((表1_86121822242664[目标区服]=表2_97131923252765[[#This Row],[合区区服]])*(表1_86121822242664[目标国家（映射）]=表2_97131923252765[[#This Row],[国家]])*表1_86121822242664[活跃尖端战力])</f>
        <v>5028646</v>
      </c>
      <c r="G35" s="47">
        <f>SUMIFS(表1_86121822242664[活跃总战力],表1_86121822242664[目标区服],表2_97131923252765[[#This Row],[合区区服]],表1_86121822242664[目标国家（映射）],表2_97131923252765[[#This Row],[国家]])</f>
        <v>50418923</v>
      </c>
      <c r="H35" s="46">
        <f>SUMIFS(表1_86121822242664[活跃实际充值],表1_86121822242664[目标区服],表2_97131923252765[[#This Row],[合区区服]],表1_86121822242664[目标国家（映射）],表2_97131923252765[[#This Row],[国家]])</f>
        <v>312332</v>
      </c>
      <c r="I35" s="46">
        <f>SUMIFS(表1_86121822242664[活跃虚拟充值],表1_86121822242664[目标区服],表2_97131923252765[[#This Row],[合区区服]],表1_86121822242664[目标国家（映射）],表2_97131923252765[[#This Row],[国家]])</f>
        <v>976</v>
      </c>
      <c r="J35" s="46">
        <f>SUMIFS(表1_86121822242664[活跃Coin],表1_86121822242664[目标区服],表2_97131923252765[[#This Row],[合区区服]],表1_86121822242664[目标国家（映射）],表2_97131923252765[[#This Row],[国家]])</f>
        <v>2052498</v>
      </c>
      <c r="K35" s="46">
        <f>SUMIFS(表1_86121822242664[共计补偿Coin],表1_86121822242664[目标区服],表2_97131923252765[[#This Row],[合区区服]],表1_86121822242664[目标国家（映射）],表2_97131923252765[[#This Row],[国家]])</f>
        <v>35000</v>
      </c>
      <c r="L35" s="46">
        <f>表2_97131923252765[[#This Row],[活跃Coin]]+表2_97131923252765[[#This Row],[共计补偿Coin]]</f>
        <v>2087498</v>
      </c>
      <c r="M35" s="46">
        <f>SUMIFS(表1_86121822242664[综合国力],表1_86121822242664[目标区服],表2_97131923252765[[#This Row],[合区区服]],表1_86121822242664[目标国家（映射）],表2_97131923252765[[#This Row],[国家]])</f>
        <v>25576</v>
      </c>
      <c r="N35" s="46">
        <f t="array" ref="N35">MAX((表1_86121822242664[目标区服]=表2_97131923252765[[#This Row],[合区区服]])*(表1_86121822242664[目标国家（映射）]=表2_97131923252765[[#This Row],[国家]])*表1_86121822242664[单将最高战力])</f>
        <v>1320536</v>
      </c>
      <c r="P35" s="51">
        <v>140</v>
      </c>
      <c r="Q35" s="51">
        <v>60</v>
      </c>
    </row>
    <row r="36" ht="15" spans="1:17">
      <c r="A36" s="45" t="s">
        <v>121</v>
      </c>
      <c r="B36" s="46" t="s">
        <v>26</v>
      </c>
      <c r="C36" s="46">
        <f>COUNTIFS(表1_86121822242664[目标区服],表2_97131923252765[[#This Row],[合区区服]],表1_86121822242664[目标国家（映射）],表2_97131923252765[[#This Row],[国家]])</f>
        <v>3</v>
      </c>
      <c r="D36" s="46">
        <f>SUMIFS(表1_86121822242664[活跃高战玩家数],表1_86121822242664[目标区服],表2_97131923252765[[#This Row],[合区区服]],表1_86121822242664[目标国家（映射）],表2_97131923252765[[#This Row],[国家]])</f>
        <v>5</v>
      </c>
      <c r="E36" s="46">
        <f>SUMIFS(表1_86121822242664[活跃中坚玩家数],表1_86121822242664[目标区服],表2_97131923252765[[#This Row],[合区区服]],表1_86121822242664[目标国家（映射）],表2_97131923252765[[#This Row],[国家]])</f>
        <v>62</v>
      </c>
      <c r="F36" s="46">
        <f t="array" ref="F36">MAX((表1_86121822242664[目标区服]=表2_97131923252765[[#This Row],[合区区服]])*(表1_86121822242664[目标国家（映射）]=表2_97131923252765[[#This Row],[国家]])*表1_86121822242664[活跃尖端战力])</f>
        <v>3959585</v>
      </c>
      <c r="G36" s="47">
        <f>SUMIFS(表1_86121822242664[活跃总战力],表1_86121822242664[目标区服],表2_97131923252765[[#This Row],[合区区服]],表1_86121822242664[目标国家（映射）],表2_97131923252765[[#This Row],[国家]])</f>
        <v>67948420</v>
      </c>
      <c r="H36" s="46">
        <f>SUMIFS(表1_86121822242664[活跃实际充值],表1_86121822242664[目标区服],表2_97131923252765[[#This Row],[合区区服]],表1_86121822242664[目标国家（映射）],表2_97131923252765[[#This Row],[国家]])</f>
        <v>214794</v>
      </c>
      <c r="I36" s="46">
        <f>SUMIFS(表1_86121822242664[活跃虚拟充值],表1_86121822242664[目标区服],表2_97131923252765[[#This Row],[合区区服]],表1_86121822242664[目标国家（映射）],表2_97131923252765[[#This Row],[国家]])</f>
        <v>0</v>
      </c>
      <c r="J36" s="46">
        <f>SUMIFS(表1_86121822242664[活跃Coin],表1_86121822242664[目标区服],表2_97131923252765[[#This Row],[合区区服]],表1_86121822242664[目标国家（映射）],表2_97131923252765[[#This Row],[国家]])</f>
        <v>1091915</v>
      </c>
      <c r="K36" s="46">
        <f>SUMIFS(表1_86121822242664[共计补偿Coin],表1_86121822242664[目标区服],表2_97131923252765[[#This Row],[合区区服]],表1_86121822242664[目标国家（映射）],表2_97131923252765[[#This Row],[国家]])</f>
        <v>85000</v>
      </c>
      <c r="L36" s="46">
        <f>表2_97131923252765[[#This Row],[活跃Coin]]+表2_97131923252765[[#This Row],[共计补偿Coin]]</f>
        <v>1176915</v>
      </c>
      <c r="M36" s="46">
        <f>SUMIFS(表1_86121822242664[综合国力],表1_86121822242664[目标区服],表2_97131923252765[[#This Row],[合区区服]],表1_86121822242664[目标国家（映射）],表2_97131923252765[[#This Row],[国家]])</f>
        <v>24137</v>
      </c>
      <c r="N36" s="46">
        <f t="array" ref="N36">MAX((表1_86121822242664[目标区服]=表2_97131923252765[[#This Row],[合区区服]])*(表1_86121822242664[目标国家（映射）]=表2_97131923252765[[#This Row],[国家]])*表1_86121822242664[单将最高战力])</f>
        <v>1193927</v>
      </c>
      <c r="P36" s="51">
        <v>141</v>
      </c>
      <c r="Q36" s="51">
        <v>59</v>
      </c>
    </row>
    <row r="37" ht="15" spans="1:14">
      <c r="A37" s="45" t="s">
        <v>121</v>
      </c>
      <c r="B37" s="48" t="s">
        <v>27</v>
      </c>
      <c r="C37" s="48">
        <f>COUNTIFS(表1_86121822242664[目标区服],表2_97131923252765[[#This Row],[合区区服]],表1_86121822242664[目标国家（映射）],表2_97131923252765[[#This Row],[国家]])</f>
        <v>2</v>
      </c>
      <c r="D37" s="48">
        <f>SUMIFS(表1_86121822242664[活跃高战玩家数],表1_86121822242664[目标区服],表2_97131923252765[[#This Row],[合区区服]],表1_86121822242664[目标国家（映射）],表2_97131923252765[[#This Row],[国家]])</f>
        <v>6</v>
      </c>
      <c r="E37" s="48">
        <f>SUMIFS(表1_86121822242664[活跃中坚玩家数],表1_86121822242664[目标区服],表2_97131923252765[[#This Row],[合区区服]],表1_86121822242664[目标国家（映射）],表2_97131923252765[[#This Row],[国家]])</f>
        <v>43</v>
      </c>
      <c r="F37" s="48">
        <f t="array" ref="F37">MAX((表1_86121822242664[目标区服]=表2_97131923252765[[#This Row],[合区区服]])*(表1_86121822242664[目标国家（映射）]=表2_97131923252765[[#This Row],[国家]])*表1_86121822242664[活跃尖端战力])</f>
        <v>4365048</v>
      </c>
      <c r="G37" s="458">
        <f>SUMIFS(表1_86121822242664[活跃总战力],表1_86121822242664[目标区服],表2_97131923252765[[#This Row],[合区区服]],表1_86121822242664[目标国家（映射）],表2_97131923252765[[#This Row],[国家]])</f>
        <v>61381462</v>
      </c>
      <c r="H37" s="48">
        <f>SUMIFS(表1_86121822242664[活跃实际充值],表1_86121822242664[目标区服],表2_97131923252765[[#This Row],[合区区服]],表1_86121822242664[目标国家（映射）],表2_97131923252765[[#This Row],[国家]])</f>
        <v>183756</v>
      </c>
      <c r="I37" s="48">
        <f>SUMIFS(表1_86121822242664[活跃虚拟充值],表1_86121822242664[目标区服],表2_97131923252765[[#This Row],[合区区服]],表1_86121822242664[目标国家（映射）],表2_97131923252765[[#This Row],[国家]])</f>
        <v>0</v>
      </c>
      <c r="J37" s="48">
        <f>SUMIFS(表1_86121822242664[活跃Coin],表1_86121822242664[目标区服],表2_97131923252765[[#This Row],[合区区服]],表1_86121822242664[目标国家（映射）],表2_97131923252765[[#This Row],[国家]])</f>
        <v>1545646</v>
      </c>
      <c r="K37" s="48">
        <f>SUMIFS(表1_86121822242664[共计补偿Coin],表1_86121822242664[目标区服],表2_97131923252765[[#This Row],[合区区服]],表1_86121822242664[目标国家（映射）],表2_97131923252765[[#This Row],[国家]])</f>
        <v>73500</v>
      </c>
      <c r="L37" s="48">
        <f>表2_97131923252765[[#This Row],[活跃Coin]]+表2_97131923252765[[#This Row],[共计补偿Coin]]</f>
        <v>1619146</v>
      </c>
      <c r="M37" s="48">
        <f>SUMIFS(表1_86121822242664[综合国力],表1_86121822242664[目标区服],表2_97131923252765[[#This Row],[合区区服]],表1_86121822242664[目标国家（映射）],表2_97131923252765[[#This Row],[国家]])</f>
        <v>24224</v>
      </c>
      <c r="N37" s="46">
        <f t="array" ref="N37">MAX((表1_86121822242664[目标区服]=表2_97131923252765[[#This Row],[合区区服]])*(表1_86121822242664[目标国家（映射）]=表2_97131923252765[[#This Row],[国家]])*表1_86121822242664[单将最高战力])</f>
        <v>1228526</v>
      </c>
    </row>
    <row r="38" ht="15" spans="1:14">
      <c r="A38" s="308" t="s">
        <v>122</v>
      </c>
      <c r="B38" s="224" t="s">
        <v>25</v>
      </c>
      <c r="C38" s="224">
        <f>COUNTIFS(表1_86121822242664[目标区服],表2_97131923252765[[#This Row],[合区区服]],表1_86121822242664[目标国家（映射）],表2_97131923252765[[#This Row],[国家]])</f>
        <v>2</v>
      </c>
      <c r="D38" s="224">
        <f>SUMIFS(表1_86121822242664[活跃高战玩家数],表1_86121822242664[目标区服],表2_97131923252765[[#This Row],[合区区服]],表1_86121822242664[目标国家（映射）],表2_97131923252765[[#This Row],[国家]])</f>
        <v>6</v>
      </c>
      <c r="E38" s="224">
        <f>SUMIFS(表1_86121822242664[活跃中坚玩家数],表1_86121822242664[目标区服],表2_97131923252765[[#This Row],[合区区服]],表1_86121822242664[目标国家（映射）],表2_97131923252765[[#This Row],[国家]])</f>
        <v>51</v>
      </c>
      <c r="F38" s="224">
        <f t="array" ref="F38">MAX((表1_86121822242664[目标区服]=表2_97131923252765[[#This Row],[合区区服]])*(表1_86121822242664[目标国家（映射）]=表2_97131923252765[[#This Row],[国家]])*表1_86121822242664[活跃尖端战力])</f>
        <v>4714272</v>
      </c>
      <c r="G38" s="225">
        <f>SUMIFS(表1_86121822242664[活跃总战力],表1_86121822242664[目标区服],表2_97131923252765[[#This Row],[合区区服]],表1_86121822242664[目标国家（映射）],表2_97131923252765[[#This Row],[国家]])</f>
        <v>75321352</v>
      </c>
      <c r="H38" s="224">
        <f>SUMIFS(表1_86121822242664[活跃实际充值],表1_86121822242664[目标区服],表2_97131923252765[[#This Row],[合区区服]],表1_86121822242664[目标国家（映射）],表2_97131923252765[[#This Row],[国家]])</f>
        <v>339754</v>
      </c>
      <c r="I38" s="224">
        <f>SUMIFS(表1_86121822242664[活跃虚拟充值],表1_86121822242664[目标区服],表2_97131923252765[[#This Row],[合区区服]],表1_86121822242664[目标国家（映射）],表2_97131923252765[[#This Row],[国家]])</f>
        <v>0</v>
      </c>
      <c r="J38" s="224">
        <f>SUMIFS(表1_86121822242664[活跃Coin],表1_86121822242664[目标区服],表2_97131923252765[[#This Row],[合区区服]],表1_86121822242664[目标国家（映射）],表2_97131923252765[[#This Row],[国家]])</f>
        <v>1742762</v>
      </c>
      <c r="K38" s="224">
        <f>SUMIFS(表1_86121822242664[共计补偿Coin],表1_86121822242664[目标区服],表2_97131923252765[[#This Row],[合区区服]],表1_86121822242664[目标国家（映射）],表2_97131923252765[[#This Row],[国家]])</f>
        <v>85500</v>
      </c>
      <c r="L38" s="224">
        <f>表2_97131923252765[[#This Row],[活跃Coin]]+表2_97131923252765[[#This Row],[共计补偿Coin]]</f>
        <v>1828262</v>
      </c>
      <c r="M38" s="224">
        <f>SUMIFS(表1_86121822242664[综合国力],表1_86121822242664[目标区服],表2_97131923252765[[#This Row],[合区区服]],表1_86121822242664[目标国家（映射）],表2_97131923252765[[#This Row],[国家]])</f>
        <v>32557</v>
      </c>
      <c r="N38" s="471">
        <f t="array" ref="N38">MAX((表1_86121822242664[目标区服]=表2_97131923252765[[#This Row],[合区区服]])*(表1_86121822242664[目标国家（映射）]=表2_97131923252765[[#This Row],[国家]])*表1_86121822242664[单将最高战力])</f>
        <v>1296091</v>
      </c>
    </row>
    <row r="39" ht="15" spans="1:14">
      <c r="A39" s="308" t="s">
        <v>122</v>
      </c>
      <c r="B39" s="224" t="s">
        <v>26</v>
      </c>
      <c r="C39" s="224">
        <f>COUNTIFS(表1_86121822242664[目标区服],表2_97131923252765[[#This Row],[合区区服]],表1_86121822242664[目标国家（映射）],表2_97131923252765[[#This Row],[国家]])</f>
        <v>2</v>
      </c>
      <c r="D39" s="224">
        <f>SUMIFS(表1_86121822242664[活跃高战玩家数],表1_86121822242664[目标区服],表2_97131923252765[[#This Row],[合区区服]],表1_86121822242664[目标国家（映射）],表2_97131923252765[[#This Row],[国家]])</f>
        <v>4</v>
      </c>
      <c r="E39" s="224">
        <f>SUMIFS(表1_86121822242664[活跃中坚玩家数],表1_86121822242664[目标区服],表2_97131923252765[[#This Row],[合区区服]],表1_86121822242664[目标国家（映射）],表2_97131923252765[[#This Row],[国家]])</f>
        <v>41</v>
      </c>
      <c r="F39" s="224">
        <f t="array" ref="F39">MAX((表1_86121822242664[目标区服]=表2_97131923252765[[#This Row],[合区区服]])*(表1_86121822242664[目标国家（映射）]=表2_97131923252765[[#This Row],[国家]])*表1_86121822242664[活跃尖端战力])</f>
        <v>5019452</v>
      </c>
      <c r="G39" s="225">
        <f>SUMIFS(表1_86121822242664[活跃总战力],表1_86121822242664[目标区服],表2_97131923252765[[#This Row],[合区区服]],表1_86121822242664[目标国家（映射）],表2_97131923252765[[#This Row],[国家]])</f>
        <v>60132570</v>
      </c>
      <c r="H39" s="224">
        <f>SUMIFS(表1_86121822242664[活跃实际充值],表1_86121822242664[目标区服],表2_97131923252765[[#This Row],[合区区服]],表1_86121822242664[目标国家（映射）],表2_97131923252765[[#This Row],[国家]])</f>
        <v>269960</v>
      </c>
      <c r="I39" s="224">
        <f>SUMIFS(表1_86121822242664[活跃虚拟充值],表1_86121822242664[目标区服],表2_97131923252765[[#This Row],[合区区服]],表1_86121822242664[目标国家（映射）],表2_97131923252765[[#This Row],[国家]])</f>
        <v>0</v>
      </c>
      <c r="J39" s="224">
        <f>SUMIFS(表1_86121822242664[活跃Coin],表1_86121822242664[目标区服],表2_97131923252765[[#This Row],[合区区服]],表1_86121822242664[目标国家（映射）],表2_97131923252765[[#This Row],[国家]])</f>
        <v>497899</v>
      </c>
      <c r="K39" s="224">
        <f>SUMIFS(表1_86121822242664[共计补偿Coin],表1_86121822242664[目标区服],表2_97131923252765[[#This Row],[合区区服]],表1_86121822242664[目标国家（映射）],表2_97131923252765[[#This Row],[国家]])</f>
        <v>45000</v>
      </c>
      <c r="L39" s="224">
        <f>表2_97131923252765[[#This Row],[活跃Coin]]+表2_97131923252765[[#This Row],[共计补偿Coin]]</f>
        <v>542899</v>
      </c>
      <c r="M39" s="224">
        <f>SUMIFS(表1_86121822242664[综合国力],表1_86121822242664[目标区服],表2_97131923252765[[#This Row],[合区区服]],表1_86121822242664[目标国家（映射）],表2_97131923252765[[#This Row],[国家]])</f>
        <v>26138</v>
      </c>
      <c r="N39" s="471">
        <f t="array" ref="N39">MAX((表1_86121822242664[目标区服]=表2_97131923252765[[#This Row],[合区区服]])*(表1_86121822242664[目标国家（映射）]=表2_97131923252765[[#This Row],[国家]])*表1_86121822242664[单将最高战力])</f>
        <v>1440203</v>
      </c>
    </row>
    <row r="40" ht="15" spans="1:14">
      <c r="A40" s="308" t="s">
        <v>122</v>
      </c>
      <c r="B40" s="226" t="s">
        <v>27</v>
      </c>
      <c r="C40" s="226">
        <f>COUNTIFS(表1_86121822242664[目标区服],表2_97131923252765[[#This Row],[合区区服]],表1_86121822242664[目标国家（映射）],表2_97131923252765[[#This Row],[国家]])</f>
        <v>2</v>
      </c>
      <c r="D40" s="226">
        <f>SUMIFS(表1_86121822242664[活跃高战玩家数],表1_86121822242664[目标区服],表2_97131923252765[[#This Row],[合区区服]],表1_86121822242664[目标国家（映射）],表2_97131923252765[[#This Row],[国家]])</f>
        <v>8</v>
      </c>
      <c r="E40" s="226">
        <f>SUMIFS(表1_86121822242664[活跃中坚玩家数],表1_86121822242664[目标区服],表2_97131923252765[[#This Row],[合区区服]],表1_86121822242664[目标国家（映射）],表2_97131923252765[[#This Row],[国家]])</f>
        <v>49</v>
      </c>
      <c r="F40" s="226">
        <f t="array" ref="F40">MAX((表1_86121822242664[目标区服]=表2_97131923252765[[#This Row],[合区区服]])*(表1_86121822242664[目标国家（映射）]=表2_97131923252765[[#This Row],[国家]])*表1_86121822242664[活跃尖端战力])</f>
        <v>4544027</v>
      </c>
      <c r="G40" s="227">
        <f>SUMIFS(表1_86121822242664[活跃总战力],表1_86121822242664[目标区服],表2_97131923252765[[#This Row],[合区区服]],表1_86121822242664[目标国家（映射）],表2_97131923252765[[#This Row],[国家]])</f>
        <v>75955327</v>
      </c>
      <c r="H40" s="226">
        <f>SUMIFS(表1_86121822242664[活跃实际充值],表1_86121822242664[目标区服],表2_97131923252765[[#This Row],[合区区服]],表1_86121822242664[目标国家（映射）],表2_97131923252765[[#This Row],[国家]])</f>
        <v>289994</v>
      </c>
      <c r="I40" s="226">
        <f>SUMIFS(表1_86121822242664[活跃虚拟充值],表1_86121822242664[目标区服],表2_97131923252765[[#This Row],[合区区服]],表1_86121822242664[目标国家（映射）],表2_97131923252765[[#This Row],[国家]])</f>
        <v>0</v>
      </c>
      <c r="J40" s="226">
        <f>SUMIFS(表1_86121822242664[活跃Coin],表1_86121822242664[目标区服],表2_97131923252765[[#This Row],[合区区服]],表1_86121822242664[目标国家（映射）],表2_97131923252765[[#This Row],[国家]])</f>
        <v>452430</v>
      </c>
      <c r="K40" s="226">
        <f>SUMIFS(表1_86121822242664[共计补偿Coin],表1_86121822242664[目标区服],表2_97131923252765[[#This Row],[合区区服]],表1_86121822242664[目标国家（映射）],表2_97131923252765[[#This Row],[国家]])</f>
        <v>68500</v>
      </c>
      <c r="L40" s="226">
        <f>表2_97131923252765[[#This Row],[活跃Coin]]+表2_97131923252765[[#This Row],[共计补偿Coin]]</f>
        <v>520930</v>
      </c>
      <c r="M40" s="226">
        <f>SUMIFS(表1_86121822242664[综合国力],表1_86121822242664[目标区服],表2_97131923252765[[#This Row],[合区区服]],表1_86121822242664[目标国家（映射）],表2_97131923252765[[#This Row],[国家]])</f>
        <v>28526</v>
      </c>
      <c r="N40" s="563">
        <f t="array" ref="N40">MAX((表1_86121822242664[目标区服]=表2_97131923252765[[#This Row],[合区区服]])*(表1_86121822242664[目标国家（映射）]=表2_97131923252765[[#This Row],[国家]])*表1_86121822242664[单将最高战力])</f>
        <v>1244630</v>
      </c>
    </row>
    <row r="46" ht="27" spans="2:14">
      <c r="B46" s="49"/>
      <c r="C46" s="50" t="s">
        <v>9</v>
      </c>
      <c r="D46" s="50" t="s">
        <v>10</v>
      </c>
      <c r="E46" s="50" t="s">
        <v>11</v>
      </c>
      <c r="F46" s="50" t="s">
        <v>12</v>
      </c>
      <c r="G46" s="50" t="s">
        <v>13</v>
      </c>
      <c r="H46" s="50" t="s">
        <v>14</v>
      </c>
      <c r="I46" s="50" t="s">
        <v>15</v>
      </c>
      <c r="J46" s="50" t="s">
        <v>18</v>
      </c>
      <c r="K46" s="50" t="s">
        <v>19</v>
      </c>
      <c r="L46" s="50" t="s">
        <v>20</v>
      </c>
      <c r="M46" s="50" t="s">
        <v>21</v>
      </c>
      <c r="N46" s="50" t="s">
        <v>82</v>
      </c>
    </row>
    <row r="47" spans="1:14">
      <c r="A47">
        <v>134</v>
      </c>
      <c r="B47" s="50" t="s">
        <v>25</v>
      </c>
      <c r="C47" s="50">
        <v>6</v>
      </c>
      <c r="D47" s="50">
        <v>274</v>
      </c>
      <c r="E47" s="50">
        <v>9</v>
      </c>
      <c r="F47" s="50">
        <v>28</v>
      </c>
      <c r="G47" s="50">
        <v>182841</v>
      </c>
      <c r="H47" s="50">
        <v>4538688</v>
      </c>
      <c r="I47" s="50">
        <v>58520965</v>
      </c>
      <c r="J47" s="50">
        <v>325308</v>
      </c>
      <c r="K47" s="50">
        <v>0</v>
      </c>
      <c r="L47" s="50">
        <v>1627748</v>
      </c>
      <c r="M47" s="50">
        <v>25218</v>
      </c>
      <c r="N47" s="50">
        <v>1211040</v>
      </c>
    </row>
    <row r="48" spans="2:14">
      <c r="B48" s="50" t="s">
        <v>26</v>
      </c>
      <c r="C48" s="50">
        <v>2</v>
      </c>
      <c r="D48" s="50">
        <v>61</v>
      </c>
      <c r="E48" s="50">
        <v>1</v>
      </c>
      <c r="F48" s="50">
        <v>19</v>
      </c>
      <c r="G48" s="50">
        <v>52975</v>
      </c>
      <c r="H48" s="50">
        <v>2722650</v>
      </c>
      <c r="I48" s="50">
        <v>21252213</v>
      </c>
      <c r="J48" s="50">
        <v>60230</v>
      </c>
      <c r="K48" s="50">
        <v>0</v>
      </c>
      <c r="L48" s="50">
        <v>124780</v>
      </c>
      <c r="M48" s="50">
        <v>7792</v>
      </c>
      <c r="N48" s="50">
        <v>930426</v>
      </c>
    </row>
    <row r="49" spans="2:14">
      <c r="B49" s="50" t="s">
        <v>27</v>
      </c>
      <c r="C49" s="50">
        <v>1</v>
      </c>
      <c r="D49" s="50">
        <v>60</v>
      </c>
      <c r="E49" s="50">
        <v>0</v>
      </c>
      <c r="F49" s="50">
        <v>12</v>
      </c>
      <c r="G49" s="50">
        <v>43380</v>
      </c>
      <c r="H49" s="50">
        <v>1710348</v>
      </c>
      <c r="I49" s="50">
        <v>13734486</v>
      </c>
      <c r="J49" s="50">
        <v>17366</v>
      </c>
      <c r="K49" s="50">
        <v>0</v>
      </c>
      <c r="L49" s="50">
        <v>191426</v>
      </c>
      <c r="M49" s="50">
        <v>4617</v>
      </c>
      <c r="N49" s="50">
        <v>556199</v>
      </c>
    </row>
    <row r="50" spans="1:14">
      <c r="A50">
        <v>135</v>
      </c>
      <c r="B50" s="50" t="s">
        <v>25</v>
      </c>
      <c r="C50" s="50">
        <v>0</v>
      </c>
      <c r="D50" s="50">
        <v>33</v>
      </c>
      <c r="E50" s="50">
        <v>0</v>
      </c>
      <c r="F50" s="50">
        <v>19</v>
      </c>
      <c r="G50" s="50">
        <v>27696</v>
      </c>
      <c r="H50" s="50">
        <v>1766904</v>
      </c>
      <c r="I50" s="50">
        <v>14523352</v>
      </c>
      <c r="J50" s="50">
        <v>12760</v>
      </c>
      <c r="K50" s="50">
        <v>0</v>
      </c>
      <c r="L50" s="50">
        <v>185299</v>
      </c>
      <c r="M50" s="50">
        <v>4163</v>
      </c>
      <c r="N50" s="50">
        <v>601447</v>
      </c>
    </row>
    <row r="51" spans="2:14">
      <c r="B51" s="50" t="s">
        <v>26</v>
      </c>
      <c r="C51" s="50">
        <v>5</v>
      </c>
      <c r="D51" s="50">
        <v>193</v>
      </c>
      <c r="E51" s="50">
        <v>5</v>
      </c>
      <c r="F51" s="50">
        <v>22</v>
      </c>
      <c r="G51" s="50">
        <v>130166</v>
      </c>
      <c r="H51" s="50">
        <v>3014782</v>
      </c>
      <c r="I51" s="50">
        <v>33546902</v>
      </c>
      <c r="J51" s="50">
        <v>58954</v>
      </c>
      <c r="K51" s="50">
        <v>0</v>
      </c>
      <c r="L51" s="50">
        <v>1408776</v>
      </c>
      <c r="M51" s="50">
        <v>11923</v>
      </c>
      <c r="N51" s="50">
        <v>954501</v>
      </c>
    </row>
    <row r="52" spans="2:14">
      <c r="B52" s="50" t="s">
        <v>27</v>
      </c>
      <c r="C52" s="50">
        <v>4</v>
      </c>
      <c r="D52" s="50">
        <v>169</v>
      </c>
      <c r="E52" s="50">
        <v>4</v>
      </c>
      <c r="F52" s="50">
        <v>19</v>
      </c>
      <c r="G52" s="50">
        <v>116585</v>
      </c>
      <c r="H52" s="50">
        <v>2412669</v>
      </c>
      <c r="I52" s="50">
        <v>28477634</v>
      </c>
      <c r="J52" s="50">
        <v>32668</v>
      </c>
      <c r="K52" s="50">
        <v>0</v>
      </c>
      <c r="L52" s="50">
        <v>1234282</v>
      </c>
      <c r="M52" s="50">
        <v>9530</v>
      </c>
      <c r="N52" s="50">
        <v>726487</v>
      </c>
    </row>
    <row r="53" spans="1:14">
      <c r="A53">
        <v>136</v>
      </c>
      <c r="B53" s="50" t="s">
        <v>25</v>
      </c>
      <c r="C53" s="50">
        <v>0</v>
      </c>
      <c r="D53" s="50">
        <v>48</v>
      </c>
      <c r="E53" s="50">
        <v>1</v>
      </c>
      <c r="F53" s="50">
        <v>11</v>
      </c>
      <c r="G53" s="50">
        <v>51786</v>
      </c>
      <c r="H53" s="50">
        <v>2205102</v>
      </c>
      <c r="I53" s="50">
        <v>13161451</v>
      </c>
      <c r="J53" s="50">
        <v>24490</v>
      </c>
      <c r="K53" s="50">
        <v>0</v>
      </c>
      <c r="L53" s="50">
        <v>232859</v>
      </c>
      <c r="M53" s="50">
        <v>5111</v>
      </c>
      <c r="N53" s="50">
        <v>732198</v>
      </c>
    </row>
    <row r="54" spans="2:14">
      <c r="B54" s="50" t="s">
        <v>26</v>
      </c>
      <c r="C54" s="50">
        <v>6</v>
      </c>
      <c r="D54" s="50">
        <v>233</v>
      </c>
      <c r="E54" s="50">
        <v>6</v>
      </c>
      <c r="F54" s="50">
        <v>36</v>
      </c>
      <c r="G54" s="50">
        <v>178049</v>
      </c>
      <c r="H54" s="50">
        <v>4791896</v>
      </c>
      <c r="I54" s="50">
        <v>52802850</v>
      </c>
      <c r="J54" s="50">
        <v>236362</v>
      </c>
      <c r="K54" s="50">
        <v>0</v>
      </c>
      <c r="L54" s="50">
        <v>1914596</v>
      </c>
      <c r="M54" s="50">
        <v>21940</v>
      </c>
      <c r="N54" s="50">
        <v>1151434</v>
      </c>
    </row>
    <row r="55" spans="2:14">
      <c r="B55" s="50" t="s">
        <v>27</v>
      </c>
      <c r="C55" s="50">
        <v>3</v>
      </c>
      <c r="D55" s="50">
        <v>113</v>
      </c>
      <c r="E55" s="50">
        <v>2</v>
      </c>
      <c r="F55" s="50">
        <v>14</v>
      </c>
      <c r="G55" s="50">
        <v>45030</v>
      </c>
      <c r="H55" s="50">
        <v>2444077</v>
      </c>
      <c r="I55" s="50">
        <v>15164439</v>
      </c>
      <c r="J55" s="50">
        <v>36226</v>
      </c>
      <c r="K55" s="50">
        <v>0</v>
      </c>
      <c r="L55" s="50">
        <v>236877</v>
      </c>
      <c r="M55" s="50">
        <v>6820</v>
      </c>
      <c r="N55" s="50">
        <v>737733</v>
      </c>
    </row>
    <row r="56" spans="1:14">
      <c r="A56">
        <v>137</v>
      </c>
      <c r="B56" s="50" t="s">
        <v>25</v>
      </c>
      <c r="C56" s="50">
        <v>1</v>
      </c>
      <c r="D56" s="50">
        <v>66</v>
      </c>
      <c r="E56" s="50">
        <v>4</v>
      </c>
      <c r="F56" s="50">
        <v>18</v>
      </c>
      <c r="G56" s="50">
        <v>82493</v>
      </c>
      <c r="H56" s="50">
        <v>3937878</v>
      </c>
      <c r="I56" s="50">
        <v>28817618</v>
      </c>
      <c r="J56" s="50">
        <v>111564</v>
      </c>
      <c r="K56" s="50">
        <v>0</v>
      </c>
      <c r="L56" s="50">
        <v>560598</v>
      </c>
      <c r="M56" s="50">
        <v>11619</v>
      </c>
      <c r="N56" s="50">
        <v>1148812</v>
      </c>
    </row>
    <row r="57" spans="2:14">
      <c r="B57" s="50" t="s">
        <v>26</v>
      </c>
      <c r="C57" s="50">
        <v>2</v>
      </c>
      <c r="D57" s="50">
        <v>88</v>
      </c>
      <c r="E57" s="50">
        <v>1</v>
      </c>
      <c r="F57" s="50">
        <v>21</v>
      </c>
      <c r="G57" s="50">
        <v>82054</v>
      </c>
      <c r="H57" s="50">
        <v>3397258</v>
      </c>
      <c r="I57" s="50">
        <v>27637750</v>
      </c>
      <c r="J57" s="50">
        <v>75572</v>
      </c>
      <c r="K57" s="50">
        <v>0</v>
      </c>
      <c r="L57" s="50">
        <v>560074</v>
      </c>
      <c r="M57" s="50">
        <v>10198</v>
      </c>
      <c r="N57">
        <v>1014558</v>
      </c>
    </row>
    <row r="58" spans="2:14">
      <c r="B58" s="50" t="s">
        <v>27</v>
      </c>
      <c r="C58" s="50">
        <v>6</v>
      </c>
      <c r="D58" s="50">
        <v>241</v>
      </c>
      <c r="E58" s="50">
        <v>5</v>
      </c>
      <c r="F58" s="50">
        <v>26</v>
      </c>
      <c r="G58" s="50">
        <v>146043</v>
      </c>
      <c r="H58" s="50">
        <v>4768741</v>
      </c>
      <c r="I58" s="50">
        <v>48368999</v>
      </c>
      <c r="J58" s="50">
        <v>265246</v>
      </c>
      <c r="K58" s="50">
        <v>0</v>
      </c>
      <c r="L58" s="50">
        <v>1320108</v>
      </c>
      <c r="M58" s="50">
        <v>21963</v>
      </c>
      <c r="N58" s="50">
        <v>1172059</v>
      </c>
    </row>
    <row r="59" spans="1:14">
      <c r="A59">
        <v>138</v>
      </c>
      <c r="B59" s="50" t="s">
        <v>25</v>
      </c>
      <c r="C59" s="50">
        <v>9</v>
      </c>
      <c r="D59" s="50">
        <v>322</v>
      </c>
      <c r="E59" s="50">
        <v>9</v>
      </c>
      <c r="F59" s="50">
        <v>26</v>
      </c>
      <c r="G59" s="50">
        <v>196084</v>
      </c>
      <c r="H59" s="50">
        <v>5028646</v>
      </c>
      <c r="I59" s="50">
        <v>50418923</v>
      </c>
      <c r="J59" s="50">
        <v>312332</v>
      </c>
      <c r="K59" s="50">
        <v>976</v>
      </c>
      <c r="L59" s="50">
        <v>2052498</v>
      </c>
      <c r="M59" s="50">
        <v>25576</v>
      </c>
      <c r="N59" s="50">
        <v>1320536</v>
      </c>
    </row>
    <row r="60" spans="2:14">
      <c r="B60" s="50" t="s">
        <v>26</v>
      </c>
      <c r="C60" s="50">
        <v>0</v>
      </c>
      <c r="D60" s="50">
        <v>33</v>
      </c>
      <c r="E60" s="50">
        <v>0</v>
      </c>
      <c r="F60" s="50">
        <v>20</v>
      </c>
      <c r="G60" s="50">
        <v>44029</v>
      </c>
      <c r="H60" s="50">
        <v>1176759</v>
      </c>
      <c r="I60" s="50">
        <v>13633632</v>
      </c>
      <c r="J60" s="50">
        <v>11778</v>
      </c>
      <c r="K60" s="50">
        <v>0</v>
      </c>
      <c r="L60" s="50">
        <v>112729</v>
      </c>
      <c r="M60" s="50">
        <v>3499</v>
      </c>
      <c r="N60" s="50">
        <v>371628</v>
      </c>
    </row>
    <row r="61" spans="2:14">
      <c r="B61" s="50" t="s">
        <v>27</v>
      </c>
      <c r="C61" s="50">
        <v>0</v>
      </c>
      <c r="D61" s="50">
        <v>40</v>
      </c>
      <c r="E61" s="50">
        <v>1</v>
      </c>
      <c r="F61" s="50">
        <v>10</v>
      </c>
      <c r="G61" s="50">
        <v>33578</v>
      </c>
      <c r="H61" s="50">
        <v>2017591</v>
      </c>
      <c r="I61" s="50">
        <v>9674377</v>
      </c>
      <c r="J61" s="50">
        <v>53246</v>
      </c>
      <c r="K61" s="50">
        <v>0</v>
      </c>
      <c r="L61" s="50">
        <v>224066</v>
      </c>
      <c r="M61" s="50">
        <v>5262</v>
      </c>
      <c r="N61" s="50">
        <v>707509</v>
      </c>
    </row>
    <row r="62" spans="1:14">
      <c r="A62">
        <v>139</v>
      </c>
      <c r="B62" s="50" t="s">
        <v>25</v>
      </c>
      <c r="C62" s="50">
        <v>3</v>
      </c>
      <c r="D62" s="50">
        <v>97</v>
      </c>
      <c r="E62" s="50">
        <v>2</v>
      </c>
      <c r="F62" s="50">
        <v>20</v>
      </c>
      <c r="G62" s="50">
        <v>85231</v>
      </c>
      <c r="H62" s="50">
        <v>3057775</v>
      </c>
      <c r="I62" s="50">
        <v>26750481</v>
      </c>
      <c r="J62" s="50">
        <v>58036</v>
      </c>
      <c r="K62" s="50">
        <v>0</v>
      </c>
      <c r="L62" s="50">
        <v>414451</v>
      </c>
      <c r="M62" s="50">
        <v>9377</v>
      </c>
      <c r="N62" s="50">
        <v>1132365</v>
      </c>
    </row>
    <row r="63" spans="2:14">
      <c r="B63" s="50" t="s">
        <v>26</v>
      </c>
      <c r="C63" s="50">
        <v>2</v>
      </c>
      <c r="D63" s="50">
        <v>120</v>
      </c>
      <c r="E63" s="50">
        <v>4</v>
      </c>
      <c r="F63" s="50">
        <v>32</v>
      </c>
      <c r="G63" s="50">
        <v>136404</v>
      </c>
      <c r="H63" s="50">
        <v>3959585</v>
      </c>
      <c r="I63" s="50">
        <v>44640411</v>
      </c>
      <c r="J63" s="50">
        <v>149770</v>
      </c>
      <c r="K63" s="50">
        <v>0</v>
      </c>
      <c r="L63" s="50">
        <v>755120</v>
      </c>
      <c r="M63" s="50">
        <v>15376</v>
      </c>
      <c r="N63" s="50">
        <v>1193927</v>
      </c>
    </row>
    <row r="64" spans="2:14">
      <c r="B64" s="50" t="s">
        <v>27</v>
      </c>
      <c r="C64" s="50">
        <v>4</v>
      </c>
      <c r="D64" s="50">
        <v>178</v>
      </c>
      <c r="E64" s="50">
        <v>4</v>
      </c>
      <c r="F64" s="50">
        <v>23</v>
      </c>
      <c r="G64" s="50">
        <v>100378</v>
      </c>
      <c r="H64" s="50">
        <v>4365048</v>
      </c>
      <c r="I64" s="50">
        <v>34630981</v>
      </c>
      <c r="J64" s="50">
        <v>125720</v>
      </c>
      <c r="K64" s="50">
        <v>0</v>
      </c>
      <c r="L64" s="50">
        <v>1131195</v>
      </c>
      <c r="M64" s="50">
        <v>14847</v>
      </c>
      <c r="N64" s="50">
        <v>1228526</v>
      </c>
    </row>
    <row r="65" spans="1:14">
      <c r="A65">
        <v>140</v>
      </c>
      <c r="B65" s="50" t="s">
        <v>25</v>
      </c>
      <c r="C65" s="50">
        <v>2</v>
      </c>
      <c r="D65" s="50">
        <v>105</v>
      </c>
      <c r="E65" s="50">
        <v>1</v>
      </c>
      <c r="F65" s="50">
        <v>21</v>
      </c>
      <c r="G65" s="50">
        <v>81330</v>
      </c>
      <c r="H65" s="50">
        <v>2767756</v>
      </c>
      <c r="I65" s="50">
        <v>26863517</v>
      </c>
      <c r="J65" s="50">
        <v>52552</v>
      </c>
      <c r="K65" s="50">
        <v>0</v>
      </c>
      <c r="L65" s="50">
        <v>281872</v>
      </c>
      <c r="M65" s="50">
        <v>8828</v>
      </c>
      <c r="N65" s="50">
        <v>856737</v>
      </c>
    </row>
    <row r="66" spans="2:14">
      <c r="B66" s="50" t="s">
        <v>26</v>
      </c>
      <c r="C66" s="50">
        <v>3</v>
      </c>
      <c r="D66" s="50">
        <v>162</v>
      </c>
      <c r="E66" s="50">
        <v>3</v>
      </c>
      <c r="F66" s="50">
        <v>20</v>
      </c>
      <c r="G66" s="50">
        <v>82805</v>
      </c>
      <c r="H66" s="50">
        <v>5019452</v>
      </c>
      <c r="I66" s="50">
        <v>33269053</v>
      </c>
      <c r="J66" s="50">
        <v>217408</v>
      </c>
      <c r="K66" s="50">
        <v>0</v>
      </c>
      <c r="L66" s="50">
        <v>216027</v>
      </c>
      <c r="M66" s="50">
        <v>17310</v>
      </c>
      <c r="N66" s="50">
        <v>1440203</v>
      </c>
    </row>
    <row r="67" spans="2:14">
      <c r="B67" s="50" t="s">
        <v>27</v>
      </c>
      <c r="C67" s="50">
        <v>4</v>
      </c>
      <c r="D67" s="50">
        <v>128</v>
      </c>
      <c r="E67" s="50">
        <v>5</v>
      </c>
      <c r="F67" s="50">
        <v>29</v>
      </c>
      <c r="G67" s="50">
        <v>131672</v>
      </c>
      <c r="H67" s="50">
        <v>4544027</v>
      </c>
      <c r="I67" s="50">
        <v>48152380</v>
      </c>
      <c r="J67" s="50">
        <v>186212</v>
      </c>
      <c r="K67" s="50">
        <v>0</v>
      </c>
      <c r="L67" s="50">
        <v>150747</v>
      </c>
      <c r="M67" s="50">
        <v>17359</v>
      </c>
      <c r="N67" s="50">
        <v>1244630</v>
      </c>
    </row>
    <row r="68" spans="1:14">
      <c r="A68">
        <v>141</v>
      </c>
      <c r="B68" s="50" t="s">
        <v>25</v>
      </c>
      <c r="C68" s="50">
        <v>2</v>
      </c>
      <c r="D68" s="50">
        <v>90</v>
      </c>
      <c r="E68" s="50">
        <v>3</v>
      </c>
      <c r="F68" s="50">
        <v>20</v>
      </c>
      <c r="G68" s="50">
        <v>80033</v>
      </c>
      <c r="H68" s="50">
        <v>3622493</v>
      </c>
      <c r="I68" s="50">
        <v>27802947</v>
      </c>
      <c r="J68" s="50">
        <v>103782</v>
      </c>
      <c r="K68" s="50">
        <v>0</v>
      </c>
      <c r="L68" s="50">
        <v>301683</v>
      </c>
      <c r="M68" s="50">
        <v>11167</v>
      </c>
      <c r="N68" s="50">
        <v>1213897</v>
      </c>
    </row>
    <row r="69" spans="2:14">
      <c r="B69" s="50" t="s">
        <v>26</v>
      </c>
      <c r="C69" s="50">
        <v>3</v>
      </c>
      <c r="D69" s="50">
        <v>164</v>
      </c>
      <c r="E69" s="50">
        <v>3</v>
      </c>
      <c r="F69" s="50">
        <v>27</v>
      </c>
      <c r="G69" s="50">
        <v>113584</v>
      </c>
      <c r="H69" s="50">
        <v>4714272</v>
      </c>
      <c r="I69" s="50">
        <v>38884634</v>
      </c>
      <c r="J69" s="50">
        <v>189746</v>
      </c>
      <c r="K69" s="50">
        <v>0</v>
      </c>
      <c r="L69" s="50">
        <v>1155300</v>
      </c>
      <c r="M69" s="50">
        <v>17380</v>
      </c>
      <c r="N69" s="50">
        <v>1296091</v>
      </c>
    </row>
    <row r="70" spans="2:14">
      <c r="B70" s="50" t="s">
        <v>27</v>
      </c>
      <c r="C70" s="50">
        <v>4</v>
      </c>
      <c r="D70" s="50">
        <v>141</v>
      </c>
      <c r="E70" s="50">
        <v>3</v>
      </c>
      <c r="F70" s="50">
        <v>24</v>
      </c>
      <c r="G70" s="50">
        <v>114358</v>
      </c>
      <c r="H70" s="50">
        <v>4358213</v>
      </c>
      <c r="I70" s="50">
        <v>36436718</v>
      </c>
      <c r="J70" s="50">
        <v>150008</v>
      </c>
      <c r="K70" s="50">
        <v>0</v>
      </c>
      <c r="L70" s="50">
        <v>587462</v>
      </c>
      <c r="M70" s="50">
        <v>15177</v>
      </c>
      <c r="N70" s="50">
        <v>1235845</v>
      </c>
    </row>
  </sheetData>
  <conditionalFormatting sqref="F29:F31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{f37bf9d0-bb36-4139-b06d-093bf6631be5}</x14:id>
        </ext>
      </extLst>
    </cfRule>
  </conditionalFormatting>
  <conditionalFormatting sqref="F32:F34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{fbe304f7-d94b-4653-a41b-839071a28f61}</x14:id>
        </ext>
      </extLst>
    </cfRule>
  </conditionalFormatting>
  <conditionalFormatting sqref="F35:F37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{ee29a320-836a-41b5-8db1-fc4907e5212e}</x14:id>
        </ext>
      </extLst>
    </cfRule>
  </conditionalFormatting>
  <conditionalFormatting sqref="F38:F4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{baa2a814-c501-49de-9436-e35dcffe0400}</x14:id>
        </ext>
      </extLst>
    </cfRule>
  </conditionalFormatting>
  <conditionalFormatting sqref="G29:G31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{69211d7c-5809-4054-8261-01472a244aef}</x14:id>
        </ext>
      </extLst>
    </cfRule>
  </conditionalFormatting>
  <conditionalFormatting sqref="G32:G34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{f36a4159-239b-40bf-baa8-c74f0775613c}</x14:id>
        </ext>
      </extLst>
    </cfRule>
  </conditionalFormatting>
  <conditionalFormatting sqref="G35:G37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{4f4c3da1-5126-4a1c-8121-51136d394cba}</x14:id>
        </ext>
      </extLst>
    </cfRule>
  </conditionalFormatting>
  <conditionalFormatting sqref="G38:G4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{aeaaa349-0edf-48a5-99d5-25aad8cae257}</x14:id>
        </ext>
      </extLst>
    </cfRule>
  </conditionalFormatting>
  <conditionalFormatting sqref="N29:N40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{8e69e4bd-f36c-4540-ad85-bc4693dde890}</x14:id>
        </ext>
      </extLst>
    </cfRule>
  </conditionalFormatting>
  <conditionalFormatting sqref="N38:N4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{4576fab2-7f72-406c-9e1c-694b4040283a}</x14:id>
        </ext>
      </extLst>
    </cfRule>
  </conditionalFormatting>
  <conditionalFormatting sqref="O2:O2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{be7c1215-9273-4cc8-a83f-b7e29d657203}</x14:id>
        </ext>
      </extLst>
    </cfRule>
  </conditionalFormatting>
  <conditionalFormatting sqref="O23:O25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{946ef2f0-7952-4078-b685-7ef06472f285}</x14:id>
        </ext>
      </extLst>
    </cfRule>
  </conditionalFormatting>
  <conditionalFormatting sqref="P2:P2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{2f174256-394d-4e10-bcbc-409dc32e6538}</x14:id>
        </ext>
      </extLst>
    </cfRule>
  </conditionalFormatting>
  <conditionalFormatting sqref="P23:P2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{eba8b479-a205-4f21-97ff-b1e58f2b1ecb}</x14:id>
        </ext>
      </extLst>
    </cfRule>
  </conditionalFormatting>
  <conditionalFormatting sqref="P29:P36">
    <cfRule type="cellIs" dxfId="37" priority="4" operator="equal">
      <formula>$S$29</formula>
    </cfRule>
  </conditionalFormatting>
  <conditionalFormatting sqref="Q2:Q25">
    <cfRule type="cellIs" dxfId="38" priority="11" operator="equal">
      <formula>配置!$D$4</formula>
    </cfRule>
    <cfRule type="cellIs" dxfId="39" priority="12" operator="equal">
      <formula>配置!$D$3</formula>
    </cfRule>
    <cfRule type="cellIs" dxfId="37" priority="13" operator="equal">
      <formula>配置!$D$2</formula>
    </cfRule>
  </conditionalFormatting>
  <conditionalFormatting sqref="R29:R32">
    <cfRule type="cellIs" dxfId="37" priority="5" operator="equal">
      <formula>$S$29</formula>
    </cfRule>
  </conditionalFormatting>
  <conditionalFormatting sqref="O26:O27 Q1:R1 Q2 Q4:Q5 Q7:Q8 Q10:Q11 Q13:Q14 Q16:Q17 Q25 Q19:Q23">
    <cfRule type="cellIs" dxfId="37" priority="21" operator="equal">
      <formula>配置!$D$2</formula>
    </cfRule>
  </conditionalFormatting>
  <conditionalFormatting sqref="Q2 Q4:Q5 Q7:Q8 Q10:Q11 Q13:Q14 Q16:Q17 Q25 Q19:Q23">
    <cfRule type="cellIs" dxfId="38" priority="20" operator="equal">
      <formula>配置!$D$4</formula>
    </cfRule>
  </conditionalFormatting>
  <dataValidations count="1">
    <dataValidation type="list" allowBlank="1" showInputMessage="1" showErrorMessage="1" sqref="Q2:Q25">
      <formula1>配置!$D$2:$D$4</formula1>
    </dataValidation>
  </dataValidations>
  <pageMargins left="0.7" right="0.7" top="0.75" bottom="0.75" header="0.3" footer="0.3"/>
  <pageSetup paperSize="9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37bf9d0-bb36-4139-b06d-093bf6631b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fbe304f7-d94b-4653-a41b-839071a28f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ee29a320-836a-41b5-8db1-fc4907e521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F35:F37</xm:sqref>
        </x14:conditionalFormatting>
        <x14:conditionalFormatting xmlns:xm="http://schemas.microsoft.com/office/excel/2006/main">
          <x14:cfRule type="dataBar" id="{baa2a814-c501-49de-9436-e35dcffe04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F38:F40</xm:sqref>
        </x14:conditionalFormatting>
        <x14:conditionalFormatting xmlns:xm="http://schemas.microsoft.com/office/excel/2006/main">
          <x14:cfRule type="dataBar" id="{69211d7c-5809-4054-8261-01472a244a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f36a4159-239b-40bf-baa8-c74f077561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4f4c3da1-5126-4a1c-8121-51136d394c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G35:G37</xm:sqref>
        </x14:conditionalFormatting>
        <x14:conditionalFormatting xmlns:xm="http://schemas.microsoft.com/office/excel/2006/main">
          <x14:cfRule type="dataBar" id="{aeaaa349-0edf-48a5-99d5-25aad8cae2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G38:G40</xm:sqref>
        </x14:conditionalFormatting>
        <x14:conditionalFormatting xmlns:xm="http://schemas.microsoft.com/office/excel/2006/main">
          <x14:cfRule type="dataBar" id="{8e69e4bd-f36c-4540-ad85-bc4693dde8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N29:N40</xm:sqref>
        </x14:conditionalFormatting>
        <x14:conditionalFormatting xmlns:xm="http://schemas.microsoft.com/office/excel/2006/main">
          <x14:cfRule type="dataBar" id="{4576fab2-7f72-406c-9e1c-694b404028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N38:N40</xm:sqref>
        </x14:conditionalFormatting>
        <x14:conditionalFormatting xmlns:xm="http://schemas.microsoft.com/office/excel/2006/main">
          <x14:cfRule type="dataBar" id="{be7c1215-9273-4cc8-a83f-b7e29d6572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O2:O22</xm:sqref>
        </x14:conditionalFormatting>
        <x14:conditionalFormatting xmlns:xm="http://schemas.microsoft.com/office/excel/2006/main">
          <x14:cfRule type="dataBar" id="{946ef2f0-7952-4078-b685-7ef06472f2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O23:O25</xm:sqref>
        </x14:conditionalFormatting>
        <x14:conditionalFormatting xmlns:xm="http://schemas.microsoft.com/office/excel/2006/main">
          <x14:cfRule type="dataBar" id="{2f174256-394d-4e10-bcbc-409dc32e65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P2:P22</xm:sqref>
        </x14:conditionalFormatting>
        <x14:conditionalFormatting xmlns:xm="http://schemas.microsoft.com/office/excel/2006/main">
          <x14:cfRule type="dataBar" id="{eba8b479-a205-4f21-97ff-b1e58f2b1e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P23:P25</xm:sqref>
        </x14:conditionalFormatting>
      </x14:conditionalFormatting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0"/>
  <sheetViews>
    <sheetView topLeftCell="A13" workbookViewId="0">
      <selection activeCell="G29" sqref="G29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1">
        <v>142</v>
      </c>
      <c r="B2" s="371">
        <f>VLOOKUP(表1_8612182224266466[[#This Row],[区服]],$P$29:$Q$36,2,FALSE)</f>
        <v>58</v>
      </c>
      <c r="C2" s="372" t="s">
        <v>123</v>
      </c>
      <c r="D2" s="373" t="str">
        <f>表1_8612182224266466[[#This Row],[目标国家]]</f>
        <v>魏</v>
      </c>
      <c r="E2" s="374">
        <f>(VLOOKUP(表1_8612182224266466[[#This Row],[目标区服]],$R$29:$S$32,2,FALSE)-表1_8612182224266466[[#This Row],[开服天数]])*配置!$B$1</f>
        <v>1000</v>
      </c>
      <c r="F2" s="374">
        <f>表1_8612182224266466[[#This Row],[补偿Coin]]*(表1_8612182224266466[[#This Row],[活跃高战玩家数]]+表1_8612182224266466[[#This Row],[活跃中坚玩家数]])</f>
        <v>29000</v>
      </c>
      <c r="G2" s="374">
        <f>(VLOOKUP(表1_8612182224266466[[#This Row],[目标区服]],$R$29:$S$32,2,FALSE)-表1_8612182224266466[[#This Row],[开服天数]])*配置!$B$2</f>
        <v>10</v>
      </c>
      <c r="H2" s="376" t="s">
        <v>25</v>
      </c>
      <c r="I2" s="376">
        <f>IF(表1_8612182224266466[[#This Row],[原国家]]="魏",0,IF(表1_8612182224266466[[#This Row],[原国家]]="蜀",1,2))</f>
        <v>0</v>
      </c>
      <c r="J2" s="380">
        <v>4</v>
      </c>
      <c r="K2" s="380">
        <v>151</v>
      </c>
      <c r="L2" s="380">
        <v>5</v>
      </c>
      <c r="M2" s="380">
        <v>24</v>
      </c>
      <c r="N2" s="380">
        <v>127820</v>
      </c>
      <c r="O2" s="380">
        <v>3554005</v>
      </c>
      <c r="P2" s="381">
        <v>32799291</v>
      </c>
      <c r="Q2" s="31" t="s">
        <v>25</v>
      </c>
      <c r="R2" s="376">
        <f>IF(表1_8612182224266466[[#This Row],[目标国家]]="魏",0,IF(表1_8612182224266466[[#This Row],[目标国家]]="蜀",1,2))</f>
        <v>0</v>
      </c>
      <c r="S2" s="380">
        <v>121688</v>
      </c>
      <c r="T2" s="380">
        <v>0</v>
      </c>
      <c r="U2" s="380">
        <v>811311</v>
      </c>
      <c r="V2" s="380">
        <v>13439</v>
      </c>
      <c r="W2" s="374">
        <v>1090852</v>
      </c>
      <c r="X2" s="387" t="str">
        <f>"{"&amp;"'coin':"&amp;表1_8612182224266466[[#This Row],[补偿Coin]]&amp;",'"&amp;配置!$A$2&amp;"':"&amp;表1_8612182224266466[[#This Row],[补偿辎重]]&amp;"},"</f>
        <v>{'coin':1000,'item036':10},</v>
      </c>
      <c r="Y2" s="388" t="str">
        <f>"      '"&amp;表1_8612182224266466[[#This Row],[区服]]&amp;"':{"</f>
        <v>      '142':{</v>
      </c>
    </row>
    <row r="3" s="354" customFormat="1" ht="14.25" customHeight="1" spans="1:25">
      <c r="A3" s="375">
        <v>142</v>
      </c>
      <c r="B3" s="371">
        <f>VLOOKUP(表1_8612182224266466[[#This Row],[区服]],$P$29:$Q$36,2,FALSE)</f>
        <v>58</v>
      </c>
      <c r="C3" s="372" t="s">
        <v>123</v>
      </c>
      <c r="D3" s="376" t="str">
        <f>表1_8612182224266466[[#This Row],[目标国家]]</f>
        <v>蜀</v>
      </c>
      <c r="E3" s="380">
        <f>(VLOOKUP(表1_8612182224266466[[#This Row],[目标区服]],$R$29:$S$32,2,FALSE)-表1_8612182224266466[[#This Row],[开服天数]])*配置!$B$1</f>
        <v>1000</v>
      </c>
      <c r="F3" s="380">
        <f>表1_8612182224266466[[#This Row],[补偿Coin]]*(表1_8612182224266466[[#This Row],[活跃高战玩家数]]+表1_8612182224266466[[#This Row],[活跃中坚玩家数]])</f>
        <v>28000</v>
      </c>
      <c r="G3" s="380">
        <f>(VLOOKUP(表1_8612182224266466[[#This Row],[目标区服]],$R$29:$S$32,2,FALSE)-表1_8612182224266466[[#This Row],[开服天数]])*配置!$B$2</f>
        <v>10</v>
      </c>
      <c r="H3" s="376" t="s">
        <v>26</v>
      </c>
      <c r="I3" s="376">
        <f>IF(表1_8612182224266466[[#This Row],[原国家]]="魏",0,IF(表1_8612182224266466[[#This Row],[原国家]]="蜀",1,2))</f>
        <v>1</v>
      </c>
      <c r="J3" s="380">
        <v>3</v>
      </c>
      <c r="K3" s="380">
        <v>174</v>
      </c>
      <c r="L3" s="380">
        <v>3</v>
      </c>
      <c r="M3" s="380">
        <v>25</v>
      </c>
      <c r="N3" s="380">
        <v>110417</v>
      </c>
      <c r="O3" s="380">
        <v>3636294</v>
      </c>
      <c r="P3" s="381">
        <v>29398629</v>
      </c>
      <c r="Q3" s="31" t="s">
        <v>26</v>
      </c>
      <c r="R3" s="376">
        <f>IF(表1_8612182224266466[[#This Row],[目标国家]]="魏",0,IF(表1_8612182224266466[[#This Row],[目标国家]]="蜀",1,2))</f>
        <v>1</v>
      </c>
      <c r="S3" s="380">
        <v>92438</v>
      </c>
      <c r="T3" s="380">
        <v>0</v>
      </c>
      <c r="U3" s="380">
        <v>696518</v>
      </c>
      <c r="V3" s="380">
        <v>12289</v>
      </c>
      <c r="W3" s="374">
        <v>1028074</v>
      </c>
      <c r="X3" s="387" t="str">
        <f>"{"&amp;"'coin':"&amp;表1_8612182224266466[[#This Row],[补偿Coin]]&amp;",'"&amp;配置!$A$2&amp;"':"&amp;表1_8612182224266466[[#This Row],[补偿辎重]]&amp;"},"</f>
        <v>{'coin':1000,'item036':10},</v>
      </c>
      <c r="Y3" s="388" t="str">
        <f>"            'to_zone':'"&amp;表1_8612182224266466[[#This Row],[目标区服]]&amp;"',
            'reward':"&amp;表1_8612182224266466[[#This Row],[辅助导出]]&amp;"
            'country':["&amp;R2&amp;","&amp;R3&amp;","&amp;R4&amp;"],"</f>
        <v>            'to_zone':'h1_61',
            'reward':{'coin':1000,'item036':10},
            'country':[0,1,2],</v>
      </c>
    </row>
    <row r="4" s="354" customFormat="1" ht="14.25" customHeight="1" spans="1:25">
      <c r="A4" s="375">
        <v>142</v>
      </c>
      <c r="B4" s="371">
        <f>VLOOKUP(表1_8612182224266466[[#This Row],[区服]],$P$29:$Q$36,2,FALSE)</f>
        <v>58</v>
      </c>
      <c r="C4" s="372" t="s">
        <v>123</v>
      </c>
      <c r="D4" s="376" t="str">
        <f>表1_8612182224266466[[#This Row],[目标国家]]</f>
        <v>吴</v>
      </c>
      <c r="E4" s="380">
        <f>(VLOOKUP(表1_8612182224266466[[#This Row],[目标区服]],$R$29:$S$32,2,FALSE)-表1_8612182224266466[[#This Row],[开服天数]])*配置!$B$1</f>
        <v>1000</v>
      </c>
      <c r="F4" s="380">
        <f>表1_8612182224266466[[#This Row],[补偿Coin]]*(表1_8612182224266466[[#This Row],[活跃高战玩家数]]+表1_8612182224266466[[#This Row],[活跃中坚玩家数]])</f>
        <v>14000</v>
      </c>
      <c r="G4" s="380">
        <f>(VLOOKUP(表1_8612182224266466[[#This Row],[目标区服]],$R$29:$S$32,2,FALSE)-表1_8612182224266466[[#This Row],[开服天数]])*配置!$B$2</f>
        <v>10</v>
      </c>
      <c r="H4" s="376" t="s">
        <v>27</v>
      </c>
      <c r="I4" s="376">
        <f>IF(表1_8612182224266466[[#This Row],[原国家]]="魏",0,IF(表1_8612182224266466[[#This Row],[原国家]]="蜀",1,2))</f>
        <v>2</v>
      </c>
      <c r="J4" s="380">
        <v>2</v>
      </c>
      <c r="K4" s="380">
        <v>70</v>
      </c>
      <c r="L4" s="380">
        <v>2</v>
      </c>
      <c r="M4" s="380">
        <v>12</v>
      </c>
      <c r="N4" s="380">
        <v>58020</v>
      </c>
      <c r="O4" s="380">
        <v>2167809</v>
      </c>
      <c r="P4" s="381">
        <v>13571340</v>
      </c>
      <c r="Q4" s="31" t="s">
        <v>27</v>
      </c>
      <c r="R4" s="376">
        <f>IF(表1_8612182224266466[[#This Row],[目标国家]]="魏",0,IF(表1_8612182224266466[[#This Row],[目标国家]]="蜀",1,2))</f>
        <v>2</v>
      </c>
      <c r="S4" s="380">
        <v>11646</v>
      </c>
      <c r="T4" s="380">
        <v>0</v>
      </c>
      <c r="U4" s="380">
        <v>140929</v>
      </c>
      <c r="V4" s="380">
        <v>5134</v>
      </c>
      <c r="W4" s="374">
        <v>705069</v>
      </c>
      <c r="X4" s="387" t="str">
        <f>"{"&amp;"'coin':"&amp;表1_8612182224266466[[#This Row],[补偿Coin]]&amp;",'"&amp;配置!$A$2&amp;"':"&amp;表1_8612182224266466[[#This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5">
        <v>143</v>
      </c>
      <c r="B5" s="371">
        <f>VLOOKUP(表1_8612182224266466[[#This Row],[区服]],$P$29:$Q$36,2,FALSE)</f>
        <v>57</v>
      </c>
      <c r="C5" s="372" t="s">
        <v>123</v>
      </c>
      <c r="D5" s="376" t="str">
        <f>表1_8612182224266466[[#This Row],[目标国家]]</f>
        <v>魏</v>
      </c>
      <c r="E5" s="380">
        <f>(VLOOKUP(表1_8612182224266466[[#This Row],[目标区服]],$R$29:$S$32,2,FALSE)-表1_8612182224266466[[#This Row],[开服天数]])*配置!$B$1</f>
        <v>1500</v>
      </c>
      <c r="F5" s="380">
        <f>表1_8612182224266466[[#This Row],[补偿Coin]]*(表1_8612182224266466[[#This Row],[活跃高战玩家数]]+表1_8612182224266466[[#This Row],[活跃中坚玩家数]])</f>
        <v>27000</v>
      </c>
      <c r="G5" s="380">
        <f>(VLOOKUP(表1_8612182224266466[[#This Row],[目标区服]],$R$29:$S$32,2,FALSE)-表1_8612182224266466[[#This Row],[开服天数]])*配置!$B$2</f>
        <v>15</v>
      </c>
      <c r="H5" s="376" t="s">
        <v>25</v>
      </c>
      <c r="I5" s="376">
        <f>IF(表1_8612182224266466[[#This Row],[原国家]]="魏",0,IF(表1_8612182224266466[[#This Row],[原国家]]="蜀",1,2))</f>
        <v>0</v>
      </c>
      <c r="J5" s="380">
        <v>2</v>
      </c>
      <c r="K5" s="380">
        <v>83</v>
      </c>
      <c r="L5" s="380">
        <v>0</v>
      </c>
      <c r="M5" s="380">
        <v>18</v>
      </c>
      <c r="N5" s="380">
        <v>46870</v>
      </c>
      <c r="O5" s="380">
        <v>1787514</v>
      </c>
      <c r="P5" s="381">
        <v>13601652</v>
      </c>
      <c r="Q5" s="31" t="s">
        <v>25</v>
      </c>
      <c r="R5" s="376">
        <f>IF(表1_8612182224266466[[#This Row],[目标国家]]="魏",0,IF(表1_8612182224266466[[#This Row],[目标国家]]="蜀",1,2))</f>
        <v>0</v>
      </c>
      <c r="S5" s="380">
        <v>9396</v>
      </c>
      <c r="T5" s="380">
        <v>0</v>
      </c>
      <c r="U5" s="380">
        <v>342144</v>
      </c>
      <c r="V5" s="380">
        <v>4864</v>
      </c>
      <c r="W5" s="374">
        <v>628088</v>
      </c>
      <c r="X5" s="387" t="str">
        <f>"{"&amp;"'coin':"&amp;表1_8612182224266466[[#This Row],[补偿Coin]]&amp;",'"&amp;配置!$A$2&amp;"':"&amp;表1_8612182224266466[[#This Row],[补偿辎重]]&amp;"},"</f>
        <v>{'coin':1500,'item036':15},</v>
      </c>
      <c r="Y5" s="388" t="str">
        <f>"      '"&amp;表1_8612182224266466[[#This Row],[区服]]&amp;"':{"</f>
        <v>      '143':{</v>
      </c>
    </row>
    <row r="6" s="354" customFormat="1" ht="14.25" customHeight="1" spans="1:25">
      <c r="A6" s="371">
        <v>143</v>
      </c>
      <c r="B6" s="371">
        <f>VLOOKUP(表1_8612182224266466[[#This Row],[区服]],$P$29:$Q$36,2,FALSE)</f>
        <v>57</v>
      </c>
      <c r="C6" s="372" t="s">
        <v>123</v>
      </c>
      <c r="D6" s="376" t="str">
        <f>表1_8612182224266466[[#This Row],[目标国家]]</f>
        <v>吴</v>
      </c>
      <c r="E6" s="380">
        <f>(VLOOKUP(表1_8612182224266466[[#This Row],[目标区服]],$R$29:$S$32,2,FALSE)-表1_8612182224266466[[#This Row],[开服天数]])*配置!$B$1</f>
        <v>1500</v>
      </c>
      <c r="F6" s="380">
        <f>表1_8612182224266466[[#This Row],[补偿Coin]]*(表1_8612182224266466[[#This Row],[活跃高战玩家数]]+表1_8612182224266466[[#This Row],[活跃中坚玩家数]])</f>
        <v>54000</v>
      </c>
      <c r="G6" s="380">
        <f>(VLOOKUP(表1_8612182224266466[[#This Row],[目标区服]],$R$29:$S$32,2,FALSE)-表1_8612182224266466[[#This Row],[开服天数]])*配置!$B$2</f>
        <v>15</v>
      </c>
      <c r="H6" s="376" t="s">
        <v>26</v>
      </c>
      <c r="I6" s="376">
        <f>IF(表1_8612182224266466[[#This Row],[原国家]]="魏",0,IF(表1_8612182224266466[[#This Row],[原国家]]="蜀",1,2))</f>
        <v>1</v>
      </c>
      <c r="J6" s="380">
        <v>3</v>
      </c>
      <c r="K6" s="380">
        <v>155</v>
      </c>
      <c r="L6" s="380">
        <v>7</v>
      </c>
      <c r="M6" s="380">
        <v>29</v>
      </c>
      <c r="N6" s="380">
        <v>190182</v>
      </c>
      <c r="O6" s="380">
        <v>3142130</v>
      </c>
      <c r="P6" s="381">
        <v>42127506</v>
      </c>
      <c r="Q6" s="31" t="s">
        <v>27</v>
      </c>
      <c r="R6" s="376">
        <f>IF(表1_8612182224266466[[#This Row],[目标国家]]="魏",0,IF(表1_8612182224266466[[#This Row],[目标国家]]="蜀",1,2))</f>
        <v>2</v>
      </c>
      <c r="S6" s="380">
        <v>81504</v>
      </c>
      <c r="T6" s="380">
        <v>0</v>
      </c>
      <c r="U6" s="380">
        <v>689815</v>
      </c>
      <c r="V6" s="380">
        <v>12945</v>
      </c>
      <c r="W6" s="374">
        <v>1092717</v>
      </c>
      <c r="X6" s="387" t="str">
        <f>"{"&amp;"'coin':"&amp;表1_8612182224266466[[#This Row],[补偿Coin]]&amp;",'"&amp;配置!$A$2&amp;"':"&amp;表1_8612182224266466[[#This Row],[补偿辎重]]&amp;"},"</f>
        <v>{'coin':1500,'item036':15},</v>
      </c>
      <c r="Y6" s="388" t="str">
        <f>"            'to_zone':'"&amp;表1_8612182224266466[[#This Row],[目标区服]]&amp;"',
            'reward':"&amp;表1_8612182224266466[[#This Row],[辅助导出]]&amp;"
            'country':["&amp;R5&amp;","&amp;R6&amp;","&amp;R7&amp;"],"</f>
        <v>            'to_zone':'h1_61',
            'reward':{'coin':1500,'item036':15},
            'country':[0,2,1],</v>
      </c>
    </row>
    <row r="7" s="354" customFormat="1" ht="14.25" customHeight="1" spans="1:25">
      <c r="A7" s="371">
        <v>143</v>
      </c>
      <c r="B7" s="371">
        <f>VLOOKUP(表1_8612182224266466[[#This Row],[区服]],$P$29:$Q$36,2,FALSE)</f>
        <v>57</v>
      </c>
      <c r="C7" s="372" t="s">
        <v>123</v>
      </c>
      <c r="D7" s="376" t="str">
        <f>表1_8612182224266466[[#This Row],[目标国家]]</f>
        <v>蜀</v>
      </c>
      <c r="E7" s="380">
        <f>(VLOOKUP(表1_8612182224266466[[#This Row],[目标区服]],$R$29:$S$32,2,FALSE)-表1_8612182224266466[[#This Row],[开服天数]])*配置!$B$1</f>
        <v>1500</v>
      </c>
      <c r="F7" s="380">
        <f>表1_8612182224266466[[#This Row],[补偿Coin]]*(表1_8612182224266466[[#This Row],[活跃高战玩家数]]+表1_8612182224266466[[#This Row],[活跃中坚玩家数]])</f>
        <v>27000</v>
      </c>
      <c r="G7" s="380">
        <f>(VLOOKUP(表1_8612182224266466[[#This Row],[目标区服]],$R$29:$S$32,2,FALSE)-表1_8612182224266466[[#This Row],[开服天数]])*配置!$B$2</f>
        <v>15</v>
      </c>
      <c r="H7" s="376" t="s">
        <v>27</v>
      </c>
      <c r="I7" s="376">
        <f>IF(表1_8612182224266466[[#This Row],[原国家]]="魏",0,IF(表1_8612182224266466[[#This Row],[原国家]]="蜀",1,2))</f>
        <v>2</v>
      </c>
      <c r="J7" s="380">
        <v>4</v>
      </c>
      <c r="K7" s="380">
        <v>157</v>
      </c>
      <c r="L7" s="380">
        <v>3</v>
      </c>
      <c r="M7" s="380">
        <v>15</v>
      </c>
      <c r="N7" s="380">
        <v>76038</v>
      </c>
      <c r="O7" s="380">
        <v>2773277</v>
      </c>
      <c r="P7" s="381">
        <v>19147377</v>
      </c>
      <c r="Q7" s="31" t="s">
        <v>26</v>
      </c>
      <c r="R7" s="376">
        <f>IF(表1_8612182224266466[[#This Row],[目标国家]]="魏",0,IF(表1_8612182224266466[[#This Row],[目标国家]]="蜀",1,2))</f>
        <v>1</v>
      </c>
      <c r="S7" s="380">
        <v>54062</v>
      </c>
      <c r="T7" s="380">
        <v>0</v>
      </c>
      <c r="U7" s="380">
        <v>506378</v>
      </c>
      <c r="V7" s="380">
        <v>8913</v>
      </c>
      <c r="W7" s="374">
        <v>942465</v>
      </c>
      <c r="X7" s="387" t="str">
        <f>"{"&amp;"'coin':"&amp;表1_8612182224266466[[#This Row],[补偿Coin]]&amp;",'"&amp;配置!$A$2&amp;"':"&amp;表1_8612182224266466[[#This Row],[补偿辎重]]&amp;"},"</f>
        <v>{'coin':1500,'item036':15},</v>
      </c>
      <c r="Y7" s="388" t="str">
        <f t="shared" ref="Y7" si="0">"      },"</f>
        <v>      },</v>
      </c>
    </row>
    <row r="8" s="354" customFormat="1" ht="14.25" customHeight="1" spans="1:25">
      <c r="A8" s="259">
        <v>144</v>
      </c>
      <c r="B8" s="210">
        <f>VLOOKUP(表1_8612182224266466[[#This Row],[区服]],$P$29:$Q$36,2,FALSE)</f>
        <v>56</v>
      </c>
      <c r="C8" s="296" t="s">
        <v>124</v>
      </c>
      <c r="D8" s="212" t="str">
        <f>表1_8612182224266466[[#This Row],[目标国家]]</f>
        <v>魏</v>
      </c>
      <c r="E8" s="213">
        <f>(VLOOKUP(表1_8612182224266466[[#This Row],[目标区服]],$R$29:$S$32,2,FALSE)-表1_8612182224266466[[#This Row],[开服天数]])*配置!$B$1</f>
        <v>1000</v>
      </c>
      <c r="F8" s="213">
        <f>表1_8612182224266466[[#This Row],[补偿Coin]]*(表1_8612182224266466[[#This Row],[活跃高战玩家数]]+表1_8612182224266466[[#This Row],[活跃中坚玩家数]])</f>
        <v>22000</v>
      </c>
      <c r="G8" s="260">
        <f>(VLOOKUP(表1_8612182224266466[[#This Row],[目标区服]],$R$29:$S$32,2,FALSE)-表1_8612182224266466[[#This Row],[开服天数]])*配置!$B$2</f>
        <v>10</v>
      </c>
      <c r="H8" s="212" t="s">
        <v>25</v>
      </c>
      <c r="I8" s="268">
        <f>IF(表1_8612182224266466[[#This Row],[原国家]]="魏",0,IF(表1_8612182224266466[[#This Row],[原国家]]="蜀",1,2))</f>
        <v>0</v>
      </c>
      <c r="J8" s="213">
        <v>3</v>
      </c>
      <c r="K8" s="213">
        <v>94</v>
      </c>
      <c r="L8" s="213">
        <v>4</v>
      </c>
      <c r="M8" s="213">
        <v>18</v>
      </c>
      <c r="N8" s="213">
        <v>84867</v>
      </c>
      <c r="O8" s="419">
        <v>3283712</v>
      </c>
      <c r="P8" s="420">
        <v>27360646</v>
      </c>
      <c r="Q8" s="31" t="s">
        <v>25</v>
      </c>
      <c r="R8" s="212">
        <f>IF(表1_8612182224266466[[#This Row],[目标国家]]="魏",0,IF(表1_8612182224266466[[#This Row],[目标国家]]="蜀",1,2))</f>
        <v>0</v>
      </c>
      <c r="S8" s="213">
        <v>118708</v>
      </c>
      <c r="T8" s="213">
        <v>0</v>
      </c>
      <c r="U8" s="213">
        <v>441279</v>
      </c>
      <c r="V8" s="213">
        <v>11465</v>
      </c>
      <c r="W8" s="213">
        <v>1055852</v>
      </c>
      <c r="X8" s="278" t="str">
        <f>"{"&amp;"'coin':"&amp;表1_8612182224266466[[#This Row],[补偿Coin]]&amp;",'"&amp;配置!$A$2&amp;"':"&amp;表1_8612182224266466[[#This Row],[补偿辎重]]&amp;"},"</f>
        <v>{'coin':1000,'item036':10},</v>
      </c>
      <c r="Y8" s="278" t="str">
        <f>"      '"&amp;表1_8612182224266466[[#This Row],[区服]]&amp;"':{"</f>
        <v>      '144':{</v>
      </c>
    </row>
    <row r="9" s="354" customFormat="1" ht="14.25" customHeight="1" spans="1:25">
      <c r="A9" s="259">
        <v>144</v>
      </c>
      <c r="B9" s="210">
        <f>VLOOKUP(表1_8612182224266466[[#This Row],[区服]],$P$29:$Q$36,2,FALSE)</f>
        <v>56</v>
      </c>
      <c r="C9" s="296" t="s">
        <v>124</v>
      </c>
      <c r="D9" s="212" t="str">
        <f>表1_8612182224266466[[#This Row],[目标国家]]</f>
        <v>魏</v>
      </c>
      <c r="E9" s="213">
        <f>(VLOOKUP(表1_8612182224266466[[#This Row],[目标区服]],$R$29:$S$32,2,FALSE)-表1_8612182224266466[[#This Row],[开服天数]])*配置!$B$1</f>
        <v>1000</v>
      </c>
      <c r="F9" s="213">
        <f>表1_8612182224266466[[#This Row],[补偿Coin]]*(表1_8612182224266466[[#This Row],[活跃高战玩家数]]+表1_8612182224266466[[#This Row],[活跃中坚玩家数]])</f>
        <v>17000</v>
      </c>
      <c r="G9" s="260">
        <f>(VLOOKUP(表1_8612182224266466[[#This Row],[目标区服]],$R$29:$S$32,2,FALSE)-表1_8612182224266466[[#This Row],[开服天数]])*配置!$B$2</f>
        <v>10</v>
      </c>
      <c r="H9" s="212" t="s">
        <v>26</v>
      </c>
      <c r="I9" s="268">
        <f>IF(表1_8612182224266466[[#This Row],[原国家]]="魏",0,IF(表1_8612182224266466[[#This Row],[原国家]]="蜀",1,2))</f>
        <v>1</v>
      </c>
      <c r="J9" s="213">
        <v>2</v>
      </c>
      <c r="K9" s="213">
        <v>108</v>
      </c>
      <c r="L9" s="213">
        <v>2</v>
      </c>
      <c r="M9" s="213">
        <v>15</v>
      </c>
      <c r="N9" s="213">
        <v>68259</v>
      </c>
      <c r="O9" s="419">
        <v>3002724</v>
      </c>
      <c r="P9" s="420">
        <v>20718710</v>
      </c>
      <c r="Q9" s="31" t="s">
        <v>25</v>
      </c>
      <c r="R9" s="212">
        <f>IF(表1_8612182224266466[[#This Row],[目标国家]]="魏",0,IF(表1_8612182224266466[[#This Row],[目标国家]]="蜀",1,2))</f>
        <v>0</v>
      </c>
      <c r="S9" s="213">
        <v>65456</v>
      </c>
      <c r="T9" s="213">
        <v>0</v>
      </c>
      <c r="U9" s="213">
        <v>95397</v>
      </c>
      <c r="V9" s="213">
        <v>8707</v>
      </c>
      <c r="W9" s="213">
        <v>802541</v>
      </c>
      <c r="X9" s="278" t="str">
        <f>"{"&amp;"'coin':"&amp;表1_8612182224266466[[#This Row],[补偿Coin]]&amp;",'"&amp;配置!$A$2&amp;"':"&amp;表1_8612182224266466[[#This Row],[补偿辎重]]&amp;"},"</f>
        <v>{'coin':1000,'item036':10},</v>
      </c>
      <c r="Y9" s="278" t="str">
        <f>"            'to_zone':'"&amp;表1_8612182224266466[[#This Row],[目标区服]]&amp;"',
            'reward':"&amp;表1_8612182224266466[[#This Row],[辅助导出]]&amp;"
            'country':["&amp;R8&amp;","&amp;R9&amp;","&amp;R10&amp;"],"</f>
        <v>            'to_zone':'h1_62',
            'reward':{'coin':1000,'item036':10},
            'country':[0,0,2],</v>
      </c>
    </row>
    <row r="10" s="354" customFormat="1" ht="14.25" customHeight="1" spans="1:25">
      <c r="A10" s="259">
        <v>144</v>
      </c>
      <c r="B10" s="210">
        <f>VLOOKUP(表1_8612182224266466[[#This Row],[区服]],$P$29:$Q$36,2,FALSE)</f>
        <v>56</v>
      </c>
      <c r="C10" s="296" t="s">
        <v>124</v>
      </c>
      <c r="D10" s="212" t="str">
        <f>表1_8612182224266466[[#This Row],[目标国家]]</f>
        <v>吴</v>
      </c>
      <c r="E10" s="213">
        <f>(VLOOKUP(表1_8612182224266466[[#This Row],[目标区服]],$R$29:$S$32,2,FALSE)-表1_8612182224266466[[#This Row],[开服天数]])*配置!$B$1</f>
        <v>1000</v>
      </c>
      <c r="F10" s="213">
        <f>表1_8612182224266466[[#This Row],[补偿Coin]]*(表1_8612182224266466[[#This Row],[活跃高战玩家数]]+表1_8612182224266466[[#This Row],[活跃中坚玩家数]])</f>
        <v>37000</v>
      </c>
      <c r="G10" s="260">
        <f>(VLOOKUP(表1_8612182224266466[[#This Row],[目标区服]],$R$29:$S$32,2,FALSE)-表1_8612182224266466[[#This Row],[开服天数]])*配置!$B$2</f>
        <v>10</v>
      </c>
      <c r="H10" s="212" t="s">
        <v>27</v>
      </c>
      <c r="I10" s="268">
        <f>IF(表1_8612182224266466[[#This Row],[原国家]]="魏",0,IF(表1_8612182224266466[[#This Row],[原国家]]="蜀",1,2))</f>
        <v>2</v>
      </c>
      <c r="J10" s="213">
        <v>4</v>
      </c>
      <c r="K10" s="213">
        <v>193</v>
      </c>
      <c r="L10" s="213">
        <v>4</v>
      </c>
      <c r="M10" s="213">
        <v>33</v>
      </c>
      <c r="N10" s="213">
        <v>148354</v>
      </c>
      <c r="O10" s="419">
        <v>3780717</v>
      </c>
      <c r="P10" s="420">
        <v>45360169</v>
      </c>
      <c r="Q10" s="31" t="s">
        <v>27</v>
      </c>
      <c r="R10" s="212">
        <f>IF(表1_8612182224266466[[#This Row],[目标国家]]="魏",0,IF(表1_8612182224266466[[#This Row],[目标国家]]="蜀",1,2))</f>
        <v>2</v>
      </c>
      <c r="S10" s="213">
        <v>149504</v>
      </c>
      <c r="T10" s="213">
        <v>8108</v>
      </c>
      <c r="U10" s="213">
        <v>1224893</v>
      </c>
      <c r="V10" s="213">
        <v>16567</v>
      </c>
      <c r="W10" s="213">
        <v>1128165</v>
      </c>
      <c r="X10" s="278" t="str">
        <f>"{"&amp;"'coin':"&amp;表1_8612182224266466[[#This Row],[补偿Coin]]&amp;",'"&amp;配置!$A$2&amp;"':"&amp;表1_8612182224266466[[#This Row],[补偿辎重]]&amp;"},"</f>
        <v>{'coin':1000,'item036':10},</v>
      </c>
      <c r="Y10" s="278" t="str">
        <f>"      },"</f>
        <v>      },</v>
      </c>
    </row>
    <row r="11" s="354" customFormat="1" ht="14.25" customHeight="1" spans="1:25">
      <c r="A11" s="259">
        <v>145</v>
      </c>
      <c r="B11" s="210">
        <f>VLOOKUP(表1_8612182224266466[[#This Row],[区服]],$P$29:$Q$36,2,FALSE)</f>
        <v>55</v>
      </c>
      <c r="C11" s="296" t="s">
        <v>124</v>
      </c>
      <c r="D11" s="212" t="str">
        <f>表1_8612182224266466[[#This Row],[目标国家]]</f>
        <v>蜀</v>
      </c>
      <c r="E11" s="213">
        <f>(VLOOKUP(表1_8612182224266466[[#This Row],[目标区服]],$R$29:$S$32,2,FALSE)-表1_8612182224266466[[#This Row],[开服天数]])*配置!$B$1</f>
        <v>1500</v>
      </c>
      <c r="F11" s="213">
        <f>表1_8612182224266466[[#This Row],[补偿Coin]]*(表1_8612182224266466[[#This Row],[活跃高战玩家数]]+表1_8612182224266466[[#This Row],[活跃中坚玩家数]])</f>
        <v>42000</v>
      </c>
      <c r="G11" s="260">
        <f>(VLOOKUP(表1_8612182224266466[[#This Row],[目标区服]],$R$29:$S$32,2,FALSE)-表1_8612182224266466[[#This Row],[开服天数]])*配置!$B$2</f>
        <v>15</v>
      </c>
      <c r="H11" s="212" t="s">
        <v>25</v>
      </c>
      <c r="I11" s="268">
        <f>IF(表1_8612182224266466[[#This Row],[原国家]]="魏",0,IF(表1_8612182224266466[[#This Row],[原国家]]="蜀",1,2))</f>
        <v>0</v>
      </c>
      <c r="J11" s="213">
        <v>5</v>
      </c>
      <c r="K11" s="213">
        <v>211</v>
      </c>
      <c r="L11" s="213">
        <v>6</v>
      </c>
      <c r="M11" s="213">
        <v>22</v>
      </c>
      <c r="N11" s="213">
        <v>137088</v>
      </c>
      <c r="O11" s="419">
        <v>3403040</v>
      </c>
      <c r="P11" s="420">
        <v>30947724</v>
      </c>
      <c r="Q11" s="31" t="s">
        <v>26</v>
      </c>
      <c r="R11" s="212">
        <f>IF(表1_8612182224266466[[#This Row],[目标国家]]="魏",0,IF(表1_8612182224266466[[#This Row],[目标国家]]="蜀",1,2))</f>
        <v>1</v>
      </c>
      <c r="S11" s="213">
        <v>130802</v>
      </c>
      <c r="T11" s="213">
        <v>0</v>
      </c>
      <c r="U11" s="213">
        <v>489616</v>
      </c>
      <c r="V11" s="213">
        <v>13962</v>
      </c>
      <c r="W11" s="213">
        <v>917249</v>
      </c>
      <c r="X11" s="278" t="str">
        <f>"{"&amp;"'coin':"&amp;表1_8612182224266466[[#This Row],[补偿Coin]]&amp;",'"&amp;配置!$A$2&amp;"':"&amp;表1_8612182224266466[[#This Row],[补偿辎重]]&amp;"},"</f>
        <v>{'coin':1500,'item036':15},</v>
      </c>
      <c r="Y11" s="278" t="str">
        <f>"      '"&amp;表1_8612182224266466[[#This Row],[区服]]&amp;"':{"</f>
        <v>      '145':{</v>
      </c>
    </row>
    <row r="12" s="354" customFormat="1" ht="14.25" customHeight="1" spans="1:25">
      <c r="A12" s="259">
        <v>145</v>
      </c>
      <c r="B12" s="210">
        <f>VLOOKUP(表1_8612182224266466[[#This Row],[区服]],$P$29:$Q$36,2,FALSE)</f>
        <v>55</v>
      </c>
      <c r="C12" s="296" t="s">
        <v>124</v>
      </c>
      <c r="D12" s="212" t="str">
        <f>表1_8612182224266466[[#This Row],[目标国家]]</f>
        <v>蜀</v>
      </c>
      <c r="E12" s="213">
        <f>(VLOOKUP(表1_8612182224266466[[#This Row],[目标区服]],$R$29:$S$32,2,FALSE)-表1_8612182224266466[[#This Row],[开服天数]])*配置!$B$1</f>
        <v>1500</v>
      </c>
      <c r="F12" s="213">
        <f>表1_8612182224266466[[#This Row],[补偿Coin]]*(表1_8612182224266466[[#This Row],[活跃高战玩家数]]+表1_8612182224266466[[#This Row],[活跃中坚玩家数]])</f>
        <v>28500</v>
      </c>
      <c r="G12" s="260">
        <f>(VLOOKUP(表1_8612182224266466[[#This Row],[目标区服]],$R$29:$S$32,2,FALSE)-表1_8612182224266466[[#This Row],[开服天数]])*配置!$B$2</f>
        <v>15</v>
      </c>
      <c r="H12" s="212" t="s">
        <v>26</v>
      </c>
      <c r="I12" s="268">
        <f>IF(表1_8612182224266466[[#This Row],[原国家]]="魏",0,IF(表1_8612182224266466[[#This Row],[原国家]]="蜀",1,2))</f>
        <v>1</v>
      </c>
      <c r="J12" s="213">
        <v>2</v>
      </c>
      <c r="K12" s="213">
        <v>103</v>
      </c>
      <c r="L12" s="213">
        <v>1</v>
      </c>
      <c r="M12" s="213">
        <v>18</v>
      </c>
      <c r="N12" s="213">
        <v>71573</v>
      </c>
      <c r="O12" s="419">
        <v>2052254</v>
      </c>
      <c r="P12" s="420">
        <v>15779600</v>
      </c>
      <c r="Q12" s="31" t="s">
        <v>26</v>
      </c>
      <c r="R12" s="212">
        <f>IF(表1_8612182224266466[[#This Row],[目标国家]]="魏",0,IF(表1_8612182224266466[[#This Row],[目标国家]]="蜀",1,2))</f>
        <v>1</v>
      </c>
      <c r="S12" s="213">
        <v>20168</v>
      </c>
      <c r="T12" s="213">
        <v>0</v>
      </c>
      <c r="U12" s="213">
        <v>215890</v>
      </c>
      <c r="V12" s="213">
        <v>5931</v>
      </c>
      <c r="W12" s="213">
        <v>660248</v>
      </c>
      <c r="X12" s="278" t="str">
        <f>"{"&amp;"'coin':"&amp;表1_8612182224266466[[#This Row],[补偿Coin]]&amp;",'"&amp;配置!$A$2&amp;"':"&amp;表1_8612182224266466[[#This Row],[补偿辎重]]&amp;"},"</f>
        <v>{'coin':1500,'item036':15},</v>
      </c>
      <c r="Y12" s="278" t="str">
        <f>"            'to_zone':'"&amp;表1_8612182224266466[[#This Row],[目标区服]]&amp;"',
            'reward':"&amp;表1_8612182224266466[[#This Row],[辅助导出]]&amp;"
            'country':["&amp;R11&amp;","&amp;R12&amp;","&amp;R13&amp;"],"</f>
        <v>            'to_zone':'h1_62',
            'reward':{'coin':1500,'item036':15},
            'country':[1,1,2],</v>
      </c>
    </row>
    <row r="13" s="354" customFormat="1" ht="14.25" customHeight="1" spans="1:25">
      <c r="A13" s="259">
        <v>145</v>
      </c>
      <c r="B13" s="210">
        <f>VLOOKUP(表1_8612182224266466[[#This Row],[区服]],$P$29:$Q$36,2,FALSE)</f>
        <v>55</v>
      </c>
      <c r="C13" s="296" t="s">
        <v>124</v>
      </c>
      <c r="D13" s="212" t="str">
        <f>表1_8612182224266466[[#This Row],[目标国家]]</f>
        <v>吴</v>
      </c>
      <c r="E13" s="213">
        <f>(VLOOKUP(表1_8612182224266466[[#This Row],[目标区服]],$R$29:$S$32,2,FALSE)-表1_8612182224266466[[#This Row],[开服天数]])*配置!$B$1</f>
        <v>1500</v>
      </c>
      <c r="F13" s="213">
        <f>表1_8612182224266466[[#This Row],[补偿Coin]]*(表1_8612182224266466[[#This Row],[活跃高战玩家数]]+表1_8612182224266466[[#This Row],[活跃中坚玩家数]])</f>
        <v>19500</v>
      </c>
      <c r="G13" s="260">
        <f>(VLOOKUP(表1_8612182224266466[[#This Row],[目标区服]],$R$29:$S$32,2,FALSE)-表1_8612182224266466[[#This Row],[开服天数]])*配置!$B$2</f>
        <v>15</v>
      </c>
      <c r="H13" s="212" t="s">
        <v>27</v>
      </c>
      <c r="I13" s="268">
        <f>IF(表1_8612182224266466[[#This Row],[原国家]]="魏",0,IF(表1_8612182224266466[[#This Row],[原国家]]="蜀",1,2))</f>
        <v>2</v>
      </c>
      <c r="J13" s="213">
        <v>2</v>
      </c>
      <c r="K13" s="213">
        <v>81</v>
      </c>
      <c r="L13" s="213">
        <v>1</v>
      </c>
      <c r="M13" s="213">
        <v>12</v>
      </c>
      <c r="N13" s="213">
        <v>44446</v>
      </c>
      <c r="O13" s="419">
        <v>2004000</v>
      </c>
      <c r="P13" s="420">
        <v>10284526</v>
      </c>
      <c r="Q13" s="31" t="s">
        <v>27</v>
      </c>
      <c r="R13" s="212">
        <f>IF(表1_8612182224266466[[#This Row],[目标国家]]="魏",0,IF(表1_8612182224266466[[#This Row],[目标国家]]="蜀",1,2))</f>
        <v>2</v>
      </c>
      <c r="S13" s="213">
        <v>12758</v>
      </c>
      <c r="T13" s="213">
        <v>0</v>
      </c>
      <c r="U13" s="213">
        <v>83494</v>
      </c>
      <c r="V13" s="213">
        <v>4689</v>
      </c>
      <c r="W13" s="213">
        <v>680226</v>
      </c>
      <c r="X13" s="278" t="str">
        <f>"{"&amp;"'coin':"&amp;表1_8612182224266466[[#This Row],[补偿Coin]]&amp;",'"&amp;配置!$A$2&amp;"':"&amp;表1_8612182224266466[[#This Row],[补偿辎重]]&amp;"},"</f>
        <v>{'coin':1500,'item036':15},</v>
      </c>
      <c r="Y13" s="278" t="str">
        <f t="shared" ref="Y13" si="1">"      },"</f>
        <v>      },</v>
      </c>
    </row>
    <row r="14" ht="14.25" customHeight="1" spans="1:25">
      <c r="A14" s="17">
        <v>146</v>
      </c>
      <c r="B14" s="17">
        <f>VLOOKUP(表1_8612182224266466[[#This Row],[区服]],$P$29:$Q$36,2,FALSE)</f>
        <v>54</v>
      </c>
      <c r="C14" s="18" t="s">
        <v>125</v>
      </c>
      <c r="D14" s="19" t="str">
        <f>表1_8612182224266466[[#This Row],[目标国家]]</f>
        <v>吴</v>
      </c>
      <c r="E14" s="20">
        <f>(VLOOKUP(表1_8612182224266466[[#This Row],[目标区服]],$R$29:$S$32,2,FALSE)-表1_8612182224266466[[#This Row],[开服天数]])*配置!$B$1</f>
        <v>1000</v>
      </c>
      <c r="F14" s="20">
        <f>表1_8612182224266466[[#This Row],[补偿Coin]]*(表1_8612182224266466[[#This Row],[活跃高战玩家数]]+表1_8612182224266466[[#This Row],[活跃中坚玩家数]])</f>
        <v>14000</v>
      </c>
      <c r="G14" s="20">
        <f>(VLOOKUP(表1_8612182224266466[[#This Row],[目标区服]],$R$29:$S$32,2,FALSE)-表1_8612182224266466[[#This Row],[开服天数]])*配置!$B$2</f>
        <v>10</v>
      </c>
      <c r="H14" s="19" t="s">
        <v>25</v>
      </c>
      <c r="I14" s="19">
        <f>IF(表1_8612182224266466[[#This Row],[原国家]]="魏",0,IF(表1_8612182224266466[[#This Row],[原国家]]="蜀",1,2))</f>
        <v>0</v>
      </c>
      <c r="J14" s="20">
        <v>0</v>
      </c>
      <c r="K14" s="20">
        <v>46</v>
      </c>
      <c r="L14" s="20">
        <v>0</v>
      </c>
      <c r="M14" s="20">
        <v>14</v>
      </c>
      <c r="N14" s="20">
        <v>28454</v>
      </c>
      <c r="O14" s="20">
        <v>1512306</v>
      </c>
      <c r="P14" s="26">
        <v>9466075</v>
      </c>
      <c r="Q14" s="31" t="s">
        <v>27</v>
      </c>
      <c r="R14" s="19">
        <f>IF(表1_8612182224266466[[#This Row],[目标国家]]="魏",0,IF(表1_8612182224266466[[#This Row],[目标国家]]="蜀",1,2))</f>
        <v>2</v>
      </c>
      <c r="S14" s="20">
        <v>1256</v>
      </c>
      <c r="T14" s="20">
        <v>0</v>
      </c>
      <c r="U14" s="20">
        <v>115015</v>
      </c>
      <c r="V14" s="20">
        <v>3156</v>
      </c>
      <c r="W14" s="32">
        <v>541133</v>
      </c>
      <c r="X14" s="33" t="str">
        <f>"{"&amp;"'coin':"&amp;表1_8612182224266466[[#This Row],[补偿Coin]]&amp;",'"&amp;配置!$A$2&amp;"':"&amp;表1_8612182224266466[[#This Row],[补偿辎重]]&amp;"},"</f>
        <v>{'coin':1000,'item036':10},</v>
      </c>
      <c r="Y14" s="34" t="str">
        <f>"      '"&amp;表1_8612182224266466[[#This Row],[区服]]&amp;"':{"</f>
        <v>      '146':{</v>
      </c>
    </row>
    <row r="15" ht="14.25" customHeight="1" spans="1:25">
      <c r="A15" s="17">
        <v>146</v>
      </c>
      <c r="B15" s="17">
        <f>VLOOKUP(表1_8612182224266466[[#This Row],[区服]],$P$29:$Q$36,2,FALSE)</f>
        <v>54</v>
      </c>
      <c r="C15" s="18" t="s">
        <v>125</v>
      </c>
      <c r="D15" s="19" t="str">
        <f>表1_8612182224266466[[#This Row],[目标国家]]</f>
        <v>魏</v>
      </c>
      <c r="E15" s="20">
        <f>(VLOOKUP(表1_8612182224266466[[#This Row],[目标区服]],$R$29:$S$32,2,FALSE)-表1_8612182224266466[[#This Row],[开服天数]])*配置!$B$1</f>
        <v>1000</v>
      </c>
      <c r="F15" s="20">
        <f>表1_8612182224266466[[#This Row],[补偿Coin]]*(表1_8612182224266466[[#This Row],[活跃高战玩家数]]+表1_8612182224266466[[#This Row],[活跃中坚玩家数]])</f>
        <v>34000</v>
      </c>
      <c r="G15" s="20">
        <f>(VLOOKUP(表1_8612182224266466[[#This Row],[目标区服]],$R$29:$S$32,2,FALSE)-表1_8612182224266466[[#This Row],[开服天数]])*配置!$B$2</f>
        <v>10</v>
      </c>
      <c r="H15" s="19" t="s">
        <v>26</v>
      </c>
      <c r="I15" s="19">
        <f>IF(表1_8612182224266466[[#This Row],[原国家]]="魏",0,IF(表1_8612182224266466[[#This Row],[原国家]]="蜀",1,2))</f>
        <v>1</v>
      </c>
      <c r="J15" s="20">
        <v>6</v>
      </c>
      <c r="K15" s="20">
        <v>240</v>
      </c>
      <c r="L15" s="20">
        <v>6</v>
      </c>
      <c r="M15" s="20">
        <v>28</v>
      </c>
      <c r="N15" s="20">
        <v>140372</v>
      </c>
      <c r="O15" s="20">
        <v>4604468</v>
      </c>
      <c r="P15" s="26">
        <v>38459929</v>
      </c>
      <c r="Q15" s="31" t="s">
        <v>25</v>
      </c>
      <c r="R15" s="19">
        <f>IF(表1_8612182224266466[[#This Row],[目标国家]]="魏",0,IF(表1_8612182224266466[[#This Row],[目标国家]]="蜀",1,2))</f>
        <v>0</v>
      </c>
      <c r="S15" s="20">
        <v>187690</v>
      </c>
      <c r="T15" s="20">
        <v>0</v>
      </c>
      <c r="U15" s="20">
        <v>400003</v>
      </c>
      <c r="V15" s="20">
        <v>17983</v>
      </c>
      <c r="W15" s="32">
        <v>1140743</v>
      </c>
      <c r="X15" s="33" t="str">
        <f>"{"&amp;"'coin':"&amp;表1_8612182224266466[[#This Row],[补偿Coin]]&amp;",'"&amp;配置!$A$2&amp;"':"&amp;表1_8612182224266466[[#This Row],[补偿辎重]]&amp;"},"</f>
        <v>{'coin':1000,'item036':10},</v>
      </c>
      <c r="Y15" s="34" t="str">
        <f>"            'to_zone':'"&amp;表1_8612182224266466[[#This Row],[目标区服]]&amp;"',
            'reward':"&amp;表1_8612182224266466[[#This Row],[辅助导出]]&amp;"
            'country':["&amp;R14&amp;","&amp;R15&amp;","&amp;R16&amp;"],"</f>
        <v>            'to_zone':'h1_63',
            'reward':{'coin':1000,'item036':10},
            'country':[2,0,2],</v>
      </c>
    </row>
    <row r="16" ht="14.25" customHeight="1" spans="1:25">
      <c r="A16" s="17">
        <v>146</v>
      </c>
      <c r="B16" s="17">
        <f>VLOOKUP(表1_8612182224266466[[#This Row],[区服]],$P$29:$Q$36,2,FALSE)</f>
        <v>54</v>
      </c>
      <c r="C16" s="18" t="s">
        <v>125</v>
      </c>
      <c r="D16" s="19" t="str">
        <f>表1_8612182224266466[[#This Row],[目标国家]]</f>
        <v>吴</v>
      </c>
      <c r="E16" s="20">
        <f>(VLOOKUP(表1_8612182224266466[[#This Row],[目标区服]],$R$29:$S$32,2,FALSE)-表1_8612182224266466[[#This Row],[开服天数]])*配置!$B$1</f>
        <v>1000</v>
      </c>
      <c r="F16" s="20">
        <f>表1_8612182224266466[[#This Row],[补偿Coin]]*(表1_8612182224266466[[#This Row],[活跃高战玩家数]]+表1_8612182224266466[[#This Row],[活跃中坚玩家数]])</f>
        <v>24000</v>
      </c>
      <c r="G16" s="20">
        <f>(VLOOKUP(表1_8612182224266466[[#This Row],[目标区服]],$R$29:$S$32,2,FALSE)-表1_8612182224266466[[#This Row],[开服天数]])*配置!$B$2</f>
        <v>10</v>
      </c>
      <c r="H16" s="19" t="s">
        <v>27</v>
      </c>
      <c r="I16" s="19">
        <f>IF(表1_8612182224266466[[#This Row],[原国家]]="魏",0,IF(表1_8612182224266466[[#This Row],[原国家]]="蜀",1,2))</f>
        <v>2</v>
      </c>
      <c r="J16" s="20">
        <v>3</v>
      </c>
      <c r="K16" s="20">
        <v>109</v>
      </c>
      <c r="L16" s="20">
        <v>3</v>
      </c>
      <c r="M16" s="20">
        <v>21</v>
      </c>
      <c r="N16" s="20">
        <v>105345</v>
      </c>
      <c r="O16" s="20">
        <v>2491428</v>
      </c>
      <c r="P16" s="26">
        <v>24462088</v>
      </c>
      <c r="Q16" s="31" t="s">
        <v>27</v>
      </c>
      <c r="R16" s="19">
        <f>IF(表1_8612182224266466[[#This Row],[目标国家]]="魏",0,IF(表1_8612182224266466[[#This Row],[目标国家]]="蜀",1,2))</f>
        <v>2</v>
      </c>
      <c r="S16" s="20">
        <v>84364</v>
      </c>
      <c r="T16" s="20">
        <v>0</v>
      </c>
      <c r="U16" s="20">
        <v>328617</v>
      </c>
      <c r="V16" s="20">
        <v>9549</v>
      </c>
      <c r="W16" s="32">
        <v>1133690</v>
      </c>
      <c r="X16" s="33" t="str">
        <f>"{"&amp;"'coin':"&amp;表1_8612182224266466[[#This Row],[补偿Coin]]&amp;",'"&amp;配置!$A$2&amp;"':"&amp;表1_8612182224266466[[#This Row],[补偿辎重]]&amp;"},"</f>
        <v>{'coin':1000,'item036':10},</v>
      </c>
      <c r="Y16" s="34" t="str">
        <f t="shared" ref="Y16" si="2">"      },"</f>
        <v>      },</v>
      </c>
    </row>
    <row r="17" ht="14.25" customHeight="1" spans="1:25">
      <c r="A17" s="17">
        <v>147</v>
      </c>
      <c r="B17" s="17">
        <f>VLOOKUP(表1_8612182224266466[[#This Row],[区服]],$P$29:$Q$36,2,FALSE)</f>
        <v>53</v>
      </c>
      <c r="C17" s="18" t="s">
        <v>125</v>
      </c>
      <c r="D17" s="19" t="str">
        <f>表1_8612182224266466[[#This Row],[目标国家]]</f>
        <v>吴</v>
      </c>
      <c r="E17" s="20">
        <f>(VLOOKUP(表1_8612182224266466[[#This Row],[目标区服]],$R$29:$S$32,2,FALSE)-表1_8612182224266466[[#This Row],[开服天数]])*配置!$B$1</f>
        <v>1500</v>
      </c>
      <c r="F17" s="20">
        <f>表1_8612182224266466[[#This Row],[补偿Coin]]*(表1_8612182224266466[[#This Row],[活跃高战玩家数]]+表1_8612182224266466[[#This Row],[活跃中坚玩家数]])</f>
        <v>22500</v>
      </c>
      <c r="G17" s="20">
        <f>(VLOOKUP(表1_8612182224266466[[#This Row],[目标区服]],$R$29:$S$32,2,FALSE)-表1_8612182224266466[[#This Row],[开服天数]])*配置!$B$2</f>
        <v>15</v>
      </c>
      <c r="H17" s="19" t="s">
        <v>25</v>
      </c>
      <c r="I17" s="19">
        <f>IF(表1_8612182224266466[[#This Row],[原国家]]="魏",0,IF(表1_8612182224266466[[#This Row],[原国家]]="蜀",1,2))</f>
        <v>0</v>
      </c>
      <c r="J17" s="20">
        <v>0</v>
      </c>
      <c r="K17" s="20">
        <v>62</v>
      </c>
      <c r="L17" s="20">
        <v>1</v>
      </c>
      <c r="M17" s="20">
        <v>14</v>
      </c>
      <c r="N17" s="20">
        <v>49230</v>
      </c>
      <c r="O17" s="20">
        <v>2516739</v>
      </c>
      <c r="P17" s="26">
        <v>14773425</v>
      </c>
      <c r="Q17" s="31" t="s">
        <v>27</v>
      </c>
      <c r="R17" s="19">
        <f>IF(表1_8612182224266466[[#This Row],[目标国家]]="魏",0,IF(表1_8612182224266466[[#This Row],[目标国家]]="蜀",1,2))</f>
        <v>2</v>
      </c>
      <c r="S17" s="20">
        <v>78864</v>
      </c>
      <c r="T17" s="20">
        <v>0</v>
      </c>
      <c r="U17" s="20">
        <v>276252</v>
      </c>
      <c r="V17" s="20">
        <v>7364</v>
      </c>
      <c r="W17" s="32">
        <v>1179713</v>
      </c>
      <c r="X17" s="33" t="str">
        <f>"{"&amp;"'coin':"&amp;表1_8612182224266466[[#This Row],[补偿Coin]]&amp;",'"&amp;配置!$A$2&amp;"':"&amp;表1_8612182224266466[[#This Row],[补偿辎重]]&amp;"},"</f>
        <v>{'coin':1500,'item036':15},</v>
      </c>
      <c r="Y17" s="34" t="str">
        <f>"      '"&amp;表1_8612182224266466[[#This Row],[区服]]&amp;"':{"</f>
        <v>      '147':{</v>
      </c>
    </row>
    <row r="18" ht="14.25" customHeight="1" spans="1:25">
      <c r="A18" s="17">
        <v>147</v>
      </c>
      <c r="B18" s="17">
        <f>VLOOKUP(表1_8612182224266466[[#This Row],[区服]],$P$29:$Q$36,2,FALSE)</f>
        <v>53</v>
      </c>
      <c r="C18" s="18" t="s">
        <v>125</v>
      </c>
      <c r="D18" s="19" t="str">
        <f>表1_8612182224266466[[#This Row],[目标国家]]</f>
        <v>蜀</v>
      </c>
      <c r="E18" s="20">
        <f>(VLOOKUP(表1_8612182224266466[[#This Row],[目标区服]],$R$29:$S$32,2,FALSE)-表1_8612182224266466[[#This Row],[开服天数]])*配置!$B$1</f>
        <v>1500</v>
      </c>
      <c r="F18" s="20">
        <f>表1_8612182224266466[[#This Row],[补偿Coin]]*(表1_8612182224266466[[#This Row],[活跃高战玩家数]]+表1_8612182224266466[[#This Row],[活跃中坚玩家数]])</f>
        <v>70500</v>
      </c>
      <c r="G18" s="20">
        <f>(VLOOKUP(表1_8612182224266466[[#This Row],[目标区服]],$R$29:$S$32,2,FALSE)-表1_8612182224266466[[#This Row],[开服天数]])*配置!$B$2</f>
        <v>15</v>
      </c>
      <c r="H18" s="19" t="s">
        <v>26</v>
      </c>
      <c r="I18" s="19">
        <f>IF(表1_8612182224266466[[#This Row],[原国家]]="魏",0,IF(表1_8612182224266466[[#This Row],[原国家]]="蜀",1,2))</f>
        <v>1</v>
      </c>
      <c r="J18" s="20">
        <v>7</v>
      </c>
      <c r="K18" s="20">
        <v>263</v>
      </c>
      <c r="L18" s="20">
        <v>8</v>
      </c>
      <c r="M18" s="20">
        <v>39</v>
      </c>
      <c r="N18" s="20">
        <v>216249</v>
      </c>
      <c r="O18" s="20">
        <v>3840109</v>
      </c>
      <c r="P18" s="26">
        <v>58857011</v>
      </c>
      <c r="Q18" s="31" t="s">
        <v>26</v>
      </c>
      <c r="R18" s="19">
        <f>IF(表1_8612182224266466[[#This Row],[目标国家]]="魏",0,IF(表1_8612182224266466[[#This Row],[目标国家]]="蜀",1,2))</f>
        <v>1</v>
      </c>
      <c r="S18" s="20">
        <v>250438</v>
      </c>
      <c r="T18" s="20">
        <v>30</v>
      </c>
      <c r="U18" s="20">
        <v>2244280</v>
      </c>
      <c r="V18" s="20">
        <v>22772</v>
      </c>
      <c r="W18" s="32">
        <v>1104049</v>
      </c>
      <c r="X18" s="33" t="str">
        <f>"{"&amp;"'coin':"&amp;表1_8612182224266466[[#This Row],[补偿Coin]]&amp;",'"&amp;配置!$A$2&amp;"':"&amp;表1_8612182224266466[[#This Row],[补偿辎重]]&amp;"},"</f>
        <v>{'coin':1500,'item036':15},</v>
      </c>
      <c r="Y18" s="34" t="str">
        <f>"            'to_zone':'"&amp;表1_8612182224266466[[#This Row],[目标区服]]&amp;"',
            'reward':"&amp;表1_8612182224266466[[#This Row],[辅助导出]]&amp;"
            'country':["&amp;R17&amp;","&amp;R18&amp;","&amp;R19&amp;"],"</f>
        <v>            'to_zone':'h1_63',
            'reward':{'coin':1500,'item036':15},
            'country':[2,1,0],</v>
      </c>
    </row>
    <row r="19" ht="14.25" customHeight="1" spans="1:25">
      <c r="A19" s="17">
        <v>147</v>
      </c>
      <c r="B19" s="17">
        <f>VLOOKUP(表1_8612182224266466[[#This Row],[区服]],$P$29:$Q$36,2,FALSE)</f>
        <v>53</v>
      </c>
      <c r="C19" s="18" t="s">
        <v>125</v>
      </c>
      <c r="D19" s="19" t="str">
        <f>表1_8612182224266466[[#This Row],[目标国家]]</f>
        <v>魏</v>
      </c>
      <c r="E19" s="20">
        <f>(VLOOKUP(表1_8612182224266466[[#This Row],[目标区服]],$R$29:$S$32,2,FALSE)-表1_8612182224266466[[#This Row],[开服天数]])*配置!$B$1</f>
        <v>1500</v>
      </c>
      <c r="F19" s="20">
        <f>表1_8612182224266466[[#This Row],[补偿Coin]]*(表1_8612182224266466[[#This Row],[活跃高战玩家数]]+表1_8612182224266466[[#This Row],[活跃中坚玩家数]])</f>
        <v>22500</v>
      </c>
      <c r="G19" s="20">
        <f>(VLOOKUP(表1_8612182224266466[[#This Row],[目标区服]],$R$29:$S$32,2,FALSE)-表1_8612182224266466[[#This Row],[开服天数]])*配置!$B$2</f>
        <v>15</v>
      </c>
      <c r="H19" s="19" t="s">
        <v>27</v>
      </c>
      <c r="I19" s="19">
        <f>IF(表1_8612182224266466[[#This Row],[原国家]]="魏",0,IF(表1_8612182224266466[[#This Row],[原国家]]="蜀",1,2))</f>
        <v>2</v>
      </c>
      <c r="J19" s="20">
        <v>2</v>
      </c>
      <c r="K19" s="20">
        <v>70</v>
      </c>
      <c r="L19" s="20">
        <v>1</v>
      </c>
      <c r="M19" s="20">
        <v>14</v>
      </c>
      <c r="N19" s="20">
        <v>34786</v>
      </c>
      <c r="O19" s="20">
        <v>1941308</v>
      </c>
      <c r="P19" s="26">
        <v>13010087</v>
      </c>
      <c r="Q19" s="31" t="s">
        <v>25</v>
      </c>
      <c r="R19" s="19">
        <f>IF(表1_8612182224266466[[#This Row],[目标国家]]="魏",0,IF(表1_8612182224266466[[#This Row],[目标国家]]="蜀",1,2))</f>
        <v>0</v>
      </c>
      <c r="S19" s="20">
        <v>37478</v>
      </c>
      <c r="T19" s="20">
        <v>0</v>
      </c>
      <c r="U19" s="20">
        <v>174368</v>
      </c>
      <c r="V19" s="20">
        <v>5527</v>
      </c>
      <c r="W19" s="32">
        <v>594256</v>
      </c>
      <c r="X19" s="33" t="str">
        <f>"{"&amp;"'coin':"&amp;表1_8612182224266466[[#This Row],[补偿Coin]]&amp;",'"&amp;配置!$A$2&amp;"':"&amp;表1_8612182224266466[[#This Row],[补偿辎重]]&amp;"},"</f>
        <v>{'coin':1500,'item036':15},</v>
      </c>
      <c r="Y19" s="34" t="str">
        <f t="shared" ref="Y19" si="3">"      },"</f>
        <v>      },</v>
      </c>
    </row>
    <row r="20" ht="14.25" customHeight="1" spans="1:25">
      <c r="A20" s="367">
        <v>148</v>
      </c>
      <c r="B20" s="214">
        <f>VLOOKUP(表1_8612182224266466[[#This Row],[区服]],$P$29:$Q$36,2,FALSE)</f>
        <v>52</v>
      </c>
      <c r="C20" s="293" t="s">
        <v>126</v>
      </c>
      <c r="D20" s="216" t="str">
        <f>表1_8612182224266466[[#This Row],[目标国家]]</f>
        <v>魏</v>
      </c>
      <c r="E20" s="217">
        <f>(VLOOKUP(表1_8612182224266466[[#This Row],[目标区服]],$R$29:$S$32,2,FALSE)-表1_8612182224266466[[#This Row],[开服天数]])*配置!$B$1</f>
        <v>1000</v>
      </c>
      <c r="F20" s="217">
        <f>表1_8612182224266466[[#This Row],[补偿Coin]]*(表1_8612182224266466[[#This Row],[活跃高战玩家数]]+表1_8612182224266466[[#This Row],[活跃中坚玩家数]])</f>
        <v>28000</v>
      </c>
      <c r="G20" s="368">
        <f>(VLOOKUP(表1_8612182224266466[[#This Row],[目标区服]],$R$29:$S$32,2,FALSE)-表1_8612182224266466[[#This Row],[开服天数]])*配置!$B$2</f>
        <v>10</v>
      </c>
      <c r="H20" s="216" t="s">
        <v>25</v>
      </c>
      <c r="I20" s="377">
        <f>IF(表1_8612182224266466[[#This Row],[原国家]]="魏",0,IF(表1_8612182224266466[[#This Row],[原国家]]="蜀",1,2))</f>
        <v>0</v>
      </c>
      <c r="J20" s="217">
        <v>3</v>
      </c>
      <c r="K20" s="217">
        <v>110</v>
      </c>
      <c r="L20" s="217">
        <v>3</v>
      </c>
      <c r="M20" s="217">
        <v>25</v>
      </c>
      <c r="N20" s="217">
        <v>113019</v>
      </c>
      <c r="O20" s="378">
        <v>3445971</v>
      </c>
      <c r="P20" s="334">
        <v>31520509</v>
      </c>
      <c r="Q20" s="31" t="s">
        <v>25</v>
      </c>
      <c r="R20" s="216">
        <f>IF(表1_8612182224266466[[#This Row],[目标国家]]="魏",0,IF(表1_8612182224266466[[#This Row],[目标国家]]="蜀",1,2))</f>
        <v>0</v>
      </c>
      <c r="S20" s="217">
        <v>133588</v>
      </c>
      <c r="T20" s="217">
        <v>0</v>
      </c>
      <c r="U20" s="217">
        <v>612792</v>
      </c>
      <c r="V20" s="217">
        <v>12877</v>
      </c>
      <c r="W20" s="294">
        <v>988071</v>
      </c>
      <c r="X20" s="249" t="str">
        <f>"{"&amp;"'coin':"&amp;表1_8612182224266466[[#This Row],[补偿Coin]]&amp;",'"&amp;配置!$A$2&amp;"':"&amp;表1_8612182224266466[[#This Row],[补偿辎重]]&amp;"},"</f>
        <v>{'coin':1000,'item036':10},</v>
      </c>
      <c r="Y20" s="251" t="str">
        <f>"      '"&amp;表1_8612182224266466[[#This Row],[区服]]&amp;"':{"</f>
        <v>      '148':{</v>
      </c>
    </row>
    <row r="21" ht="14.25" customHeight="1" spans="1:25">
      <c r="A21" s="367">
        <v>148</v>
      </c>
      <c r="B21" s="214">
        <f>VLOOKUP(表1_8612182224266466[[#This Row],[区服]],$P$29:$Q$36,2,FALSE)</f>
        <v>52</v>
      </c>
      <c r="C21" s="293" t="s">
        <v>126</v>
      </c>
      <c r="D21" s="216" t="str">
        <f>表1_8612182224266466[[#This Row],[目标国家]]</f>
        <v>魏</v>
      </c>
      <c r="E21" s="217">
        <f>(VLOOKUP(表1_8612182224266466[[#This Row],[目标区服]],$R$29:$S$32,2,FALSE)-表1_8612182224266466[[#This Row],[开服天数]])*配置!$B$1</f>
        <v>1000</v>
      </c>
      <c r="F21" s="217">
        <f>表1_8612182224266466[[#This Row],[补偿Coin]]*(表1_8612182224266466[[#This Row],[活跃高战玩家数]]+表1_8612182224266466[[#This Row],[活跃中坚玩家数]])</f>
        <v>28000</v>
      </c>
      <c r="G21" s="368">
        <f>(VLOOKUP(表1_8612182224266466[[#This Row],[目标区服]],$R$29:$S$32,2,FALSE)-表1_8612182224266466[[#This Row],[开服天数]])*配置!$B$2</f>
        <v>10</v>
      </c>
      <c r="H21" s="216" t="s">
        <v>26</v>
      </c>
      <c r="I21" s="377">
        <f>IF(表1_8612182224266466[[#This Row],[原国家]]="魏",0,IF(表1_8612182224266466[[#This Row],[原国家]]="蜀",1,2))</f>
        <v>1</v>
      </c>
      <c r="J21" s="217">
        <v>3</v>
      </c>
      <c r="K21" s="217">
        <v>198</v>
      </c>
      <c r="L21" s="217">
        <v>4</v>
      </c>
      <c r="M21" s="217">
        <v>24</v>
      </c>
      <c r="N21" s="217">
        <v>111131</v>
      </c>
      <c r="O21" s="378">
        <v>4090309</v>
      </c>
      <c r="P21" s="334">
        <v>32374113</v>
      </c>
      <c r="Q21" s="31" t="s">
        <v>25</v>
      </c>
      <c r="R21" s="216">
        <f>IF(表1_8612182224266466[[#This Row],[目标国家]]="魏",0,IF(表1_8612182224266466[[#This Row],[目标国家]]="蜀",1,2))</f>
        <v>0</v>
      </c>
      <c r="S21" s="217">
        <v>125562</v>
      </c>
      <c r="T21" s="217">
        <v>0</v>
      </c>
      <c r="U21" s="217">
        <v>726779</v>
      </c>
      <c r="V21" s="217">
        <v>14293</v>
      </c>
      <c r="W21" s="294">
        <v>1070267</v>
      </c>
      <c r="X21" s="249" t="str">
        <f>"{"&amp;"'coin':"&amp;表1_8612182224266466[[#This Row],[补偿Coin]]&amp;",'"&amp;配置!$A$2&amp;"':"&amp;表1_8612182224266466[[#This Row],[补偿辎重]]&amp;"},"</f>
        <v>{'coin':1000,'item036':10},</v>
      </c>
      <c r="Y21" s="251" t="str">
        <f>"            'to_zone':'"&amp;表1_8612182224266466[[#This Row],[目标区服]]&amp;"',
            'reward':"&amp;表1_8612182224266466[[#This Row],[辅助导出]]&amp;"
            'country':["&amp;R20&amp;","&amp;R21&amp;","&amp;R22&amp;"],"</f>
        <v>            'to_zone':'h1_64',
            'reward':{'coin':1000,'item036':10},
            'country':[0,0,1],</v>
      </c>
    </row>
    <row r="22" ht="14.25" customHeight="1" spans="1:25">
      <c r="A22" s="367">
        <v>148</v>
      </c>
      <c r="B22" s="214">
        <f>VLOOKUP(表1_8612182224266466[[#This Row],[区服]],$P$29:$Q$36,2,FALSE)</f>
        <v>52</v>
      </c>
      <c r="C22" s="293" t="s">
        <v>126</v>
      </c>
      <c r="D22" s="216" t="str">
        <f>表1_8612182224266466[[#This Row],[目标国家]]</f>
        <v>蜀</v>
      </c>
      <c r="E22" s="217">
        <f>(VLOOKUP(表1_8612182224266466[[#This Row],[目标区服]],$R$29:$S$32,2,FALSE)-表1_8612182224266466[[#This Row],[开服天数]])*配置!$B$1</f>
        <v>1000</v>
      </c>
      <c r="F22" s="217">
        <f>表1_8612182224266466[[#This Row],[补偿Coin]]*(表1_8612182224266466[[#This Row],[活跃高战玩家数]]+表1_8612182224266466[[#This Row],[活跃中坚玩家数]])</f>
        <v>24000</v>
      </c>
      <c r="G22" s="368">
        <f>(VLOOKUP(表1_8612182224266466[[#This Row],[目标区服]],$R$29:$S$32,2,FALSE)-表1_8612182224266466[[#This Row],[开服天数]])*配置!$B$2</f>
        <v>10</v>
      </c>
      <c r="H22" s="216" t="s">
        <v>27</v>
      </c>
      <c r="I22" s="377">
        <f>IF(表1_8612182224266466[[#This Row],[原国家]]="魏",0,IF(表1_8612182224266466[[#This Row],[原国家]]="蜀",1,2))</f>
        <v>2</v>
      </c>
      <c r="J22" s="217">
        <v>3</v>
      </c>
      <c r="K22" s="217">
        <v>87</v>
      </c>
      <c r="L22" s="217">
        <v>3</v>
      </c>
      <c r="M22" s="217">
        <v>21</v>
      </c>
      <c r="N22" s="217">
        <v>85829</v>
      </c>
      <c r="O22" s="378">
        <v>3189487</v>
      </c>
      <c r="P22" s="334">
        <v>24020676</v>
      </c>
      <c r="Q22" s="31" t="s">
        <v>26</v>
      </c>
      <c r="R22" s="216">
        <f>IF(表1_8612182224266466[[#This Row],[目标国家]]="魏",0,IF(表1_8612182224266466[[#This Row],[目标国家]]="蜀",1,2))</f>
        <v>1</v>
      </c>
      <c r="S22" s="217">
        <v>56446</v>
      </c>
      <c r="T22" s="217">
        <v>0</v>
      </c>
      <c r="U22" s="217">
        <v>256896</v>
      </c>
      <c r="V22" s="217">
        <v>9012</v>
      </c>
      <c r="W22" s="294">
        <v>819569</v>
      </c>
      <c r="X22" s="249" t="str">
        <f>"{"&amp;"'coin':"&amp;表1_8612182224266466[[#This Row],[补偿Coin]]&amp;",'"&amp;配置!$A$2&amp;"':"&amp;表1_8612182224266466[[#This Row],[补偿辎重]]&amp;"},"</f>
        <v>{'coin':1000,'item036':10},</v>
      </c>
      <c r="Y22" s="251" t="str">
        <f t="shared" ref="Y22" si="4">"      },"</f>
        <v>      },</v>
      </c>
    </row>
    <row r="23" ht="14.25" customHeight="1" spans="1:25">
      <c r="A23" s="214">
        <v>149</v>
      </c>
      <c r="B23" s="214">
        <f>VLOOKUP(表1_8612182224266466[[#This Row],[区服]],$P$29:$Q$36,2,FALSE)</f>
        <v>51</v>
      </c>
      <c r="C23" s="293" t="s">
        <v>126</v>
      </c>
      <c r="D23" s="216" t="str">
        <f>表1_8612182224266466[[#This Row],[目标国家]]</f>
        <v>吴</v>
      </c>
      <c r="E23" s="217">
        <f>(VLOOKUP(表1_8612182224266466[[#This Row],[目标区服]],$R$29:$S$32,2,FALSE)-表1_8612182224266466[[#This Row],[开服天数]])*配置!$B$1</f>
        <v>1500</v>
      </c>
      <c r="F23" s="217">
        <f>表1_8612182224266466[[#This Row],[补偿Coin]]*(表1_8612182224266466[[#This Row],[活跃高战玩家数]]+表1_8612182224266466[[#This Row],[活跃中坚玩家数]])</f>
        <v>54000</v>
      </c>
      <c r="G23" s="217">
        <f>(VLOOKUP(表1_8612182224266466[[#This Row],[目标区服]],$R$29:$S$32,2,FALSE)-表1_8612182224266466[[#This Row],[开服天数]])*配置!$B$2</f>
        <v>15</v>
      </c>
      <c r="H23" s="216" t="s">
        <v>25</v>
      </c>
      <c r="I23" s="216">
        <f>IF(表1_8612182224266466[[#This Row],[原国家]]="魏",0,IF(表1_8612182224266466[[#This Row],[原国家]]="蜀",1,2))</f>
        <v>0</v>
      </c>
      <c r="J23" s="217">
        <v>3</v>
      </c>
      <c r="K23" s="217">
        <v>153</v>
      </c>
      <c r="L23" s="217">
        <v>4</v>
      </c>
      <c r="M23" s="217">
        <v>32</v>
      </c>
      <c r="N23" s="217">
        <v>119739</v>
      </c>
      <c r="O23" s="217">
        <v>3905890</v>
      </c>
      <c r="P23" s="334">
        <v>41766906</v>
      </c>
      <c r="Q23" s="31" t="s">
        <v>27</v>
      </c>
      <c r="R23" s="216">
        <f>IF(表1_8612182224266466[[#This Row],[目标国家]]="魏",0,IF(表1_8612182224266466[[#This Row],[目标国家]]="蜀",1,2))</f>
        <v>2</v>
      </c>
      <c r="S23" s="217">
        <v>195672</v>
      </c>
      <c r="T23" s="217">
        <v>0</v>
      </c>
      <c r="U23" s="217">
        <v>1044771</v>
      </c>
      <c r="V23" s="217">
        <v>16903</v>
      </c>
      <c r="W23" s="294">
        <v>1170859</v>
      </c>
      <c r="X23" s="249" t="str">
        <f>"{"&amp;"'coin':"&amp;表1_8612182224266466[[#This Row],[补偿Coin]]&amp;",'"&amp;配置!$A$2&amp;"':"&amp;表1_8612182224266466[[#This Row],[补偿辎重]]&amp;"},"</f>
        <v>{'coin':1500,'item036':15},</v>
      </c>
      <c r="Y23" s="251" t="str">
        <f>"      '"&amp;表1_8612182224266466[[#This Row],[区服]]&amp;"':{"</f>
        <v>      '149':{</v>
      </c>
    </row>
    <row r="24" ht="14.25" customHeight="1" spans="1:25">
      <c r="A24" s="214">
        <v>149</v>
      </c>
      <c r="B24" s="214">
        <f>VLOOKUP(表1_8612182224266466[[#This Row],[区服]],$P$29:$Q$36,2,FALSE)</f>
        <v>51</v>
      </c>
      <c r="C24" s="293" t="s">
        <v>126</v>
      </c>
      <c r="D24" s="216" t="str">
        <f>表1_8612182224266466[[#This Row],[目标国家]]</f>
        <v>蜀</v>
      </c>
      <c r="E24" s="217">
        <f>(VLOOKUP(表1_8612182224266466[[#This Row],[目标区服]],$R$29:$S$32,2,FALSE)-表1_8612182224266466[[#This Row],[开服天数]])*配置!$B$1</f>
        <v>1500</v>
      </c>
      <c r="F24" s="217">
        <f>表1_8612182224266466[[#This Row],[补偿Coin]]*(表1_8612182224266466[[#This Row],[活跃高战玩家数]]+表1_8612182224266466[[#This Row],[活跃中坚玩家数]])</f>
        <v>37500</v>
      </c>
      <c r="G24" s="217">
        <f>(VLOOKUP(表1_8612182224266466[[#This Row],[目标区服]],$R$29:$S$32,2,FALSE)-表1_8612182224266466[[#This Row],[开服天数]])*配置!$B$2</f>
        <v>15</v>
      </c>
      <c r="H24" s="216" t="s">
        <v>26</v>
      </c>
      <c r="I24" s="216">
        <f>IF(表1_8612182224266466[[#This Row],[原国家]]="魏",0,IF(表1_8612182224266466[[#This Row],[原国家]]="蜀",1,2))</f>
        <v>1</v>
      </c>
      <c r="J24" s="217">
        <v>4</v>
      </c>
      <c r="K24" s="217">
        <v>167</v>
      </c>
      <c r="L24" s="217">
        <v>4</v>
      </c>
      <c r="M24" s="217">
        <v>21</v>
      </c>
      <c r="N24" s="217">
        <v>115034</v>
      </c>
      <c r="O24" s="217">
        <v>3973625</v>
      </c>
      <c r="P24" s="334">
        <v>34184616</v>
      </c>
      <c r="Q24" s="31" t="s">
        <v>26</v>
      </c>
      <c r="R24" s="216">
        <f>IF(表1_8612182224266466[[#This Row],[目标国家]]="魏",0,IF(表1_8612182224266466[[#This Row],[目标国家]]="蜀",1,2))</f>
        <v>1</v>
      </c>
      <c r="S24" s="217">
        <v>219322</v>
      </c>
      <c r="T24" s="217">
        <v>0</v>
      </c>
      <c r="U24" s="217">
        <v>656538</v>
      </c>
      <c r="V24" s="217">
        <v>16945</v>
      </c>
      <c r="W24" s="294">
        <v>1211457</v>
      </c>
      <c r="X24" s="249" t="str">
        <f>"{"&amp;"'coin':"&amp;表1_8612182224266466[[#This Row],[补偿Coin]]&amp;",'"&amp;配置!$A$2&amp;"':"&amp;表1_8612182224266466[[#This Row],[补偿辎重]]&amp;"},"</f>
        <v>{'coin':1500,'item036':15},</v>
      </c>
      <c r="Y24" s="251" t="str">
        <f>"            'to_zone':'"&amp;表1_8612182224266466[[#This Row],[目标区服]]&amp;"',
            'reward':"&amp;表1_8612182224266466[[#This Row],[辅助导出]]&amp;"
            'country':["&amp;R23&amp;","&amp;R24&amp;","&amp;R25&amp;"],"</f>
        <v>            'to_zone':'h1_64',
            'reward':{'coin':1500,'item036':15},
            'country':[2,1,2],</v>
      </c>
    </row>
    <row r="25" ht="14.25" customHeight="1" spans="1:25">
      <c r="A25" s="214">
        <v>149</v>
      </c>
      <c r="B25" s="214">
        <f>VLOOKUP(表1_8612182224266466[[#This Row],[区服]],$P$29:$Q$36,2,FALSE)</f>
        <v>51</v>
      </c>
      <c r="C25" s="293" t="s">
        <v>126</v>
      </c>
      <c r="D25" s="216" t="str">
        <f>表1_8612182224266466[[#This Row],[目标国家]]</f>
        <v>吴</v>
      </c>
      <c r="E25" s="217">
        <f>(VLOOKUP(表1_8612182224266466[[#This Row],[目标区服]],$R$29:$S$32,2,FALSE)-表1_8612182224266466[[#This Row],[开服天数]])*配置!$B$1</f>
        <v>1500</v>
      </c>
      <c r="F25" s="217">
        <f>表1_8612182224266466[[#This Row],[补偿Coin]]*(表1_8612182224266466[[#This Row],[活跃高战玩家数]]+表1_8612182224266466[[#This Row],[活跃中坚玩家数]])</f>
        <v>39000</v>
      </c>
      <c r="G25" s="217">
        <f>(VLOOKUP(表1_8612182224266466[[#This Row],[目标区服]],$R$29:$S$32,2,FALSE)-表1_8612182224266466[[#This Row],[开服天数]])*配置!$B$2</f>
        <v>15</v>
      </c>
      <c r="H25" s="216" t="s">
        <v>27</v>
      </c>
      <c r="I25" s="216">
        <f>IF(表1_8612182224266466[[#This Row],[原国家]]="魏",0,IF(表1_8612182224266466[[#This Row],[原国家]]="蜀",1,2))</f>
        <v>2</v>
      </c>
      <c r="J25" s="217">
        <v>2</v>
      </c>
      <c r="K25" s="217">
        <v>75</v>
      </c>
      <c r="L25" s="217">
        <v>2</v>
      </c>
      <c r="M25" s="217">
        <v>24</v>
      </c>
      <c r="N25" s="217">
        <v>95845</v>
      </c>
      <c r="O25" s="217">
        <v>3344042</v>
      </c>
      <c r="P25" s="334">
        <v>30317112</v>
      </c>
      <c r="Q25" s="31" t="s">
        <v>27</v>
      </c>
      <c r="R25" s="216">
        <f>IF(表1_8612182224266466[[#This Row],[目标国家]]="魏",0,IF(表1_8612182224266466[[#This Row],[目标国家]]="蜀",1,2))</f>
        <v>2</v>
      </c>
      <c r="S25" s="217">
        <v>100124</v>
      </c>
      <c r="T25" s="217">
        <v>0</v>
      </c>
      <c r="U25" s="217">
        <v>248052</v>
      </c>
      <c r="V25" s="217">
        <v>10932</v>
      </c>
      <c r="W25" s="294">
        <v>1062005</v>
      </c>
      <c r="X25" s="249" t="str">
        <f>"{"&amp;"'coin':"&amp;表1_8612182224266466[[#This Row],[补偿Coin]]&amp;",'"&amp;配置!$A$2&amp;"':"&amp;表1_8612182224266466[[#This Row],[补偿辎重]]&amp;"},"</f>
        <v>{'coin':1500,'item036':15},</v>
      </c>
      <c r="Y25" s="251" t="str">
        <f t="shared" ref="Y25" si="5">"      },"</f>
        <v>      },</v>
      </c>
    </row>
    <row r="28" ht="37.5" customHeight="1" spans="1:19">
      <c r="A28" s="36" t="s">
        <v>28</v>
      </c>
      <c r="B28" s="37" t="s">
        <v>29</v>
      </c>
      <c r="C28" s="38" t="s">
        <v>30</v>
      </c>
      <c r="D28" s="38" t="s">
        <v>31</v>
      </c>
      <c r="E28" s="38" t="s">
        <v>32</v>
      </c>
      <c r="F28" s="38" t="s">
        <v>33</v>
      </c>
      <c r="G28" s="38" t="s">
        <v>15</v>
      </c>
      <c r="H28" s="37" t="s">
        <v>18</v>
      </c>
      <c r="I28" s="37" t="s">
        <v>19</v>
      </c>
      <c r="J28" s="37" t="s">
        <v>34</v>
      </c>
      <c r="K28" s="38" t="s">
        <v>35</v>
      </c>
      <c r="L28" s="38" t="s">
        <v>36</v>
      </c>
      <c r="M28" s="38" t="s">
        <v>37</v>
      </c>
      <c r="N28" s="38" t="s">
        <v>88</v>
      </c>
      <c r="P28" s="51" t="s">
        <v>0</v>
      </c>
      <c r="Q28" s="51" t="s">
        <v>1</v>
      </c>
      <c r="R28" s="51"/>
      <c r="S28" s="51" t="s">
        <v>38</v>
      </c>
    </row>
    <row r="29" ht="15.75" customHeight="1" spans="1:19">
      <c r="A29" s="39" t="s">
        <v>123</v>
      </c>
      <c r="B29" s="39" t="s">
        <v>25</v>
      </c>
      <c r="C29" s="39">
        <f>COUNTIFS(表1_8612182224266466[目标区服],表2_9713192325276567[[#This Row],[合区区服]],表1_8612182224266466[目标国家（映射）],表2_9713192325276567[[#This Row],[国家]])</f>
        <v>2</v>
      </c>
      <c r="D29" s="39">
        <f>SUMIFS(表1_8612182224266466[活跃高战玩家数],表1_8612182224266466[目标区服],表2_9713192325276567[[#This Row],[合区区服]],表1_8612182224266466[目标国家（映射）],表2_9713192325276567[[#This Row],[国家]])</f>
        <v>5</v>
      </c>
      <c r="E29" s="39">
        <f>SUMIFS(表1_8612182224266466[活跃中坚玩家数],表1_8612182224266466[目标区服],表2_9713192325276567[[#This Row],[合区区服]],表1_8612182224266466[目标国家（映射）],表2_9713192325276567[[#This Row],[国家]])</f>
        <v>42</v>
      </c>
      <c r="F29" s="39">
        <f t="array" ref="F29">MAX((表1_8612182224266466[目标区服]=表2_9713192325276567[[#This Row],[合区区服]])*(表1_8612182224266466[目标国家（映射）]=表2_9713192325276567[[#This Row],[国家]])*表1_8612182224266466[活跃尖端战力])</f>
        <v>3554005</v>
      </c>
      <c r="G29" s="40">
        <f>SUMIFS(表1_8612182224266466[活跃总战力],表1_8612182224266466[目标区服],表2_9713192325276567[[#This Row],[合区区服]],表1_8612182224266466[目标国家（映射）],表2_9713192325276567[[#This Row],[国家]])</f>
        <v>46400943</v>
      </c>
      <c r="H29" s="39">
        <f>SUMIFS(表1_8612182224266466[活跃实际充值],表1_8612182224266466[目标区服],表2_9713192325276567[[#This Row],[合区区服]],表1_8612182224266466[目标国家（映射）],表2_9713192325276567[[#This Row],[国家]])</f>
        <v>131084</v>
      </c>
      <c r="I29" s="39">
        <f>SUMIFS(表1_8612182224266466[活跃虚拟充值],表1_8612182224266466[目标区服],表2_9713192325276567[[#This Row],[合区区服]],表1_8612182224266466[目标国家（映射）],表2_9713192325276567[[#This Row],[国家]])</f>
        <v>0</v>
      </c>
      <c r="J29" s="39">
        <f>SUMIFS(表1_8612182224266466[活跃Coin],表1_8612182224266466[目标区服],表2_9713192325276567[[#This Row],[合区区服]],表1_8612182224266466[目标国家（映射）],表2_9713192325276567[[#This Row],[国家]])</f>
        <v>1153455</v>
      </c>
      <c r="K29" s="39">
        <f>SUMIFS(表1_8612182224266466[共计补偿Coin],表1_8612182224266466[目标区服],表2_9713192325276567[[#This Row],[合区区服]],表1_8612182224266466[目标国家（映射）],表2_9713192325276567[[#This Row],[国家]])</f>
        <v>56000</v>
      </c>
      <c r="L29" s="39">
        <f>表2_9713192325276567[[#This Row],[活跃Coin]]+表2_9713192325276567[[#This Row],[共计补偿Coin]]</f>
        <v>1209455</v>
      </c>
      <c r="M29" s="39">
        <f>SUMIFS(表1_8612182224266466[综合国力],表1_8612182224266466[目标区服],表2_9713192325276567[[#This Row],[合区区服]],表1_8612182224266466[目标国家（映射）],表2_9713192325276567[[#This Row],[国家]])</f>
        <v>18303</v>
      </c>
      <c r="N29" s="39">
        <f t="array" ref="N29">MAX((表1_8612182224266466[目标区服]=表2_9713192325276567[[#This Row],[合区区服]])*(表1_8612182224266466[目标国家（映射）]=表2_9713192325276567[[#This Row],[国家]])*表1_8612182224266466[单将最高战力])</f>
        <v>1090852</v>
      </c>
      <c r="P29" s="51">
        <v>142</v>
      </c>
      <c r="Q29" s="51">
        <v>58</v>
      </c>
      <c r="R29" s="51" t="s">
        <v>123</v>
      </c>
      <c r="S29" s="51">
        <v>60</v>
      </c>
    </row>
    <row r="30" ht="15" spans="1:19">
      <c r="A30" s="39" t="s">
        <v>123</v>
      </c>
      <c r="B30" s="39" t="s">
        <v>26</v>
      </c>
      <c r="C30" s="39">
        <f>COUNTIFS(表1_8612182224266466[目标区服],表2_9713192325276567[[#This Row],[合区区服]],表1_8612182224266466[目标国家（映射）],表2_9713192325276567[[#This Row],[国家]])</f>
        <v>2</v>
      </c>
      <c r="D30" s="39">
        <f>SUMIFS(表1_8612182224266466[活跃高战玩家数],表1_8612182224266466[目标区服],表2_9713192325276567[[#This Row],[合区区服]],表1_8612182224266466[目标国家（映射）],表2_9713192325276567[[#This Row],[国家]])</f>
        <v>6</v>
      </c>
      <c r="E30" s="39">
        <f>SUMIFS(表1_8612182224266466[活跃中坚玩家数],表1_8612182224266466[目标区服],表2_9713192325276567[[#This Row],[合区区服]],表1_8612182224266466[目标国家（映射）],表2_9713192325276567[[#This Row],[国家]])</f>
        <v>40</v>
      </c>
      <c r="F30" s="39">
        <f t="array" ref="F30">MAX((表1_8612182224266466[目标区服]=表2_9713192325276567[[#This Row],[合区区服]])*(表1_8612182224266466[目标国家（映射）]=表2_9713192325276567[[#This Row],[国家]])*表1_8612182224266466[活跃尖端战力])</f>
        <v>3636294</v>
      </c>
      <c r="G30" s="40">
        <f>SUMIFS(表1_8612182224266466[活跃总战力],表1_8612182224266466[目标区服],表2_9713192325276567[[#This Row],[合区区服]],表1_8612182224266466[目标国家（映射）],表2_9713192325276567[[#This Row],[国家]])</f>
        <v>48546006</v>
      </c>
      <c r="H30" s="39">
        <f>SUMIFS(表1_8612182224266466[活跃实际充值],表1_8612182224266466[目标区服],表2_9713192325276567[[#This Row],[合区区服]],表1_8612182224266466[目标国家（映射）],表2_9713192325276567[[#This Row],[国家]])</f>
        <v>146500</v>
      </c>
      <c r="I30" s="39">
        <f>SUMIFS(表1_8612182224266466[活跃虚拟充值],表1_8612182224266466[目标区服],表2_9713192325276567[[#This Row],[合区区服]],表1_8612182224266466[目标国家（映射）],表2_9713192325276567[[#This Row],[国家]])</f>
        <v>0</v>
      </c>
      <c r="J30" s="39">
        <f>SUMIFS(表1_8612182224266466[活跃Coin],表1_8612182224266466[目标区服],表2_9713192325276567[[#This Row],[合区区服]],表1_8612182224266466[目标国家（映射）],表2_9713192325276567[[#This Row],[国家]])</f>
        <v>1202896</v>
      </c>
      <c r="K30" s="39">
        <f>SUMIFS(表1_8612182224266466[共计补偿Coin],表1_8612182224266466[目标区服],表2_9713192325276567[[#This Row],[合区区服]],表1_8612182224266466[目标国家（映射）],表2_9713192325276567[[#This Row],[国家]])</f>
        <v>55000</v>
      </c>
      <c r="L30" s="39">
        <f>表2_9713192325276567[[#This Row],[活跃Coin]]+表2_9713192325276567[[#This Row],[共计补偿Coin]]</f>
        <v>1257896</v>
      </c>
      <c r="M30" s="39">
        <f>SUMIFS(表1_8612182224266466[综合国力],表1_8612182224266466[目标区服],表2_9713192325276567[[#This Row],[合区区服]],表1_8612182224266466[目标国家（映射）],表2_9713192325276567[[#This Row],[国家]])</f>
        <v>21202</v>
      </c>
      <c r="N30" s="39">
        <f t="array" ref="N30">MAX((表1_8612182224266466[目标区服]=表2_9713192325276567[[#This Row],[合区区服]])*(表1_8612182224266466[目标国家（映射）]=表2_9713192325276567[[#This Row],[国家]])*表1_8612182224266466[单将最高战力])</f>
        <v>1028074</v>
      </c>
      <c r="P30" s="51">
        <v>143</v>
      </c>
      <c r="Q30" s="51">
        <v>57</v>
      </c>
      <c r="R30" s="51" t="s">
        <v>124</v>
      </c>
      <c r="S30" s="51">
        <v>58</v>
      </c>
    </row>
    <row r="31" ht="15" spans="1:19">
      <c r="A31" s="39" t="s">
        <v>123</v>
      </c>
      <c r="B31" s="39" t="s">
        <v>27</v>
      </c>
      <c r="C31" s="39">
        <f>COUNTIFS(表1_8612182224266466[目标区服],表2_9713192325276567[[#This Row],[合区区服]],表1_8612182224266466[目标国家（映射）],表2_9713192325276567[[#This Row],[国家]])</f>
        <v>2</v>
      </c>
      <c r="D31" s="39">
        <f>SUMIFS(表1_8612182224266466[活跃高战玩家数],表1_8612182224266466[目标区服],表2_9713192325276567[[#This Row],[合区区服]],表1_8612182224266466[目标国家（映射）],表2_9713192325276567[[#This Row],[国家]])</f>
        <v>9</v>
      </c>
      <c r="E31" s="39">
        <f>SUMIFS(表1_8612182224266466[活跃中坚玩家数],表1_8612182224266466[目标区服],表2_9713192325276567[[#This Row],[合区区服]],表1_8612182224266466[目标国家（映射）],表2_9713192325276567[[#This Row],[国家]])</f>
        <v>41</v>
      </c>
      <c r="F31" s="39">
        <f t="array" ref="F31">MAX((表1_8612182224266466[目标区服]=表2_9713192325276567[[#This Row],[合区区服]])*(表1_8612182224266466[目标国家（映射）]=表2_9713192325276567[[#This Row],[国家]])*表1_8612182224266466[活跃尖端战力])</f>
        <v>3142130</v>
      </c>
      <c r="G31" s="40">
        <f>SUMIFS(表1_8612182224266466[活跃总战力],表1_8612182224266466[目标区服],表2_9713192325276567[[#This Row],[合区区服]],表1_8612182224266466[目标国家（映射）],表2_9713192325276567[[#This Row],[国家]])</f>
        <v>55698846</v>
      </c>
      <c r="H31" s="39">
        <f>SUMIFS(表1_8612182224266466[活跃实际充值],表1_8612182224266466[目标区服],表2_9713192325276567[[#This Row],[合区区服]],表1_8612182224266466[目标国家（映射）],表2_9713192325276567[[#This Row],[国家]])</f>
        <v>93150</v>
      </c>
      <c r="I31" s="39">
        <f>SUMIFS(表1_8612182224266466[活跃虚拟充值],表1_8612182224266466[目标区服],表2_9713192325276567[[#This Row],[合区区服]],表1_8612182224266466[目标国家（映射）],表2_9713192325276567[[#This Row],[国家]])</f>
        <v>0</v>
      </c>
      <c r="J31" s="39">
        <f>SUMIFS(表1_8612182224266466[活跃Coin],表1_8612182224266466[目标区服],表2_9713192325276567[[#This Row],[合区区服]],表1_8612182224266466[目标国家（映射）],表2_9713192325276567[[#This Row],[国家]])</f>
        <v>830744</v>
      </c>
      <c r="K31" s="39">
        <f>SUMIFS(表1_8612182224266466[共计补偿Coin],表1_8612182224266466[目标区服],表2_9713192325276567[[#This Row],[合区区服]],表1_8612182224266466[目标国家（映射）],表2_9713192325276567[[#This Row],[国家]])</f>
        <v>68000</v>
      </c>
      <c r="L31" s="39">
        <f>表2_9713192325276567[[#This Row],[活跃Coin]]+表2_9713192325276567[[#This Row],[共计补偿Coin]]</f>
        <v>898744</v>
      </c>
      <c r="M31" s="39">
        <f>SUMIFS(表1_8612182224266466[综合国力],表1_8612182224266466[目标区服],表2_9713192325276567[[#This Row],[合区区服]],表1_8612182224266466[目标国家（映射）],表2_9713192325276567[[#This Row],[国家]])</f>
        <v>18079</v>
      </c>
      <c r="N31" s="39">
        <f t="array" ref="N31">MAX((表1_8612182224266466[目标区服]=表2_9713192325276567[[#This Row],[合区区服]])*(表1_8612182224266466[目标国家（映射）]=表2_9713192325276567[[#This Row],[国家]])*表1_8612182224266466[单将最高战力])</f>
        <v>1092717</v>
      </c>
      <c r="P31" s="51">
        <v>144</v>
      </c>
      <c r="Q31" s="51">
        <v>56</v>
      </c>
      <c r="R31" s="51" t="s">
        <v>125</v>
      </c>
      <c r="S31" s="51">
        <v>56</v>
      </c>
    </row>
    <row r="32" ht="15" spans="1:19">
      <c r="A32" s="41" t="s">
        <v>124</v>
      </c>
      <c r="B32" s="41" t="s">
        <v>25</v>
      </c>
      <c r="C32" s="41">
        <f>COUNTIFS(表1_8612182224266466[目标区服],表2_9713192325276567[[#This Row],[合区区服]],表1_8612182224266466[目标国家（映射）],表2_9713192325276567[[#This Row],[国家]])</f>
        <v>2</v>
      </c>
      <c r="D32" s="41">
        <f>SUMIFS(表1_8612182224266466[活跃高战玩家数],表1_8612182224266466[目标区服],表2_9713192325276567[[#This Row],[合区区服]],表1_8612182224266466[目标国家（映射）],表2_9713192325276567[[#This Row],[国家]])</f>
        <v>6</v>
      </c>
      <c r="E32" s="41">
        <f>SUMIFS(表1_8612182224266466[活跃中坚玩家数],表1_8612182224266466[目标区服],表2_9713192325276567[[#This Row],[合区区服]],表1_8612182224266466[目标国家（映射）],表2_9713192325276567[[#This Row],[国家]])</f>
        <v>33</v>
      </c>
      <c r="F32" s="41">
        <f t="array" ref="F32">MAX((表1_8612182224266466[目标区服]=表2_9713192325276567[[#This Row],[合区区服]])*(表1_8612182224266466[目标国家（映射）]=表2_9713192325276567[[#This Row],[国家]])*表1_8612182224266466[活跃尖端战力])</f>
        <v>3283712</v>
      </c>
      <c r="G32" s="42">
        <f>SUMIFS(表1_8612182224266466[活跃总战力],表1_8612182224266466[目标区服],表2_9713192325276567[[#This Row],[合区区服]],表1_8612182224266466[目标国家（映射）],表2_9713192325276567[[#This Row],[国家]])</f>
        <v>48079356</v>
      </c>
      <c r="H32" s="41">
        <f>SUMIFS(表1_8612182224266466[活跃实际充值],表1_8612182224266466[目标区服],表2_9713192325276567[[#This Row],[合区区服]],表1_8612182224266466[目标国家（映射）],表2_9713192325276567[[#This Row],[国家]])</f>
        <v>184164</v>
      </c>
      <c r="I32" s="41">
        <f>SUMIFS(表1_8612182224266466[活跃虚拟充值],表1_8612182224266466[目标区服],表2_9713192325276567[[#This Row],[合区区服]],表1_8612182224266466[目标国家（映射）],表2_9713192325276567[[#This Row],[国家]])</f>
        <v>0</v>
      </c>
      <c r="J32" s="41">
        <f>SUMIFS(表1_8612182224266466[活跃Coin],表1_8612182224266466[目标区服],表2_9713192325276567[[#This Row],[合区区服]],表1_8612182224266466[目标国家（映射）],表2_9713192325276567[[#This Row],[国家]])</f>
        <v>536676</v>
      </c>
      <c r="K32" s="41">
        <f>SUMIFS(表1_8612182224266466[共计补偿Coin],表1_8612182224266466[目标区服],表2_9713192325276567[[#This Row],[合区区服]],表1_8612182224266466[目标国家（映射）],表2_9713192325276567[[#This Row],[国家]])</f>
        <v>39000</v>
      </c>
      <c r="L32" s="41">
        <f>表2_9713192325276567[[#This Row],[活跃Coin]]+表2_9713192325276567[[#This Row],[共计补偿Coin]]</f>
        <v>575676</v>
      </c>
      <c r="M32" s="41">
        <f>SUMIFS(表1_8612182224266466[综合国力],表1_8612182224266466[目标区服],表2_9713192325276567[[#This Row],[合区区服]],表1_8612182224266466[目标国家（映射）],表2_9713192325276567[[#This Row],[国家]])</f>
        <v>20172</v>
      </c>
      <c r="N32" s="41">
        <f t="array" ref="N32">MAX((表1_8612182224266466[目标区服]=表2_9713192325276567[[#This Row],[合区区服]])*(表1_8612182224266466[目标国家（映射）]=表2_9713192325276567[[#This Row],[国家]])*表1_8612182224266466[单将最高战力])</f>
        <v>1055852</v>
      </c>
      <c r="P32" s="51">
        <v>145</v>
      </c>
      <c r="Q32" s="51">
        <v>55</v>
      </c>
      <c r="R32" s="51" t="s">
        <v>126</v>
      </c>
      <c r="S32" s="51">
        <v>54</v>
      </c>
    </row>
    <row r="33" ht="15" spans="1:17">
      <c r="A33" s="41" t="s">
        <v>124</v>
      </c>
      <c r="B33" s="41" t="s">
        <v>26</v>
      </c>
      <c r="C33" s="41">
        <f>COUNTIFS(表1_8612182224266466[目标区服],表2_9713192325276567[[#This Row],[合区区服]],表1_8612182224266466[目标国家（映射）],表2_9713192325276567[[#This Row],[国家]])</f>
        <v>2</v>
      </c>
      <c r="D33" s="41">
        <f>SUMIFS(表1_8612182224266466[活跃高战玩家数],表1_8612182224266466[目标区服],表2_9713192325276567[[#This Row],[合区区服]],表1_8612182224266466[目标国家（映射）],表2_9713192325276567[[#This Row],[国家]])</f>
        <v>7</v>
      </c>
      <c r="E33" s="41">
        <f>SUMIFS(表1_8612182224266466[活跃中坚玩家数],表1_8612182224266466[目标区服],表2_9713192325276567[[#This Row],[合区区服]],表1_8612182224266466[目标国家（映射）],表2_9713192325276567[[#This Row],[国家]])</f>
        <v>40</v>
      </c>
      <c r="F33" s="41">
        <f t="array" ref="F33">MAX((表1_8612182224266466[目标区服]=表2_9713192325276567[[#This Row],[合区区服]])*(表1_8612182224266466[目标国家（映射）]=表2_9713192325276567[[#This Row],[国家]])*表1_8612182224266466[活跃尖端战力])</f>
        <v>3403040</v>
      </c>
      <c r="G33" s="42">
        <f>SUMIFS(表1_8612182224266466[活跃总战力],表1_8612182224266466[目标区服],表2_9713192325276567[[#This Row],[合区区服]],表1_8612182224266466[目标国家（映射）],表2_9713192325276567[[#This Row],[国家]])</f>
        <v>46727324</v>
      </c>
      <c r="H33" s="41">
        <f>SUMIFS(表1_8612182224266466[活跃实际充值],表1_8612182224266466[目标区服],表2_9713192325276567[[#This Row],[合区区服]],表1_8612182224266466[目标国家（映射）],表2_9713192325276567[[#This Row],[国家]])</f>
        <v>150970</v>
      </c>
      <c r="I33" s="41">
        <f>SUMIFS(表1_8612182224266466[活跃虚拟充值],表1_8612182224266466[目标区服],表2_9713192325276567[[#This Row],[合区区服]],表1_8612182224266466[目标国家（映射）],表2_9713192325276567[[#This Row],[国家]])</f>
        <v>0</v>
      </c>
      <c r="J33" s="41">
        <f>SUMIFS(表1_8612182224266466[活跃Coin],表1_8612182224266466[目标区服],表2_9713192325276567[[#This Row],[合区区服]],表1_8612182224266466[目标国家（映射）],表2_9713192325276567[[#This Row],[国家]])</f>
        <v>705506</v>
      </c>
      <c r="K33" s="41">
        <f>SUMIFS(表1_8612182224266466[共计补偿Coin],表1_8612182224266466[目标区服],表2_9713192325276567[[#This Row],[合区区服]],表1_8612182224266466[目标国家（映射）],表2_9713192325276567[[#This Row],[国家]])</f>
        <v>70500</v>
      </c>
      <c r="L33" s="41">
        <f>表2_9713192325276567[[#This Row],[活跃Coin]]+表2_9713192325276567[[#This Row],[共计补偿Coin]]</f>
        <v>776006</v>
      </c>
      <c r="M33" s="41">
        <f>SUMIFS(表1_8612182224266466[综合国力],表1_8612182224266466[目标区服],表2_9713192325276567[[#This Row],[合区区服]],表1_8612182224266466[目标国家（映射）],表2_9713192325276567[[#This Row],[国家]])</f>
        <v>19893</v>
      </c>
      <c r="N33" s="41">
        <f t="array" ref="N33">MAX((表1_8612182224266466[目标区服]=表2_9713192325276567[[#This Row],[合区区服]])*(表1_8612182224266466[目标国家（映射）]=表2_9713192325276567[[#This Row],[国家]])*表1_8612182224266466[单将最高战力])</f>
        <v>917249</v>
      </c>
      <c r="P33" s="51">
        <v>146</v>
      </c>
      <c r="Q33" s="51">
        <v>54</v>
      </c>
    </row>
    <row r="34" ht="15" spans="1:17">
      <c r="A34" s="41" t="s">
        <v>124</v>
      </c>
      <c r="B34" s="43" t="s">
        <v>27</v>
      </c>
      <c r="C34" s="43">
        <f>COUNTIFS(表1_8612182224266466[目标区服],表2_9713192325276567[[#This Row],[合区区服]],表1_8612182224266466[目标国家（映射）],表2_9713192325276567[[#This Row],[国家]])</f>
        <v>2</v>
      </c>
      <c r="D34" s="43">
        <f>SUMIFS(表1_8612182224266466[活跃高战玩家数],表1_8612182224266466[目标区服],表2_9713192325276567[[#This Row],[合区区服]],表1_8612182224266466[目标国家（映射）],表2_9713192325276567[[#This Row],[国家]])</f>
        <v>5</v>
      </c>
      <c r="E34" s="43">
        <f>SUMIFS(表1_8612182224266466[活跃中坚玩家数],表1_8612182224266466[目标区服],表2_9713192325276567[[#This Row],[合区区服]],表1_8612182224266466[目标国家（映射）],表2_9713192325276567[[#This Row],[国家]])</f>
        <v>45</v>
      </c>
      <c r="F34" s="43">
        <f t="array" ref="F34">MAX((表1_8612182224266466[目标区服]=表2_9713192325276567[[#This Row],[合区区服]])*(表1_8612182224266466[目标国家（映射）]=表2_9713192325276567[[#This Row],[国家]])*表1_8612182224266466[活跃尖端战力])</f>
        <v>3780717</v>
      </c>
      <c r="G34" s="44">
        <f>SUMIFS(表1_8612182224266466[活跃总战力],表1_8612182224266466[目标区服],表2_9713192325276567[[#This Row],[合区区服]],表1_8612182224266466[目标国家（映射）],表2_9713192325276567[[#This Row],[国家]])</f>
        <v>55644695</v>
      </c>
      <c r="H34" s="43">
        <f>SUMIFS(表1_8612182224266466[活跃实际充值],表1_8612182224266466[目标区服],表2_9713192325276567[[#This Row],[合区区服]],表1_8612182224266466[目标国家（映射）],表2_9713192325276567[[#This Row],[国家]])</f>
        <v>162262</v>
      </c>
      <c r="I34" s="43">
        <f>SUMIFS(表1_8612182224266466[活跃虚拟充值],表1_8612182224266466[目标区服],表2_9713192325276567[[#This Row],[合区区服]],表1_8612182224266466[目标国家（映射）],表2_9713192325276567[[#This Row],[国家]])</f>
        <v>8108</v>
      </c>
      <c r="J34" s="43">
        <f>SUMIFS(表1_8612182224266466[活跃Coin],表1_8612182224266466[目标区服],表2_9713192325276567[[#This Row],[合区区服]],表1_8612182224266466[目标国家（映射）],表2_9713192325276567[[#This Row],[国家]])</f>
        <v>1308387</v>
      </c>
      <c r="K34" s="43">
        <f>SUMIFS(表1_8612182224266466[共计补偿Coin],表1_8612182224266466[目标区服],表2_9713192325276567[[#This Row],[合区区服]],表1_8612182224266466[目标国家（映射）],表2_9713192325276567[[#This Row],[国家]])</f>
        <v>56500</v>
      </c>
      <c r="L34" s="43">
        <f>表2_9713192325276567[[#This Row],[活跃Coin]]+表2_9713192325276567[[#This Row],[共计补偿Coin]]</f>
        <v>1364887</v>
      </c>
      <c r="M34" s="43">
        <f>SUMIFS(表1_8612182224266466[综合国力],表1_8612182224266466[目标区服],表2_9713192325276567[[#This Row],[合区区服]],表1_8612182224266466[目标国家（映射）],表2_9713192325276567[[#This Row],[国家]])</f>
        <v>21256</v>
      </c>
      <c r="N34" s="41">
        <f t="array" ref="N34">MAX((表1_8612182224266466[目标区服]=表2_9713192325276567[[#This Row],[合区区服]])*(表1_8612182224266466[目标国家（映射）]=表2_9713192325276567[[#This Row],[国家]])*表1_8612182224266466[单将最高战力])</f>
        <v>1128165</v>
      </c>
      <c r="P34" s="51">
        <v>147</v>
      </c>
      <c r="Q34" s="51">
        <v>53</v>
      </c>
    </row>
    <row r="35" ht="15" spans="1:17">
      <c r="A35" s="45" t="s">
        <v>125</v>
      </c>
      <c r="B35" s="46" t="s">
        <v>25</v>
      </c>
      <c r="C35" s="46">
        <f>COUNTIFS(表1_8612182224266466[目标区服],表2_9713192325276567[[#This Row],[合区区服]],表1_8612182224266466[目标国家（映射）],表2_9713192325276567[[#This Row],[国家]])</f>
        <v>2</v>
      </c>
      <c r="D35" s="46">
        <f>SUMIFS(表1_8612182224266466[活跃高战玩家数],表1_8612182224266466[目标区服],表2_9713192325276567[[#This Row],[合区区服]],表1_8612182224266466[目标国家（映射）],表2_9713192325276567[[#This Row],[国家]])</f>
        <v>7</v>
      </c>
      <c r="E35" s="46">
        <f>SUMIFS(表1_8612182224266466[活跃中坚玩家数],表1_8612182224266466[目标区服],表2_9713192325276567[[#This Row],[合区区服]],表1_8612182224266466[目标国家（映射）],表2_9713192325276567[[#This Row],[国家]])</f>
        <v>42</v>
      </c>
      <c r="F35" s="46">
        <f t="array" ref="F35">MAX((表1_8612182224266466[目标区服]=表2_9713192325276567[[#This Row],[合区区服]])*(表1_8612182224266466[目标国家（映射）]=表2_9713192325276567[[#This Row],[国家]])*表1_8612182224266466[活跃尖端战力])</f>
        <v>4604468</v>
      </c>
      <c r="G35" s="47">
        <f>SUMIFS(表1_8612182224266466[活跃总战力],表1_8612182224266466[目标区服],表2_9713192325276567[[#This Row],[合区区服]],表1_8612182224266466[目标国家（映射）],表2_9713192325276567[[#This Row],[国家]])</f>
        <v>51470016</v>
      </c>
      <c r="H35" s="46">
        <f>SUMIFS(表1_8612182224266466[活跃实际充值],表1_8612182224266466[目标区服],表2_9713192325276567[[#This Row],[合区区服]],表1_8612182224266466[目标国家（映射）],表2_9713192325276567[[#This Row],[国家]])</f>
        <v>225168</v>
      </c>
      <c r="I35" s="46">
        <f>SUMIFS(表1_8612182224266466[活跃虚拟充值],表1_8612182224266466[目标区服],表2_9713192325276567[[#This Row],[合区区服]],表1_8612182224266466[目标国家（映射）],表2_9713192325276567[[#This Row],[国家]])</f>
        <v>0</v>
      </c>
      <c r="J35" s="46">
        <f>SUMIFS(表1_8612182224266466[活跃Coin],表1_8612182224266466[目标区服],表2_9713192325276567[[#This Row],[合区区服]],表1_8612182224266466[目标国家（映射）],表2_9713192325276567[[#This Row],[国家]])</f>
        <v>574371</v>
      </c>
      <c r="K35" s="46">
        <f>SUMIFS(表1_8612182224266466[共计补偿Coin],表1_8612182224266466[目标区服],表2_9713192325276567[[#This Row],[合区区服]],表1_8612182224266466[目标国家（映射）],表2_9713192325276567[[#This Row],[国家]])</f>
        <v>56500</v>
      </c>
      <c r="L35" s="46">
        <f>表2_9713192325276567[[#This Row],[活跃Coin]]+表2_9713192325276567[[#This Row],[共计补偿Coin]]</f>
        <v>630871</v>
      </c>
      <c r="M35" s="46">
        <f>SUMIFS(表1_8612182224266466[综合国力],表1_8612182224266466[目标区服],表2_9713192325276567[[#This Row],[合区区服]],表1_8612182224266466[目标国家（映射）],表2_9713192325276567[[#This Row],[国家]])</f>
        <v>23510</v>
      </c>
      <c r="N35" s="46">
        <f t="array" ref="N35">MAX((表1_8612182224266466[目标区服]=表2_9713192325276567[[#This Row],[合区区服]])*(表1_8612182224266466[目标国家（映射）]=表2_9713192325276567[[#This Row],[国家]])*表1_8612182224266466[单将最高战力])</f>
        <v>1140743</v>
      </c>
      <c r="P35" s="51">
        <v>148</v>
      </c>
      <c r="Q35" s="51">
        <v>52</v>
      </c>
    </row>
    <row r="36" ht="15" spans="1:17">
      <c r="A36" s="45" t="s">
        <v>125</v>
      </c>
      <c r="B36" s="46" t="s">
        <v>26</v>
      </c>
      <c r="C36" s="46">
        <f>COUNTIFS(表1_8612182224266466[目标区服],表2_9713192325276567[[#This Row],[合区区服]],表1_8612182224266466[目标国家（映射）],表2_9713192325276567[[#This Row],[国家]])</f>
        <v>1</v>
      </c>
      <c r="D36" s="46">
        <f>SUMIFS(表1_8612182224266466[活跃高战玩家数],表1_8612182224266466[目标区服],表2_9713192325276567[[#This Row],[合区区服]],表1_8612182224266466[目标国家（映射）],表2_9713192325276567[[#This Row],[国家]])</f>
        <v>8</v>
      </c>
      <c r="E36" s="46">
        <f>SUMIFS(表1_8612182224266466[活跃中坚玩家数],表1_8612182224266466[目标区服],表2_9713192325276567[[#This Row],[合区区服]],表1_8612182224266466[目标国家（映射）],表2_9713192325276567[[#This Row],[国家]])</f>
        <v>39</v>
      </c>
      <c r="F36" s="46">
        <f t="array" ref="F36">MAX((表1_8612182224266466[目标区服]=表2_9713192325276567[[#This Row],[合区区服]])*(表1_8612182224266466[目标国家（映射）]=表2_9713192325276567[[#This Row],[国家]])*表1_8612182224266466[活跃尖端战力])</f>
        <v>3840109</v>
      </c>
      <c r="G36" s="47">
        <f>SUMIFS(表1_8612182224266466[活跃总战力],表1_8612182224266466[目标区服],表2_9713192325276567[[#This Row],[合区区服]],表1_8612182224266466[目标国家（映射）],表2_9713192325276567[[#This Row],[国家]])</f>
        <v>58857011</v>
      </c>
      <c r="H36" s="46">
        <f>SUMIFS(表1_8612182224266466[活跃实际充值],表1_8612182224266466[目标区服],表2_9713192325276567[[#This Row],[合区区服]],表1_8612182224266466[目标国家（映射）],表2_9713192325276567[[#This Row],[国家]])</f>
        <v>250438</v>
      </c>
      <c r="I36" s="46">
        <f>SUMIFS(表1_8612182224266466[活跃虚拟充值],表1_8612182224266466[目标区服],表2_9713192325276567[[#This Row],[合区区服]],表1_8612182224266466[目标国家（映射）],表2_9713192325276567[[#This Row],[国家]])</f>
        <v>30</v>
      </c>
      <c r="J36" s="46">
        <f>SUMIFS(表1_8612182224266466[活跃Coin],表1_8612182224266466[目标区服],表2_9713192325276567[[#This Row],[合区区服]],表1_8612182224266466[目标国家（映射）],表2_9713192325276567[[#This Row],[国家]])</f>
        <v>2244280</v>
      </c>
      <c r="K36" s="46">
        <f>SUMIFS(表1_8612182224266466[共计补偿Coin],表1_8612182224266466[目标区服],表2_9713192325276567[[#This Row],[合区区服]],表1_8612182224266466[目标国家（映射）],表2_9713192325276567[[#This Row],[国家]])</f>
        <v>70500</v>
      </c>
      <c r="L36" s="46">
        <f>表2_9713192325276567[[#This Row],[活跃Coin]]+表2_9713192325276567[[#This Row],[共计补偿Coin]]</f>
        <v>2314780</v>
      </c>
      <c r="M36" s="46">
        <f>SUMIFS(表1_8612182224266466[综合国力],表1_8612182224266466[目标区服],表2_9713192325276567[[#This Row],[合区区服]],表1_8612182224266466[目标国家（映射）],表2_9713192325276567[[#This Row],[国家]])</f>
        <v>22772</v>
      </c>
      <c r="N36" s="46">
        <f t="array" ref="N36">MAX((表1_8612182224266466[目标区服]=表2_9713192325276567[[#This Row],[合区区服]])*(表1_8612182224266466[目标国家（映射）]=表2_9713192325276567[[#This Row],[国家]])*表1_8612182224266466[单将最高战力])</f>
        <v>1104049</v>
      </c>
      <c r="P36" s="51">
        <v>149</v>
      </c>
      <c r="Q36" s="51">
        <v>51</v>
      </c>
    </row>
    <row r="37" ht="15" spans="1:14">
      <c r="A37" s="45" t="s">
        <v>125</v>
      </c>
      <c r="B37" s="48" t="s">
        <v>27</v>
      </c>
      <c r="C37" s="48">
        <f>COUNTIFS(表1_8612182224266466[目标区服],表2_9713192325276567[[#This Row],[合区区服]],表1_8612182224266466[目标国家（映射）],表2_9713192325276567[[#This Row],[国家]])</f>
        <v>3</v>
      </c>
      <c r="D37" s="48">
        <f>SUMIFS(表1_8612182224266466[活跃高战玩家数],表1_8612182224266466[目标区服],表2_9713192325276567[[#This Row],[合区区服]],表1_8612182224266466[目标国家（映射）],表2_9713192325276567[[#This Row],[国家]])</f>
        <v>4</v>
      </c>
      <c r="E37" s="48">
        <f>SUMIFS(表1_8612182224266466[活跃中坚玩家数],表1_8612182224266466[目标区服],表2_9713192325276567[[#This Row],[合区区服]],表1_8612182224266466[目标国家（映射）],表2_9713192325276567[[#This Row],[国家]])</f>
        <v>49</v>
      </c>
      <c r="F37" s="48">
        <f t="array" ref="F37">MAX((表1_8612182224266466[目标区服]=表2_9713192325276567[[#This Row],[合区区服]])*(表1_8612182224266466[目标国家（映射）]=表2_9713192325276567[[#This Row],[国家]])*表1_8612182224266466[活跃尖端战力])</f>
        <v>2516739</v>
      </c>
      <c r="G37" s="458">
        <f>SUMIFS(表1_8612182224266466[活跃总战力],表1_8612182224266466[目标区服],表2_9713192325276567[[#This Row],[合区区服]],表1_8612182224266466[目标国家（映射）],表2_9713192325276567[[#This Row],[国家]])</f>
        <v>48701588</v>
      </c>
      <c r="H37" s="48">
        <f>SUMIFS(表1_8612182224266466[活跃实际充值],表1_8612182224266466[目标区服],表2_9713192325276567[[#This Row],[合区区服]],表1_8612182224266466[目标国家（映射）],表2_9713192325276567[[#This Row],[国家]])</f>
        <v>164484</v>
      </c>
      <c r="I37" s="48">
        <f>SUMIFS(表1_8612182224266466[活跃虚拟充值],表1_8612182224266466[目标区服],表2_9713192325276567[[#This Row],[合区区服]],表1_8612182224266466[目标国家（映射）],表2_9713192325276567[[#This Row],[国家]])</f>
        <v>0</v>
      </c>
      <c r="J37" s="48">
        <f>SUMIFS(表1_8612182224266466[活跃Coin],表1_8612182224266466[目标区服],表2_9713192325276567[[#This Row],[合区区服]],表1_8612182224266466[目标国家（映射）],表2_9713192325276567[[#This Row],[国家]])</f>
        <v>719884</v>
      </c>
      <c r="K37" s="48">
        <f>SUMIFS(表1_8612182224266466[共计补偿Coin],表1_8612182224266466[目标区服],表2_9713192325276567[[#This Row],[合区区服]],表1_8612182224266466[目标国家（映射）],表2_9713192325276567[[#This Row],[国家]])</f>
        <v>60500</v>
      </c>
      <c r="L37" s="48">
        <f>表2_9713192325276567[[#This Row],[活跃Coin]]+表2_9713192325276567[[#This Row],[共计补偿Coin]]</f>
        <v>780384</v>
      </c>
      <c r="M37" s="48">
        <f>SUMIFS(表1_8612182224266466[综合国力],表1_8612182224266466[目标区服],表2_9713192325276567[[#This Row],[合区区服]],表1_8612182224266466[目标国家（映射）],表2_9713192325276567[[#This Row],[国家]])</f>
        <v>20069</v>
      </c>
      <c r="N37" s="46">
        <f t="array" ref="N37">MAX((表1_8612182224266466[目标区服]=表2_9713192325276567[[#This Row],[合区区服]])*(表1_8612182224266466[目标国家（映射）]=表2_9713192325276567[[#This Row],[国家]])*表1_8612182224266466[单将最高战力])</f>
        <v>1179713</v>
      </c>
    </row>
    <row r="38" ht="15" spans="1:14">
      <c r="A38" s="308" t="s">
        <v>126</v>
      </c>
      <c r="B38" s="224" t="s">
        <v>25</v>
      </c>
      <c r="C38" s="224">
        <f>COUNTIFS(表1_8612182224266466[目标区服],表2_9713192325276567[[#This Row],[合区区服]],表1_8612182224266466[目标国家（映射）],表2_9713192325276567[[#This Row],[国家]])</f>
        <v>2</v>
      </c>
      <c r="D38" s="224">
        <f>SUMIFS(表1_8612182224266466[活跃高战玩家数],表1_8612182224266466[目标区服],表2_9713192325276567[[#This Row],[合区区服]],表1_8612182224266466[目标国家（映射）],表2_9713192325276567[[#This Row],[国家]])</f>
        <v>7</v>
      </c>
      <c r="E38" s="224">
        <f>SUMIFS(表1_8612182224266466[活跃中坚玩家数],表1_8612182224266466[目标区服],表2_9713192325276567[[#This Row],[合区区服]],表1_8612182224266466[目标国家（映射）],表2_9713192325276567[[#This Row],[国家]])</f>
        <v>49</v>
      </c>
      <c r="F38" s="224">
        <f t="array" ref="F38">MAX((表1_8612182224266466[目标区服]=表2_9713192325276567[[#This Row],[合区区服]])*(表1_8612182224266466[目标国家（映射）]=表2_9713192325276567[[#This Row],[国家]])*表1_8612182224266466[活跃尖端战力])</f>
        <v>4090309</v>
      </c>
      <c r="G38" s="225">
        <f>SUMIFS(表1_8612182224266466[活跃总战力],表1_8612182224266466[目标区服],表2_9713192325276567[[#This Row],[合区区服]],表1_8612182224266466[目标国家（映射）],表2_9713192325276567[[#This Row],[国家]])</f>
        <v>63894622</v>
      </c>
      <c r="H38" s="224">
        <f>SUMIFS(表1_8612182224266466[活跃实际充值],表1_8612182224266466[目标区服],表2_9713192325276567[[#This Row],[合区区服]],表1_8612182224266466[目标国家（映射）],表2_9713192325276567[[#This Row],[国家]])</f>
        <v>259150</v>
      </c>
      <c r="I38" s="224">
        <f>SUMIFS(表1_8612182224266466[活跃虚拟充值],表1_8612182224266466[目标区服],表2_9713192325276567[[#This Row],[合区区服]],表1_8612182224266466[目标国家（映射）],表2_9713192325276567[[#This Row],[国家]])</f>
        <v>0</v>
      </c>
      <c r="J38" s="224">
        <f>SUMIFS(表1_8612182224266466[活跃Coin],表1_8612182224266466[目标区服],表2_9713192325276567[[#This Row],[合区区服]],表1_8612182224266466[目标国家（映射）],表2_9713192325276567[[#This Row],[国家]])</f>
        <v>1339571</v>
      </c>
      <c r="K38" s="224">
        <f>SUMIFS(表1_8612182224266466[共计补偿Coin],表1_8612182224266466[目标区服],表2_9713192325276567[[#This Row],[合区区服]],表1_8612182224266466[目标国家（映射）],表2_9713192325276567[[#This Row],[国家]])</f>
        <v>56000</v>
      </c>
      <c r="L38" s="224">
        <f>表2_9713192325276567[[#This Row],[活跃Coin]]+表2_9713192325276567[[#This Row],[共计补偿Coin]]</f>
        <v>1395571</v>
      </c>
      <c r="M38" s="224">
        <f>SUMIFS(表1_8612182224266466[综合国力],表1_8612182224266466[目标区服],表2_9713192325276567[[#This Row],[合区区服]],表1_8612182224266466[目标国家（映射）],表2_9713192325276567[[#This Row],[国家]])</f>
        <v>27170</v>
      </c>
      <c r="N38" s="471">
        <f t="array" ref="N38">MAX((表1_8612182224266466[目标区服]=表2_9713192325276567[[#This Row],[合区区服]])*(表1_8612182224266466[目标国家（映射）]=表2_9713192325276567[[#This Row],[国家]])*表1_8612182224266466[单将最高战力])</f>
        <v>1070267</v>
      </c>
    </row>
    <row r="39" ht="15" spans="1:14">
      <c r="A39" s="308" t="s">
        <v>126</v>
      </c>
      <c r="B39" s="224" t="s">
        <v>26</v>
      </c>
      <c r="C39" s="224">
        <f>COUNTIFS(表1_8612182224266466[目标区服],表2_9713192325276567[[#This Row],[合区区服]],表1_8612182224266466[目标国家（映射）],表2_9713192325276567[[#This Row],[国家]])</f>
        <v>2</v>
      </c>
      <c r="D39" s="224">
        <f>SUMIFS(表1_8612182224266466[活跃高战玩家数],表1_8612182224266466[目标区服],表2_9713192325276567[[#This Row],[合区区服]],表1_8612182224266466[目标国家（映射）],表2_9713192325276567[[#This Row],[国家]])</f>
        <v>7</v>
      </c>
      <c r="E39" s="224">
        <f>SUMIFS(表1_8612182224266466[活跃中坚玩家数],表1_8612182224266466[目标区服],表2_9713192325276567[[#This Row],[合区区服]],表1_8612182224266466[目标国家（映射）],表2_9713192325276567[[#This Row],[国家]])</f>
        <v>42</v>
      </c>
      <c r="F39" s="224">
        <f t="array" ref="F39">MAX((表1_8612182224266466[目标区服]=表2_9713192325276567[[#This Row],[合区区服]])*(表1_8612182224266466[目标国家（映射）]=表2_9713192325276567[[#This Row],[国家]])*表1_8612182224266466[活跃尖端战力])</f>
        <v>3973625</v>
      </c>
      <c r="G39" s="225">
        <f>SUMIFS(表1_8612182224266466[活跃总战力],表1_8612182224266466[目标区服],表2_9713192325276567[[#This Row],[合区区服]],表1_8612182224266466[目标国家（映射）],表2_9713192325276567[[#This Row],[国家]])</f>
        <v>58205292</v>
      </c>
      <c r="H39" s="224">
        <f>SUMIFS(表1_8612182224266466[活跃实际充值],表1_8612182224266466[目标区服],表2_9713192325276567[[#This Row],[合区区服]],表1_8612182224266466[目标国家（映射）],表2_9713192325276567[[#This Row],[国家]])</f>
        <v>275768</v>
      </c>
      <c r="I39" s="224">
        <f>SUMIFS(表1_8612182224266466[活跃虚拟充值],表1_8612182224266466[目标区服],表2_9713192325276567[[#This Row],[合区区服]],表1_8612182224266466[目标国家（映射）],表2_9713192325276567[[#This Row],[国家]])</f>
        <v>0</v>
      </c>
      <c r="J39" s="224">
        <f>SUMIFS(表1_8612182224266466[活跃Coin],表1_8612182224266466[目标区服],表2_9713192325276567[[#This Row],[合区区服]],表1_8612182224266466[目标国家（映射）],表2_9713192325276567[[#This Row],[国家]])</f>
        <v>913434</v>
      </c>
      <c r="K39" s="224">
        <f>SUMIFS(表1_8612182224266466[共计补偿Coin],表1_8612182224266466[目标区服],表2_9713192325276567[[#This Row],[合区区服]],表1_8612182224266466[目标国家（映射）],表2_9713192325276567[[#This Row],[国家]])</f>
        <v>61500</v>
      </c>
      <c r="L39" s="224">
        <f>表2_9713192325276567[[#This Row],[活跃Coin]]+表2_9713192325276567[[#This Row],[共计补偿Coin]]</f>
        <v>974934</v>
      </c>
      <c r="M39" s="224">
        <f>SUMIFS(表1_8612182224266466[综合国力],表1_8612182224266466[目标区服],表2_9713192325276567[[#This Row],[合区区服]],表1_8612182224266466[目标国家（映射）],表2_9713192325276567[[#This Row],[国家]])</f>
        <v>25957</v>
      </c>
      <c r="N39" s="471">
        <f t="array" ref="N39">MAX((表1_8612182224266466[目标区服]=表2_9713192325276567[[#This Row],[合区区服]])*(表1_8612182224266466[目标国家（映射）]=表2_9713192325276567[[#This Row],[国家]])*表1_8612182224266466[单将最高战力])</f>
        <v>1211457</v>
      </c>
    </row>
    <row r="40" ht="15" spans="1:14">
      <c r="A40" s="308" t="s">
        <v>126</v>
      </c>
      <c r="B40" s="226" t="s">
        <v>27</v>
      </c>
      <c r="C40" s="226">
        <f>COUNTIFS(表1_8612182224266466[目标区服],表2_9713192325276567[[#This Row],[合区区服]],表1_8612182224266466[目标国家（映射）],表2_9713192325276567[[#This Row],[国家]])</f>
        <v>2</v>
      </c>
      <c r="D40" s="226">
        <f>SUMIFS(表1_8612182224266466[活跃高战玩家数],表1_8612182224266466[目标区服],表2_9713192325276567[[#This Row],[合区区服]],表1_8612182224266466[目标国家（映射）],表2_9713192325276567[[#This Row],[国家]])</f>
        <v>6</v>
      </c>
      <c r="E40" s="226">
        <f>SUMIFS(表1_8612182224266466[活跃中坚玩家数],表1_8612182224266466[目标区服],表2_9713192325276567[[#This Row],[合区区服]],表1_8612182224266466[目标国家（映射）],表2_9713192325276567[[#This Row],[国家]])</f>
        <v>56</v>
      </c>
      <c r="F40" s="226">
        <f t="array" ref="F40">MAX((表1_8612182224266466[目标区服]=表2_9713192325276567[[#This Row],[合区区服]])*(表1_8612182224266466[目标国家（映射）]=表2_9713192325276567[[#This Row],[国家]])*表1_8612182224266466[活跃尖端战力])</f>
        <v>3905890</v>
      </c>
      <c r="G40" s="227">
        <f>SUMIFS(表1_8612182224266466[活跃总战力],表1_8612182224266466[目标区服],表2_9713192325276567[[#This Row],[合区区服]],表1_8612182224266466[目标国家（映射）],表2_9713192325276567[[#This Row],[国家]])</f>
        <v>72084018</v>
      </c>
      <c r="H40" s="226">
        <f>SUMIFS(表1_8612182224266466[活跃实际充值],表1_8612182224266466[目标区服],表2_9713192325276567[[#This Row],[合区区服]],表1_8612182224266466[目标国家（映射）],表2_9713192325276567[[#This Row],[国家]])</f>
        <v>295796</v>
      </c>
      <c r="I40" s="226">
        <f>SUMIFS(表1_8612182224266466[活跃虚拟充值],表1_8612182224266466[目标区服],表2_9713192325276567[[#This Row],[合区区服]],表1_8612182224266466[目标国家（映射）],表2_9713192325276567[[#This Row],[国家]])</f>
        <v>0</v>
      </c>
      <c r="J40" s="226">
        <f>SUMIFS(表1_8612182224266466[活跃Coin],表1_8612182224266466[目标区服],表2_9713192325276567[[#This Row],[合区区服]],表1_8612182224266466[目标国家（映射）],表2_9713192325276567[[#This Row],[国家]])</f>
        <v>1292823</v>
      </c>
      <c r="K40" s="226">
        <f>SUMIFS(表1_8612182224266466[共计补偿Coin],表1_8612182224266466[目标区服],表2_9713192325276567[[#This Row],[合区区服]],表1_8612182224266466[目标国家（映射）],表2_9713192325276567[[#This Row],[国家]])</f>
        <v>93000</v>
      </c>
      <c r="L40" s="226">
        <f>表2_9713192325276567[[#This Row],[活跃Coin]]+表2_9713192325276567[[#This Row],[共计补偿Coin]]</f>
        <v>1385823</v>
      </c>
      <c r="M40" s="226">
        <f>SUMIFS(表1_8612182224266466[综合国力],表1_8612182224266466[目标区服],表2_9713192325276567[[#This Row],[合区区服]],表1_8612182224266466[目标国家（映射）],表2_9713192325276567[[#This Row],[国家]])</f>
        <v>27835</v>
      </c>
      <c r="N40" s="563">
        <f t="array" ref="N40">MAX((表1_8612182224266466[目标区服]=表2_9713192325276567[[#This Row],[合区区服]])*(表1_8612182224266466[目标国家（映射）]=表2_9713192325276567[[#This Row],[国家]])*表1_8612182224266466[单将最高战力])</f>
        <v>1170859</v>
      </c>
    </row>
    <row r="46" ht="27" spans="2:14">
      <c r="B46" s="49"/>
      <c r="C46" s="50" t="s">
        <v>9</v>
      </c>
      <c r="D46" s="50" t="s">
        <v>10</v>
      </c>
      <c r="E46" s="50" t="s">
        <v>11</v>
      </c>
      <c r="F46" s="50" t="s">
        <v>12</v>
      </c>
      <c r="G46" s="50" t="s">
        <v>13</v>
      </c>
      <c r="H46" s="50" t="s">
        <v>14</v>
      </c>
      <c r="I46" s="50" t="s">
        <v>15</v>
      </c>
      <c r="J46" s="50" t="s">
        <v>18</v>
      </c>
      <c r="K46" s="50" t="s">
        <v>19</v>
      </c>
      <c r="L46" s="50" t="s">
        <v>20</v>
      </c>
      <c r="M46" s="50" t="s">
        <v>21</v>
      </c>
      <c r="N46" s="50" t="s">
        <v>82</v>
      </c>
    </row>
    <row r="47" spans="1:14">
      <c r="A47">
        <v>142</v>
      </c>
      <c r="B47" s="50" t="s">
        <v>25</v>
      </c>
      <c r="C47" s="50">
        <v>4</v>
      </c>
      <c r="D47" s="50">
        <v>151</v>
      </c>
      <c r="E47" s="50">
        <v>5</v>
      </c>
      <c r="F47" s="50">
        <v>24</v>
      </c>
      <c r="G47" s="50">
        <v>127820</v>
      </c>
      <c r="H47" s="50">
        <v>3554005</v>
      </c>
      <c r="I47" s="50">
        <v>32799291</v>
      </c>
      <c r="J47" s="50">
        <v>121688</v>
      </c>
      <c r="K47" s="50">
        <v>0</v>
      </c>
      <c r="L47" s="50">
        <v>811311</v>
      </c>
      <c r="M47" s="50">
        <v>13439</v>
      </c>
      <c r="N47" s="50">
        <v>1090852</v>
      </c>
    </row>
    <row r="48" spans="2:14">
      <c r="B48" s="50" t="s">
        <v>26</v>
      </c>
      <c r="C48" s="50">
        <v>3</v>
      </c>
      <c r="D48" s="50">
        <v>174</v>
      </c>
      <c r="E48" s="50">
        <v>3</v>
      </c>
      <c r="F48" s="50">
        <v>25</v>
      </c>
      <c r="G48" s="50">
        <v>110417</v>
      </c>
      <c r="H48" s="50">
        <v>3636294</v>
      </c>
      <c r="I48" s="50">
        <v>29398629</v>
      </c>
      <c r="J48" s="50">
        <v>92438</v>
      </c>
      <c r="K48" s="50">
        <v>0</v>
      </c>
      <c r="L48" s="50">
        <v>696518</v>
      </c>
      <c r="M48" s="50">
        <v>12289</v>
      </c>
      <c r="N48" s="50">
        <v>1028074</v>
      </c>
    </row>
    <row r="49" spans="2:14">
      <c r="B49" s="50" t="s">
        <v>27</v>
      </c>
      <c r="C49" s="50">
        <v>2</v>
      </c>
      <c r="D49" s="50">
        <v>70</v>
      </c>
      <c r="E49" s="50">
        <v>2</v>
      </c>
      <c r="F49" s="50">
        <v>12</v>
      </c>
      <c r="G49" s="50">
        <v>58020</v>
      </c>
      <c r="H49" s="50">
        <v>2167809</v>
      </c>
      <c r="I49" s="50">
        <v>13571340</v>
      </c>
      <c r="J49" s="50">
        <v>11646</v>
      </c>
      <c r="K49" s="50">
        <v>0</v>
      </c>
      <c r="L49" s="50">
        <v>140929</v>
      </c>
      <c r="M49" s="50">
        <v>5134</v>
      </c>
      <c r="N49" s="50">
        <v>705069</v>
      </c>
    </row>
    <row r="50" spans="1:14">
      <c r="A50">
        <v>143</v>
      </c>
      <c r="B50" s="50" t="s">
        <v>25</v>
      </c>
      <c r="C50" s="50">
        <v>2</v>
      </c>
      <c r="D50" s="50">
        <v>83</v>
      </c>
      <c r="E50" s="50">
        <v>0</v>
      </c>
      <c r="F50" s="50">
        <v>18</v>
      </c>
      <c r="G50" s="50">
        <v>46870</v>
      </c>
      <c r="H50" s="50">
        <v>1787514</v>
      </c>
      <c r="I50" s="50">
        <v>13601652</v>
      </c>
      <c r="J50" s="50">
        <v>9396</v>
      </c>
      <c r="K50" s="50">
        <v>0</v>
      </c>
      <c r="L50" s="50">
        <v>342144</v>
      </c>
      <c r="M50" s="50">
        <v>4864</v>
      </c>
      <c r="N50" s="50">
        <v>628088</v>
      </c>
    </row>
    <row r="51" spans="2:14">
      <c r="B51" s="50" t="s">
        <v>26</v>
      </c>
      <c r="C51" s="50">
        <v>3</v>
      </c>
      <c r="D51" s="50">
        <v>155</v>
      </c>
      <c r="E51" s="50">
        <v>7</v>
      </c>
      <c r="F51" s="50">
        <v>29</v>
      </c>
      <c r="G51" s="50">
        <v>190182</v>
      </c>
      <c r="H51" s="50">
        <v>3142130</v>
      </c>
      <c r="I51" s="50">
        <v>42127506</v>
      </c>
      <c r="J51" s="50">
        <v>81504</v>
      </c>
      <c r="K51" s="50">
        <v>0</v>
      </c>
      <c r="L51" s="50">
        <v>689815</v>
      </c>
      <c r="M51" s="50">
        <v>12945</v>
      </c>
      <c r="N51" s="50">
        <v>1092717</v>
      </c>
    </row>
    <row r="52" spans="2:14">
      <c r="B52" s="50" t="s">
        <v>27</v>
      </c>
      <c r="C52" s="50">
        <v>4</v>
      </c>
      <c r="D52" s="50">
        <v>157</v>
      </c>
      <c r="E52" s="50">
        <v>3</v>
      </c>
      <c r="F52" s="50">
        <v>15</v>
      </c>
      <c r="G52" s="50">
        <v>76038</v>
      </c>
      <c r="H52" s="50">
        <v>2773277</v>
      </c>
      <c r="I52" s="50">
        <v>19147377</v>
      </c>
      <c r="J52" s="50">
        <v>54062</v>
      </c>
      <c r="K52" s="50">
        <v>0</v>
      </c>
      <c r="L52" s="50">
        <v>506378</v>
      </c>
      <c r="M52" s="50">
        <v>8913</v>
      </c>
      <c r="N52" s="50">
        <v>942465</v>
      </c>
    </row>
    <row r="53" spans="1:14">
      <c r="A53">
        <v>144</v>
      </c>
      <c r="B53" s="50" t="s">
        <v>25</v>
      </c>
      <c r="C53" s="50">
        <v>3</v>
      </c>
      <c r="D53" s="50">
        <v>94</v>
      </c>
      <c r="E53" s="50">
        <v>4</v>
      </c>
      <c r="F53" s="50">
        <v>18</v>
      </c>
      <c r="G53" s="50">
        <v>84867</v>
      </c>
      <c r="H53" s="50">
        <v>3283712</v>
      </c>
      <c r="I53" s="50">
        <v>27360646</v>
      </c>
      <c r="J53" s="50">
        <v>118708</v>
      </c>
      <c r="K53" s="50">
        <v>0</v>
      </c>
      <c r="L53" s="50">
        <v>441279</v>
      </c>
      <c r="M53" s="50">
        <v>11465</v>
      </c>
      <c r="N53" s="50">
        <v>1055852</v>
      </c>
    </row>
    <row r="54" spans="2:14">
      <c r="B54" s="50" t="s">
        <v>26</v>
      </c>
      <c r="C54" s="50">
        <v>2</v>
      </c>
      <c r="D54" s="50">
        <v>108</v>
      </c>
      <c r="E54" s="50">
        <v>2</v>
      </c>
      <c r="F54" s="50">
        <v>15</v>
      </c>
      <c r="G54" s="50">
        <v>68259</v>
      </c>
      <c r="H54" s="50">
        <v>3002724</v>
      </c>
      <c r="I54" s="50">
        <v>20718710</v>
      </c>
      <c r="J54" s="50">
        <v>65456</v>
      </c>
      <c r="K54" s="50">
        <v>0</v>
      </c>
      <c r="L54" s="50">
        <v>95397</v>
      </c>
      <c r="M54" s="50">
        <v>8707</v>
      </c>
      <c r="N54" s="50">
        <v>802541</v>
      </c>
    </row>
    <row r="55" spans="2:14">
      <c r="B55" s="50" t="s">
        <v>27</v>
      </c>
      <c r="C55" s="50">
        <v>4</v>
      </c>
      <c r="D55" s="50">
        <v>193</v>
      </c>
      <c r="E55" s="50">
        <v>4</v>
      </c>
      <c r="F55" s="50">
        <v>33</v>
      </c>
      <c r="G55" s="50">
        <v>148354</v>
      </c>
      <c r="H55" s="50">
        <v>3780717</v>
      </c>
      <c r="I55" s="50">
        <v>45360169</v>
      </c>
      <c r="J55" s="50">
        <v>149504</v>
      </c>
      <c r="K55" s="50">
        <v>8108</v>
      </c>
      <c r="L55" s="50">
        <v>1224893</v>
      </c>
      <c r="M55" s="50">
        <v>16567</v>
      </c>
      <c r="N55" s="50">
        <v>1128165</v>
      </c>
    </row>
    <row r="56" spans="1:14">
      <c r="A56">
        <v>145</v>
      </c>
      <c r="B56" s="50" t="s">
        <v>25</v>
      </c>
      <c r="C56" s="50">
        <v>5</v>
      </c>
      <c r="D56" s="50">
        <v>211</v>
      </c>
      <c r="E56" s="50">
        <v>6</v>
      </c>
      <c r="F56" s="50">
        <v>22</v>
      </c>
      <c r="G56" s="50">
        <v>137088</v>
      </c>
      <c r="H56" s="50">
        <v>3403040</v>
      </c>
      <c r="I56" s="50">
        <v>30947724</v>
      </c>
      <c r="J56" s="50">
        <v>130802</v>
      </c>
      <c r="K56" s="50">
        <v>0</v>
      </c>
      <c r="L56" s="50">
        <v>489616</v>
      </c>
      <c r="M56" s="50">
        <v>13962</v>
      </c>
      <c r="N56" s="50">
        <v>917249</v>
      </c>
    </row>
    <row r="57" spans="2:14">
      <c r="B57" s="50" t="s">
        <v>26</v>
      </c>
      <c r="C57" s="50">
        <v>2</v>
      </c>
      <c r="D57" s="50">
        <v>103</v>
      </c>
      <c r="E57" s="50">
        <v>1</v>
      </c>
      <c r="F57" s="50">
        <v>18</v>
      </c>
      <c r="G57" s="50">
        <v>71573</v>
      </c>
      <c r="H57" s="50">
        <v>2052254</v>
      </c>
      <c r="I57" s="50">
        <v>15779600</v>
      </c>
      <c r="J57" s="50">
        <v>20168</v>
      </c>
      <c r="K57" s="50">
        <v>0</v>
      </c>
      <c r="L57" s="50">
        <v>215890</v>
      </c>
      <c r="M57" s="50">
        <v>5931</v>
      </c>
      <c r="N57" s="50">
        <v>660248</v>
      </c>
    </row>
    <row r="58" spans="2:14">
      <c r="B58" s="50" t="s">
        <v>27</v>
      </c>
      <c r="C58" s="50">
        <v>2</v>
      </c>
      <c r="D58" s="50">
        <v>81</v>
      </c>
      <c r="E58" s="50">
        <v>1</v>
      </c>
      <c r="F58" s="50">
        <v>12</v>
      </c>
      <c r="G58" s="50">
        <v>44446</v>
      </c>
      <c r="H58" s="50">
        <v>2004000</v>
      </c>
      <c r="I58" s="50">
        <v>10284526</v>
      </c>
      <c r="J58" s="50">
        <v>12758</v>
      </c>
      <c r="K58" s="50">
        <v>0</v>
      </c>
      <c r="L58" s="50">
        <v>83494</v>
      </c>
      <c r="M58" s="50">
        <v>4689</v>
      </c>
      <c r="N58" s="50">
        <v>680226</v>
      </c>
    </row>
    <row r="59" spans="1:14">
      <c r="A59">
        <v>146</v>
      </c>
      <c r="B59" s="50" t="s">
        <v>25</v>
      </c>
      <c r="C59" s="50">
        <v>0</v>
      </c>
      <c r="D59" s="50">
        <v>46</v>
      </c>
      <c r="E59" s="50">
        <v>0</v>
      </c>
      <c r="F59" s="50">
        <v>14</v>
      </c>
      <c r="G59" s="50">
        <v>28454</v>
      </c>
      <c r="H59" s="50">
        <v>1512306</v>
      </c>
      <c r="I59" s="50">
        <v>9466075</v>
      </c>
      <c r="J59" s="50">
        <v>1256</v>
      </c>
      <c r="K59" s="50">
        <v>0</v>
      </c>
      <c r="L59" s="50">
        <v>115015</v>
      </c>
      <c r="M59" s="50">
        <v>3156</v>
      </c>
      <c r="N59" s="50">
        <v>541133</v>
      </c>
    </row>
    <row r="60" spans="2:14">
      <c r="B60" s="50" t="s">
        <v>26</v>
      </c>
      <c r="C60" s="50">
        <v>6</v>
      </c>
      <c r="D60" s="50">
        <v>240</v>
      </c>
      <c r="E60" s="50">
        <v>6</v>
      </c>
      <c r="F60" s="50">
        <v>28</v>
      </c>
      <c r="G60" s="50">
        <v>140372</v>
      </c>
      <c r="H60" s="50">
        <v>4604468</v>
      </c>
      <c r="I60" s="50">
        <v>38459929</v>
      </c>
      <c r="J60" s="50">
        <v>187690</v>
      </c>
      <c r="K60" s="50">
        <v>0</v>
      </c>
      <c r="L60" s="50">
        <v>400003</v>
      </c>
      <c r="M60" s="50">
        <v>17983</v>
      </c>
      <c r="N60" s="50">
        <v>1140743</v>
      </c>
    </row>
    <row r="61" spans="2:14">
      <c r="B61" s="50" t="s">
        <v>27</v>
      </c>
      <c r="C61" s="50">
        <v>3</v>
      </c>
      <c r="D61" s="50">
        <v>109</v>
      </c>
      <c r="E61" s="50">
        <v>3</v>
      </c>
      <c r="F61" s="50">
        <v>21</v>
      </c>
      <c r="G61" s="50">
        <v>105345</v>
      </c>
      <c r="H61" s="50">
        <v>2491428</v>
      </c>
      <c r="I61" s="50">
        <v>24462088</v>
      </c>
      <c r="J61" s="50">
        <v>84364</v>
      </c>
      <c r="K61" s="50">
        <v>0</v>
      </c>
      <c r="L61" s="50">
        <v>328617</v>
      </c>
      <c r="M61" s="50">
        <v>9549</v>
      </c>
      <c r="N61" s="50">
        <v>1133690</v>
      </c>
    </row>
    <row r="62" spans="1:14">
      <c r="A62">
        <v>147</v>
      </c>
      <c r="B62" s="50" t="s">
        <v>25</v>
      </c>
      <c r="C62" s="50">
        <v>0</v>
      </c>
      <c r="D62" s="50">
        <v>62</v>
      </c>
      <c r="E62" s="50">
        <v>1</v>
      </c>
      <c r="F62" s="50">
        <v>14</v>
      </c>
      <c r="G62" s="50">
        <v>49230</v>
      </c>
      <c r="H62" s="50">
        <v>2516739</v>
      </c>
      <c r="I62" s="50">
        <v>14773425</v>
      </c>
      <c r="J62" s="50">
        <v>78864</v>
      </c>
      <c r="K62" s="50">
        <v>0</v>
      </c>
      <c r="L62" s="50">
        <v>276252</v>
      </c>
      <c r="M62" s="50">
        <v>7364</v>
      </c>
      <c r="N62" s="50">
        <v>1179713</v>
      </c>
    </row>
    <row r="63" spans="2:14">
      <c r="B63" s="50" t="s">
        <v>26</v>
      </c>
      <c r="C63" s="50">
        <v>7</v>
      </c>
      <c r="D63" s="50">
        <v>263</v>
      </c>
      <c r="E63" s="50">
        <v>8</v>
      </c>
      <c r="F63" s="50">
        <v>39</v>
      </c>
      <c r="G63" s="50">
        <v>216249</v>
      </c>
      <c r="H63" s="50">
        <v>3840109</v>
      </c>
      <c r="I63" s="50">
        <v>58857011</v>
      </c>
      <c r="J63" s="50">
        <v>250438</v>
      </c>
      <c r="K63" s="50">
        <v>30</v>
      </c>
      <c r="L63" s="50">
        <v>2244280</v>
      </c>
      <c r="M63" s="50">
        <v>22772</v>
      </c>
      <c r="N63" s="50">
        <v>1104049</v>
      </c>
    </row>
    <row r="64" spans="2:14">
      <c r="B64" s="50" t="s">
        <v>27</v>
      </c>
      <c r="C64" s="50">
        <v>2</v>
      </c>
      <c r="D64" s="50">
        <v>70</v>
      </c>
      <c r="E64" s="50">
        <v>1</v>
      </c>
      <c r="F64" s="50">
        <v>14</v>
      </c>
      <c r="G64" s="50">
        <v>34786</v>
      </c>
      <c r="H64" s="50">
        <v>1941308</v>
      </c>
      <c r="I64" s="50">
        <v>13010087</v>
      </c>
      <c r="J64" s="50">
        <v>37478</v>
      </c>
      <c r="K64" s="50">
        <v>0</v>
      </c>
      <c r="L64" s="50">
        <v>174368</v>
      </c>
      <c r="M64" s="50">
        <v>5527</v>
      </c>
      <c r="N64" s="50">
        <v>594256</v>
      </c>
    </row>
    <row r="65" spans="1:14">
      <c r="A65">
        <v>148</v>
      </c>
      <c r="B65" s="50" t="s">
        <v>25</v>
      </c>
      <c r="C65" s="50">
        <v>3</v>
      </c>
      <c r="D65" s="50">
        <v>110</v>
      </c>
      <c r="E65" s="50">
        <v>3</v>
      </c>
      <c r="F65" s="50">
        <v>25</v>
      </c>
      <c r="G65" s="50">
        <v>113019</v>
      </c>
      <c r="H65" s="50">
        <v>3445971</v>
      </c>
      <c r="I65" s="50">
        <v>31520509</v>
      </c>
      <c r="J65" s="50">
        <v>133588</v>
      </c>
      <c r="K65" s="50">
        <v>0</v>
      </c>
      <c r="L65" s="50">
        <v>612792</v>
      </c>
      <c r="M65" s="50">
        <v>12877</v>
      </c>
      <c r="N65" s="50">
        <v>988071</v>
      </c>
    </row>
    <row r="66" spans="2:14">
      <c r="B66" s="50" t="s">
        <v>26</v>
      </c>
      <c r="C66" s="50">
        <v>3</v>
      </c>
      <c r="D66" s="50">
        <v>198</v>
      </c>
      <c r="E66" s="50">
        <v>4</v>
      </c>
      <c r="F66" s="50">
        <v>24</v>
      </c>
      <c r="G66" s="50">
        <v>111131</v>
      </c>
      <c r="H66" s="50">
        <v>4090309</v>
      </c>
      <c r="I66" s="50">
        <v>32374113</v>
      </c>
      <c r="J66" s="50">
        <v>125562</v>
      </c>
      <c r="K66" s="50">
        <v>0</v>
      </c>
      <c r="L66" s="50">
        <v>726779</v>
      </c>
      <c r="M66" s="50">
        <v>14293</v>
      </c>
      <c r="N66" s="50">
        <v>1070267</v>
      </c>
    </row>
    <row r="67" spans="2:14">
      <c r="B67" s="50" t="s">
        <v>27</v>
      </c>
      <c r="C67" s="50">
        <v>3</v>
      </c>
      <c r="D67" s="50">
        <v>87</v>
      </c>
      <c r="E67" s="50">
        <v>3</v>
      </c>
      <c r="F67" s="50">
        <v>21</v>
      </c>
      <c r="G67" s="50">
        <v>85829</v>
      </c>
      <c r="H67" s="50">
        <v>3189487</v>
      </c>
      <c r="I67" s="50">
        <v>24020676</v>
      </c>
      <c r="J67" s="50">
        <v>56446</v>
      </c>
      <c r="K67" s="50">
        <v>0</v>
      </c>
      <c r="L67" s="50">
        <v>256896</v>
      </c>
      <c r="M67" s="50">
        <v>9012</v>
      </c>
      <c r="N67" s="50">
        <v>819569</v>
      </c>
    </row>
    <row r="68" spans="1:14">
      <c r="A68">
        <v>149</v>
      </c>
      <c r="B68" s="50" t="s">
        <v>25</v>
      </c>
      <c r="C68" s="50">
        <v>3</v>
      </c>
      <c r="D68" s="50">
        <v>153</v>
      </c>
      <c r="E68" s="50">
        <v>4</v>
      </c>
      <c r="F68" s="50">
        <v>32</v>
      </c>
      <c r="G68" s="50">
        <v>119739</v>
      </c>
      <c r="H68" s="50">
        <v>3905890</v>
      </c>
      <c r="I68" s="50">
        <v>41766906</v>
      </c>
      <c r="J68" s="50">
        <v>195672</v>
      </c>
      <c r="K68" s="50">
        <v>0</v>
      </c>
      <c r="L68" s="50">
        <v>1044771</v>
      </c>
      <c r="M68" s="50">
        <v>16903</v>
      </c>
      <c r="N68" s="50">
        <v>1170859</v>
      </c>
    </row>
    <row r="69" spans="2:14">
      <c r="B69" s="50" t="s">
        <v>26</v>
      </c>
      <c r="C69" s="50">
        <v>4</v>
      </c>
      <c r="D69" s="50">
        <v>167</v>
      </c>
      <c r="E69" s="50">
        <v>4</v>
      </c>
      <c r="F69" s="50">
        <v>21</v>
      </c>
      <c r="G69" s="50">
        <v>115034</v>
      </c>
      <c r="H69" s="50">
        <v>3973625</v>
      </c>
      <c r="I69" s="50">
        <v>34184616</v>
      </c>
      <c r="J69" s="50">
        <v>219322</v>
      </c>
      <c r="K69" s="50">
        <v>0</v>
      </c>
      <c r="L69" s="50">
        <v>656538</v>
      </c>
      <c r="M69" s="50">
        <v>16945</v>
      </c>
      <c r="N69" s="50">
        <v>1211457</v>
      </c>
    </row>
    <row r="70" spans="2:14">
      <c r="B70" s="50" t="s">
        <v>27</v>
      </c>
      <c r="C70" s="50">
        <v>2</v>
      </c>
      <c r="D70" s="50">
        <v>75</v>
      </c>
      <c r="E70" s="50">
        <v>2</v>
      </c>
      <c r="F70" s="50">
        <v>24</v>
      </c>
      <c r="G70" s="50">
        <v>95845</v>
      </c>
      <c r="H70" s="50">
        <v>3344042</v>
      </c>
      <c r="I70" s="50">
        <v>30317112</v>
      </c>
      <c r="J70" s="50">
        <v>100124</v>
      </c>
      <c r="K70" s="50">
        <v>0</v>
      </c>
      <c r="L70" s="50">
        <v>248052</v>
      </c>
      <c r="M70" s="50">
        <v>10932</v>
      </c>
      <c r="N70" s="50">
        <v>1062005</v>
      </c>
    </row>
  </sheetData>
  <conditionalFormatting sqref="F29:F31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{fa381901-26ca-4573-bfeb-39e1401cad7f}</x14:id>
        </ext>
      </extLst>
    </cfRule>
  </conditionalFormatting>
  <conditionalFormatting sqref="F32:F34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{da3f7d45-07d2-46e3-9550-a92846df55d4}</x14:id>
        </ext>
      </extLst>
    </cfRule>
  </conditionalFormatting>
  <conditionalFormatting sqref="F35:F37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{c71466e0-7cc7-46e4-b387-b68046b33bd4}</x14:id>
        </ext>
      </extLst>
    </cfRule>
  </conditionalFormatting>
  <conditionalFormatting sqref="F38:F4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{5ee208d1-4dc7-4b62-a823-2f5654a108e5}</x14:id>
        </ext>
      </extLst>
    </cfRule>
  </conditionalFormatting>
  <conditionalFormatting sqref="G29:G31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{4e7ed50d-8aaf-4b91-8677-cb6e59fe9676}</x14:id>
        </ext>
      </extLst>
    </cfRule>
  </conditionalFormatting>
  <conditionalFormatting sqref="G32:G34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{2ac96efc-aafa-44a9-a5cf-c4a810832f73}</x14:id>
        </ext>
      </extLst>
    </cfRule>
  </conditionalFormatting>
  <conditionalFormatting sqref="G35:G37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{138e5b69-2d26-45b7-84ab-77b9e34e5f53}</x14:id>
        </ext>
      </extLst>
    </cfRule>
  </conditionalFormatting>
  <conditionalFormatting sqref="G38:G4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{37c4d2bb-3de9-45c9-92a1-5312f926c376}</x14:id>
        </ext>
      </extLst>
    </cfRule>
  </conditionalFormatting>
  <conditionalFormatting sqref="N29:N40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{367a3f8d-f237-423c-9b6f-36bc3623f6d0}</x14:id>
        </ext>
      </extLst>
    </cfRule>
  </conditionalFormatting>
  <conditionalFormatting sqref="N38:N4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{55089bd2-9515-457d-b996-a86f5435a9d9}</x14:id>
        </ext>
      </extLst>
    </cfRule>
  </conditionalFormatting>
  <conditionalFormatting sqref="O2:O2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{ee97f7d1-8a71-425a-9229-77309e0ee3ca}</x14:id>
        </ext>
      </extLst>
    </cfRule>
  </conditionalFormatting>
  <conditionalFormatting sqref="O23:O25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{4947860e-c827-4d40-a218-87684e700c66}</x14:id>
        </ext>
      </extLst>
    </cfRule>
  </conditionalFormatting>
  <conditionalFormatting sqref="P2:P2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{c48de835-7f2a-400c-a866-de9bbc786bd3}</x14:id>
        </ext>
      </extLst>
    </cfRule>
  </conditionalFormatting>
  <conditionalFormatting sqref="P23:P2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{65f0e63f-8a3d-4c06-9ac2-5f7fd121d518}</x14:id>
        </ext>
      </extLst>
    </cfRule>
  </conditionalFormatting>
  <conditionalFormatting sqref="P29:P36">
    <cfRule type="cellIs" dxfId="37" priority="4" operator="equal">
      <formula>$S$29</formula>
    </cfRule>
  </conditionalFormatting>
  <conditionalFormatting sqref="Q2:Q25">
    <cfRule type="cellIs" dxfId="38" priority="11" operator="equal">
      <formula>配置!$D$4</formula>
    </cfRule>
    <cfRule type="cellIs" dxfId="39" priority="12" operator="equal">
      <formula>配置!$D$3</formula>
    </cfRule>
    <cfRule type="cellIs" dxfId="37" priority="13" operator="equal">
      <formula>配置!$D$2</formula>
    </cfRule>
  </conditionalFormatting>
  <conditionalFormatting sqref="R29:R32">
    <cfRule type="cellIs" dxfId="37" priority="5" operator="equal">
      <formula>$S$29</formula>
    </cfRule>
  </conditionalFormatting>
  <conditionalFormatting sqref="O26:O27 Q1:R1 Q2 Q4:Q5 Q7:Q8 Q10:Q11 Q13:Q14 Q16:Q17 Q19:Q23 Q25">
    <cfRule type="cellIs" dxfId="37" priority="21" operator="equal">
      <formula>配置!$D$2</formula>
    </cfRule>
  </conditionalFormatting>
  <conditionalFormatting sqref="Q2 Q4:Q5 Q7:Q8 Q10:Q11 Q13:Q14 Q16:Q17 Q19:Q23 Q25">
    <cfRule type="cellIs" dxfId="38" priority="20" operator="equal">
      <formula>配置!$D$4</formula>
    </cfRule>
  </conditionalFormatting>
  <dataValidations count="1">
    <dataValidation type="list" allowBlank="1" showInputMessage="1" showErrorMessage="1" sqref="Q2:Q25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a381901-26ca-4573-bfeb-39e1401cad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da3f7d45-07d2-46e3-9550-a92846df55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c71466e0-7cc7-46e4-b387-b68046b33b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F35:F37</xm:sqref>
        </x14:conditionalFormatting>
        <x14:conditionalFormatting xmlns:xm="http://schemas.microsoft.com/office/excel/2006/main">
          <x14:cfRule type="dataBar" id="{5ee208d1-4dc7-4b62-a823-2f5654a108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F38:F40</xm:sqref>
        </x14:conditionalFormatting>
        <x14:conditionalFormatting xmlns:xm="http://schemas.microsoft.com/office/excel/2006/main">
          <x14:cfRule type="dataBar" id="{4e7ed50d-8aaf-4b91-8677-cb6e59fe96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2ac96efc-aafa-44a9-a5cf-c4a810832f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138e5b69-2d26-45b7-84ab-77b9e34e5f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G35:G37</xm:sqref>
        </x14:conditionalFormatting>
        <x14:conditionalFormatting xmlns:xm="http://schemas.microsoft.com/office/excel/2006/main">
          <x14:cfRule type="dataBar" id="{37c4d2bb-3de9-45c9-92a1-5312f926c3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G38:G40</xm:sqref>
        </x14:conditionalFormatting>
        <x14:conditionalFormatting xmlns:xm="http://schemas.microsoft.com/office/excel/2006/main">
          <x14:cfRule type="dataBar" id="{367a3f8d-f237-423c-9b6f-36bc3623f6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N29:N40</xm:sqref>
        </x14:conditionalFormatting>
        <x14:conditionalFormatting xmlns:xm="http://schemas.microsoft.com/office/excel/2006/main">
          <x14:cfRule type="dataBar" id="{55089bd2-9515-457d-b996-a86f5435a9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N38:N40</xm:sqref>
        </x14:conditionalFormatting>
        <x14:conditionalFormatting xmlns:xm="http://schemas.microsoft.com/office/excel/2006/main">
          <x14:cfRule type="dataBar" id="{ee97f7d1-8a71-425a-9229-77309e0ee3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O2:O22</xm:sqref>
        </x14:conditionalFormatting>
        <x14:conditionalFormatting xmlns:xm="http://schemas.microsoft.com/office/excel/2006/main">
          <x14:cfRule type="dataBar" id="{4947860e-c827-4d40-a218-87684e700c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O23:O25</xm:sqref>
        </x14:conditionalFormatting>
        <x14:conditionalFormatting xmlns:xm="http://schemas.microsoft.com/office/excel/2006/main">
          <x14:cfRule type="dataBar" id="{c48de835-7f2a-400c-a866-de9bbc786b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P2:P22</xm:sqref>
        </x14:conditionalFormatting>
        <x14:conditionalFormatting xmlns:xm="http://schemas.microsoft.com/office/excel/2006/main">
          <x14:cfRule type="dataBar" id="{65f0e63f-8a3d-4c06-9ac2-5f7fd121d5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P23:P25</xm:sqref>
        </x14:conditionalFormatting>
      </x14:conditionalFormatting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91"/>
  <sheetViews>
    <sheetView workbookViewId="0">
      <selection activeCell="Y34" sqref="Y2:Y34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1">
        <v>5050</v>
      </c>
      <c r="B2" s="371">
        <f>VLOOKUP(表1_86121822242668[[#This Row],[区服]],$P$38:$Q$48,2,FALSE)</f>
        <v>54</v>
      </c>
      <c r="C2" s="39" t="s">
        <v>127</v>
      </c>
      <c r="D2" s="373" t="str">
        <f>表1_86121822242668[[#This Row],[目标国家]]</f>
        <v>魏</v>
      </c>
      <c r="E2" s="374">
        <f>(VLOOKUP(表1_86121822242668[[#This Row],[目标区服]],$R$38:$S$42,2,FALSE)-表1_86121822242668[[#This Row],[开服天数]])*配置!$B$1</f>
        <v>1000</v>
      </c>
      <c r="F2" s="374">
        <f>表1_86121822242668[[#This Row],[补偿Coin]]*(表1_86121822242668[[#This Row],[活跃高战玩家数]]+表1_86121822242668[[#This Row],[活跃中坚玩家数]])</f>
        <v>10000</v>
      </c>
      <c r="G2" s="374">
        <f>(VLOOKUP(表1_86121822242668[[#This Row],[目标区服]],$R$38:$S$42,2,FALSE)-表1_86121822242668[[#This Row],[开服天数]])*配置!$B$2</f>
        <v>10</v>
      </c>
      <c r="H2" s="376" t="s">
        <v>25</v>
      </c>
      <c r="I2" s="376">
        <f>IF(表1_86121822242668[[#This Row],[原国家]]="魏",0,IF(表1_86121822242668[[#This Row],[原国家]]="蜀",1,2))</f>
        <v>0</v>
      </c>
      <c r="J2" s="380">
        <v>2</v>
      </c>
      <c r="K2" s="380">
        <v>69</v>
      </c>
      <c r="L2" s="380">
        <v>0</v>
      </c>
      <c r="M2" s="380">
        <v>10</v>
      </c>
      <c r="N2" s="380">
        <v>36925</v>
      </c>
      <c r="O2" s="380">
        <v>1631095</v>
      </c>
      <c r="P2" s="381">
        <v>6615925</v>
      </c>
      <c r="Q2" s="493" t="s">
        <v>25</v>
      </c>
      <c r="R2" s="376">
        <f>IF(表1_86121822242668[[#This Row],[目标国家]]="魏",0,IF(表1_86121822242668[[#This Row],[目标国家]]="蜀",1,2))</f>
        <v>0</v>
      </c>
      <c r="S2" s="380">
        <v>5964</v>
      </c>
      <c r="T2" s="380">
        <v>0</v>
      </c>
      <c r="U2" s="380">
        <v>203280</v>
      </c>
      <c r="V2" s="380">
        <v>3647</v>
      </c>
      <c r="W2" s="374">
        <v>477020</v>
      </c>
      <c r="X2" s="387" t="str">
        <f>"{"&amp;"'coin':"&amp;表1_86121822242668[[#This Row],[补偿Coin]]&amp;",'"&amp;配置!$A$2&amp;"':"&amp;表1_86121822242668[[#This Row],[补偿辎重]]&amp;"},"</f>
        <v>{'coin':1000,'item036':10},</v>
      </c>
      <c r="Y2" s="388" t="str">
        <f>"      '"&amp;表1_86121822242668[[#This Row],[区服]]&amp;"':{"</f>
        <v>      '5050':{</v>
      </c>
    </row>
    <row r="3" s="354" customFormat="1" ht="14.25" customHeight="1" spans="1:25">
      <c r="A3" s="375">
        <v>5050</v>
      </c>
      <c r="B3" s="371">
        <f>VLOOKUP(表1_86121822242668[[#This Row],[区服]],$P$38:$Q$48,2,FALSE)</f>
        <v>54</v>
      </c>
      <c r="C3" s="39" t="s">
        <v>127</v>
      </c>
      <c r="D3" s="376" t="str">
        <f>表1_86121822242668[[#This Row],[目标国家]]</f>
        <v>魏</v>
      </c>
      <c r="E3" s="380">
        <f>(VLOOKUP(表1_86121822242668[[#This Row],[目标区服]],$R$38:$S$42,2,FALSE)-表1_86121822242668[[#This Row],[开服天数]])*配置!$B$1</f>
        <v>1000</v>
      </c>
      <c r="F3" s="380">
        <f>表1_86121822242668[[#This Row],[补偿Coin]]*(表1_86121822242668[[#This Row],[活跃高战玩家数]]+表1_86121822242668[[#This Row],[活跃中坚玩家数]])</f>
        <v>17000</v>
      </c>
      <c r="G3" s="380">
        <f>(VLOOKUP(表1_86121822242668[[#This Row],[目标区服]],$R$38:$S$42,2,FALSE)-表1_86121822242668[[#This Row],[开服天数]])*配置!$B$2</f>
        <v>10</v>
      </c>
      <c r="H3" s="376" t="s">
        <v>26</v>
      </c>
      <c r="I3" s="376">
        <f>IF(表1_86121822242668[[#This Row],[原国家]]="魏",0,IF(表1_86121822242668[[#This Row],[原国家]]="蜀",1,2))</f>
        <v>1</v>
      </c>
      <c r="J3" s="380">
        <v>3</v>
      </c>
      <c r="K3" s="380">
        <v>141</v>
      </c>
      <c r="L3" s="380">
        <v>3</v>
      </c>
      <c r="M3" s="380">
        <v>14</v>
      </c>
      <c r="N3" s="380">
        <v>97848</v>
      </c>
      <c r="O3" s="380">
        <v>2428795</v>
      </c>
      <c r="P3" s="381">
        <v>17641289</v>
      </c>
      <c r="Q3" s="493" t="s">
        <v>25</v>
      </c>
      <c r="R3" s="376">
        <f>IF(表1_86121822242668[[#This Row],[目标国家]]="魏",0,IF(表1_86121822242668[[#This Row],[目标国家]]="蜀",1,2))</f>
        <v>0</v>
      </c>
      <c r="S3" s="380">
        <v>27966</v>
      </c>
      <c r="T3" s="380">
        <v>0</v>
      </c>
      <c r="U3" s="380">
        <v>230230</v>
      </c>
      <c r="V3" s="380">
        <v>7346</v>
      </c>
      <c r="W3" s="374">
        <v>654187</v>
      </c>
      <c r="X3" s="387" t="str">
        <f>"{"&amp;"'coin':"&amp;表1_86121822242668[[#This Row],[补偿Coin]]&amp;",'"&amp;配置!$A$2&amp;"':"&amp;表1_86121822242668[[#This Row],[补偿辎重]]&amp;"},"</f>
        <v>{'coin':1000,'item036':10},</v>
      </c>
      <c r="Y3" s="388" t="str">
        <f>"            'to_zone':'"&amp;表1_86121822242668[[#This Row],[目标区服]]&amp;"',
            'reward':"&amp;表1_86121822242668[[#This Row],[辅助导出]]&amp;"
            'country':["&amp;R2&amp;","&amp;R3&amp;","&amp;R4&amp;"],"</f>
        <v>            'to_zone':'h1_523',
            'reward':{'coin':1000,'item036':10},
            'country':[0,0,2],</v>
      </c>
    </row>
    <row r="4" s="354" customFormat="1" ht="14.25" customHeight="1" spans="1:25">
      <c r="A4" s="375">
        <v>5050</v>
      </c>
      <c r="B4" s="371">
        <f>VLOOKUP(表1_86121822242668[[#This Row],[区服]],$P$38:$Q$48,2,FALSE)</f>
        <v>54</v>
      </c>
      <c r="C4" s="39" t="s">
        <v>127</v>
      </c>
      <c r="D4" s="376" t="str">
        <f>表1_86121822242668[[#This Row],[目标国家]]</f>
        <v>吴</v>
      </c>
      <c r="E4" s="380">
        <f>(VLOOKUP(表1_86121822242668[[#This Row],[目标区服]],$R$38:$S$42,2,FALSE)-表1_86121822242668[[#This Row],[开服天数]])*配置!$B$1</f>
        <v>1000</v>
      </c>
      <c r="F4" s="380">
        <f>表1_86121822242668[[#This Row],[补偿Coin]]*(表1_86121822242668[[#This Row],[活跃高战玩家数]]+表1_86121822242668[[#This Row],[活跃中坚玩家数]])</f>
        <v>20000</v>
      </c>
      <c r="G4" s="380">
        <f>(VLOOKUP(表1_86121822242668[[#This Row],[目标区服]],$R$38:$S$42,2,FALSE)-表1_86121822242668[[#This Row],[开服天数]])*配置!$B$2</f>
        <v>10</v>
      </c>
      <c r="H4" s="376" t="s">
        <v>27</v>
      </c>
      <c r="I4" s="376">
        <f>IF(表1_86121822242668[[#This Row],[原国家]]="魏",0,IF(表1_86121822242668[[#This Row],[原国家]]="蜀",1,2))</f>
        <v>2</v>
      </c>
      <c r="J4" s="380">
        <v>4</v>
      </c>
      <c r="K4" s="380">
        <v>185</v>
      </c>
      <c r="L4" s="380">
        <v>7</v>
      </c>
      <c r="M4" s="380">
        <v>13</v>
      </c>
      <c r="N4" s="380">
        <v>128204</v>
      </c>
      <c r="O4" s="380">
        <v>2990840</v>
      </c>
      <c r="P4" s="381">
        <v>24026439</v>
      </c>
      <c r="Q4" s="493" t="s">
        <v>27</v>
      </c>
      <c r="R4" s="376">
        <f>IF(表1_86121822242668[[#This Row],[目标国家]]="魏",0,IF(表1_86121822242668[[#This Row],[目标国家]]="蜀",1,2))</f>
        <v>2</v>
      </c>
      <c r="S4" s="380">
        <v>81142</v>
      </c>
      <c r="T4" s="380">
        <v>0</v>
      </c>
      <c r="U4" s="380">
        <v>447795</v>
      </c>
      <c r="V4" s="380">
        <v>10942</v>
      </c>
      <c r="W4" s="374">
        <v>845758</v>
      </c>
      <c r="X4" s="387" t="str">
        <f>"{"&amp;"'coin':"&amp;表1_86121822242668[[#This Row],[补偿Coin]]&amp;",'"&amp;配置!$A$2&amp;"':"&amp;表1_86121822242668[[#This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5">
        <v>5051</v>
      </c>
      <c r="B5" s="371">
        <f>VLOOKUP(表1_86121822242668[[#This Row],[区服]],$P$38:$Q$48,2,FALSE)</f>
        <v>53</v>
      </c>
      <c r="C5" s="39" t="s">
        <v>127</v>
      </c>
      <c r="D5" s="376" t="str">
        <f>表1_86121822242668[[#This Row],[目标国家]]</f>
        <v>魏</v>
      </c>
      <c r="E5" s="380">
        <f>(VLOOKUP(表1_86121822242668[[#This Row],[目标区服]],$R$38:$S$42,2,FALSE)-表1_86121822242668[[#This Row],[开服天数]])*配置!$B$1</f>
        <v>1500</v>
      </c>
      <c r="F5" s="380">
        <f>表1_86121822242668[[#This Row],[补偿Coin]]*(表1_86121822242668[[#This Row],[活跃高战玩家数]]+表1_86121822242668[[#This Row],[活跃中坚玩家数]])</f>
        <v>21000</v>
      </c>
      <c r="G5" s="380">
        <f>(VLOOKUP(表1_86121822242668[[#This Row],[目标区服]],$R$38:$S$42,2,FALSE)-表1_86121822242668[[#This Row],[开服天数]])*配置!$B$2</f>
        <v>15</v>
      </c>
      <c r="H5" s="376" t="s">
        <v>25</v>
      </c>
      <c r="I5" s="376">
        <f>IF(表1_86121822242668[[#This Row],[原国家]]="魏",0,IF(表1_86121822242668[[#This Row],[原国家]]="蜀",1,2))</f>
        <v>0</v>
      </c>
      <c r="J5" s="380">
        <v>3</v>
      </c>
      <c r="K5" s="380">
        <v>115</v>
      </c>
      <c r="L5" s="380">
        <v>3</v>
      </c>
      <c r="M5" s="380">
        <v>11</v>
      </c>
      <c r="N5" s="380">
        <v>77615</v>
      </c>
      <c r="O5" s="380">
        <v>3229986</v>
      </c>
      <c r="P5" s="381">
        <v>13829802</v>
      </c>
      <c r="Q5" s="493" t="s">
        <v>25</v>
      </c>
      <c r="R5" s="376">
        <f>IF(表1_86121822242668[[#This Row],[目标国家]]="魏",0,IF(表1_86121822242668[[#This Row],[目标国家]]="蜀",1,2))</f>
        <v>0</v>
      </c>
      <c r="S5" s="380">
        <v>54632</v>
      </c>
      <c r="T5" s="380">
        <v>0</v>
      </c>
      <c r="U5" s="380">
        <v>298887</v>
      </c>
      <c r="V5" s="380">
        <v>8239</v>
      </c>
      <c r="W5" s="374">
        <v>970908</v>
      </c>
      <c r="X5" s="387" t="str">
        <f>"{"&amp;"'coin':"&amp;表1_86121822242668[[#This Row],[补偿Coin]]&amp;",'"&amp;配置!$A$2&amp;"':"&amp;表1_86121822242668[[#This Row],[补偿辎重]]&amp;"},"</f>
        <v>{'coin':1500,'item036':15},</v>
      </c>
      <c r="Y5" s="388" t="str">
        <f>"      '"&amp;表1_86121822242668[[#This Row],[区服]]&amp;"':{"</f>
        <v>      '5051':{</v>
      </c>
    </row>
    <row r="6" s="354" customFormat="1" ht="14.25" customHeight="1" spans="1:25">
      <c r="A6" s="371">
        <v>5051</v>
      </c>
      <c r="B6" s="371">
        <f>VLOOKUP(表1_86121822242668[[#This Row],[区服]],$P$38:$Q$48,2,FALSE)</f>
        <v>53</v>
      </c>
      <c r="C6" s="39" t="s">
        <v>127</v>
      </c>
      <c r="D6" s="376" t="str">
        <f>表1_86121822242668[[#This Row],[目标国家]]</f>
        <v>蜀</v>
      </c>
      <c r="E6" s="380">
        <f>(VLOOKUP(表1_86121822242668[[#This Row],[目标区服]],$R$38:$S$42,2,FALSE)-表1_86121822242668[[#This Row],[开服天数]])*配置!$B$1</f>
        <v>1500</v>
      </c>
      <c r="F6" s="380">
        <f>表1_86121822242668[[#This Row],[补偿Coin]]*(表1_86121822242668[[#This Row],[活跃高战玩家数]]+表1_86121822242668[[#This Row],[活跃中坚玩家数]])</f>
        <v>16500</v>
      </c>
      <c r="G6" s="380">
        <f>(VLOOKUP(表1_86121822242668[[#This Row],[目标区服]],$R$38:$S$42,2,FALSE)-表1_86121822242668[[#This Row],[开服天数]])*配置!$B$2</f>
        <v>15</v>
      </c>
      <c r="H6" s="376" t="s">
        <v>26</v>
      </c>
      <c r="I6" s="376">
        <f>IF(表1_86121822242668[[#This Row],[原国家]]="魏",0,IF(表1_86121822242668[[#This Row],[原国家]]="蜀",1,2))</f>
        <v>1</v>
      </c>
      <c r="J6" s="380">
        <v>3</v>
      </c>
      <c r="K6" s="380">
        <v>106</v>
      </c>
      <c r="L6" s="380">
        <v>2</v>
      </c>
      <c r="M6" s="380">
        <v>9</v>
      </c>
      <c r="N6" s="380">
        <v>36910</v>
      </c>
      <c r="O6" s="380">
        <v>2066737</v>
      </c>
      <c r="P6" s="381">
        <v>7629933</v>
      </c>
      <c r="Q6" s="493" t="s">
        <v>26</v>
      </c>
      <c r="R6" s="376">
        <f>IF(表1_86121822242668[[#This Row],[目标国家]]="魏",0,IF(表1_86121822242668[[#This Row],[目标国家]]="蜀",1,2))</f>
        <v>1</v>
      </c>
      <c r="S6" s="380">
        <v>63098</v>
      </c>
      <c r="T6" s="380">
        <v>0</v>
      </c>
      <c r="U6" s="380">
        <v>234500</v>
      </c>
      <c r="V6" s="380">
        <v>6384</v>
      </c>
      <c r="W6" s="374">
        <v>782050</v>
      </c>
      <c r="X6" s="387" t="str">
        <f>"{"&amp;"'coin':"&amp;表1_86121822242668[[#This Row],[补偿Coin]]&amp;",'"&amp;配置!$A$2&amp;"':"&amp;表1_86121822242668[[#This Row],[补偿辎重]]&amp;"},"</f>
        <v>{'coin':1500,'item036':15},</v>
      </c>
      <c r="Y6" s="388" t="str">
        <f>"            'to_zone':'"&amp;表1_86121822242668[[#This Row],[目标区服]]&amp;"',
            'reward':"&amp;表1_86121822242668[[#This Row],[辅助导出]]&amp;"
            'country':["&amp;R5&amp;","&amp;R6&amp;","&amp;R7&amp;"],"</f>
        <v>            'to_zone':'h1_523',
            'reward':{'coin':1500,'item036':15},
            'country':[0,1,2],</v>
      </c>
    </row>
    <row r="7" s="354" customFormat="1" ht="14.25" customHeight="1" spans="1:25">
      <c r="A7" s="371">
        <v>5051</v>
      </c>
      <c r="B7" s="371">
        <f>VLOOKUP(表1_86121822242668[[#This Row],[区服]],$P$38:$Q$48,2,FALSE)</f>
        <v>53</v>
      </c>
      <c r="C7" s="39" t="s">
        <v>127</v>
      </c>
      <c r="D7" s="376" t="str">
        <f>表1_86121822242668[[#This Row],[目标国家]]</f>
        <v>吴</v>
      </c>
      <c r="E7" s="380">
        <f>(VLOOKUP(表1_86121822242668[[#This Row],[目标区服]],$R$38:$S$42,2,FALSE)-表1_86121822242668[[#This Row],[开服天数]])*配置!$B$1</f>
        <v>1500</v>
      </c>
      <c r="F7" s="380">
        <f>表1_86121822242668[[#This Row],[补偿Coin]]*(表1_86121822242668[[#This Row],[活跃高战玩家数]]+表1_86121822242668[[#This Row],[活跃中坚玩家数]])</f>
        <v>34500</v>
      </c>
      <c r="G7" s="380">
        <f>(VLOOKUP(表1_86121822242668[[#This Row],[目标区服]],$R$38:$S$42,2,FALSE)-表1_86121822242668[[#This Row],[开服天数]])*配置!$B$2</f>
        <v>15</v>
      </c>
      <c r="H7" s="376" t="s">
        <v>27</v>
      </c>
      <c r="I7" s="376">
        <f>IF(表1_86121822242668[[#This Row],[原国家]]="魏",0,IF(表1_86121822242668[[#This Row],[原国家]]="蜀",1,2))</f>
        <v>2</v>
      </c>
      <c r="J7" s="380">
        <v>3</v>
      </c>
      <c r="K7" s="380">
        <v>174</v>
      </c>
      <c r="L7" s="380">
        <v>4</v>
      </c>
      <c r="M7" s="380">
        <v>19</v>
      </c>
      <c r="N7" s="380">
        <v>129529</v>
      </c>
      <c r="O7" s="380">
        <v>3272457</v>
      </c>
      <c r="P7" s="381">
        <v>21148066</v>
      </c>
      <c r="Q7" s="493" t="s">
        <v>27</v>
      </c>
      <c r="R7" s="376">
        <f>IF(表1_86121822242668[[#This Row],[目标国家]]="魏",0,IF(表1_86121822242668[[#This Row],[目标国家]]="蜀",1,2))</f>
        <v>2</v>
      </c>
      <c r="S7" s="380">
        <v>51466</v>
      </c>
      <c r="T7" s="380">
        <v>0</v>
      </c>
      <c r="U7" s="380">
        <v>396888</v>
      </c>
      <c r="V7" s="380">
        <v>9817</v>
      </c>
      <c r="W7" s="374">
        <v>1027083</v>
      </c>
      <c r="X7" s="387" t="str">
        <f>"{"&amp;"'coin':"&amp;表1_86121822242668[[#This Row],[补偿Coin]]&amp;",'"&amp;配置!$A$2&amp;"':"&amp;表1_86121822242668[[#This Row],[补偿辎重]]&amp;"},"</f>
        <v>{'coin':1500,'item036':15},</v>
      </c>
      <c r="Y7" s="388" t="str">
        <f t="shared" ref="Y7" si="0">"      },"</f>
        <v>      },</v>
      </c>
    </row>
    <row r="8" s="354" customFormat="1" ht="14.25" customHeight="1" spans="1:25">
      <c r="A8" s="375">
        <v>5052</v>
      </c>
      <c r="B8" s="371">
        <f>VLOOKUP(表1_86121822242668[[#This Row],[区服]],$P$38:$Q$48,2,FALSE)</f>
        <v>52</v>
      </c>
      <c r="C8" s="39" t="s">
        <v>127</v>
      </c>
      <c r="D8" s="376" t="str">
        <f>表1_86121822242668[[#This Row],[目标国家]]</f>
        <v>魏</v>
      </c>
      <c r="E8" s="380">
        <f>(VLOOKUP(表1_86121822242668[[#This Row],[目标区服]],$R$38:$S$42,2,FALSE)-表1_86121822242668[[#This Row],[开服天数]])*配置!$B$1</f>
        <v>2000</v>
      </c>
      <c r="F8" s="380">
        <f>表1_86121822242668[[#This Row],[补偿Coin]]*(表1_86121822242668[[#This Row],[活跃高战玩家数]]+表1_86121822242668[[#This Row],[活跃中坚玩家数]])</f>
        <v>26000</v>
      </c>
      <c r="G8" s="490">
        <f>(VLOOKUP(表1_86121822242668[[#This Row],[目标区服]],$R$38:$S$42,2,FALSE)-表1_86121822242668[[#This Row],[开服天数]])*配置!$B$2</f>
        <v>20</v>
      </c>
      <c r="H8" s="376" t="s">
        <v>25</v>
      </c>
      <c r="I8" s="491">
        <f>IF(表1_86121822242668[[#This Row],[原国家]]="魏",0,IF(表1_86121822242668[[#This Row],[原国家]]="蜀",1,2))</f>
        <v>0</v>
      </c>
      <c r="J8" s="380">
        <v>2</v>
      </c>
      <c r="K8" s="380">
        <v>69</v>
      </c>
      <c r="L8" s="380">
        <v>2</v>
      </c>
      <c r="M8" s="380">
        <v>11</v>
      </c>
      <c r="N8" s="380">
        <v>68100</v>
      </c>
      <c r="O8" s="492">
        <v>2095315</v>
      </c>
      <c r="P8" s="381">
        <v>11497901</v>
      </c>
      <c r="Q8" s="493" t="s">
        <v>25</v>
      </c>
      <c r="R8" s="376">
        <f>IF(表1_86121822242668[[#This Row],[目标国家]]="魏",0,IF(表1_86121822242668[[#This Row],[目标国家]]="蜀",1,2))</f>
        <v>0</v>
      </c>
      <c r="S8" s="380">
        <v>28504</v>
      </c>
      <c r="T8" s="380">
        <v>0</v>
      </c>
      <c r="U8" s="380">
        <v>261556</v>
      </c>
      <c r="V8" s="380">
        <v>5461</v>
      </c>
      <c r="W8" s="380">
        <v>760549</v>
      </c>
      <c r="X8" s="494" t="str">
        <f>"{"&amp;"'coin':"&amp;表1_86121822242668[[#This Row],[补偿Coin]]&amp;",'"&amp;配置!$A$2&amp;"':"&amp;表1_86121822242668[[#This Row],[补偿辎重]]&amp;"},"</f>
        <v>{'coin':2000,'item036':20},</v>
      </c>
      <c r="Y8" s="494" t="str">
        <f>"      '"&amp;表1_86121822242668[[#This Row],[区服]]&amp;"':{"</f>
        <v>      '5052':{</v>
      </c>
    </row>
    <row r="9" s="354" customFormat="1" ht="14.25" customHeight="1" spans="1:25">
      <c r="A9" s="375">
        <v>5052</v>
      </c>
      <c r="B9" s="371">
        <f>VLOOKUP(表1_86121822242668[[#This Row],[区服]],$P$38:$Q$48,2,FALSE)</f>
        <v>52</v>
      </c>
      <c r="C9" s="39" t="s">
        <v>127</v>
      </c>
      <c r="D9" s="376" t="str">
        <f>表1_86121822242668[[#This Row],[目标国家]]</f>
        <v>蜀</v>
      </c>
      <c r="E9" s="380">
        <f>(VLOOKUP(表1_86121822242668[[#This Row],[目标区服]],$R$38:$S$42,2,FALSE)-表1_86121822242668[[#This Row],[开服天数]])*配置!$B$1</f>
        <v>2000</v>
      </c>
      <c r="F9" s="380">
        <f>表1_86121822242668[[#This Row],[补偿Coin]]*(表1_86121822242668[[#This Row],[活跃高战玩家数]]+表1_86121822242668[[#This Row],[活跃中坚玩家数]])</f>
        <v>36000</v>
      </c>
      <c r="G9" s="490">
        <f>(VLOOKUP(表1_86121822242668[[#This Row],[目标区服]],$R$38:$S$42,2,FALSE)-表1_86121822242668[[#This Row],[开服天数]])*配置!$B$2</f>
        <v>20</v>
      </c>
      <c r="H9" s="376" t="s">
        <v>26</v>
      </c>
      <c r="I9" s="491">
        <f>IF(表1_86121822242668[[#This Row],[原国家]]="魏",0,IF(表1_86121822242668[[#This Row],[原国家]]="蜀",1,2))</f>
        <v>1</v>
      </c>
      <c r="J9" s="380">
        <v>1</v>
      </c>
      <c r="K9" s="380">
        <v>89</v>
      </c>
      <c r="L9" s="380">
        <v>0</v>
      </c>
      <c r="M9" s="380">
        <v>18</v>
      </c>
      <c r="N9" s="380">
        <v>55335</v>
      </c>
      <c r="O9" s="492">
        <v>1173109</v>
      </c>
      <c r="P9" s="381">
        <v>9661919</v>
      </c>
      <c r="Q9" s="493" t="s">
        <v>26</v>
      </c>
      <c r="R9" s="376">
        <f>IF(表1_86121822242668[[#This Row],[目标国家]]="魏",0,IF(表1_86121822242668[[#This Row],[目标国家]]="蜀",1,2))</f>
        <v>1</v>
      </c>
      <c r="S9" s="380">
        <v>3298</v>
      </c>
      <c r="T9" s="380">
        <v>0</v>
      </c>
      <c r="U9" s="380">
        <v>223964</v>
      </c>
      <c r="V9" s="380">
        <v>3616</v>
      </c>
      <c r="W9" s="380">
        <v>417577</v>
      </c>
      <c r="X9" s="494" t="str">
        <f>"{"&amp;"'coin':"&amp;表1_86121822242668[[#This Row],[补偿Coin]]&amp;",'"&amp;配置!$A$2&amp;"':"&amp;表1_86121822242668[[#This Row],[补偿辎重]]&amp;"},"</f>
        <v>{'coin':2000,'item036':20},</v>
      </c>
      <c r="Y9" s="494" t="str">
        <f>"            'to_zone':'"&amp;表1_86121822242668[[#This Row],[目标区服]]&amp;"',
            'reward':"&amp;表1_86121822242668[[#This Row],[辅助导出]]&amp;"
            'country':["&amp;R8&amp;","&amp;R9&amp;","&amp;R10&amp;"],"</f>
        <v>            'to_zone':'h1_523',
            'reward':{'coin':2000,'item036':20},
            'country':[0,1,1],</v>
      </c>
    </row>
    <row r="10" s="354" customFormat="1" ht="14.25" customHeight="1" spans="1:25">
      <c r="A10" s="375">
        <v>5052</v>
      </c>
      <c r="B10" s="371">
        <f>VLOOKUP(表1_86121822242668[[#This Row],[区服]],$P$38:$Q$48,2,FALSE)</f>
        <v>52</v>
      </c>
      <c r="C10" s="39" t="s">
        <v>127</v>
      </c>
      <c r="D10" s="376" t="str">
        <f>表1_86121822242668[[#This Row],[目标国家]]</f>
        <v>蜀</v>
      </c>
      <c r="E10" s="380">
        <f>(VLOOKUP(表1_86121822242668[[#This Row],[目标区服]],$R$38:$S$42,2,FALSE)-表1_86121822242668[[#This Row],[开服天数]])*配置!$B$1</f>
        <v>2000</v>
      </c>
      <c r="F10" s="380">
        <f>表1_86121822242668[[#This Row],[补偿Coin]]*(表1_86121822242668[[#This Row],[活跃高战玩家数]]+表1_86121822242668[[#This Row],[活跃中坚玩家数]])</f>
        <v>46000</v>
      </c>
      <c r="G10" s="490">
        <f>(VLOOKUP(表1_86121822242668[[#This Row],[目标区服]],$R$38:$S$42,2,FALSE)-表1_86121822242668[[#This Row],[开服天数]])*配置!$B$2</f>
        <v>20</v>
      </c>
      <c r="H10" s="376" t="s">
        <v>27</v>
      </c>
      <c r="I10" s="491">
        <f>IF(表1_86121822242668[[#This Row],[原国家]]="魏",0,IF(表1_86121822242668[[#This Row],[原国家]]="蜀",1,2))</f>
        <v>2</v>
      </c>
      <c r="J10" s="380">
        <v>6</v>
      </c>
      <c r="K10" s="380">
        <v>237</v>
      </c>
      <c r="L10" s="380">
        <v>8</v>
      </c>
      <c r="M10" s="380">
        <v>15</v>
      </c>
      <c r="N10" s="380">
        <v>132860</v>
      </c>
      <c r="O10" s="492">
        <v>2830161</v>
      </c>
      <c r="P10" s="381">
        <v>23631013</v>
      </c>
      <c r="Q10" s="493" t="s">
        <v>26</v>
      </c>
      <c r="R10" s="376">
        <f>IF(表1_86121822242668[[#This Row],[目标国家]]="魏",0,IF(表1_86121822242668[[#This Row],[目标国家]]="蜀",1,2))</f>
        <v>1</v>
      </c>
      <c r="S10" s="380">
        <v>87408</v>
      </c>
      <c r="T10" s="380">
        <v>0</v>
      </c>
      <c r="U10" s="380">
        <v>213302</v>
      </c>
      <c r="V10" s="380">
        <v>11556</v>
      </c>
      <c r="W10" s="380">
        <v>876163</v>
      </c>
      <c r="X10" s="494" t="str">
        <f>"{"&amp;"'coin':"&amp;表1_86121822242668[[#This Row],[补偿Coin]]&amp;",'"&amp;配置!$A$2&amp;"':"&amp;表1_86121822242668[[#This Row],[补偿辎重]]&amp;"},"</f>
        <v>{'coin':2000,'item036':20},</v>
      </c>
      <c r="Y10" s="494" t="str">
        <f>"      },"</f>
        <v>      },</v>
      </c>
    </row>
    <row r="11" s="354" customFormat="1" ht="14.25" customHeight="1" spans="1:25">
      <c r="A11" s="259">
        <v>5053</v>
      </c>
      <c r="B11" s="210">
        <f>VLOOKUP(表1_86121822242668[[#This Row],[区服]],$P$38:$Q$48,2,FALSE)</f>
        <v>51</v>
      </c>
      <c r="C11" s="41" t="s">
        <v>128</v>
      </c>
      <c r="D11" s="212" t="str">
        <f>表1_86121822242668[[#This Row],[目标国家]]</f>
        <v>魏</v>
      </c>
      <c r="E11" s="213">
        <f>(VLOOKUP(表1_86121822242668[[#This Row],[目标区服]],$R$38:$S$42,2,FALSE)-表1_86121822242668[[#This Row],[开服天数]])*配置!$B$1</f>
        <v>1500</v>
      </c>
      <c r="F11" s="213">
        <f>表1_86121822242668[[#This Row],[补偿Coin]]*(表1_86121822242668[[#This Row],[活跃高战玩家数]]+表1_86121822242668[[#This Row],[活跃中坚玩家数]])</f>
        <v>48000</v>
      </c>
      <c r="G11" s="260">
        <f>(VLOOKUP(表1_86121822242668[[#This Row],[目标区服]],$R$38:$S$42,2,FALSE)-表1_86121822242668[[#This Row],[开服天数]])*配置!$B$2</f>
        <v>15</v>
      </c>
      <c r="H11" s="212" t="s">
        <v>25</v>
      </c>
      <c r="I11" s="268">
        <f>IF(表1_86121822242668[[#This Row],[原国家]]="魏",0,IF(表1_86121822242668[[#This Row],[原国家]]="蜀",1,2))</f>
        <v>0</v>
      </c>
      <c r="J11" s="213">
        <v>7</v>
      </c>
      <c r="K11" s="213">
        <v>261</v>
      </c>
      <c r="L11" s="213">
        <v>6</v>
      </c>
      <c r="M11" s="213">
        <v>26</v>
      </c>
      <c r="N11" s="213">
        <v>141208</v>
      </c>
      <c r="O11" s="419">
        <v>3477158</v>
      </c>
      <c r="P11" s="420">
        <v>30817042</v>
      </c>
      <c r="Q11" s="243" t="s">
        <v>25</v>
      </c>
      <c r="R11" s="212">
        <f>IF(表1_86121822242668[[#This Row],[目标国家]]="魏",0,IF(表1_86121822242668[[#This Row],[目标国家]]="蜀",1,2))</f>
        <v>0</v>
      </c>
      <c r="S11" s="213">
        <v>138062</v>
      </c>
      <c r="T11" s="213">
        <v>0</v>
      </c>
      <c r="U11" s="213">
        <v>526656</v>
      </c>
      <c r="V11" s="213">
        <v>14980</v>
      </c>
      <c r="W11" s="213">
        <v>1022301</v>
      </c>
      <c r="X11" s="278" t="str">
        <f>"{"&amp;"'coin':"&amp;表1_86121822242668[[#This Row],[补偿Coin]]&amp;",'"&amp;配置!$A$2&amp;"':"&amp;表1_86121822242668[[#This Row],[补偿辎重]]&amp;"},"</f>
        <v>{'coin':1500,'item036':15},</v>
      </c>
      <c r="Y11" s="278" t="str">
        <f>"      '"&amp;表1_86121822242668[[#This Row],[区服]]&amp;"':{"</f>
        <v>      '5053':{</v>
      </c>
    </row>
    <row r="12" s="354" customFormat="1" ht="14.25" customHeight="1" spans="1:25">
      <c r="A12" s="259">
        <v>5053</v>
      </c>
      <c r="B12" s="210">
        <f>VLOOKUP(表1_86121822242668[[#This Row],[区服]],$P$38:$Q$48,2,FALSE)</f>
        <v>51</v>
      </c>
      <c r="C12" s="41" t="s">
        <v>128</v>
      </c>
      <c r="D12" s="212" t="str">
        <f>表1_86121822242668[[#This Row],[目标国家]]</f>
        <v>魏</v>
      </c>
      <c r="E12" s="213">
        <f>(VLOOKUP(表1_86121822242668[[#This Row],[目标区服]],$R$38:$S$42,2,FALSE)-表1_86121822242668[[#This Row],[开服天数]])*配置!$B$1</f>
        <v>1500</v>
      </c>
      <c r="F12" s="213">
        <f>表1_86121822242668[[#This Row],[补偿Coin]]*(表1_86121822242668[[#This Row],[活跃高战玩家数]]+表1_86121822242668[[#This Row],[活跃中坚玩家数]])</f>
        <v>22500</v>
      </c>
      <c r="G12" s="260">
        <f>(VLOOKUP(表1_86121822242668[[#This Row],[目标区服]],$R$38:$S$42,2,FALSE)-表1_86121822242668[[#This Row],[开服天数]])*配置!$B$2</f>
        <v>15</v>
      </c>
      <c r="H12" s="212" t="s">
        <v>26</v>
      </c>
      <c r="I12" s="268">
        <f>IF(表1_86121822242668[[#This Row],[原国家]]="魏",0,IF(表1_86121822242668[[#This Row],[原国家]]="蜀",1,2))</f>
        <v>1</v>
      </c>
      <c r="J12" s="213">
        <v>1</v>
      </c>
      <c r="K12" s="213">
        <v>62</v>
      </c>
      <c r="L12" s="213">
        <v>0</v>
      </c>
      <c r="M12" s="213">
        <v>15</v>
      </c>
      <c r="N12" s="213">
        <v>33717</v>
      </c>
      <c r="O12" s="419">
        <v>1313106</v>
      </c>
      <c r="P12" s="420">
        <v>8062245</v>
      </c>
      <c r="Q12" s="243" t="s">
        <v>25</v>
      </c>
      <c r="R12" s="212">
        <f>IF(表1_86121822242668[[#This Row],[目标国家]]="魏",0,IF(表1_86121822242668[[#This Row],[目标国家]]="蜀",1,2))</f>
        <v>0</v>
      </c>
      <c r="S12" s="213">
        <v>12726</v>
      </c>
      <c r="T12" s="213">
        <v>0</v>
      </c>
      <c r="U12" s="213">
        <v>138524</v>
      </c>
      <c r="V12" s="213">
        <v>3458</v>
      </c>
      <c r="W12" s="213">
        <v>421722</v>
      </c>
      <c r="X12" s="278" t="str">
        <f>"{"&amp;"'coin':"&amp;表1_86121822242668[[#This Row],[补偿Coin]]&amp;",'"&amp;配置!$A$2&amp;"':"&amp;表1_86121822242668[[#This Row],[补偿辎重]]&amp;"},"</f>
        <v>{'coin':1500,'item036':15},</v>
      </c>
      <c r="Y12" s="278" t="str">
        <f>"            'to_zone':'"&amp;表1_86121822242668[[#This Row],[目标区服]]&amp;"',
            'reward':"&amp;表1_86121822242668[[#This Row],[辅助导出]]&amp;"
            'country':["&amp;R11&amp;","&amp;R12&amp;","&amp;R13&amp;"],"</f>
        <v>            'to_zone':'h1_524',
            'reward':{'coin':1500,'item036':15},
            'country':[0,0,1],</v>
      </c>
    </row>
    <row r="13" s="354" customFormat="1" ht="14.25" customHeight="1" spans="1:25">
      <c r="A13" s="259">
        <v>5053</v>
      </c>
      <c r="B13" s="210">
        <f>VLOOKUP(表1_86121822242668[[#This Row],[区服]],$P$38:$Q$48,2,FALSE)</f>
        <v>51</v>
      </c>
      <c r="C13" s="41" t="s">
        <v>128</v>
      </c>
      <c r="D13" s="212" t="str">
        <f>表1_86121822242668[[#This Row],[目标国家]]</f>
        <v>蜀</v>
      </c>
      <c r="E13" s="213">
        <f>(VLOOKUP(表1_86121822242668[[#This Row],[目标区服]],$R$38:$S$42,2,FALSE)-表1_86121822242668[[#This Row],[开服天数]])*配置!$B$1</f>
        <v>1500</v>
      </c>
      <c r="F13" s="213">
        <f>表1_86121822242668[[#This Row],[补偿Coin]]*(表1_86121822242668[[#This Row],[活跃高战玩家数]]+表1_86121822242668[[#This Row],[活跃中坚玩家数]])</f>
        <v>34500</v>
      </c>
      <c r="G13" s="260">
        <f>(VLOOKUP(表1_86121822242668[[#This Row],[目标区服]],$R$38:$S$42,2,FALSE)-表1_86121822242668[[#This Row],[开服天数]])*配置!$B$2</f>
        <v>15</v>
      </c>
      <c r="H13" s="212" t="s">
        <v>27</v>
      </c>
      <c r="I13" s="268">
        <f>IF(表1_86121822242668[[#This Row],[原国家]]="魏",0,IF(表1_86121822242668[[#This Row],[原国家]]="蜀",1,2))</f>
        <v>2</v>
      </c>
      <c r="J13" s="213">
        <v>1</v>
      </c>
      <c r="K13" s="213">
        <v>72</v>
      </c>
      <c r="L13" s="213">
        <v>4</v>
      </c>
      <c r="M13" s="213">
        <v>19</v>
      </c>
      <c r="N13" s="213">
        <v>105862</v>
      </c>
      <c r="O13" s="419">
        <v>3096524</v>
      </c>
      <c r="P13" s="420">
        <v>21790360</v>
      </c>
      <c r="Q13" s="243" t="s">
        <v>26</v>
      </c>
      <c r="R13" s="212">
        <f>IF(表1_86121822242668[[#This Row],[目标国家]]="魏",0,IF(表1_86121822242668[[#This Row],[目标国家]]="蜀",1,2))</f>
        <v>1</v>
      </c>
      <c r="S13" s="213">
        <v>52528</v>
      </c>
      <c r="T13" s="213">
        <v>0</v>
      </c>
      <c r="U13" s="213">
        <v>386887</v>
      </c>
      <c r="V13" s="213">
        <v>8394</v>
      </c>
      <c r="W13" s="213">
        <v>1005607</v>
      </c>
      <c r="X13" s="278" t="str">
        <f>"{"&amp;"'coin':"&amp;表1_86121822242668[[#This Row],[补偿Coin]]&amp;",'"&amp;配置!$A$2&amp;"':"&amp;表1_86121822242668[[#This Row],[补偿辎重]]&amp;"},"</f>
        <v>{'coin':1500,'item036':15},</v>
      </c>
      <c r="Y13" s="278" t="str">
        <f t="shared" ref="Y13" si="1">"      },"</f>
        <v>      },</v>
      </c>
    </row>
    <row r="14" ht="14.25" customHeight="1" spans="1:25">
      <c r="A14" s="210">
        <v>5054</v>
      </c>
      <c r="B14" s="210">
        <f>VLOOKUP(表1_86121822242668[[#This Row],[区服]],$P$38:$Q$48,2,FALSE)</f>
        <v>50</v>
      </c>
      <c r="C14" s="41" t="s">
        <v>128</v>
      </c>
      <c r="D14" s="212" t="str">
        <f>表1_86121822242668[[#This Row],[目标国家]]</f>
        <v>吴</v>
      </c>
      <c r="E14" s="213">
        <f>(VLOOKUP(表1_86121822242668[[#This Row],[目标区服]],$R$38:$S$42,2,FALSE)-表1_86121822242668[[#This Row],[开服天数]])*配置!$B$1</f>
        <v>2000</v>
      </c>
      <c r="F14" s="213">
        <f>表1_86121822242668[[#This Row],[补偿Coin]]*(表1_86121822242668[[#This Row],[活跃高战玩家数]]+表1_86121822242668[[#This Row],[活跃中坚玩家数]])</f>
        <v>52000</v>
      </c>
      <c r="G14" s="213">
        <f>(VLOOKUP(表1_86121822242668[[#This Row],[目标区服]],$R$38:$S$42,2,FALSE)-表1_86121822242668[[#This Row],[开服天数]])*配置!$B$2</f>
        <v>20</v>
      </c>
      <c r="H14" s="212" t="s">
        <v>25</v>
      </c>
      <c r="I14" s="212">
        <f>IF(表1_86121822242668[[#This Row],[原国家]]="魏",0,IF(表1_86121822242668[[#This Row],[原国家]]="蜀",1,2))</f>
        <v>0</v>
      </c>
      <c r="J14" s="213">
        <v>6</v>
      </c>
      <c r="K14" s="213">
        <v>244</v>
      </c>
      <c r="L14" s="213">
        <v>6</v>
      </c>
      <c r="M14" s="213">
        <v>20</v>
      </c>
      <c r="N14" s="213">
        <v>139677</v>
      </c>
      <c r="O14" s="213">
        <v>3267707</v>
      </c>
      <c r="P14" s="420">
        <v>29373171</v>
      </c>
      <c r="Q14" s="243" t="s">
        <v>27</v>
      </c>
      <c r="R14" s="212">
        <f>IF(表1_86121822242668[[#This Row],[目标国家]]="魏",0,IF(表1_86121822242668[[#This Row],[目标国家]]="蜀",1,2))</f>
        <v>2</v>
      </c>
      <c r="S14" s="213">
        <v>119886</v>
      </c>
      <c r="T14" s="213">
        <v>0</v>
      </c>
      <c r="U14" s="213">
        <v>960411</v>
      </c>
      <c r="V14" s="213">
        <v>14020</v>
      </c>
      <c r="W14" s="68">
        <v>957676</v>
      </c>
      <c r="X14" s="245" t="str">
        <f>"{"&amp;"'coin':"&amp;表1_86121822242668[[#This Row],[补偿Coin]]&amp;",'"&amp;配置!$A$2&amp;"':"&amp;表1_86121822242668[[#This Row],[补偿辎重]]&amp;"},"</f>
        <v>{'coin':2000,'item036':20},</v>
      </c>
      <c r="Y14" s="254" t="str">
        <f>"      '"&amp;表1_86121822242668[[#This Row],[区服]]&amp;"':{"</f>
        <v>      '5054':{</v>
      </c>
    </row>
    <row r="15" ht="14.25" customHeight="1" spans="1:25">
      <c r="A15" s="210">
        <v>5054</v>
      </c>
      <c r="B15" s="210">
        <f>VLOOKUP(表1_86121822242668[[#This Row],[区服]],$P$38:$Q$48,2,FALSE)</f>
        <v>50</v>
      </c>
      <c r="C15" s="41" t="s">
        <v>128</v>
      </c>
      <c r="D15" s="212" t="str">
        <f>表1_86121822242668[[#This Row],[目标国家]]</f>
        <v>吴</v>
      </c>
      <c r="E15" s="213">
        <f>(VLOOKUP(表1_86121822242668[[#This Row],[目标区服]],$R$38:$S$42,2,FALSE)-表1_86121822242668[[#This Row],[开服天数]])*配置!$B$1</f>
        <v>2000</v>
      </c>
      <c r="F15" s="213">
        <f>表1_86121822242668[[#This Row],[补偿Coin]]*(表1_86121822242668[[#This Row],[活跃高战玩家数]]+表1_86121822242668[[#This Row],[活跃中坚玩家数]])</f>
        <v>34000</v>
      </c>
      <c r="G15" s="213">
        <f>(VLOOKUP(表1_86121822242668[[#This Row],[目标区服]],$R$38:$S$42,2,FALSE)-表1_86121822242668[[#This Row],[开服天数]])*配置!$B$2</f>
        <v>20</v>
      </c>
      <c r="H15" s="212" t="s">
        <v>26</v>
      </c>
      <c r="I15" s="212">
        <f>IF(表1_86121822242668[[#This Row],[原国家]]="魏",0,IF(表1_86121822242668[[#This Row],[原国家]]="蜀",1,2))</f>
        <v>1</v>
      </c>
      <c r="J15" s="213">
        <v>1</v>
      </c>
      <c r="K15" s="213">
        <v>53</v>
      </c>
      <c r="L15" s="213">
        <v>0</v>
      </c>
      <c r="M15" s="213">
        <v>17</v>
      </c>
      <c r="N15" s="213">
        <v>40357</v>
      </c>
      <c r="O15" s="213">
        <v>1492587</v>
      </c>
      <c r="P15" s="420">
        <v>9764311</v>
      </c>
      <c r="Q15" s="243" t="s">
        <v>27</v>
      </c>
      <c r="R15" s="212">
        <f>IF(表1_86121822242668[[#This Row],[目标国家]]="魏",0,IF(表1_86121822242668[[#This Row],[目标国家]]="蜀",1,2))</f>
        <v>2</v>
      </c>
      <c r="S15" s="213">
        <v>9138</v>
      </c>
      <c r="T15" s="213">
        <v>0</v>
      </c>
      <c r="U15" s="213">
        <v>99077</v>
      </c>
      <c r="V15" s="213">
        <v>3624</v>
      </c>
      <c r="W15" s="68">
        <v>556261</v>
      </c>
      <c r="X15" s="245" t="str">
        <f>"{"&amp;"'coin':"&amp;表1_86121822242668[[#This Row],[补偿Coin]]&amp;",'"&amp;配置!$A$2&amp;"':"&amp;表1_86121822242668[[#This Row],[补偿辎重]]&amp;"},"</f>
        <v>{'coin':2000,'item036':20},</v>
      </c>
      <c r="Y15" s="254" t="str">
        <f>"            'to_zone':'"&amp;表1_86121822242668[[#This Row],[目标区服]]&amp;"',
            'reward':"&amp;表1_86121822242668[[#This Row],[辅助导出]]&amp;"
            'country':["&amp;R14&amp;","&amp;R15&amp;","&amp;R16&amp;"],"</f>
        <v>            'to_zone':'h1_524',
            'reward':{'coin':2000,'item036':20},
            'country':[2,2,1],</v>
      </c>
    </row>
    <row r="16" ht="14.25" customHeight="1" spans="1:25">
      <c r="A16" s="210">
        <v>5054</v>
      </c>
      <c r="B16" s="210">
        <f>VLOOKUP(表1_86121822242668[[#This Row],[区服]],$P$38:$Q$48,2,FALSE)</f>
        <v>50</v>
      </c>
      <c r="C16" s="41" t="s">
        <v>128</v>
      </c>
      <c r="D16" s="212" t="str">
        <f>表1_86121822242668[[#This Row],[目标国家]]</f>
        <v>蜀</v>
      </c>
      <c r="E16" s="213">
        <f>(VLOOKUP(表1_86121822242668[[#This Row],[目标区服]],$R$38:$S$42,2,FALSE)-表1_86121822242668[[#This Row],[开服天数]])*配置!$B$1</f>
        <v>2000</v>
      </c>
      <c r="F16" s="213">
        <f>表1_86121822242668[[#This Row],[补偿Coin]]*(表1_86121822242668[[#This Row],[活跃高战玩家数]]+表1_86121822242668[[#This Row],[活跃中坚玩家数]])</f>
        <v>40000</v>
      </c>
      <c r="G16" s="213">
        <f>(VLOOKUP(表1_86121822242668[[#This Row],[目标区服]],$R$38:$S$42,2,FALSE)-表1_86121822242668[[#This Row],[开服天数]])*配置!$B$2</f>
        <v>20</v>
      </c>
      <c r="H16" s="212" t="s">
        <v>27</v>
      </c>
      <c r="I16" s="212">
        <f>IF(表1_86121822242668[[#This Row],[原国家]]="魏",0,IF(表1_86121822242668[[#This Row],[原国家]]="蜀",1,2))</f>
        <v>2</v>
      </c>
      <c r="J16" s="213">
        <v>2</v>
      </c>
      <c r="K16" s="213">
        <v>98</v>
      </c>
      <c r="L16" s="213">
        <v>2</v>
      </c>
      <c r="M16" s="213">
        <v>18</v>
      </c>
      <c r="N16" s="213">
        <v>93827</v>
      </c>
      <c r="O16" s="213">
        <v>2887101</v>
      </c>
      <c r="P16" s="420">
        <v>20110289</v>
      </c>
      <c r="Q16" s="243" t="s">
        <v>26</v>
      </c>
      <c r="R16" s="212">
        <f>IF(表1_86121822242668[[#This Row],[目标国家]]="魏",0,IF(表1_86121822242668[[#This Row],[目标国家]]="蜀",1,2))</f>
        <v>1</v>
      </c>
      <c r="S16" s="213">
        <v>99532</v>
      </c>
      <c r="T16" s="213">
        <v>0</v>
      </c>
      <c r="U16" s="213">
        <v>679737</v>
      </c>
      <c r="V16" s="213">
        <v>9873</v>
      </c>
      <c r="W16" s="68">
        <v>1031265</v>
      </c>
      <c r="X16" s="245" t="str">
        <f>"{"&amp;"'coin':"&amp;表1_86121822242668[[#This Row],[补偿Coin]]&amp;",'"&amp;配置!$A$2&amp;"':"&amp;表1_86121822242668[[#This Row],[补偿辎重]]&amp;"},"</f>
        <v>{'coin':2000,'item036':20},</v>
      </c>
      <c r="Y16" s="254" t="str">
        <f t="shared" ref="Y16" si="2">"      },"</f>
        <v>      },</v>
      </c>
    </row>
    <row r="17" ht="14.25" customHeight="1" spans="1:25">
      <c r="A17" s="17">
        <v>5055</v>
      </c>
      <c r="B17" s="17">
        <f>VLOOKUP(表1_86121822242668[[#This Row],[区服]],$P$38:$Q$48,2,FALSE)</f>
        <v>50</v>
      </c>
      <c r="C17" s="45" t="s">
        <v>129</v>
      </c>
      <c r="D17" s="19" t="str">
        <f>表1_86121822242668[[#This Row],[目标国家]]</f>
        <v>吴</v>
      </c>
      <c r="E17" s="20">
        <f>(VLOOKUP(表1_86121822242668[[#This Row],[目标区服]],$R$38:$S$42,2,FALSE)-表1_86121822242668[[#This Row],[开服天数]])*配置!$B$1</f>
        <v>1000</v>
      </c>
      <c r="F17" s="20">
        <f>表1_86121822242668[[#This Row],[补偿Coin]]*(表1_86121822242668[[#This Row],[活跃高战玩家数]]+表1_86121822242668[[#This Row],[活跃中坚玩家数]])</f>
        <v>13000</v>
      </c>
      <c r="G17" s="20">
        <f>(VLOOKUP(表1_86121822242668[[#This Row],[目标区服]],$R$38:$S$42,2,FALSE)-表1_86121822242668[[#This Row],[开服天数]])*配置!$B$2</f>
        <v>10</v>
      </c>
      <c r="H17" s="19" t="s">
        <v>25</v>
      </c>
      <c r="I17" s="19">
        <f>IF(表1_86121822242668[[#This Row],[原国家]]="魏",0,IF(表1_86121822242668[[#This Row],[原国家]]="蜀",1,2))</f>
        <v>0</v>
      </c>
      <c r="J17" s="20">
        <v>3</v>
      </c>
      <c r="K17" s="20">
        <v>104</v>
      </c>
      <c r="L17" s="20">
        <v>3</v>
      </c>
      <c r="M17" s="20">
        <v>10</v>
      </c>
      <c r="N17" s="20">
        <v>75243</v>
      </c>
      <c r="O17" s="20">
        <v>1619752</v>
      </c>
      <c r="P17" s="26">
        <v>9474598</v>
      </c>
      <c r="Q17" s="496" t="s">
        <v>27</v>
      </c>
      <c r="R17" s="19">
        <f>IF(表1_86121822242668[[#This Row],[目标国家]]="魏",0,IF(表1_86121822242668[[#This Row],[目标国家]]="蜀",1,2))</f>
        <v>2</v>
      </c>
      <c r="S17" s="20">
        <v>19020</v>
      </c>
      <c r="T17" s="20">
        <v>0</v>
      </c>
      <c r="U17" s="20">
        <v>214359</v>
      </c>
      <c r="V17" s="20">
        <v>4961</v>
      </c>
      <c r="W17" s="32">
        <v>509471</v>
      </c>
      <c r="X17" s="33" t="str">
        <f>"{"&amp;"'coin':"&amp;表1_86121822242668[[#This Row],[补偿Coin]]&amp;",'"&amp;配置!$A$2&amp;"':"&amp;表1_86121822242668[[#This Row],[补偿辎重]]&amp;"},"</f>
        <v>{'coin':1000,'item036':10},</v>
      </c>
      <c r="Y17" s="34" t="str">
        <f>"      '"&amp;表1_86121822242668[[#This Row],[区服]]&amp;"':{"</f>
        <v>      '5055':{</v>
      </c>
    </row>
    <row r="18" ht="14.25" customHeight="1" spans="1:25">
      <c r="A18" s="17">
        <v>5055</v>
      </c>
      <c r="B18" s="17">
        <f>VLOOKUP(表1_86121822242668[[#This Row],[区服]],$P$38:$Q$48,2,FALSE)</f>
        <v>50</v>
      </c>
      <c r="C18" s="45" t="s">
        <v>129</v>
      </c>
      <c r="D18" s="19" t="str">
        <f>表1_86121822242668[[#This Row],[目标国家]]</f>
        <v>魏</v>
      </c>
      <c r="E18" s="20">
        <f>(VLOOKUP(表1_86121822242668[[#This Row],[目标区服]],$R$38:$S$42,2,FALSE)-表1_86121822242668[[#This Row],[开服天数]])*配置!$B$1</f>
        <v>1000</v>
      </c>
      <c r="F18" s="20">
        <f>表1_86121822242668[[#This Row],[补偿Coin]]*(表1_86121822242668[[#This Row],[活跃高战玩家数]]+表1_86121822242668[[#This Row],[活跃中坚玩家数]])</f>
        <v>25000</v>
      </c>
      <c r="G18" s="20">
        <f>(VLOOKUP(表1_86121822242668[[#This Row],[目标区服]],$R$38:$S$42,2,FALSE)-表1_86121822242668[[#This Row],[开服天数]])*配置!$B$2</f>
        <v>10</v>
      </c>
      <c r="H18" s="19" t="s">
        <v>26</v>
      </c>
      <c r="I18" s="19">
        <f>IF(表1_86121822242668[[#This Row],[原国家]]="魏",0,IF(表1_86121822242668[[#This Row],[原国家]]="蜀",1,2))</f>
        <v>1</v>
      </c>
      <c r="J18" s="20">
        <v>4</v>
      </c>
      <c r="K18" s="20">
        <v>214</v>
      </c>
      <c r="L18" s="20">
        <v>6</v>
      </c>
      <c r="M18" s="20">
        <v>19</v>
      </c>
      <c r="N18" s="20">
        <v>148999</v>
      </c>
      <c r="O18" s="20">
        <v>2445376</v>
      </c>
      <c r="P18" s="26">
        <v>20604671</v>
      </c>
      <c r="Q18" s="496" t="s">
        <v>25</v>
      </c>
      <c r="R18" s="19">
        <f>IF(表1_86121822242668[[#This Row],[目标国家]]="魏",0,IF(表1_86121822242668[[#This Row],[目标国家]]="蜀",1,2))</f>
        <v>0</v>
      </c>
      <c r="S18" s="20">
        <v>39652</v>
      </c>
      <c r="T18" s="20">
        <v>0</v>
      </c>
      <c r="U18" s="20">
        <v>340448</v>
      </c>
      <c r="V18" s="20">
        <v>9150</v>
      </c>
      <c r="W18" s="32">
        <v>732905</v>
      </c>
      <c r="X18" s="33" t="str">
        <f>"{"&amp;"'coin':"&amp;表1_86121822242668[[#This Row],[补偿Coin]]&amp;",'"&amp;配置!$A$2&amp;"':"&amp;表1_86121822242668[[#This Row],[补偿辎重]]&amp;"},"</f>
        <v>{'coin':1000,'item036':10},</v>
      </c>
      <c r="Y18" s="34" t="str">
        <f>"            'to_zone':'"&amp;表1_86121822242668[[#This Row],[目标区服]]&amp;"',
            'reward':"&amp;表1_86121822242668[[#This Row],[辅助导出]]&amp;"
            'country':["&amp;R17&amp;","&amp;R18&amp;","&amp;R19&amp;"],"</f>
        <v>            'to_zone':'h1_525',
            'reward':{'coin':1000,'item036':10},
            'country':[2,0,1],</v>
      </c>
    </row>
    <row r="19" ht="14.25" customHeight="1" spans="1:25">
      <c r="A19" s="17">
        <v>5055</v>
      </c>
      <c r="B19" s="17">
        <f>VLOOKUP(表1_86121822242668[[#This Row],[区服]],$P$38:$Q$48,2,FALSE)</f>
        <v>50</v>
      </c>
      <c r="C19" s="45" t="s">
        <v>129</v>
      </c>
      <c r="D19" s="19" t="str">
        <f>表1_86121822242668[[#This Row],[目标国家]]</f>
        <v>蜀</v>
      </c>
      <c r="E19" s="20">
        <f>(VLOOKUP(表1_86121822242668[[#This Row],[目标区服]],$R$38:$S$42,2,FALSE)-表1_86121822242668[[#This Row],[开服天数]])*配置!$B$1</f>
        <v>1000</v>
      </c>
      <c r="F19" s="20">
        <f>表1_86121822242668[[#This Row],[补偿Coin]]*(表1_86121822242668[[#This Row],[活跃高战玩家数]]+表1_86121822242668[[#This Row],[活跃中坚玩家数]])</f>
        <v>10000</v>
      </c>
      <c r="G19" s="20">
        <f>(VLOOKUP(表1_86121822242668[[#This Row],[目标区服]],$R$38:$S$42,2,FALSE)-表1_86121822242668[[#This Row],[开服天数]])*配置!$B$2</f>
        <v>10</v>
      </c>
      <c r="H19" s="19" t="s">
        <v>27</v>
      </c>
      <c r="I19" s="19">
        <f>IF(表1_86121822242668[[#This Row],[原国家]]="魏",0,IF(表1_86121822242668[[#This Row],[原国家]]="蜀",1,2))</f>
        <v>2</v>
      </c>
      <c r="J19" s="20">
        <v>2</v>
      </c>
      <c r="K19" s="20">
        <v>77</v>
      </c>
      <c r="L19" s="20">
        <v>1</v>
      </c>
      <c r="M19" s="20">
        <v>9</v>
      </c>
      <c r="N19" s="20">
        <v>45622</v>
      </c>
      <c r="O19" s="20">
        <v>1059958</v>
      </c>
      <c r="P19" s="26">
        <v>5417363</v>
      </c>
      <c r="Q19" s="496" t="s">
        <v>26</v>
      </c>
      <c r="R19" s="19">
        <f>IF(表1_86121822242668[[#This Row],[目标国家]]="魏",0,IF(表1_86121822242668[[#This Row],[目标国家]]="蜀",1,2))</f>
        <v>1</v>
      </c>
      <c r="S19" s="20">
        <v>1728</v>
      </c>
      <c r="T19" s="20">
        <v>0</v>
      </c>
      <c r="U19" s="20">
        <v>131772</v>
      </c>
      <c r="V19" s="20">
        <v>2917</v>
      </c>
      <c r="W19" s="32">
        <v>322126</v>
      </c>
      <c r="X19" s="33" t="str">
        <f>"{"&amp;"'coin':"&amp;表1_86121822242668[[#This Row],[补偿Coin]]&amp;",'"&amp;配置!$A$2&amp;"':"&amp;表1_86121822242668[[#This Row],[补偿辎重]]&amp;"},"</f>
        <v>{'coin':1000,'item036':10},</v>
      </c>
      <c r="Y19" s="34" t="str">
        <f t="shared" ref="Y19" si="3">"      },"</f>
        <v>      },</v>
      </c>
    </row>
    <row r="20" ht="14.25" customHeight="1" spans="1:25">
      <c r="A20" s="500">
        <v>5056</v>
      </c>
      <c r="B20" s="17">
        <f>VLOOKUP(表1_86121822242668[[#This Row],[区服]],$P$38:$Q$48,2,FALSE)</f>
        <v>49</v>
      </c>
      <c r="C20" s="45" t="s">
        <v>129</v>
      </c>
      <c r="D20" s="19" t="str">
        <f>表1_86121822242668[[#This Row],[目标国家]]</f>
        <v>魏</v>
      </c>
      <c r="E20" s="501">
        <f>(VLOOKUP(表1_86121822242668[[#This Row],[目标区服]],$R$38:$S$42,2,FALSE)-表1_86121822242668[[#This Row],[开服天数]])*配置!$B$1</f>
        <v>1500</v>
      </c>
      <c r="F20" s="20">
        <f>表1_86121822242668[[#This Row],[补偿Coin]]*(表1_86121822242668[[#This Row],[活跃高战玩家数]]+表1_86121822242668[[#This Row],[活跃中坚玩家数]])</f>
        <v>39000</v>
      </c>
      <c r="G20" s="502">
        <f>(VLOOKUP(表1_86121822242668[[#This Row],[目标区服]],$R$38:$S$42,2,FALSE)-表1_86121822242668[[#This Row],[开服天数]])*配置!$B$2</f>
        <v>15</v>
      </c>
      <c r="H20" s="19" t="s">
        <v>25</v>
      </c>
      <c r="I20" s="503">
        <f>IF(表1_86121822242668[[#This Row],[原国家]]="魏",0,IF(表1_86121822242668[[#This Row],[原国家]]="蜀",1,2))</f>
        <v>0</v>
      </c>
      <c r="J20" s="20">
        <v>3</v>
      </c>
      <c r="K20" s="20">
        <v>105</v>
      </c>
      <c r="L20" s="20">
        <v>2</v>
      </c>
      <c r="M20" s="20">
        <v>24</v>
      </c>
      <c r="N20" s="20">
        <v>100949</v>
      </c>
      <c r="O20" s="504">
        <v>2529875</v>
      </c>
      <c r="P20" s="26">
        <v>20973524</v>
      </c>
      <c r="Q20" s="496" t="s">
        <v>25</v>
      </c>
      <c r="R20" s="19">
        <f>IF(表1_86121822242668[[#This Row],[目标国家]]="魏",0,IF(表1_86121822242668[[#This Row],[目标国家]]="蜀",1,2))</f>
        <v>0</v>
      </c>
      <c r="S20" s="20">
        <v>55414</v>
      </c>
      <c r="T20" s="20">
        <v>0</v>
      </c>
      <c r="U20" s="20">
        <v>198448</v>
      </c>
      <c r="V20" s="20">
        <v>8243</v>
      </c>
      <c r="W20" s="32">
        <v>800421</v>
      </c>
      <c r="X20" s="508" t="str">
        <f>"{"&amp;"'coin':"&amp;表1_86121822242668[[#This Row],[补偿Coin]]&amp;",'"&amp;配置!$A$2&amp;"':"&amp;表1_86121822242668[[#This Row],[补偿辎重]]&amp;"},"</f>
        <v>{'coin':1500,'item036':15},</v>
      </c>
      <c r="Y20" s="34" t="str">
        <f>"      '"&amp;表1_86121822242668[[#This Row],[区服]]&amp;"':{"</f>
        <v>      '5056':{</v>
      </c>
    </row>
    <row r="21" ht="14.25" customHeight="1" spans="1:25">
      <c r="A21" s="500">
        <v>5056</v>
      </c>
      <c r="B21" s="17">
        <f>VLOOKUP(表1_86121822242668[[#This Row],[区服]],$P$38:$Q$48,2,FALSE)</f>
        <v>49</v>
      </c>
      <c r="C21" s="45" t="s">
        <v>129</v>
      </c>
      <c r="D21" s="19" t="str">
        <f>表1_86121822242668[[#This Row],[目标国家]]</f>
        <v>蜀</v>
      </c>
      <c r="E21" s="501">
        <f>(VLOOKUP(表1_86121822242668[[#This Row],[目标区服]],$R$38:$S$42,2,FALSE)-表1_86121822242668[[#This Row],[开服天数]])*配置!$B$1</f>
        <v>1500</v>
      </c>
      <c r="F21" s="20">
        <f>表1_86121822242668[[#This Row],[补偿Coin]]*(表1_86121822242668[[#This Row],[活跃高战玩家数]]+表1_86121822242668[[#This Row],[活跃中坚玩家数]])</f>
        <v>31500</v>
      </c>
      <c r="G21" s="502">
        <f>(VLOOKUP(表1_86121822242668[[#This Row],[目标区服]],$R$38:$S$42,2,FALSE)-表1_86121822242668[[#This Row],[开服天数]])*配置!$B$2</f>
        <v>15</v>
      </c>
      <c r="H21" s="19" t="s">
        <v>26</v>
      </c>
      <c r="I21" s="503">
        <f>IF(表1_86121822242668[[#This Row],[原国家]]="魏",0,IF(表1_86121822242668[[#This Row],[原国家]]="蜀",1,2))</f>
        <v>1</v>
      </c>
      <c r="J21" s="20">
        <v>2</v>
      </c>
      <c r="K21" s="20">
        <v>115</v>
      </c>
      <c r="L21" s="20">
        <v>2</v>
      </c>
      <c r="M21" s="20">
        <v>19</v>
      </c>
      <c r="N21" s="20">
        <v>81144</v>
      </c>
      <c r="O21" s="504">
        <v>2822522</v>
      </c>
      <c r="P21" s="26">
        <v>17568824</v>
      </c>
      <c r="Q21" s="496" t="s">
        <v>26</v>
      </c>
      <c r="R21" s="19">
        <f>IF(表1_86121822242668[[#This Row],[目标国家]]="魏",0,IF(表1_86121822242668[[#This Row],[目标国家]]="蜀",1,2))</f>
        <v>1</v>
      </c>
      <c r="S21" s="20">
        <v>74772</v>
      </c>
      <c r="T21" s="20">
        <v>0</v>
      </c>
      <c r="U21" s="20">
        <v>155944</v>
      </c>
      <c r="V21" s="20">
        <v>8656</v>
      </c>
      <c r="W21" s="32">
        <v>858384</v>
      </c>
      <c r="X21" s="508" t="str">
        <f>"{"&amp;"'coin':"&amp;表1_86121822242668[[#This Row],[补偿Coin]]&amp;",'"&amp;配置!$A$2&amp;"':"&amp;表1_86121822242668[[#This Row],[补偿辎重]]&amp;"},"</f>
        <v>{'coin':1500,'item036':15},</v>
      </c>
      <c r="Y21" s="34" t="str">
        <f>"            'to_zone':'"&amp;表1_86121822242668[[#This Row],[目标区服]]&amp;"',
            'reward':"&amp;表1_86121822242668[[#This Row],[辅助导出]]&amp;"
            'country':["&amp;R20&amp;","&amp;R21&amp;","&amp;R22&amp;"],"</f>
        <v>            'to_zone':'h1_525',
            'reward':{'coin':1500,'item036':15},
            'country':[0,1,2],</v>
      </c>
    </row>
    <row r="22" ht="14.25" customHeight="1" spans="1:25">
      <c r="A22" s="500">
        <v>5056</v>
      </c>
      <c r="B22" s="17">
        <f>VLOOKUP(表1_86121822242668[[#This Row],[区服]],$P$38:$Q$48,2,FALSE)</f>
        <v>49</v>
      </c>
      <c r="C22" s="45" t="s">
        <v>129</v>
      </c>
      <c r="D22" s="19" t="str">
        <f>表1_86121822242668[[#This Row],[目标国家]]</f>
        <v>吴</v>
      </c>
      <c r="E22" s="501">
        <f>(VLOOKUP(表1_86121822242668[[#This Row],[目标区服]],$R$38:$S$42,2,FALSE)-表1_86121822242668[[#This Row],[开服天数]])*配置!$B$1</f>
        <v>1500</v>
      </c>
      <c r="F22" s="20">
        <f>表1_86121822242668[[#This Row],[补偿Coin]]*(表1_86121822242668[[#This Row],[活跃高战玩家数]]+表1_86121822242668[[#This Row],[活跃中坚玩家数]])</f>
        <v>30000</v>
      </c>
      <c r="G22" s="502">
        <f>(VLOOKUP(表1_86121822242668[[#This Row],[目标区服]],$R$38:$S$42,2,FALSE)-表1_86121822242668[[#This Row],[开服天数]])*配置!$B$2</f>
        <v>15</v>
      </c>
      <c r="H22" s="19" t="s">
        <v>27</v>
      </c>
      <c r="I22" s="503">
        <f>IF(表1_86121822242668[[#This Row],[原国家]]="魏",0,IF(表1_86121822242668[[#This Row],[原国家]]="蜀",1,2))</f>
        <v>2</v>
      </c>
      <c r="J22" s="20">
        <v>4</v>
      </c>
      <c r="K22" s="20">
        <v>175</v>
      </c>
      <c r="L22" s="20">
        <v>5</v>
      </c>
      <c r="M22" s="20">
        <v>15</v>
      </c>
      <c r="N22" s="20">
        <v>86929</v>
      </c>
      <c r="O22" s="504">
        <v>3041948</v>
      </c>
      <c r="P22" s="26">
        <v>19054859</v>
      </c>
      <c r="Q22" s="496" t="s">
        <v>27</v>
      </c>
      <c r="R22" s="19">
        <f>IF(表1_86121822242668[[#This Row],[目标国家]]="魏",0,IF(表1_86121822242668[[#This Row],[目标国家]]="蜀",1,2))</f>
        <v>2</v>
      </c>
      <c r="S22" s="20">
        <v>68960</v>
      </c>
      <c r="T22" s="20">
        <v>0</v>
      </c>
      <c r="U22" s="20">
        <v>341329</v>
      </c>
      <c r="V22" s="20">
        <v>9771</v>
      </c>
      <c r="W22" s="32">
        <v>970478</v>
      </c>
      <c r="X22" s="508" t="str">
        <f>"{"&amp;"'coin':"&amp;表1_86121822242668[[#This Row],[补偿Coin]]&amp;",'"&amp;配置!$A$2&amp;"':"&amp;表1_86121822242668[[#This Row],[补偿辎重]]&amp;"},"</f>
        <v>{'coin':1500,'item036':15},</v>
      </c>
      <c r="Y22" s="34" t="str">
        <f t="shared" ref="Y22" si="4">"      },"</f>
        <v>      },</v>
      </c>
    </row>
    <row r="23" ht="14.25" customHeight="1" spans="1:25">
      <c r="A23" s="214">
        <v>5057</v>
      </c>
      <c r="B23" s="214">
        <f>VLOOKUP(表1_86121822242668[[#This Row],[区服]],$P$38:$Q$48,2,FALSE)</f>
        <v>49</v>
      </c>
      <c r="C23" s="308" t="s">
        <v>130</v>
      </c>
      <c r="D23" s="216" t="str">
        <f>表1_86121822242668[[#This Row],[目标国家]]</f>
        <v>吴</v>
      </c>
      <c r="E23" s="217">
        <f>(VLOOKUP(表1_86121822242668[[#This Row],[目标区服]],$R$38:$S$42,2,FALSE)-表1_86121822242668[[#This Row],[开服天数]])*配置!$B$1</f>
        <v>1000</v>
      </c>
      <c r="F23" s="217">
        <f>表1_86121822242668[[#This Row],[补偿Coin]]*(表1_86121822242668[[#This Row],[活跃高战玩家数]]+表1_86121822242668[[#This Row],[活跃中坚玩家数]])</f>
        <v>12000</v>
      </c>
      <c r="G23" s="217">
        <f>(VLOOKUP(表1_86121822242668[[#This Row],[目标区服]],$R$38:$S$42,2,FALSE)-表1_86121822242668[[#This Row],[开服天数]])*配置!$B$2</f>
        <v>10</v>
      </c>
      <c r="H23" s="216" t="s">
        <v>25</v>
      </c>
      <c r="I23" s="216">
        <f>IF(表1_86121822242668[[#This Row],[原国家]]="魏",0,IF(表1_86121822242668[[#This Row],[原国家]]="蜀",1,2))</f>
        <v>0</v>
      </c>
      <c r="J23" s="217">
        <v>4</v>
      </c>
      <c r="K23" s="217">
        <v>122</v>
      </c>
      <c r="L23" s="217">
        <v>2</v>
      </c>
      <c r="M23" s="217">
        <v>10</v>
      </c>
      <c r="N23" s="217">
        <v>63756</v>
      </c>
      <c r="O23" s="217">
        <v>1973723</v>
      </c>
      <c r="P23" s="334">
        <v>9462937</v>
      </c>
      <c r="Q23" s="247" t="s">
        <v>27</v>
      </c>
      <c r="R23" s="216">
        <f>IF(表1_86121822242668[[#This Row],[目标国家]]="魏",0,IF(表1_86121822242668[[#This Row],[目标国家]]="蜀",1,2))</f>
        <v>2</v>
      </c>
      <c r="S23" s="217">
        <v>17224</v>
      </c>
      <c r="T23" s="217">
        <v>0</v>
      </c>
      <c r="U23" s="217">
        <v>290456</v>
      </c>
      <c r="V23" s="217">
        <v>5520</v>
      </c>
      <c r="W23" s="294">
        <v>612060</v>
      </c>
      <c r="X23" s="249" t="str">
        <f>"{"&amp;"'coin':"&amp;表1_86121822242668[[#This Row],[补偿Coin]]&amp;",'"&amp;配置!$A$2&amp;"':"&amp;表1_86121822242668[[#This Row],[补偿辎重]]&amp;"},"</f>
        <v>{'coin':1000,'item036':10},</v>
      </c>
      <c r="Y23" s="251" t="str">
        <f>"      '"&amp;表1_86121822242668[[#This Row],[区服]]&amp;"':{"</f>
        <v>      '5057':{</v>
      </c>
    </row>
    <row r="24" ht="14.25" customHeight="1" spans="1:25">
      <c r="A24" s="214">
        <v>5057</v>
      </c>
      <c r="B24" s="214">
        <f>VLOOKUP(表1_86121822242668[[#This Row],[区服]],$P$38:$Q$48,2,FALSE)</f>
        <v>49</v>
      </c>
      <c r="C24" s="308" t="s">
        <v>130</v>
      </c>
      <c r="D24" s="216" t="str">
        <f>表1_86121822242668[[#This Row],[目标国家]]</f>
        <v>魏</v>
      </c>
      <c r="E24" s="217">
        <f>(VLOOKUP(表1_86121822242668[[#This Row],[目标区服]],$R$38:$S$42,2,FALSE)-表1_86121822242668[[#This Row],[开服天数]])*配置!$B$1</f>
        <v>1000</v>
      </c>
      <c r="F24" s="217">
        <f>表1_86121822242668[[#This Row],[补偿Coin]]*(表1_86121822242668[[#This Row],[活跃高战玩家数]]+表1_86121822242668[[#This Row],[活跃中坚玩家数]])</f>
        <v>23000</v>
      </c>
      <c r="G24" s="217">
        <f>(VLOOKUP(表1_86121822242668[[#This Row],[目标区服]],$R$38:$S$42,2,FALSE)-表1_86121822242668[[#This Row],[开服天数]])*配置!$B$2</f>
        <v>10</v>
      </c>
      <c r="H24" s="216" t="s">
        <v>26</v>
      </c>
      <c r="I24" s="216">
        <f>IF(表1_86121822242668[[#This Row],[原国家]]="魏",0,IF(表1_86121822242668[[#This Row],[原国家]]="蜀",1,2))</f>
        <v>1</v>
      </c>
      <c r="J24" s="217">
        <v>1</v>
      </c>
      <c r="K24" s="217">
        <v>152</v>
      </c>
      <c r="L24" s="217">
        <v>2</v>
      </c>
      <c r="M24" s="217">
        <v>21</v>
      </c>
      <c r="N24" s="217">
        <v>113785</v>
      </c>
      <c r="O24" s="217">
        <v>1768743</v>
      </c>
      <c r="P24" s="334">
        <v>17254843</v>
      </c>
      <c r="Q24" s="247" t="s">
        <v>25</v>
      </c>
      <c r="R24" s="216">
        <f>IF(表1_86121822242668[[#This Row],[目标国家]]="魏",0,IF(表1_86121822242668[[#This Row],[目标国家]]="蜀",1,2))</f>
        <v>0</v>
      </c>
      <c r="S24" s="217">
        <v>59026</v>
      </c>
      <c r="T24" s="217">
        <v>0</v>
      </c>
      <c r="U24" s="217">
        <v>516737</v>
      </c>
      <c r="V24" s="217">
        <v>7712</v>
      </c>
      <c r="W24" s="294">
        <v>647750</v>
      </c>
      <c r="X24" s="249" t="str">
        <f>"{"&amp;"'coin':"&amp;表1_86121822242668[[#This Row],[补偿Coin]]&amp;",'"&amp;配置!$A$2&amp;"':"&amp;表1_86121822242668[[#This Row],[补偿辎重]]&amp;"},"</f>
        <v>{'coin':1000,'item036':10},</v>
      </c>
      <c r="Y24" s="251" t="str">
        <f>"            'to_zone':'"&amp;表1_86121822242668[[#This Row],[目标区服]]&amp;"',
            'reward':"&amp;表1_86121822242668[[#This Row],[辅助导出]]&amp;"
            'country':["&amp;R23&amp;","&amp;R24&amp;","&amp;R25&amp;"],"</f>
        <v>            'to_zone':'h1_526',
            'reward':{'coin':1000,'item036':10},
            'country':[2,0,0],</v>
      </c>
    </row>
    <row r="25" ht="14.25" customHeight="1" spans="1:25">
      <c r="A25" s="214">
        <v>5057</v>
      </c>
      <c r="B25" s="214">
        <f>VLOOKUP(表1_86121822242668[[#This Row],[区服]],$P$38:$Q$48,2,FALSE)</f>
        <v>49</v>
      </c>
      <c r="C25" s="308" t="s">
        <v>130</v>
      </c>
      <c r="D25" s="216" t="str">
        <f>表1_86121822242668[[#This Row],[目标国家]]</f>
        <v>魏</v>
      </c>
      <c r="E25" s="217">
        <f>(VLOOKUP(表1_86121822242668[[#This Row],[目标区服]],$R$38:$S$42,2,FALSE)-表1_86121822242668[[#This Row],[开服天数]])*配置!$B$1</f>
        <v>1000</v>
      </c>
      <c r="F25" s="217">
        <f>表1_86121822242668[[#This Row],[补偿Coin]]*(表1_86121822242668[[#This Row],[活跃高战玩家数]]+表1_86121822242668[[#This Row],[活跃中坚玩家数]])</f>
        <v>27000</v>
      </c>
      <c r="G25" s="217">
        <f>(VLOOKUP(表1_86121822242668[[#This Row],[目标区服]],$R$38:$S$42,2,FALSE)-表1_86121822242668[[#This Row],[开服天数]])*配置!$B$2</f>
        <v>10</v>
      </c>
      <c r="H25" s="216" t="s">
        <v>27</v>
      </c>
      <c r="I25" s="216">
        <f>IF(表1_86121822242668[[#This Row],[原国家]]="魏",0,IF(表1_86121822242668[[#This Row],[原国家]]="蜀",1,2))</f>
        <v>2</v>
      </c>
      <c r="J25" s="217">
        <v>4</v>
      </c>
      <c r="K25" s="217">
        <v>121</v>
      </c>
      <c r="L25" s="217">
        <v>5</v>
      </c>
      <c r="M25" s="217">
        <v>22</v>
      </c>
      <c r="N25" s="217">
        <v>123713</v>
      </c>
      <c r="O25" s="217">
        <v>2081311</v>
      </c>
      <c r="P25" s="334">
        <v>19050576</v>
      </c>
      <c r="Q25" s="247" t="s">
        <v>25</v>
      </c>
      <c r="R25" s="216">
        <f>IF(表1_86121822242668[[#This Row],[目标国家]]="魏",0,IF(表1_86121822242668[[#This Row],[目标国家]]="蜀",1,2))</f>
        <v>0</v>
      </c>
      <c r="S25" s="217">
        <v>25594</v>
      </c>
      <c r="T25" s="217">
        <v>0</v>
      </c>
      <c r="U25" s="217">
        <v>614277</v>
      </c>
      <c r="V25" s="217">
        <v>7289</v>
      </c>
      <c r="W25" s="294">
        <v>628990</v>
      </c>
      <c r="X25" s="249" t="str">
        <f>"{"&amp;"'coin':"&amp;表1_86121822242668[[#This Row],[补偿Coin]]&amp;",'"&amp;配置!$A$2&amp;"':"&amp;表1_86121822242668[[#This Row],[补偿辎重]]&amp;"},"</f>
        <v>{'coin':1000,'item036':10},</v>
      </c>
      <c r="Y25" s="251" t="str">
        <f t="shared" ref="Y25" si="5">"      },"</f>
        <v>      },</v>
      </c>
    </row>
    <row r="26" ht="14.25" customHeight="1" spans="1:25">
      <c r="A26" s="367">
        <v>5058</v>
      </c>
      <c r="B26" s="214">
        <f>VLOOKUP(表1_86121822242668[[#This Row],[区服]],$P$38:$Q$48,2,FALSE)</f>
        <v>48</v>
      </c>
      <c r="C26" s="308" t="s">
        <v>130</v>
      </c>
      <c r="D26" s="216" t="str">
        <f>表1_86121822242668[[#This Row],[目标国家]]</f>
        <v>蜀</v>
      </c>
      <c r="E26" s="413">
        <f>(VLOOKUP(表1_86121822242668[[#This Row],[目标区服]],$R$38:$S$42,2,FALSE)-表1_86121822242668[[#This Row],[开服天数]])*配置!$B$1</f>
        <v>1500</v>
      </c>
      <c r="F26" s="217">
        <f>表1_86121822242668[[#This Row],[补偿Coin]]*(表1_86121822242668[[#This Row],[活跃高战玩家数]]+表1_86121822242668[[#This Row],[活跃中坚玩家数]])</f>
        <v>28500</v>
      </c>
      <c r="G26" s="368">
        <f>(VLOOKUP(表1_86121822242668[[#This Row],[目标区服]],$R$38:$S$42,2,FALSE)-表1_86121822242668[[#This Row],[开服天数]])*配置!$B$2</f>
        <v>15</v>
      </c>
      <c r="H26" s="216" t="s">
        <v>25</v>
      </c>
      <c r="I26" s="377">
        <f>IF(表1_86121822242668[[#This Row],[原国家]]="魏",0,IF(表1_86121822242668[[#This Row],[原国家]]="蜀",1,2))</f>
        <v>0</v>
      </c>
      <c r="J26" s="217">
        <v>2</v>
      </c>
      <c r="K26" s="217">
        <v>73</v>
      </c>
      <c r="L26" s="217">
        <v>1</v>
      </c>
      <c r="M26" s="217">
        <v>18</v>
      </c>
      <c r="N26" s="217">
        <v>86359</v>
      </c>
      <c r="O26" s="378">
        <v>1600575</v>
      </c>
      <c r="P26" s="334">
        <v>15038363</v>
      </c>
      <c r="Q26" s="247" t="s">
        <v>26</v>
      </c>
      <c r="R26" s="216">
        <f>IF(表1_86121822242668[[#This Row],[目标国家]]="魏",0,IF(表1_86121822242668[[#This Row],[目标国家]]="蜀",1,2))</f>
        <v>1</v>
      </c>
      <c r="S26" s="217">
        <v>5852</v>
      </c>
      <c r="T26" s="217">
        <v>0</v>
      </c>
      <c r="U26" s="217">
        <v>146500</v>
      </c>
      <c r="V26" s="217">
        <v>4715</v>
      </c>
      <c r="W26" s="488">
        <v>510119</v>
      </c>
      <c r="X26" s="382" t="str">
        <f>"{"&amp;"'coin':"&amp;表1_86121822242668[[#This Row],[补偿Coin]]&amp;",'"&amp;配置!$A$2&amp;"':"&amp;表1_86121822242668[[#This Row],[补偿辎重]]&amp;"},"</f>
        <v>{'coin':1500,'item036':15},</v>
      </c>
      <c r="Y26" s="251" t="str">
        <f>"      '"&amp;表1_86121822242668[[#This Row],[区服]]&amp;"':{"</f>
        <v>      '5058':{</v>
      </c>
    </row>
    <row r="27" ht="14.25" customHeight="1" spans="1:25">
      <c r="A27" s="367">
        <v>5058</v>
      </c>
      <c r="B27" s="214">
        <f>VLOOKUP(表1_86121822242668[[#This Row],[区服]],$P$38:$Q$48,2,FALSE)</f>
        <v>48</v>
      </c>
      <c r="C27" s="308" t="s">
        <v>130</v>
      </c>
      <c r="D27" s="216" t="str">
        <f>表1_86121822242668[[#This Row],[目标国家]]</f>
        <v>蜀</v>
      </c>
      <c r="E27" s="413">
        <f>(VLOOKUP(表1_86121822242668[[#This Row],[目标区服]],$R$38:$S$42,2,FALSE)-表1_86121822242668[[#This Row],[开服天数]])*配置!$B$1</f>
        <v>1500</v>
      </c>
      <c r="F27" s="217">
        <f>表1_86121822242668[[#This Row],[补偿Coin]]*(表1_86121822242668[[#This Row],[活跃高战玩家数]]+表1_86121822242668[[#This Row],[活跃中坚玩家数]])</f>
        <v>37500</v>
      </c>
      <c r="G27" s="368">
        <f>(VLOOKUP(表1_86121822242668[[#This Row],[目标区服]],$R$38:$S$42,2,FALSE)-表1_86121822242668[[#This Row],[开服天数]])*配置!$B$2</f>
        <v>15</v>
      </c>
      <c r="H27" s="216" t="s">
        <v>26</v>
      </c>
      <c r="I27" s="377">
        <f>IF(表1_86121822242668[[#This Row],[原国家]]="魏",0,IF(表1_86121822242668[[#This Row],[原国家]]="蜀",1,2))</f>
        <v>1</v>
      </c>
      <c r="J27" s="217">
        <v>4</v>
      </c>
      <c r="K27" s="217">
        <v>191</v>
      </c>
      <c r="L27" s="217">
        <v>4</v>
      </c>
      <c r="M27" s="217">
        <v>21</v>
      </c>
      <c r="N27" s="217">
        <v>110722</v>
      </c>
      <c r="O27" s="378">
        <v>2647159</v>
      </c>
      <c r="P27" s="334">
        <v>21785503</v>
      </c>
      <c r="Q27" s="247" t="s">
        <v>26</v>
      </c>
      <c r="R27" s="216">
        <f>IF(表1_86121822242668[[#This Row],[目标国家]]="魏",0,IF(表1_86121822242668[[#This Row],[目标国家]]="蜀",1,2))</f>
        <v>1</v>
      </c>
      <c r="S27" s="217">
        <v>85662</v>
      </c>
      <c r="T27" s="217">
        <v>0</v>
      </c>
      <c r="U27" s="217">
        <v>334264</v>
      </c>
      <c r="V27" s="217">
        <v>10426</v>
      </c>
      <c r="W27" s="488">
        <v>652165</v>
      </c>
      <c r="X27" s="382" t="str">
        <f>"{"&amp;"'coin':"&amp;表1_86121822242668[[#This Row],[补偿Coin]]&amp;",'"&amp;配置!$A$2&amp;"':"&amp;表1_86121822242668[[#This Row],[补偿辎重]]&amp;"},"</f>
        <v>{'coin':1500,'item036':15},</v>
      </c>
      <c r="Y27" s="251" t="str">
        <f>"            'to_zone':'"&amp;表1_86121822242668[[#This Row],[目标区服]]&amp;"',
            'reward':"&amp;表1_86121822242668[[#This Row],[辅助导出]]&amp;"
            'country':["&amp;R26&amp;","&amp;R27&amp;","&amp;R28&amp;"],"</f>
        <v>            'to_zone':'h1_526',
            'reward':{'coin':1500,'item036':15},
            'country':[1,1,2],</v>
      </c>
    </row>
    <row r="28" ht="14.25" customHeight="1" spans="1:25">
      <c r="A28" s="367">
        <v>5058</v>
      </c>
      <c r="B28" s="214">
        <f>VLOOKUP(表1_86121822242668[[#This Row],[区服]],$P$38:$Q$48,2,FALSE)</f>
        <v>48</v>
      </c>
      <c r="C28" s="308" t="s">
        <v>130</v>
      </c>
      <c r="D28" s="216" t="str">
        <f>表1_86121822242668[[#This Row],[目标国家]]</f>
        <v>吴</v>
      </c>
      <c r="E28" s="413">
        <f>(VLOOKUP(表1_86121822242668[[#This Row],[目标区服]],$R$38:$S$42,2,FALSE)-表1_86121822242668[[#This Row],[开服天数]])*配置!$B$1</f>
        <v>1500</v>
      </c>
      <c r="F28" s="217">
        <f>表1_86121822242668[[#This Row],[补偿Coin]]*(表1_86121822242668[[#This Row],[活跃高战玩家数]]+表1_86121822242668[[#This Row],[活跃中坚玩家数]])</f>
        <v>34500</v>
      </c>
      <c r="G28" s="368">
        <f>(VLOOKUP(表1_86121822242668[[#This Row],[目标区服]],$R$38:$S$42,2,FALSE)-表1_86121822242668[[#This Row],[开服天数]])*配置!$B$2</f>
        <v>15</v>
      </c>
      <c r="H28" s="216" t="s">
        <v>27</v>
      </c>
      <c r="I28" s="377">
        <f>IF(表1_86121822242668[[#This Row],[原国家]]="魏",0,IF(表1_86121822242668[[#This Row],[原国家]]="蜀",1,2))</f>
        <v>2</v>
      </c>
      <c r="J28" s="217">
        <v>3</v>
      </c>
      <c r="K28" s="217">
        <v>131</v>
      </c>
      <c r="L28" s="217">
        <v>4</v>
      </c>
      <c r="M28" s="217">
        <v>19</v>
      </c>
      <c r="N28" s="217">
        <v>102965</v>
      </c>
      <c r="O28" s="378">
        <v>2561265</v>
      </c>
      <c r="P28" s="334">
        <v>20129908</v>
      </c>
      <c r="Q28" s="247" t="s">
        <v>27</v>
      </c>
      <c r="R28" s="216">
        <f>IF(表1_86121822242668[[#This Row],[目标国家]]="魏",0,IF(表1_86121822242668[[#This Row],[目标国家]]="蜀",1,2))</f>
        <v>2</v>
      </c>
      <c r="S28" s="217">
        <v>75720</v>
      </c>
      <c r="T28" s="217">
        <v>0</v>
      </c>
      <c r="U28" s="217">
        <v>248176</v>
      </c>
      <c r="V28" s="217">
        <v>9094</v>
      </c>
      <c r="W28" s="488">
        <v>651243</v>
      </c>
      <c r="X28" s="382" t="str">
        <f>"{"&amp;"'coin':"&amp;表1_86121822242668[[#This Row],[补偿Coin]]&amp;",'"&amp;配置!$A$2&amp;"':"&amp;表1_86121822242668[[#This Row],[补偿辎重]]&amp;"},"</f>
        <v>{'coin':1500,'item036':15},</v>
      </c>
      <c r="Y28" s="251" t="str">
        <f t="shared" ref="Y28" si="6">"      },"</f>
        <v>      },</v>
      </c>
    </row>
    <row r="29" ht="14.25" customHeight="1" spans="1:25">
      <c r="A29" s="259">
        <v>5059</v>
      </c>
      <c r="B29" s="210">
        <f>VLOOKUP(表1_86121822242668[[#This Row],[区服]],$P$38:$Q$48,2,FALSE)</f>
        <v>47</v>
      </c>
      <c r="C29" s="311" t="s">
        <v>131</v>
      </c>
      <c r="D29" s="212" t="str">
        <f>表1_86121822242668[[#This Row],[目标国家]]</f>
        <v>魏</v>
      </c>
      <c r="E29" s="437">
        <f>(VLOOKUP(表1_86121822242668[[#This Row],[目标区服]],$R$38:$S$42,2,FALSE)-表1_86121822242668[[#This Row],[开服天数]])*配置!$B$1</f>
        <v>1500</v>
      </c>
      <c r="F29" s="213">
        <f>表1_86121822242668[[#This Row],[补偿Coin]]*(表1_86121822242668[[#This Row],[活跃高战玩家数]]+表1_86121822242668[[#This Row],[活跃中坚玩家数]])</f>
        <v>45000</v>
      </c>
      <c r="G29" s="260">
        <f>(VLOOKUP(表1_86121822242668[[#This Row],[目标区服]],$R$38:$S$42,2,FALSE)-表1_86121822242668[[#This Row],[开服天数]])*配置!$B$2</f>
        <v>15</v>
      </c>
      <c r="H29" s="212" t="s">
        <v>25</v>
      </c>
      <c r="I29" s="268">
        <f>IF(表1_86121822242668[[#This Row],[原国家]]="魏",0,IF(表1_86121822242668[[#This Row],[原国家]]="蜀",1,2))</f>
        <v>0</v>
      </c>
      <c r="J29" s="213">
        <v>6</v>
      </c>
      <c r="K29" s="213">
        <v>278</v>
      </c>
      <c r="L29" s="213">
        <v>8</v>
      </c>
      <c r="M29" s="213">
        <v>22</v>
      </c>
      <c r="N29" s="213">
        <v>133618</v>
      </c>
      <c r="O29" s="419">
        <v>2089876</v>
      </c>
      <c r="P29" s="420">
        <v>22045604</v>
      </c>
      <c r="Q29" s="243" t="s">
        <v>25</v>
      </c>
      <c r="R29" s="212">
        <f>IF(表1_86121822242668[[#This Row],[目标国家]]="魏",0,IF(表1_86121822242668[[#This Row],[目标国家]]="蜀",1,2))</f>
        <v>0</v>
      </c>
      <c r="S29" s="213">
        <v>40936</v>
      </c>
      <c r="T29" s="213">
        <v>0</v>
      </c>
      <c r="U29" s="213">
        <v>319224</v>
      </c>
      <c r="V29" s="213">
        <v>9730</v>
      </c>
      <c r="W29" s="506">
        <v>515389</v>
      </c>
      <c r="X29" s="278" t="str">
        <f>"{"&amp;"'coin':"&amp;表1_86121822242668[[#This Row],[补偿Coin]]&amp;",'"&amp;配置!$A$2&amp;"':"&amp;表1_86121822242668[[#This Row],[补偿辎重]]&amp;"},"</f>
        <v>{'coin':1500,'item036':15},</v>
      </c>
      <c r="Y29" s="254" t="str">
        <f>"      '"&amp;表1_86121822242668[[#This Row],[区服]]&amp;"':{"</f>
        <v>      '5059':{</v>
      </c>
    </row>
    <row r="30" ht="14.25" customHeight="1" spans="1:25">
      <c r="A30" s="259">
        <v>5059</v>
      </c>
      <c r="B30" s="210">
        <f>VLOOKUP(表1_86121822242668[[#This Row],[区服]],$P$38:$Q$48,2,FALSE)</f>
        <v>47</v>
      </c>
      <c r="C30" s="311" t="s">
        <v>131</v>
      </c>
      <c r="D30" s="212" t="str">
        <f>表1_86121822242668[[#This Row],[目标国家]]</f>
        <v>吴</v>
      </c>
      <c r="E30" s="437">
        <f>(VLOOKUP(表1_86121822242668[[#This Row],[目标区服]],$R$38:$S$42,2,FALSE)-表1_86121822242668[[#This Row],[开服天数]])*配置!$B$1</f>
        <v>1500</v>
      </c>
      <c r="F30" s="213">
        <f>表1_86121822242668[[#This Row],[补偿Coin]]*(表1_86121822242668[[#This Row],[活跃高战玩家数]]+表1_86121822242668[[#This Row],[活跃中坚玩家数]])</f>
        <v>22500</v>
      </c>
      <c r="G30" s="260">
        <f>(VLOOKUP(表1_86121822242668[[#This Row],[目标区服]],$R$38:$S$42,2,FALSE)-表1_86121822242668[[#This Row],[开服天数]])*配置!$B$2</f>
        <v>15</v>
      </c>
      <c r="H30" s="212" t="s">
        <v>26</v>
      </c>
      <c r="I30" s="268">
        <f>IF(表1_86121822242668[[#This Row],[原国家]]="魏",0,IF(表1_86121822242668[[#This Row],[原国家]]="蜀",1,2))</f>
        <v>1</v>
      </c>
      <c r="J30" s="213">
        <v>2</v>
      </c>
      <c r="K30" s="213">
        <v>80</v>
      </c>
      <c r="L30" s="213">
        <v>1</v>
      </c>
      <c r="M30" s="213">
        <v>14</v>
      </c>
      <c r="N30" s="213">
        <v>70608</v>
      </c>
      <c r="O30" s="419">
        <v>1669921</v>
      </c>
      <c r="P30" s="420">
        <v>10342965</v>
      </c>
      <c r="Q30" s="243" t="s">
        <v>27</v>
      </c>
      <c r="R30" s="212">
        <f>IF(表1_86121822242668[[#This Row],[目标国家]]="魏",0,IF(表1_86121822242668[[#This Row],[目标国家]]="蜀",1,2))</f>
        <v>2</v>
      </c>
      <c r="S30" s="213">
        <v>9908</v>
      </c>
      <c r="T30" s="213">
        <v>0</v>
      </c>
      <c r="U30" s="213">
        <v>215833</v>
      </c>
      <c r="V30" s="213">
        <v>4462</v>
      </c>
      <c r="W30" s="506">
        <v>519772</v>
      </c>
      <c r="X30" s="278" t="str">
        <f>"{"&amp;"'coin':"&amp;表1_86121822242668[[#This Row],[补偿Coin]]&amp;",'"&amp;配置!$A$2&amp;"':"&amp;表1_86121822242668[[#This Row],[补偿辎重]]&amp;"},"</f>
        <v>{'coin':1500,'item036':15},</v>
      </c>
      <c r="Y30" s="254" t="str">
        <f>"            'to_zone':'"&amp;表1_86121822242668[[#This Row],[目标区服]]&amp;"',
            'reward':"&amp;表1_86121822242668[[#This Row],[辅助导出]]&amp;"
            'country':["&amp;R29&amp;","&amp;R30&amp;","&amp;R31&amp;"],"</f>
        <v>            'to_zone':'h1_527',
            'reward':{'coin':1500,'item036':15},
            'country':[0,2,1],</v>
      </c>
    </row>
    <row r="31" ht="14.25" customHeight="1" spans="1:25">
      <c r="A31" s="259">
        <v>5059</v>
      </c>
      <c r="B31" s="210">
        <f>VLOOKUP(表1_86121822242668[[#This Row],[区服]],$P$38:$Q$48,2,FALSE)</f>
        <v>47</v>
      </c>
      <c r="C31" s="311" t="s">
        <v>131</v>
      </c>
      <c r="D31" s="212" t="str">
        <f>表1_86121822242668[[#This Row],[目标国家]]</f>
        <v>蜀</v>
      </c>
      <c r="E31" s="437">
        <f>(VLOOKUP(表1_86121822242668[[#This Row],[目标区服]],$R$38:$S$42,2,FALSE)-表1_86121822242668[[#This Row],[开服天数]])*配置!$B$1</f>
        <v>1500</v>
      </c>
      <c r="F31" s="213">
        <f>表1_86121822242668[[#This Row],[补偿Coin]]*(表1_86121822242668[[#This Row],[活跃高战玩家数]]+表1_86121822242668[[#This Row],[活跃中坚玩家数]])</f>
        <v>19500</v>
      </c>
      <c r="G31" s="260">
        <f>(VLOOKUP(表1_86121822242668[[#This Row],[目标区服]],$R$38:$S$42,2,FALSE)-表1_86121822242668[[#This Row],[开服天数]])*配置!$B$2</f>
        <v>15</v>
      </c>
      <c r="H31" s="212" t="s">
        <v>27</v>
      </c>
      <c r="I31" s="268">
        <f>IF(表1_86121822242668[[#This Row],[原国家]]="魏",0,IF(表1_86121822242668[[#This Row],[原国家]]="蜀",1,2))</f>
        <v>2</v>
      </c>
      <c r="J31" s="213">
        <v>1</v>
      </c>
      <c r="K31" s="213">
        <v>37</v>
      </c>
      <c r="L31" s="213">
        <v>1</v>
      </c>
      <c r="M31" s="213">
        <v>12</v>
      </c>
      <c r="N31" s="213">
        <v>63660</v>
      </c>
      <c r="O31" s="419">
        <v>1497845</v>
      </c>
      <c r="P31" s="420">
        <v>8906395</v>
      </c>
      <c r="Q31" s="243" t="s">
        <v>26</v>
      </c>
      <c r="R31" s="212">
        <f>IF(表1_86121822242668[[#This Row],[目标国家]]="魏",0,IF(表1_86121822242668[[#This Row],[目标国家]]="蜀",1,2))</f>
        <v>1</v>
      </c>
      <c r="S31" s="213">
        <v>14572</v>
      </c>
      <c r="T31" s="213">
        <v>0</v>
      </c>
      <c r="U31" s="213">
        <v>82774</v>
      </c>
      <c r="V31" s="213">
        <v>3655</v>
      </c>
      <c r="W31" s="68">
        <v>458141</v>
      </c>
      <c r="X31" s="278" t="str">
        <f>"{"&amp;"'coin':"&amp;表1_86121822242668[[#This Row],[补偿Coin]]&amp;",'"&amp;配置!$A$2&amp;"':"&amp;表1_86121822242668[[#This Row],[补偿辎重]]&amp;"},"</f>
        <v>{'coin':1500,'item036':15},</v>
      </c>
      <c r="Y31" s="254" t="str">
        <f t="shared" ref="Y31" si="7">"      },"</f>
        <v>      },</v>
      </c>
    </row>
    <row r="32" ht="14.25" customHeight="1" spans="1:25">
      <c r="A32" s="259">
        <v>5060</v>
      </c>
      <c r="B32" s="591">
        <f>VLOOKUP(表1_86121822242668[[#This Row],[区服]],$P$38:$Q$48,2,FALSE)</f>
        <v>46</v>
      </c>
      <c r="C32" s="592" t="s">
        <v>131</v>
      </c>
      <c r="D32" s="212" t="str">
        <f>表1_86121822242668[[#This Row],[目标国家]]</f>
        <v>魏</v>
      </c>
      <c r="E32" s="437">
        <f>(VLOOKUP(表1_86121822242668[[#This Row],[目标区服]],$R$38:$S$42,2,FALSE)-表1_86121822242668[[#This Row],[开服天数]])*配置!$B$1</f>
        <v>2000</v>
      </c>
      <c r="F32" s="213">
        <f>表1_86121822242668[[#This Row],[补偿Coin]]*(表1_86121822242668[[#This Row],[活跃高战玩家数]]+表1_86121822242668[[#This Row],[活跃中坚玩家数]])</f>
        <v>38000</v>
      </c>
      <c r="G32" s="260">
        <f>(VLOOKUP(表1_86121822242668[[#This Row],[目标区服]],$R$38:$S$42,2,FALSE)-表1_86121822242668[[#This Row],[开服天数]])*配置!$B$2</f>
        <v>20</v>
      </c>
      <c r="H32" s="212" t="s">
        <v>25</v>
      </c>
      <c r="I32" s="268">
        <f>IF(表1_86121822242668[[#This Row],[原国家]]="魏",0,IF(表1_86121822242668[[#This Row],[原国家]]="蜀",1,2))</f>
        <v>0</v>
      </c>
      <c r="J32" s="213">
        <v>3</v>
      </c>
      <c r="K32" s="213">
        <v>119</v>
      </c>
      <c r="L32" s="213">
        <v>1</v>
      </c>
      <c r="M32" s="213">
        <v>18</v>
      </c>
      <c r="N32" s="213">
        <v>71236</v>
      </c>
      <c r="O32" s="419">
        <v>2059929</v>
      </c>
      <c r="P32" s="420">
        <v>13586825</v>
      </c>
      <c r="Q32" s="243" t="s">
        <v>25</v>
      </c>
      <c r="R32" s="212">
        <f>IF(表1_86121822242668[[#This Row],[目标国家]]="魏",0,IF(表1_86121822242668[[#This Row],[目标国家]]="蜀",1,2))</f>
        <v>0</v>
      </c>
      <c r="S32" s="213">
        <v>30482</v>
      </c>
      <c r="T32" s="213">
        <v>0</v>
      </c>
      <c r="U32" s="213">
        <v>191388</v>
      </c>
      <c r="V32" s="213">
        <v>6274</v>
      </c>
      <c r="W32" s="506">
        <v>636199</v>
      </c>
      <c r="X32" s="278" t="str">
        <f>"{"&amp;"'coin':"&amp;表1_86121822242668[[#This Row],[补偿Coin]]&amp;",'"&amp;配置!$A$2&amp;"':"&amp;表1_86121822242668[[#This Row],[补偿辎重]]&amp;"},"</f>
        <v>{'coin':2000,'item036':20},</v>
      </c>
      <c r="Y32" s="278" t="str">
        <f>"      '"&amp;表1_86121822242668[[#This Row],[区服]]&amp;"':{"</f>
        <v>      '5060':{</v>
      </c>
    </row>
    <row r="33" ht="14.25" customHeight="1" spans="1:25">
      <c r="A33" s="259">
        <v>5060</v>
      </c>
      <c r="B33" s="591">
        <f>VLOOKUP(表1_86121822242668[[#This Row],[区服]],$P$38:$Q$48,2,FALSE)</f>
        <v>46</v>
      </c>
      <c r="C33" s="592" t="s">
        <v>131</v>
      </c>
      <c r="D33" s="212" t="str">
        <f>表1_86121822242668[[#This Row],[目标国家]]</f>
        <v>蜀</v>
      </c>
      <c r="E33" s="437">
        <f>(VLOOKUP(表1_86121822242668[[#This Row],[目标区服]],$R$38:$S$42,2,FALSE)-表1_86121822242668[[#This Row],[开服天数]])*配置!$B$1</f>
        <v>2000</v>
      </c>
      <c r="F33" s="213">
        <f>表1_86121822242668[[#This Row],[补偿Coin]]*(表1_86121822242668[[#This Row],[活跃高战玩家数]]+表1_86121822242668[[#This Row],[活跃中坚玩家数]])</f>
        <v>42000</v>
      </c>
      <c r="G33" s="260">
        <f>(VLOOKUP(表1_86121822242668[[#This Row],[目标区服]],$R$38:$S$42,2,FALSE)-表1_86121822242668[[#This Row],[开服天数]])*配置!$B$2</f>
        <v>20</v>
      </c>
      <c r="H33" s="212" t="s">
        <v>26</v>
      </c>
      <c r="I33" s="268">
        <f>IF(表1_86121822242668[[#This Row],[原国家]]="魏",0,IF(表1_86121822242668[[#This Row],[原国家]]="蜀",1,2))</f>
        <v>1</v>
      </c>
      <c r="J33" s="213">
        <v>3</v>
      </c>
      <c r="K33" s="213">
        <v>155</v>
      </c>
      <c r="L33" s="213">
        <v>5</v>
      </c>
      <c r="M33" s="213">
        <v>16</v>
      </c>
      <c r="N33" s="213">
        <v>93696</v>
      </c>
      <c r="O33" s="419">
        <v>2440495</v>
      </c>
      <c r="P33" s="420">
        <v>17996475</v>
      </c>
      <c r="Q33" s="243" t="s">
        <v>26</v>
      </c>
      <c r="R33" s="212">
        <f>IF(表1_86121822242668[[#This Row],[目标国家]]="魏",0,IF(表1_86121822242668[[#This Row],[目标国家]]="蜀",1,2))</f>
        <v>1</v>
      </c>
      <c r="S33" s="213">
        <v>47542</v>
      </c>
      <c r="T33" s="213">
        <v>0</v>
      </c>
      <c r="U33" s="213">
        <v>147020</v>
      </c>
      <c r="V33" s="213">
        <v>8058</v>
      </c>
      <c r="W33" s="506">
        <v>710351</v>
      </c>
      <c r="X33" s="278" t="str">
        <f>"{"&amp;"'coin':"&amp;表1_86121822242668[[#This Row],[补偿Coin]]&amp;",'"&amp;配置!$A$2&amp;"':"&amp;表1_86121822242668[[#This Row],[补偿辎重]]&amp;"},"</f>
        <v>{'coin':2000,'item036':20},</v>
      </c>
      <c r="Y33" s="278" t="str">
        <f>"            'to_zone':'"&amp;表1_86121822242668[[#This Row],[目标区服]]&amp;"',
            'reward':"&amp;表1_86121822242668[[#This Row],[辅助导出]]&amp;"
            'country':["&amp;R32&amp;","&amp;R33&amp;","&amp;R34&amp;"],"</f>
        <v>            'to_zone':'h1_527',
            'reward':{'coin':2000,'item036':20},
            'country':[0,1,2],</v>
      </c>
    </row>
    <row r="34" ht="14.25" customHeight="1" spans="1:25">
      <c r="A34" s="259">
        <v>5060</v>
      </c>
      <c r="B34" s="593">
        <f>VLOOKUP(表1_86121822242668[[#This Row],[区服]],$P$38:$Q$48,2,FALSE)</f>
        <v>46</v>
      </c>
      <c r="C34" s="594" t="s">
        <v>131</v>
      </c>
      <c r="D34" s="595" t="str">
        <f>表1_86121822242668[[#This Row],[目标国家]]</f>
        <v>吴</v>
      </c>
      <c r="E34" s="596">
        <f>(VLOOKUP(表1_86121822242668[[#This Row],[目标区服]],$R$38:$S$42,2,FALSE)-表1_86121822242668[[#This Row],[开服天数]])*配置!$B$1</f>
        <v>2000</v>
      </c>
      <c r="F34" s="597">
        <f>表1_86121822242668[[#This Row],[补偿Coin]]*(表1_86121822242668[[#This Row],[活跃高战玩家数]]+表1_86121822242668[[#This Row],[活跃中坚玩家数]])</f>
        <v>56000</v>
      </c>
      <c r="G34" s="598">
        <f>(VLOOKUP(表1_86121822242668[[#This Row],[目标区服]],$R$38:$S$42,2,FALSE)-表1_86121822242668[[#This Row],[开服天数]])*配置!$B$2</f>
        <v>20</v>
      </c>
      <c r="H34" s="595" t="s">
        <v>27</v>
      </c>
      <c r="I34" s="599">
        <f>IF(表1_86121822242668[[#This Row],[原国家]]="魏",0,IF(表1_86121822242668[[#This Row],[原国家]]="蜀",1,2))</f>
        <v>2</v>
      </c>
      <c r="J34" s="597">
        <v>3</v>
      </c>
      <c r="K34" s="597">
        <v>121</v>
      </c>
      <c r="L34" s="597">
        <v>3</v>
      </c>
      <c r="M34" s="597">
        <v>25</v>
      </c>
      <c r="N34" s="597">
        <v>113958</v>
      </c>
      <c r="O34" s="600">
        <v>2575733</v>
      </c>
      <c r="P34" s="601">
        <v>21909286</v>
      </c>
      <c r="Q34" s="603" t="s">
        <v>27</v>
      </c>
      <c r="R34" s="212">
        <f>IF(表1_86121822242668[[#This Row],[目标国家]]="魏",0,IF(表1_86121822242668[[#This Row],[目标国家]]="蜀",1,2))</f>
        <v>2</v>
      </c>
      <c r="S34" s="597">
        <v>52666</v>
      </c>
      <c r="T34" s="597">
        <v>0</v>
      </c>
      <c r="U34" s="597">
        <v>232895</v>
      </c>
      <c r="V34" s="597">
        <v>8542</v>
      </c>
      <c r="W34" s="506">
        <v>728134</v>
      </c>
      <c r="X34" s="604" t="str">
        <f>"{"&amp;"'coin':"&amp;表1_86121822242668[[#This Row],[补偿Coin]]&amp;",'"&amp;配置!$A$2&amp;"':"&amp;表1_86121822242668[[#This Row],[补偿辎重]]&amp;"},"</f>
        <v>{'coin':2000,'item036':20},</v>
      </c>
      <c r="Y34" s="604" t="str">
        <f t="shared" ref="Y34" si="8">"      },"</f>
        <v>      },</v>
      </c>
    </row>
    <row r="37" ht="27" spans="1:19">
      <c r="A37" s="36" t="s">
        <v>28</v>
      </c>
      <c r="B37" s="37" t="s">
        <v>29</v>
      </c>
      <c r="C37" s="38" t="s">
        <v>30</v>
      </c>
      <c r="D37" s="38" t="s">
        <v>31</v>
      </c>
      <c r="E37" s="38" t="s">
        <v>32</v>
      </c>
      <c r="F37" s="38" t="s">
        <v>33</v>
      </c>
      <c r="G37" s="38" t="s">
        <v>15</v>
      </c>
      <c r="H37" s="37" t="s">
        <v>18</v>
      </c>
      <c r="I37" s="37" t="s">
        <v>19</v>
      </c>
      <c r="J37" s="37" t="s">
        <v>34</v>
      </c>
      <c r="K37" s="38" t="s">
        <v>35</v>
      </c>
      <c r="L37" s="38" t="s">
        <v>36</v>
      </c>
      <c r="M37" s="38" t="s">
        <v>37</v>
      </c>
      <c r="N37" s="38" t="s">
        <v>88</v>
      </c>
      <c r="P37" s="51" t="s">
        <v>0</v>
      </c>
      <c r="Q37" s="51" t="s">
        <v>1</v>
      </c>
      <c r="R37" s="51"/>
      <c r="S37" s="51" t="s">
        <v>38</v>
      </c>
    </row>
    <row r="38" ht="15" spans="1:19">
      <c r="A38" s="39" t="s">
        <v>127</v>
      </c>
      <c r="B38" s="39" t="s">
        <v>25</v>
      </c>
      <c r="C38" s="39">
        <f>COUNTIFS(表1_86121822242668[目标区服],表2_97131923252769[[#This Row],[合区区服]],表1_86121822242668[目标国家（映射）],表2_97131923252769[[#This Row],[国家]])</f>
        <v>4</v>
      </c>
      <c r="D38" s="39">
        <f>SUMIFS(表1_86121822242668[活跃高战玩家数],表1_86121822242668[目标区服],表2_97131923252769[[#This Row],[合区区服]],表1_86121822242668[目标国家（映射）],表2_97131923252769[[#This Row],[国家]])</f>
        <v>8</v>
      </c>
      <c r="E38" s="39">
        <f>SUMIFS(表1_86121822242668[活跃中坚玩家数],表1_86121822242668[目标区服],表2_97131923252769[[#This Row],[合区区服]],表1_86121822242668[目标国家（映射）],表2_97131923252769[[#This Row],[国家]])</f>
        <v>46</v>
      </c>
      <c r="F38" s="39">
        <f t="array" ref="F38">MAX((表1_86121822242668[目标区服]=表2_97131923252769[[#This Row],[合区区服]])*(表1_86121822242668[目标国家（映射）]=表2_97131923252769[[#This Row],[国家]])*表1_86121822242668[活跃尖端战力])</f>
        <v>3229986</v>
      </c>
      <c r="G38" s="40">
        <f>SUMIFS(表1_86121822242668[活跃总战力],表1_86121822242668[目标区服],表2_97131923252769[[#This Row],[合区区服]],表1_86121822242668[目标国家（映射）],表2_97131923252769[[#This Row],[国家]])</f>
        <v>49584917</v>
      </c>
      <c r="H38" s="39">
        <f>SUMIFS(表1_86121822242668[活跃实际充值],表1_86121822242668[目标区服],表2_97131923252769[[#This Row],[合区区服]],表1_86121822242668[目标国家（映射）],表2_97131923252769[[#This Row],[国家]])</f>
        <v>117066</v>
      </c>
      <c r="I38" s="39">
        <f>SUMIFS(表1_86121822242668[活跃虚拟充值],表1_86121822242668[目标区服],表2_97131923252769[[#This Row],[合区区服]],表1_86121822242668[目标国家（映射）],表2_97131923252769[[#This Row],[国家]])</f>
        <v>0</v>
      </c>
      <c r="J38" s="39">
        <f>SUMIFS(表1_86121822242668[活跃Coin],表1_86121822242668[目标区服],表2_97131923252769[[#This Row],[合区区服]],表1_86121822242668[目标国家（映射）],表2_97131923252769[[#This Row],[国家]])</f>
        <v>993953</v>
      </c>
      <c r="K38" s="39">
        <f>SUMIFS(表1_86121822242668[共计补偿Coin],表1_86121822242668[目标区服],表2_97131923252769[[#This Row],[合区区服]],表1_86121822242668[目标国家（映射）],表2_97131923252769[[#This Row],[国家]])</f>
        <v>74000</v>
      </c>
      <c r="L38" s="39">
        <f>表2_97131923252769[[#This Row],[活跃Coin]]+表2_97131923252769[[#This Row],[共计补偿Coin]]</f>
        <v>1067953</v>
      </c>
      <c r="M38" s="39">
        <f>SUMIFS(表1_86121822242668[综合国力],表1_86121822242668[目标区服],表2_97131923252769[[#This Row],[合区区服]],表1_86121822242668[目标国家（映射）],表2_97131923252769[[#This Row],[国家]])</f>
        <v>24693</v>
      </c>
      <c r="N38" s="39">
        <f t="array" ref="N38">MAX((表1_86121822242668[目标区服]=表2_97131923252769[[#This Row],[合区区服]])*(表1_86121822242668[目标国家（映射）]=表2_97131923252769[[#This Row],[国家]])*表1_86121822242668[单将最高战力])</f>
        <v>970908</v>
      </c>
      <c r="P38" s="51">
        <v>5050</v>
      </c>
      <c r="Q38" s="51">
        <v>54</v>
      </c>
      <c r="R38" s="51" t="s">
        <v>127</v>
      </c>
      <c r="S38" s="51">
        <v>56</v>
      </c>
    </row>
    <row r="39" ht="15" spans="1:19">
      <c r="A39" s="39" t="s">
        <v>127</v>
      </c>
      <c r="B39" s="39" t="s">
        <v>26</v>
      </c>
      <c r="C39" s="39">
        <f>COUNTIFS(表1_86121822242668[目标区服],表2_97131923252769[[#This Row],[合区区服]],表1_86121822242668[目标国家（映射）],表2_97131923252769[[#This Row],[国家]])</f>
        <v>3</v>
      </c>
      <c r="D39" s="39">
        <f>SUMIFS(表1_86121822242668[活跃高战玩家数],表1_86121822242668[目标区服],表2_97131923252769[[#This Row],[合区区服]],表1_86121822242668[目标国家（映射）],表2_97131923252769[[#This Row],[国家]])</f>
        <v>10</v>
      </c>
      <c r="E39" s="39">
        <f>SUMIFS(表1_86121822242668[活跃中坚玩家数],表1_86121822242668[目标区服],表2_97131923252769[[#This Row],[合区区服]],表1_86121822242668[目标国家（映射）],表2_97131923252769[[#This Row],[国家]])</f>
        <v>42</v>
      </c>
      <c r="F39" s="39">
        <f t="array" ref="F39">MAX((表1_86121822242668[目标区服]=表2_97131923252769[[#This Row],[合区区服]])*(表1_86121822242668[目标国家（映射）]=表2_97131923252769[[#This Row],[国家]])*表1_86121822242668[活跃尖端战力])</f>
        <v>2830161</v>
      </c>
      <c r="G39" s="40">
        <f>SUMIFS(表1_86121822242668[活跃总战力],表1_86121822242668[目标区服],表2_97131923252769[[#This Row],[合区区服]],表1_86121822242668[目标国家（映射）],表2_97131923252769[[#This Row],[国家]])</f>
        <v>40922865</v>
      </c>
      <c r="H39" s="39">
        <f>SUMIFS(表1_86121822242668[活跃实际充值],表1_86121822242668[目标区服],表2_97131923252769[[#This Row],[合区区服]],表1_86121822242668[目标国家（映射）],表2_97131923252769[[#This Row],[国家]])</f>
        <v>153804</v>
      </c>
      <c r="I39" s="39">
        <f>SUMIFS(表1_86121822242668[活跃虚拟充值],表1_86121822242668[目标区服],表2_97131923252769[[#This Row],[合区区服]],表1_86121822242668[目标国家（映射）],表2_97131923252769[[#This Row],[国家]])</f>
        <v>0</v>
      </c>
      <c r="J39" s="39">
        <f>SUMIFS(表1_86121822242668[活跃Coin],表1_86121822242668[目标区服],表2_97131923252769[[#This Row],[合区区服]],表1_86121822242668[目标国家（映射）],表2_97131923252769[[#This Row],[国家]])</f>
        <v>671766</v>
      </c>
      <c r="K39" s="39">
        <f>SUMIFS(表1_86121822242668[共计补偿Coin],表1_86121822242668[目标区服],表2_97131923252769[[#This Row],[合区区服]],表1_86121822242668[目标国家（映射）],表2_97131923252769[[#This Row],[国家]])</f>
        <v>98500</v>
      </c>
      <c r="L39" s="39">
        <f>表2_97131923252769[[#This Row],[活跃Coin]]+表2_97131923252769[[#This Row],[共计补偿Coin]]</f>
        <v>770266</v>
      </c>
      <c r="M39" s="39">
        <f>SUMIFS(表1_86121822242668[综合国力],表1_86121822242668[目标区服],表2_97131923252769[[#This Row],[合区区服]],表1_86121822242668[目标国家（映射）],表2_97131923252769[[#This Row],[国家]])</f>
        <v>21556</v>
      </c>
      <c r="N39" s="39">
        <f t="array" ref="N39">MAX((表1_86121822242668[目标区服]=表2_97131923252769[[#This Row],[合区区服]])*(表1_86121822242668[目标国家（映射）]=表2_97131923252769[[#This Row],[国家]])*表1_86121822242668[单将最高战力])</f>
        <v>876163</v>
      </c>
      <c r="P39" s="51">
        <v>5051</v>
      </c>
      <c r="Q39" s="51">
        <v>53</v>
      </c>
      <c r="R39" s="51" t="s">
        <v>128</v>
      </c>
      <c r="S39" s="51">
        <v>54</v>
      </c>
    </row>
    <row r="40" ht="15" spans="1:19">
      <c r="A40" s="39" t="s">
        <v>127</v>
      </c>
      <c r="B40" s="39" t="s">
        <v>27</v>
      </c>
      <c r="C40" s="39">
        <f>COUNTIFS(表1_86121822242668[目标区服],表2_97131923252769[[#This Row],[合区区服]],表1_86121822242668[目标国家（映射）],表2_97131923252769[[#This Row],[国家]])</f>
        <v>2</v>
      </c>
      <c r="D40" s="39">
        <f>SUMIFS(表1_86121822242668[活跃高战玩家数],表1_86121822242668[目标区服],表2_97131923252769[[#This Row],[合区区服]],表1_86121822242668[目标国家（映射）],表2_97131923252769[[#This Row],[国家]])</f>
        <v>11</v>
      </c>
      <c r="E40" s="39">
        <f>SUMIFS(表1_86121822242668[活跃中坚玩家数],表1_86121822242668[目标区服],表2_97131923252769[[#This Row],[合区区服]],表1_86121822242668[目标国家（映射）],表2_97131923252769[[#This Row],[国家]])</f>
        <v>32</v>
      </c>
      <c r="F40" s="39">
        <f t="array" ref="F40">MAX((表1_86121822242668[目标区服]=表2_97131923252769[[#This Row],[合区区服]])*(表1_86121822242668[目标国家（映射）]=表2_97131923252769[[#This Row],[国家]])*表1_86121822242668[活跃尖端战力])</f>
        <v>3272457</v>
      </c>
      <c r="G40" s="40">
        <f>SUMIFS(表1_86121822242668[活跃总战力],表1_86121822242668[目标区服],表2_97131923252769[[#This Row],[合区区服]],表1_86121822242668[目标国家（映射）],表2_97131923252769[[#This Row],[国家]])</f>
        <v>45174505</v>
      </c>
      <c r="H40" s="39">
        <f>SUMIFS(表1_86121822242668[活跃实际充值],表1_86121822242668[目标区服],表2_97131923252769[[#This Row],[合区区服]],表1_86121822242668[目标国家（映射）],表2_97131923252769[[#This Row],[国家]])</f>
        <v>132608</v>
      </c>
      <c r="I40" s="39">
        <f>SUMIFS(表1_86121822242668[活跃虚拟充值],表1_86121822242668[目标区服],表2_97131923252769[[#This Row],[合区区服]],表1_86121822242668[目标国家（映射）],表2_97131923252769[[#This Row],[国家]])</f>
        <v>0</v>
      </c>
      <c r="J40" s="39">
        <f>SUMIFS(表1_86121822242668[活跃Coin],表1_86121822242668[目标区服],表2_97131923252769[[#This Row],[合区区服]],表1_86121822242668[目标国家（映射）],表2_97131923252769[[#This Row],[国家]])</f>
        <v>844683</v>
      </c>
      <c r="K40" s="39">
        <f>SUMIFS(表1_86121822242668[共计补偿Coin],表1_86121822242668[目标区服],表2_97131923252769[[#This Row],[合区区服]],表1_86121822242668[目标国家（映射）],表2_97131923252769[[#This Row],[国家]])</f>
        <v>54500</v>
      </c>
      <c r="L40" s="39">
        <f>表2_97131923252769[[#This Row],[活跃Coin]]+表2_97131923252769[[#This Row],[共计补偿Coin]]</f>
        <v>899183</v>
      </c>
      <c r="M40" s="39">
        <f>SUMIFS(表1_86121822242668[综合国力],表1_86121822242668[目标区服],表2_97131923252769[[#This Row],[合区区服]],表1_86121822242668[目标国家（映射）],表2_97131923252769[[#This Row],[国家]])</f>
        <v>20759</v>
      </c>
      <c r="N40" s="39">
        <f t="array" ref="N40">MAX((表1_86121822242668[目标区服]=表2_97131923252769[[#This Row],[合区区服]])*(表1_86121822242668[目标国家（映射）]=表2_97131923252769[[#This Row],[国家]])*表1_86121822242668[单将最高战力])</f>
        <v>1027083</v>
      </c>
      <c r="P40" s="51">
        <v>5052</v>
      </c>
      <c r="Q40" s="51">
        <v>52</v>
      </c>
      <c r="R40" s="51" t="s">
        <v>129</v>
      </c>
      <c r="S40" s="51">
        <v>52</v>
      </c>
    </row>
    <row r="41" ht="15" spans="1:19">
      <c r="A41" s="41" t="s">
        <v>128</v>
      </c>
      <c r="B41" s="41" t="s">
        <v>25</v>
      </c>
      <c r="C41" s="41">
        <f>COUNTIFS(表1_86121822242668[目标区服],表2_97131923252769[[#This Row],[合区区服]],表1_86121822242668[目标国家（映射）],表2_97131923252769[[#This Row],[国家]])</f>
        <v>2</v>
      </c>
      <c r="D41" s="41">
        <f>SUMIFS(表1_86121822242668[活跃高战玩家数],表1_86121822242668[目标区服],表2_97131923252769[[#This Row],[合区区服]],表1_86121822242668[目标国家（映射）],表2_97131923252769[[#This Row],[国家]])</f>
        <v>6</v>
      </c>
      <c r="E41" s="41">
        <f>SUMIFS(表1_86121822242668[活跃中坚玩家数],表1_86121822242668[目标区服],表2_97131923252769[[#This Row],[合区区服]],表1_86121822242668[目标国家（映射）],表2_97131923252769[[#This Row],[国家]])</f>
        <v>41</v>
      </c>
      <c r="F41" s="41">
        <f t="array" ref="F41">MAX((表1_86121822242668[目标区服]=表2_97131923252769[[#This Row],[合区区服]])*(表1_86121822242668[目标国家（映射）]=表2_97131923252769[[#This Row],[国家]])*表1_86121822242668[活跃尖端战力])</f>
        <v>3477158</v>
      </c>
      <c r="G41" s="42">
        <f>SUMIFS(表1_86121822242668[活跃总战力],表1_86121822242668[目标区服],表2_97131923252769[[#This Row],[合区区服]],表1_86121822242668[目标国家（映射）],表2_97131923252769[[#This Row],[国家]])</f>
        <v>38879287</v>
      </c>
      <c r="H41" s="41">
        <f>SUMIFS(表1_86121822242668[活跃实际充值],表1_86121822242668[目标区服],表2_97131923252769[[#This Row],[合区区服]],表1_86121822242668[目标国家（映射）],表2_97131923252769[[#This Row],[国家]])</f>
        <v>150788</v>
      </c>
      <c r="I41" s="41">
        <f>SUMIFS(表1_86121822242668[活跃虚拟充值],表1_86121822242668[目标区服],表2_97131923252769[[#This Row],[合区区服]],表1_86121822242668[目标国家（映射）],表2_97131923252769[[#This Row],[国家]])</f>
        <v>0</v>
      </c>
      <c r="J41" s="41">
        <f>SUMIFS(表1_86121822242668[活跃Coin],表1_86121822242668[目标区服],表2_97131923252769[[#This Row],[合区区服]],表1_86121822242668[目标国家（映射）],表2_97131923252769[[#This Row],[国家]])</f>
        <v>665180</v>
      </c>
      <c r="K41" s="41">
        <f>SUMIFS(表1_86121822242668[共计补偿Coin],表1_86121822242668[目标区服],表2_97131923252769[[#This Row],[合区区服]],表1_86121822242668[目标国家（映射）],表2_97131923252769[[#This Row],[国家]])</f>
        <v>70500</v>
      </c>
      <c r="L41" s="41">
        <f>表2_97131923252769[[#This Row],[活跃Coin]]+表2_97131923252769[[#This Row],[共计补偿Coin]]</f>
        <v>735680</v>
      </c>
      <c r="M41" s="41">
        <f>SUMIFS(表1_86121822242668[综合国力],表1_86121822242668[目标区服],表2_97131923252769[[#This Row],[合区区服]],表1_86121822242668[目标国家（映射）],表2_97131923252769[[#This Row],[国家]])</f>
        <v>18438</v>
      </c>
      <c r="N41" s="41">
        <f t="array" ref="N41">MAX((表1_86121822242668[目标区服]=表2_97131923252769[[#This Row],[合区区服]])*(表1_86121822242668[目标国家（映射）]=表2_97131923252769[[#This Row],[国家]])*表1_86121822242668[单将最高战力])</f>
        <v>1022301</v>
      </c>
      <c r="P41" s="51">
        <v>5053</v>
      </c>
      <c r="Q41" s="51">
        <v>51</v>
      </c>
      <c r="R41" s="51" t="s">
        <v>130</v>
      </c>
      <c r="S41" s="51">
        <v>51</v>
      </c>
    </row>
    <row r="42" ht="15" spans="1:19">
      <c r="A42" s="41" t="s">
        <v>128</v>
      </c>
      <c r="B42" s="41" t="s">
        <v>26</v>
      </c>
      <c r="C42" s="41">
        <f>COUNTIFS(表1_86121822242668[目标区服],表2_97131923252769[[#This Row],[合区区服]],表1_86121822242668[目标国家（映射）],表2_97131923252769[[#This Row],[国家]])</f>
        <v>2</v>
      </c>
      <c r="D42" s="41">
        <f>SUMIFS(表1_86121822242668[活跃高战玩家数],表1_86121822242668[目标区服],表2_97131923252769[[#This Row],[合区区服]],表1_86121822242668[目标国家（映射）],表2_97131923252769[[#This Row],[国家]])</f>
        <v>6</v>
      </c>
      <c r="E42" s="41">
        <f>SUMIFS(表1_86121822242668[活跃中坚玩家数],表1_86121822242668[目标区服],表2_97131923252769[[#This Row],[合区区服]],表1_86121822242668[目标国家（映射）],表2_97131923252769[[#This Row],[国家]])</f>
        <v>37</v>
      </c>
      <c r="F42" s="41">
        <f t="array" ref="F42">MAX((表1_86121822242668[目标区服]=表2_97131923252769[[#This Row],[合区区服]])*(表1_86121822242668[目标国家（映射）]=表2_97131923252769[[#This Row],[国家]])*表1_86121822242668[活跃尖端战力])</f>
        <v>3096524</v>
      </c>
      <c r="G42" s="42">
        <f>SUMIFS(表1_86121822242668[活跃总战力],表1_86121822242668[目标区服],表2_97131923252769[[#This Row],[合区区服]],表1_86121822242668[目标国家（映射）],表2_97131923252769[[#This Row],[国家]])</f>
        <v>41900649</v>
      </c>
      <c r="H42" s="41">
        <f>SUMIFS(表1_86121822242668[活跃实际充值],表1_86121822242668[目标区服],表2_97131923252769[[#This Row],[合区区服]],表1_86121822242668[目标国家（映射）],表2_97131923252769[[#This Row],[国家]])</f>
        <v>152060</v>
      </c>
      <c r="I42" s="41">
        <f>SUMIFS(表1_86121822242668[活跃虚拟充值],表1_86121822242668[目标区服],表2_97131923252769[[#This Row],[合区区服]],表1_86121822242668[目标国家（映射）],表2_97131923252769[[#This Row],[国家]])</f>
        <v>0</v>
      </c>
      <c r="J42" s="41">
        <f>SUMIFS(表1_86121822242668[活跃Coin],表1_86121822242668[目标区服],表2_97131923252769[[#This Row],[合区区服]],表1_86121822242668[目标国家（映射）],表2_97131923252769[[#This Row],[国家]])</f>
        <v>1066624</v>
      </c>
      <c r="K42" s="41">
        <f>SUMIFS(表1_86121822242668[共计补偿Coin],表1_86121822242668[目标区服],表2_97131923252769[[#This Row],[合区区服]],表1_86121822242668[目标国家（映射）],表2_97131923252769[[#This Row],[国家]])</f>
        <v>74500</v>
      </c>
      <c r="L42" s="41">
        <f>表2_97131923252769[[#This Row],[活跃Coin]]+表2_97131923252769[[#This Row],[共计补偿Coin]]</f>
        <v>1141124</v>
      </c>
      <c r="M42" s="41">
        <f>SUMIFS(表1_86121822242668[综合国力],表1_86121822242668[目标区服],表2_97131923252769[[#This Row],[合区区服]],表1_86121822242668[目标国家（映射）],表2_97131923252769[[#This Row],[国家]])</f>
        <v>18267</v>
      </c>
      <c r="N42" s="41">
        <f t="array" ref="N42">MAX((表1_86121822242668[目标区服]=表2_97131923252769[[#This Row],[合区区服]])*(表1_86121822242668[目标国家（映射）]=表2_97131923252769[[#This Row],[国家]])*表1_86121822242668[单将最高战力])</f>
        <v>1031265</v>
      </c>
      <c r="P42" s="51">
        <v>5054</v>
      </c>
      <c r="Q42" s="51">
        <v>50</v>
      </c>
      <c r="R42" s="51" t="s">
        <v>131</v>
      </c>
      <c r="S42" s="51">
        <v>50</v>
      </c>
    </row>
    <row r="43" ht="15" spans="1:17">
      <c r="A43" s="41" t="s">
        <v>128</v>
      </c>
      <c r="B43" s="43" t="s">
        <v>27</v>
      </c>
      <c r="C43" s="43">
        <f>COUNTIFS(表1_86121822242668[目标区服],表2_97131923252769[[#This Row],[合区区服]],表1_86121822242668[目标国家（映射）],表2_97131923252769[[#This Row],[国家]])</f>
        <v>2</v>
      </c>
      <c r="D43" s="43">
        <f>SUMIFS(表1_86121822242668[活跃高战玩家数],表1_86121822242668[目标区服],表2_97131923252769[[#This Row],[合区区服]],表1_86121822242668[目标国家（映射）],表2_97131923252769[[#This Row],[国家]])</f>
        <v>6</v>
      </c>
      <c r="E43" s="43">
        <f>SUMIFS(表1_86121822242668[活跃中坚玩家数],表1_86121822242668[目标区服],表2_97131923252769[[#This Row],[合区区服]],表1_86121822242668[目标国家（映射）],表2_97131923252769[[#This Row],[国家]])</f>
        <v>37</v>
      </c>
      <c r="F43" s="43">
        <f t="array" ref="F43">MAX((表1_86121822242668[目标区服]=表2_97131923252769[[#This Row],[合区区服]])*(表1_86121822242668[目标国家（映射）]=表2_97131923252769[[#This Row],[国家]])*表1_86121822242668[活跃尖端战力])</f>
        <v>3267707</v>
      </c>
      <c r="G43" s="44">
        <f>SUMIFS(表1_86121822242668[活跃总战力],表1_86121822242668[目标区服],表2_97131923252769[[#This Row],[合区区服]],表1_86121822242668[目标国家（映射）],表2_97131923252769[[#This Row],[国家]])</f>
        <v>39137482</v>
      </c>
      <c r="H43" s="43">
        <f>SUMIFS(表1_86121822242668[活跃实际充值],表1_86121822242668[目标区服],表2_97131923252769[[#This Row],[合区区服]],表1_86121822242668[目标国家（映射）],表2_97131923252769[[#This Row],[国家]])</f>
        <v>129024</v>
      </c>
      <c r="I43" s="43">
        <f>SUMIFS(表1_86121822242668[活跃虚拟充值],表1_86121822242668[目标区服],表2_97131923252769[[#This Row],[合区区服]],表1_86121822242668[目标国家（映射）],表2_97131923252769[[#This Row],[国家]])</f>
        <v>0</v>
      </c>
      <c r="J43" s="43">
        <f>SUMIFS(表1_86121822242668[活跃Coin],表1_86121822242668[目标区服],表2_97131923252769[[#This Row],[合区区服]],表1_86121822242668[目标国家（映射）],表2_97131923252769[[#This Row],[国家]])</f>
        <v>1059488</v>
      </c>
      <c r="K43" s="43">
        <f>SUMIFS(表1_86121822242668[共计补偿Coin],表1_86121822242668[目标区服],表2_97131923252769[[#This Row],[合区区服]],表1_86121822242668[目标国家（映射）],表2_97131923252769[[#This Row],[国家]])</f>
        <v>86000</v>
      </c>
      <c r="L43" s="43">
        <f>表2_97131923252769[[#This Row],[活跃Coin]]+表2_97131923252769[[#This Row],[共计补偿Coin]]</f>
        <v>1145488</v>
      </c>
      <c r="M43" s="43">
        <f>SUMIFS(表1_86121822242668[综合国力],表1_86121822242668[目标区服],表2_97131923252769[[#This Row],[合区区服]],表1_86121822242668[目标国家（映射）],表2_97131923252769[[#This Row],[国家]])</f>
        <v>17644</v>
      </c>
      <c r="N43" s="41">
        <f t="array" ref="N43">MAX((表1_86121822242668[目标区服]=表2_97131923252769[[#This Row],[合区区服]])*(表1_86121822242668[目标国家（映射）]=表2_97131923252769[[#This Row],[国家]])*表1_86121822242668[单将最高战力])</f>
        <v>957676</v>
      </c>
      <c r="P43" s="51">
        <v>5055</v>
      </c>
      <c r="Q43" s="51">
        <v>50</v>
      </c>
    </row>
    <row r="44" ht="15" spans="1:17">
      <c r="A44" s="45" t="s">
        <v>129</v>
      </c>
      <c r="B44" s="46" t="s">
        <v>25</v>
      </c>
      <c r="C44" s="46">
        <f>COUNTIFS(表1_86121822242668[目标区服],表2_97131923252769[[#This Row],[合区区服]],表1_86121822242668[目标国家（映射）],表2_97131923252769[[#This Row],[国家]])</f>
        <v>2</v>
      </c>
      <c r="D44" s="46">
        <f>SUMIFS(表1_86121822242668[活跃高战玩家数],表1_86121822242668[目标区服],表2_97131923252769[[#This Row],[合区区服]],表1_86121822242668[目标国家（映射）],表2_97131923252769[[#This Row],[国家]])</f>
        <v>8</v>
      </c>
      <c r="E44" s="46">
        <f>SUMIFS(表1_86121822242668[活跃中坚玩家数],表1_86121822242668[目标区服],表2_97131923252769[[#This Row],[合区区服]],表1_86121822242668[目标国家（映射）],表2_97131923252769[[#This Row],[国家]])</f>
        <v>43</v>
      </c>
      <c r="F44" s="46">
        <f t="array" ref="F44">MAX((表1_86121822242668[目标区服]=表2_97131923252769[[#This Row],[合区区服]])*(表1_86121822242668[目标国家（映射）]=表2_97131923252769[[#This Row],[国家]])*表1_86121822242668[活跃尖端战力])</f>
        <v>2529875</v>
      </c>
      <c r="G44" s="47">
        <f>SUMIFS(表1_86121822242668[活跃总战力],表1_86121822242668[目标区服],表2_97131923252769[[#This Row],[合区区服]],表1_86121822242668[目标国家（映射）],表2_97131923252769[[#This Row],[国家]])</f>
        <v>41578195</v>
      </c>
      <c r="H44" s="46">
        <f>SUMIFS(表1_86121822242668[活跃实际充值],表1_86121822242668[目标区服],表2_97131923252769[[#This Row],[合区区服]],表1_86121822242668[目标国家（映射）],表2_97131923252769[[#This Row],[国家]])</f>
        <v>95066</v>
      </c>
      <c r="I44" s="46">
        <f>SUMIFS(表1_86121822242668[活跃虚拟充值],表1_86121822242668[目标区服],表2_97131923252769[[#This Row],[合区区服]],表1_86121822242668[目标国家（映射）],表2_97131923252769[[#This Row],[国家]])</f>
        <v>0</v>
      </c>
      <c r="J44" s="46">
        <f>SUMIFS(表1_86121822242668[活跃Coin],表1_86121822242668[目标区服],表2_97131923252769[[#This Row],[合区区服]],表1_86121822242668[目标国家（映射）],表2_97131923252769[[#This Row],[国家]])</f>
        <v>538896</v>
      </c>
      <c r="K44" s="46">
        <f>SUMIFS(表1_86121822242668[共计补偿Coin],表1_86121822242668[目标区服],表2_97131923252769[[#This Row],[合区区服]],表1_86121822242668[目标国家（映射）],表2_97131923252769[[#This Row],[国家]])</f>
        <v>64000</v>
      </c>
      <c r="L44" s="46">
        <f>表2_97131923252769[[#This Row],[活跃Coin]]+表2_97131923252769[[#This Row],[共计补偿Coin]]</f>
        <v>602896</v>
      </c>
      <c r="M44" s="46">
        <f>SUMIFS(表1_86121822242668[综合国力],表1_86121822242668[目标区服],表2_97131923252769[[#This Row],[合区区服]],表1_86121822242668[目标国家（映射）],表2_97131923252769[[#This Row],[国家]])</f>
        <v>17393</v>
      </c>
      <c r="N44" s="46">
        <f t="array" ref="N44">MAX((表1_86121822242668[目标区服]=表2_97131923252769[[#This Row],[合区区服]])*(表1_86121822242668[目标国家（映射）]=表2_97131923252769[[#This Row],[国家]])*表1_86121822242668[单将最高战力])</f>
        <v>800421</v>
      </c>
      <c r="P44" s="51">
        <v>5056</v>
      </c>
      <c r="Q44" s="51">
        <v>49</v>
      </c>
    </row>
    <row r="45" ht="15" spans="1:17">
      <c r="A45" s="45" t="s">
        <v>129</v>
      </c>
      <c r="B45" s="46" t="s">
        <v>26</v>
      </c>
      <c r="C45" s="46">
        <f>COUNTIFS(表1_86121822242668[目标区服],表2_97131923252769[[#This Row],[合区区服]],表1_86121822242668[目标国家（映射）],表2_97131923252769[[#This Row],[国家]])</f>
        <v>2</v>
      </c>
      <c r="D45" s="46">
        <f>SUMIFS(表1_86121822242668[活跃高战玩家数],表1_86121822242668[目标区服],表2_97131923252769[[#This Row],[合区区服]],表1_86121822242668[目标国家（映射）],表2_97131923252769[[#This Row],[国家]])</f>
        <v>3</v>
      </c>
      <c r="E45" s="46">
        <f>SUMIFS(表1_86121822242668[活跃中坚玩家数],表1_86121822242668[目标区服],表2_97131923252769[[#This Row],[合区区服]],表1_86121822242668[目标国家（映射）],表2_97131923252769[[#This Row],[国家]])</f>
        <v>28</v>
      </c>
      <c r="F45" s="46">
        <f t="array" ref="F45">MAX((表1_86121822242668[目标区服]=表2_97131923252769[[#This Row],[合区区服]])*(表1_86121822242668[目标国家（映射）]=表2_97131923252769[[#This Row],[国家]])*表1_86121822242668[活跃尖端战力])</f>
        <v>2822522</v>
      </c>
      <c r="G45" s="47">
        <f>SUMIFS(表1_86121822242668[活跃总战力],表1_86121822242668[目标区服],表2_97131923252769[[#This Row],[合区区服]],表1_86121822242668[目标国家（映射）],表2_97131923252769[[#This Row],[国家]])</f>
        <v>22986187</v>
      </c>
      <c r="H45" s="46">
        <f>SUMIFS(表1_86121822242668[活跃实际充值],表1_86121822242668[目标区服],表2_97131923252769[[#This Row],[合区区服]],表1_86121822242668[目标国家（映射）],表2_97131923252769[[#This Row],[国家]])</f>
        <v>76500</v>
      </c>
      <c r="I45" s="46">
        <f>SUMIFS(表1_86121822242668[活跃虚拟充值],表1_86121822242668[目标区服],表2_97131923252769[[#This Row],[合区区服]],表1_86121822242668[目标国家（映射）],表2_97131923252769[[#This Row],[国家]])</f>
        <v>0</v>
      </c>
      <c r="J45" s="46">
        <f>SUMIFS(表1_86121822242668[活跃Coin],表1_86121822242668[目标区服],表2_97131923252769[[#This Row],[合区区服]],表1_86121822242668[目标国家（映射）],表2_97131923252769[[#This Row],[国家]])</f>
        <v>287716</v>
      </c>
      <c r="K45" s="46">
        <f>SUMIFS(表1_86121822242668[共计补偿Coin],表1_86121822242668[目标区服],表2_97131923252769[[#This Row],[合区区服]],表1_86121822242668[目标国家（映射）],表2_97131923252769[[#This Row],[国家]])</f>
        <v>41500</v>
      </c>
      <c r="L45" s="46">
        <f>表2_97131923252769[[#This Row],[活跃Coin]]+表2_97131923252769[[#This Row],[共计补偿Coin]]</f>
        <v>329216</v>
      </c>
      <c r="M45" s="46">
        <f>SUMIFS(表1_86121822242668[综合国力],表1_86121822242668[目标区服],表2_97131923252769[[#This Row],[合区区服]],表1_86121822242668[目标国家（映射）],表2_97131923252769[[#This Row],[国家]])</f>
        <v>11573</v>
      </c>
      <c r="N45" s="46">
        <f t="array" ref="N45">MAX((表1_86121822242668[目标区服]=表2_97131923252769[[#This Row],[合区区服]])*(表1_86121822242668[目标国家（映射）]=表2_97131923252769[[#This Row],[国家]])*表1_86121822242668[单将最高战力])</f>
        <v>858384</v>
      </c>
      <c r="P45" s="51">
        <v>5057</v>
      </c>
      <c r="Q45" s="51">
        <v>49</v>
      </c>
    </row>
    <row r="46" ht="15" spans="1:17">
      <c r="A46" s="45" t="s">
        <v>129</v>
      </c>
      <c r="B46" s="48" t="s">
        <v>27</v>
      </c>
      <c r="C46" s="48">
        <f>COUNTIFS(表1_86121822242668[目标区服],表2_97131923252769[[#This Row],[合区区服]],表1_86121822242668[目标国家（映射）],表2_97131923252769[[#This Row],[国家]])</f>
        <v>2</v>
      </c>
      <c r="D46" s="48">
        <f>SUMIFS(表1_86121822242668[活跃高战玩家数],表1_86121822242668[目标区服],表2_97131923252769[[#This Row],[合区区服]],表1_86121822242668[目标国家（映射）],表2_97131923252769[[#This Row],[国家]])</f>
        <v>8</v>
      </c>
      <c r="E46" s="48">
        <f>SUMIFS(表1_86121822242668[活跃中坚玩家数],表1_86121822242668[目标区服],表2_97131923252769[[#This Row],[合区区服]],表1_86121822242668[目标国家（映射）],表2_97131923252769[[#This Row],[国家]])</f>
        <v>25</v>
      </c>
      <c r="F46" s="48">
        <f t="array" ref="F46">MAX((表1_86121822242668[目标区服]=表2_97131923252769[[#This Row],[合区区服]])*(表1_86121822242668[目标国家（映射）]=表2_97131923252769[[#This Row],[国家]])*表1_86121822242668[活跃尖端战力])</f>
        <v>3041948</v>
      </c>
      <c r="G46" s="458">
        <f>SUMIFS(表1_86121822242668[活跃总战力],表1_86121822242668[目标区服],表2_97131923252769[[#This Row],[合区区服]],表1_86121822242668[目标国家（映射）],表2_97131923252769[[#This Row],[国家]])</f>
        <v>28529457</v>
      </c>
      <c r="H46" s="48">
        <f>SUMIFS(表1_86121822242668[活跃实际充值],表1_86121822242668[目标区服],表2_97131923252769[[#This Row],[合区区服]],表1_86121822242668[目标国家（映射）],表2_97131923252769[[#This Row],[国家]])</f>
        <v>87980</v>
      </c>
      <c r="I46" s="48">
        <f>SUMIFS(表1_86121822242668[活跃虚拟充值],表1_86121822242668[目标区服],表2_97131923252769[[#This Row],[合区区服]],表1_86121822242668[目标国家（映射）],表2_97131923252769[[#This Row],[国家]])</f>
        <v>0</v>
      </c>
      <c r="J46" s="48">
        <f>SUMIFS(表1_86121822242668[活跃Coin],表1_86121822242668[目标区服],表2_97131923252769[[#This Row],[合区区服]],表1_86121822242668[目标国家（映射）],表2_97131923252769[[#This Row],[国家]])</f>
        <v>555688</v>
      </c>
      <c r="K46" s="48">
        <f>SUMIFS(表1_86121822242668[共计补偿Coin],表1_86121822242668[目标区服],表2_97131923252769[[#This Row],[合区区服]],表1_86121822242668[目标国家（映射）],表2_97131923252769[[#This Row],[国家]])</f>
        <v>43000</v>
      </c>
      <c r="L46" s="48">
        <f>表2_97131923252769[[#This Row],[活跃Coin]]+表2_97131923252769[[#This Row],[共计补偿Coin]]</f>
        <v>598688</v>
      </c>
      <c r="M46" s="48">
        <f>SUMIFS(表1_86121822242668[综合国力],表1_86121822242668[目标区服],表2_97131923252769[[#This Row],[合区区服]],表1_86121822242668[目标国家（映射）],表2_97131923252769[[#This Row],[国家]])</f>
        <v>14732</v>
      </c>
      <c r="N46" s="46">
        <f t="array" ref="N46">MAX((表1_86121822242668[目标区服]=表2_97131923252769[[#This Row],[合区区服]])*(表1_86121822242668[目标国家（映射）]=表2_97131923252769[[#This Row],[国家]])*表1_86121822242668[单将最高战力])</f>
        <v>970478</v>
      </c>
      <c r="P46" s="51">
        <v>5058</v>
      </c>
      <c r="Q46" s="51">
        <v>48</v>
      </c>
    </row>
    <row r="47" ht="15" spans="1:17">
      <c r="A47" s="308" t="s">
        <v>130</v>
      </c>
      <c r="B47" s="224" t="s">
        <v>25</v>
      </c>
      <c r="C47" s="224">
        <f>COUNTIFS(表1_86121822242668[目标区服],表2_97131923252769[[#This Row],[合区区服]],表1_86121822242668[目标国家（映射）],表2_97131923252769[[#This Row],[国家]])</f>
        <v>2</v>
      </c>
      <c r="D47" s="224">
        <f>SUMIFS(表1_86121822242668[活跃高战玩家数],表1_86121822242668[目标区服],表2_97131923252769[[#This Row],[合区区服]],表1_86121822242668[目标国家（映射）],表2_97131923252769[[#This Row],[国家]])</f>
        <v>7</v>
      </c>
      <c r="E47" s="224">
        <f>SUMIFS(表1_86121822242668[活跃中坚玩家数],表1_86121822242668[目标区服],表2_97131923252769[[#This Row],[合区区服]],表1_86121822242668[目标国家（映射）],表2_97131923252769[[#This Row],[国家]])</f>
        <v>43</v>
      </c>
      <c r="F47" s="224">
        <f t="array" ref="F47">MAX((表1_86121822242668[目标区服]=表2_97131923252769[[#This Row],[合区区服]])*(表1_86121822242668[目标国家（映射）]=表2_97131923252769[[#This Row],[国家]])*表1_86121822242668[活跃尖端战力])</f>
        <v>2081311</v>
      </c>
      <c r="G47" s="225">
        <f>SUMIFS(表1_86121822242668[活跃总战力],表1_86121822242668[目标区服],表2_97131923252769[[#This Row],[合区区服]],表1_86121822242668[目标国家（映射）],表2_97131923252769[[#This Row],[国家]])</f>
        <v>36305419</v>
      </c>
      <c r="H47" s="224">
        <f>SUMIFS(表1_86121822242668[活跃实际充值],表1_86121822242668[目标区服],表2_97131923252769[[#This Row],[合区区服]],表1_86121822242668[目标国家（映射）],表2_97131923252769[[#This Row],[国家]])</f>
        <v>84620</v>
      </c>
      <c r="I47" s="224">
        <f>SUMIFS(表1_86121822242668[活跃虚拟充值],表1_86121822242668[目标区服],表2_97131923252769[[#This Row],[合区区服]],表1_86121822242668[目标国家（映射）],表2_97131923252769[[#This Row],[国家]])</f>
        <v>0</v>
      </c>
      <c r="J47" s="224">
        <f>SUMIFS(表1_86121822242668[活跃Coin],表1_86121822242668[目标区服],表2_97131923252769[[#This Row],[合区区服]],表1_86121822242668[目标国家（映射）],表2_97131923252769[[#This Row],[国家]])</f>
        <v>1131014</v>
      </c>
      <c r="K47" s="224">
        <f>SUMIFS(表1_86121822242668[共计补偿Coin],表1_86121822242668[目标区服],表2_97131923252769[[#This Row],[合区区服]],表1_86121822242668[目标国家（映射）],表2_97131923252769[[#This Row],[国家]])</f>
        <v>50000</v>
      </c>
      <c r="L47" s="224">
        <f>表2_97131923252769[[#This Row],[活跃Coin]]+表2_97131923252769[[#This Row],[共计补偿Coin]]</f>
        <v>1181014</v>
      </c>
      <c r="M47" s="224">
        <f>SUMIFS(表1_86121822242668[综合国力],表1_86121822242668[目标区服],表2_97131923252769[[#This Row],[合区区服]],表1_86121822242668[目标国家（映射）],表2_97131923252769[[#This Row],[国家]])</f>
        <v>15001</v>
      </c>
      <c r="N47" s="224">
        <f t="array" ref="N47">MAX((表1_86121822242668[目标区服]=表2_97131923252769[[#This Row],[合区区服]])*(表1_86121822242668[目标国家（映射）]=表2_97131923252769[[#This Row],[国家]])*表1_86121822242668[单将最高战力])</f>
        <v>647750</v>
      </c>
      <c r="P47" s="51">
        <v>5059</v>
      </c>
      <c r="Q47" s="51">
        <v>47</v>
      </c>
    </row>
    <row r="48" ht="15" spans="1:17">
      <c r="A48" s="308" t="s">
        <v>130</v>
      </c>
      <c r="B48" s="224" t="s">
        <v>26</v>
      </c>
      <c r="C48" s="224">
        <f>COUNTIFS(表1_86121822242668[目标区服],表2_97131923252769[[#This Row],[合区区服]],表1_86121822242668[目标国家（映射）],表2_97131923252769[[#This Row],[国家]])</f>
        <v>2</v>
      </c>
      <c r="D48" s="224">
        <f>SUMIFS(表1_86121822242668[活跃高战玩家数],表1_86121822242668[目标区服],表2_97131923252769[[#This Row],[合区区服]],表1_86121822242668[目标国家（映射）],表2_97131923252769[[#This Row],[国家]])</f>
        <v>5</v>
      </c>
      <c r="E48" s="224">
        <f>SUMIFS(表1_86121822242668[活跃中坚玩家数],表1_86121822242668[目标区服],表2_97131923252769[[#This Row],[合区区服]],表1_86121822242668[目标国家（映射）],表2_97131923252769[[#This Row],[国家]])</f>
        <v>39</v>
      </c>
      <c r="F48" s="224">
        <f t="array" ref="F48">MAX((表1_86121822242668[目标区服]=表2_97131923252769[[#This Row],[合区区服]])*(表1_86121822242668[目标国家（映射）]=表2_97131923252769[[#This Row],[国家]])*表1_86121822242668[活跃尖端战力])</f>
        <v>2647159</v>
      </c>
      <c r="G48" s="225">
        <f>SUMIFS(表1_86121822242668[活跃总战力],表1_86121822242668[目标区服],表2_97131923252769[[#This Row],[合区区服]],表1_86121822242668[目标国家（映射）],表2_97131923252769[[#This Row],[国家]])</f>
        <v>36823866</v>
      </c>
      <c r="H48" s="224">
        <f>SUMIFS(表1_86121822242668[活跃实际充值],表1_86121822242668[目标区服],表2_97131923252769[[#This Row],[合区区服]],表1_86121822242668[目标国家（映射）],表2_97131923252769[[#This Row],[国家]])</f>
        <v>91514</v>
      </c>
      <c r="I48" s="224">
        <f>SUMIFS(表1_86121822242668[活跃虚拟充值],表1_86121822242668[目标区服],表2_97131923252769[[#This Row],[合区区服]],表1_86121822242668[目标国家（映射）],表2_97131923252769[[#This Row],[国家]])</f>
        <v>0</v>
      </c>
      <c r="J48" s="224">
        <f>SUMIFS(表1_86121822242668[活跃Coin],表1_86121822242668[目标区服],表2_97131923252769[[#This Row],[合区区服]],表1_86121822242668[目标国家（映射）],表2_97131923252769[[#This Row],[国家]])</f>
        <v>480764</v>
      </c>
      <c r="K48" s="224">
        <f>SUMIFS(表1_86121822242668[共计补偿Coin],表1_86121822242668[目标区服],表2_97131923252769[[#This Row],[合区区服]],表1_86121822242668[目标国家（映射）],表2_97131923252769[[#This Row],[国家]])</f>
        <v>66000</v>
      </c>
      <c r="L48" s="224">
        <f>表2_97131923252769[[#This Row],[活跃Coin]]+表2_97131923252769[[#This Row],[共计补偿Coin]]</f>
        <v>546764</v>
      </c>
      <c r="M48" s="224">
        <f>SUMIFS(表1_86121822242668[综合国力],表1_86121822242668[目标区服],表2_97131923252769[[#This Row],[合区区服]],表1_86121822242668[目标国家（映射）],表2_97131923252769[[#This Row],[国家]])</f>
        <v>15141</v>
      </c>
      <c r="N48" s="224">
        <f t="array" ref="N48">MAX((表1_86121822242668[目标区服]=表2_97131923252769[[#This Row],[合区区服]])*(表1_86121822242668[目标国家（映射）]=表2_97131923252769[[#This Row],[国家]])*表1_86121822242668[单将最高战力])</f>
        <v>652165</v>
      </c>
      <c r="P48" s="51">
        <v>5060</v>
      </c>
      <c r="Q48" s="51">
        <v>46</v>
      </c>
    </row>
    <row r="49" ht="15" spans="1:14">
      <c r="A49" s="308" t="s">
        <v>130</v>
      </c>
      <c r="B49" s="226" t="s">
        <v>27</v>
      </c>
      <c r="C49" s="226">
        <f>COUNTIFS(表1_86121822242668[目标区服],表2_97131923252769[[#This Row],[合区区服]],表1_86121822242668[目标国家（映射）],表2_97131923252769[[#This Row],[国家]])</f>
        <v>2</v>
      </c>
      <c r="D49" s="226">
        <f>SUMIFS(表1_86121822242668[活跃高战玩家数],表1_86121822242668[目标区服],表2_97131923252769[[#This Row],[合区区服]],表1_86121822242668[目标国家（映射）],表2_97131923252769[[#This Row],[国家]])</f>
        <v>6</v>
      </c>
      <c r="E49" s="226">
        <f>SUMIFS(表1_86121822242668[活跃中坚玩家数],表1_86121822242668[目标区服],表2_97131923252769[[#This Row],[合区区服]],表1_86121822242668[目标国家（映射）],表2_97131923252769[[#This Row],[国家]])</f>
        <v>29</v>
      </c>
      <c r="F49" s="226">
        <f t="array" ref="F49">MAX((表1_86121822242668[目标区服]=表2_97131923252769[[#This Row],[合区区服]])*(表1_86121822242668[目标国家（映射）]=表2_97131923252769[[#This Row],[国家]])*表1_86121822242668[活跃尖端战力])</f>
        <v>2561265</v>
      </c>
      <c r="G49" s="227">
        <f>SUMIFS(表1_86121822242668[活跃总战力],表1_86121822242668[目标区服],表2_97131923252769[[#This Row],[合区区服]],表1_86121822242668[目标国家（映射）],表2_97131923252769[[#This Row],[国家]])</f>
        <v>29592845</v>
      </c>
      <c r="H49" s="226">
        <f>SUMIFS(表1_86121822242668[活跃实际充值],表1_86121822242668[目标区服],表2_97131923252769[[#This Row],[合区区服]],表1_86121822242668[目标国家（映射）],表2_97131923252769[[#This Row],[国家]])</f>
        <v>92944</v>
      </c>
      <c r="I49" s="226">
        <f>SUMIFS(表1_86121822242668[活跃虚拟充值],表1_86121822242668[目标区服],表2_97131923252769[[#This Row],[合区区服]],表1_86121822242668[目标国家（映射）],表2_97131923252769[[#This Row],[国家]])</f>
        <v>0</v>
      </c>
      <c r="J49" s="226">
        <f>SUMIFS(表1_86121822242668[活跃Coin],表1_86121822242668[目标区服],表2_97131923252769[[#This Row],[合区区服]],表1_86121822242668[目标国家（映射）],表2_97131923252769[[#This Row],[国家]])</f>
        <v>538632</v>
      </c>
      <c r="K49" s="226">
        <f>SUMIFS(表1_86121822242668[共计补偿Coin],表1_86121822242668[目标区服],表2_97131923252769[[#This Row],[合区区服]],表1_86121822242668[目标国家（映射）],表2_97131923252769[[#This Row],[国家]])</f>
        <v>46500</v>
      </c>
      <c r="L49" s="226">
        <f>表2_97131923252769[[#This Row],[活跃Coin]]+表2_97131923252769[[#This Row],[共计补偿Coin]]</f>
        <v>585132</v>
      </c>
      <c r="M49" s="226">
        <f>SUMIFS(表1_86121822242668[综合国力],表1_86121822242668[目标区服],表2_97131923252769[[#This Row],[合区区服]],表1_86121822242668[目标国家（映射）],表2_97131923252769[[#This Row],[国家]])</f>
        <v>14614</v>
      </c>
      <c r="N49" s="224">
        <f t="array" ref="N49">MAX((表1_86121822242668[目标区服]=表2_97131923252769[[#This Row],[合区区服]])*(表1_86121822242668[目标国家（映射）]=表2_97131923252769[[#This Row],[国家]])*表1_86121822242668[单将最高战力])</f>
        <v>651243</v>
      </c>
    </row>
    <row r="50" ht="15" spans="1:14">
      <c r="A50" s="311" t="s">
        <v>131</v>
      </c>
      <c r="B50" s="41" t="s">
        <v>25</v>
      </c>
      <c r="C50" s="41">
        <f>COUNTIFS(表1_86121822242668[目标区服],表2_97131923252769[[#This Row],[合区区服]],表1_86121822242668[目标国家（映射）],表2_97131923252769[[#This Row],[国家]])</f>
        <v>2</v>
      </c>
      <c r="D50" s="41">
        <f>SUMIFS(表1_86121822242668[活跃高战玩家数],表1_86121822242668[目标区服],表2_97131923252769[[#This Row],[合区区服]],表1_86121822242668[目标国家（映射）],表2_97131923252769[[#This Row],[国家]])</f>
        <v>9</v>
      </c>
      <c r="E50" s="41">
        <f>SUMIFS(表1_86121822242668[活跃中坚玩家数],表1_86121822242668[目标区服],表2_97131923252769[[#This Row],[合区区服]],表1_86121822242668[目标国家（映射）],表2_97131923252769[[#This Row],[国家]])</f>
        <v>40</v>
      </c>
      <c r="F50" s="41">
        <f t="array" ref="F50">MAX((表1_86121822242668[目标区服]=表2_97131923252769[[#This Row],[合区区服]])*(表1_86121822242668[目标国家（映射）]=表2_97131923252769[[#This Row],[国家]])*表1_86121822242668[活跃尖端战力])</f>
        <v>2089876</v>
      </c>
      <c r="G50" s="42">
        <f>SUMIFS(表1_86121822242668[活跃总战力],表1_86121822242668[目标区服],表2_97131923252769[[#This Row],[合区区服]],表1_86121822242668[目标国家（映射）],表2_97131923252769[[#This Row],[国家]])</f>
        <v>35632429</v>
      </c>
      <c r="H50" s="41">
        <f>SUMIFS(表1_86121822242668[活跃实际充值],表1_86121822242668[目标区服],表2_97131923252769[[#This Row],[合区区服]],表1_86121822242668[目标国家（映射）],表2_97131923252769[[#This Row],[国家]])</f>
        <v>71418</v>
      </c>
      <c r="I50" s="41">
        <f>SUMIFS(表1_86121822242668[活跃虚拟充值],表1_86121822242668[目标区服],表2_97131923252769[[#This Row],[合区区服]],表1_86121822242668[目标国家（映射）],表2_97131923252769[[#This Row],[国家]])</f>
        <v>0</v>
      </c>
      <c r="J50" s="41">
        <f>SUMIFS(表1_86121822242668[活跃Coin],表1_86121822242668[目标区服],表2_97131923252769[[#This Row],[合区区服]],表1_86121822242668[目标国家（映射）],表2_97131923252769[[#This Row],[国家]])</f>
        <v>510612</v>
      </c>
      <c r="K50" s="41">
        <f>SUMIFS(表1_86121822242668[共计补偿Coin],表1_86121822242668[目标区服],表2_97131923252769[[#This Row],[合区区服]],表1_86121822242668[目标国家（映射）],表2_97131923252769[[#This Row],[国家]])</f>
        <v>83000</v>
      </c>
      <c r="L50" s="41">
        <f>表2_97131923252769[[#This Row],[活跃Coin]]+表2_97131923252769[[#This Row],[共计补偿Coin]]</f>
        <v>593612</v>
      </c>
      <c r="M50" s="41">
        <f>SUMIFS(表1_86121822242668[综合国力],表1_86121822242668[目标区服],表2_97131923252769[[#This Row],[合区区服]],表1_86121822242668[目标国家（映射）],表2_97131923252769[[#This Row],[国家]])</f>
        <v>16004</v>
      </c>
      <c r="N50" s="541">
        <f t="array" ref="N50">MAX((表1_86121822242668[目标区服]=表2_97131923252769[[#This Row],[合区区服]])*(表1_86121822242668[目标国家（映射）]=表2_97131923252769[[#This Row],[国家]])*表1_86121822242668[单将最高战力])</f>
        <v>636199</v>
      </c>
    </row>
    <row r="51" ht="15" spans="1:14">
      <c r="A51" s="311" t="s">
        <v>131</v>
      </c>
      <c r="B51" s="41" t="s">
        <v>26</v>
      </c>
      <c r="C51" s="41">
        <f>COUNTIFS(表1_86121822242668[目标区服],表2_97131923252769[[#This Row],[合区区服]],表1_86121822242668[目标国家（映射）],表2_97131923252769[[#This Row],[国家]])</f>
        <v>2</v>
      </c>
      <c r="D51" s="41">
        <f>SUMIFS(表1_86121822242668[活跃高战玩家数],表1_86121822242668[目标区服],表2_97131923252769[[#This Row],[合区区服]],表1_86121822242668[目标国家（映射）],表2_97131923252769[[#This Row],[国家]])</f>
        <v>6</v>
      </c>
      <c r="E51" s="41">
        <f>SUMIFS(表1_86121822242668[活跃中坚玩家数],表1_86121822242668[目标区服],表2_97131923252769[[#This Row],[合区区服]],表1_86121822242668[目标国家（映射）],表2_97131923252769[[#This Row],[国家]])</f>
        <v>28</v>
      </c>
      <c r="F51" s="41">
        <f t="array" ref="F51">MAX((表1_86121822242668[目标区服]=表2_97131923252769[[#This Row],[合区区服]])*(表1_86121822242668[目标国家（映射）]=表2_97131923252769[[#This Row],[国家]])*表1_86121822242668[活跃尖端战力])</f>
        <v>2440495</v>
      </c>
      <c r="G51" s="42">
        <f>SUMIFS(表1_86121822242668[活跃总战力],表1_86121822242668[目标区服],表2_97131923252769[[#This Row],[合区区服]],表1_86121822242668[目标国家（映射）],表2_97131923252769[[#This Row],[国家]])</f>
        <v>26902870</v>
      </c>
      <c r="H51" s="41">
        <f>SUMIFS(表1_86121822242668[活跃实际充值],表1_86121822242668[目标区服],表2_97131923252769[[#This Row],[合区区服]],表1_86121822242668[目标国家（映射）],表2_97131923252769[[#This Row],[国家]])</f>
        <v>62114</v>
      </c>
      <c r="I51" s="41">
        <f>SUMIFS(表1_86121822242668[活跃虚拟充值],表1_86121822242668[目标区服],表2_97131923252769[[#This Row],[合区区服]],表1_86121822242668[目标国家（映射）],表2_97131923252769[[#This Row],[国家]])</f>
        <v>0</v>
      </c>
      <c r="J51" s="41">
        <f>SUMIFS(表1_86121822242668[活跃Coin],表1_86121822242668[目标区服],表2_97131923252769[[#This Row],[合区区服]],表1_86121822242668[目标国家（映射）],表2_97131923252769[[#This Row],[国家]])</f>
        <v>229794</v>
      </c>
      <c r="K51" s="41">
        <f>SUMIFS(表1_86121822242668[共计补偿Coin],表1_86121822242668[目标区服],表2_97131923252769[[#This Row],[合区区服]],表1_86121822242668[目标国家（映射）],表2_97131923252769[[#This Row],[国家]])</f>
        <v>61500</v>
      </c>
      <c r="L51" s="41">
        <f>表2_97131923252769[[#This Row],[活跃Coin]]+表2_97131923252769[[#This Row],[共计补偿Coin]]</f>
        <v>291294</v>
      </c>
      <c r="M51" s="41">
        <f>SUMIFS(表1_86121822242668[综合国力],表1_86121822242668[目标区服],表2_97131923252769[[#This Row],[合区区服]],表1_86121822242668[目标国家（映射）],表2_97131923252769[[#This Row],[国家]])</f>
        <v>11713</v>
      </c>
      <c r="N51" s="541">
        <f t="array" ref="N51">MAX((表1_86121822242668[目标区服]=表2_97131923252769[[#This Row],[合区区服]])*(表1_86121822242668[目标国家（映射）]=表2_97131923252769[[#This Row],[国家]])*表1_86121822242668[单将最高战力])</f>
        <v>710351</v>
      </c>
    </row>
    <row r="52" ht="15" spans="1:14">
      <c r="A52" s="311" t="s">
        <v>131</v>
      </c>
      <c r="B52" s="43" t="s">
        <v>27</v>
      </c>
      <c r="C52" s="43">
        <f>COUNTIFS(表1_86121822242668[目标区服],表2_97131923252769[[#This Row],[合区区服]],表1_86121822242668[目标国家（映射）],表2_97131923252769[[#This Row],[国家]])</f>
        <v>2</v>
      </c>
      <c r="D52" s="43">
        <f>SUMIFS(表1_86121822242668[活跃高战玩家数],表1_86121822242668[目标区服],表2_97131923252769[[#This Row],[合区区服]],表1_86121822242668[目标国家（映射）],表2_97131923252769[[#This Row],[国家]])</f>
        <v>4</v>
      </c>
      <c r="E52" s="43">
        <f>SUMIFS(表1_86121822242668[活跃中坚玩家数],表1_86121822242668[目标区服],表2_97131923252769[[#This Row],[合区区服]],表1_86121822242668[目标国家（映射）],表2_97131923252769[[#This Row],[国家]])</f>
        <v>39</v>
      </c>
      <c r="F52" s="43">
        <f t="array" ref="F52">MAX((表1_86121822242668[目标区服]=表2_97131923252769[[#This Row],[合区区服]])*(表1_86121822242668[目标国家（映射）]=表2_97131923252769[[#This Row],[国家]])*表1_86121822242668[活跃尖端战力])</f>
        <v>2575733</v>
      </c>
      <c r="G52" s="44">
        <f>SUMIFS(表1_86121822242668[活跃总战力],表1_86121822242668[目标区服],表2_97131923252769[[#This Row],[合区区服]],表1_86121822242668[目标国家（映射）],表2_97131923252769[[#This Row],[国家]])</f>
        <v>32252251</v>
      </c>
      <c r="H52" s="43">
        <f>SUMIFS(表1_86121822242668[活跃实际充值],表1_86121822242668[目标区服],表2_97131923252769[[#This Row],[合区区服]],表1_86121822242668[目标国家（映射）],表2_97131923252769[[#This Row],[国家]])</f>
        <v>62574</v>
      </c>
      <c r="I52" s="43">
        <f>SUMIFS(表1_86121822242668[活跃虚拟充值],表1_86121822242668[目标区服],表2_97131923252769[[#This Row],[合区区服]],表1_86121822242668[目标国家（映射）],表2_97131923252769[[#This Row],[国家]])</f>
        <v>0</v>
      </c>
      <c r="J52" s="43">
        <f>SUMIFS(表1_86121822242668[活跃Coin],表1_86121822242668[目标区服],表2_97131923252769[[#This Row],[合区区服]],表1_86121822242668[目标国家（映射）],表2_97131923252769[[#This Row],[国家]])</f>
        <v>448728</v>
      </c>
      <c r="K52" s="43">
        <f>SUMIFS(表1_86121822242668[共计补偿Coin],表1_86121822242668[目标区服],表2_97131923252769[[#This Row],[合区区服]],表1_86121822242668[目标国家（映射）],表2_97131923252769[[#This Row],[国家]])</f>
        <v>78500</v>
      </c>
      <c r="L52" s="43">
        <f>表2_97131923252769[[#This Row],[活跃Coin]]+表2_97131923252769[[#This Row],[共计补偿Coin]]</f>
        <v>527228</v>
      </c>
      <c r="M52" s="43">
        <f>SUMIFS(表1_86121822242668[综合国力],表1_86121822242668[目标区服],表2_97131923252769[[#This Row],[合区区服]],表1_86121822242668[目标国家（映射）],表2_97131923252769[[#This Row],[国家]])</f>
        <v>13004</v>
      </c>
      <c r="N52" s="602">
        <f t="array" ref="N52">MAX((表1_86121822242668[目标区服]=表2_97131923252769[[#This Row],[合区区服]])*(表1_86121822242668[目标国家（映射）]=表2_97131923252769[[#This Row],[国家]])*表1_86121822242668[单将最高战力])</f>
        <v>728134</v>
      </c>
    </row>
    <row r="58" ht="27" spans="2:14">
      <c r="B58" s="49"/>
      <c r="C58" s="50" t="s">
        <v>9</v>
      </c>
      <c r="D58" s="50" t="s">
        <v>10</v>
      </c>
      <c r="E58" s="50" t="s">
        <v>11</v>
      </c>
      <c r="F58" s="50" t="s">
        <v>12</v>
      </c>
      <c r="G58" s="50" t="s">
        <v>13</v>
      </c>
      <c r="H58" s="50" t="s">
        <v>14</v>
      </c>
      <c r="I58" s="50" t="s">
        <v>15</v>
      </c>
      <c r="J58" s="50" t="s">
        <v>18</v>
      </c>
      <c r="K58" s="50" t="s">
        <v>19</v>
      </c>
      <c r="L58" s="50" t="s">
        <v>20</v>
      </c>
      <c r="M58" s="50" t="s">
        <v>21</v>
      </c>
      <c r="N58" s="50" t="s">
        <v>82</v>
      </c>
    </row>
    <row r="59" spans="1:14">
      <c r="A59">
        <v>5050</v>
      </c>
      <c r="B59" s="50" t="s">
        <v>25</v>
      </c>
      <c r="C59" s="50">
        <v>2</v>
      </c>
      <c r="D59" s="50">
        <v>69</v>
      </c>
      <c r="E59" s="50">
        <v>0</v>
      </c>
      <c r="F59" s="50">
        <v>10</v>
      </c>
      <c r="G59" s="50">
        <v>36925</v>
      </c>
      <c r="H59" s="50">
        <v>1631095</v>
      </c>
      <c r="I59" s="50">
        <v>6615925</v>
      </c>
      <c r="J59" s="50">
        <v>5964</v>
      </c>
      <c r="K59" s="50">
        <v>0</v>
      </c>
      <c r="L59" s="50">
        <v>203280</v>
      </c>
      <c r="M59" s="50">
        <v>3647</v>
      </c>
      <c r="N59" s="50">
        <v>477020</v>
      </c>
    </row>
    <row r="60" spans="2:14">
      <c r="B60" s="50" t="s">
        <v>26</v>
      </c>
      <c r="C60" s="50">
        <v>3</v>
      </c>
      <c r="D60" s="50">
        <v>141</v>
      </c>
      <c r="E60" s="50">
        <v>3</v>
      </c>
      <c r="F60" s="50">
        <v>14</v>
      </c>
      <c r="G60" s="50">
        <v>97848</v>
      </c>
      <c r="H60" s="50">
        <v>2428795</v>
      </c>
      <c r="I60" s="50">
        <v>17641289</v>
      </c>
      <c r="J60" s="50">
        <v>27966</v>
      </c>
      <c r="K60" s="50">
        <v>0</v>
      </c>
      <c r="L60" s="50">
        <v>230230</v>
      </c>
      <c r="M60" s="50">
        <v>7346</v>
      </c>
      <c r="N60" s="50">
        <v>654187</v>
      </c>
    </row>
    <row r="61" spans="2:14">
      <c r="B61" s="50" t="s">
        <v>27</v>
      </c>
      <c r="C61" s="50">
        <v>4</v>
      </c>
      <c r="D61" s="50">
        <v>185</v>
      </c>
      <c r="E61" s="50">
        <v>7</v>
      </c>
      <c r="F61" s="50">
        <v>13</v>
      </c>
      <c r="G61" s="50">
        <v>128204</v>
      </c>
      <c r="H61" s="50">
        <v>2990840</v>
      </c>
      <c r="I61" s="50">
        <v>24026439</v>
      </c>
      <c r="J61" s="50">
        <v>81142</v>
      </c>
      <c r="K61" s="50">
        <v>0</v>
      </c>
      <c r="L61" s="50">
        <v>447795</v>
      </c>
      <c r="M61" s="50">
        <v>10942</v>
      </c>
      <c r="N61" s="50">
        <v>845758</v>
      </c>
    </row>
    <row r="62" spans="1:14">
      <c r="A62">
        <v>5051</v>
      </c>
      <c r="B62" s="50" t="s">
        <v>25</v>
      </c>
      <c r="C62" s="50">
        <v>3</v>
      </c>
      <c r="D62" s="50">
        <v>115</v>
      </c>
      <c r="E62" s="50">
        <v>3</v>
      </c>
      <c r="F62" s="50">
        <v>11</v>
      </c>
      <c r="G62" s="50">
        <v>77615</v>
      </c>
      <c r="H62" s="50">
        <v>3229986</v>
      </c>
      <c r="I62" s="50">
        <v>13829802</v>
      </c>
      <c r="J62" s="50">
        <v>54632</v>
      </c>
      <c r="K62" s="50">
        <v>0</v>
      </c>
      <c r="L62" s="50">
        <v>298887</v>
      </c>
      <c r="M62" s="50">
        <v>8239</v>
      </c>
      <c r="N62" s="50">
        <v>970908</v>
      </c>
    </row>
    <row r="63" spans="2:14">
      <c r="B63" s="50" t="s">
        <v>26</v>
      </c>
      <c r="C63" s="50">
        <v>3</v>
      </c>
      <c r="D63" s="50">
        <v>106</v>
      </c>
      <c r="E63" s="50">
        <v>2</v>
      </c>
      <c r="F63" s="50">
        <v>9</v>
      </c>
      <c r="G63" s="50">
        <v>36910</v>
      </c>
      <c r="H63" s="50">
        <v>2066737</v>
      </c>
      <c r="I63" s="50">
        <v>7629933</v>
      </c>
      <c r="J63" s="50">
        <v>63098</v>
      </c>
      <c r="K63" s="50">
        <v>0</v>
      </c>
      <c r="L63" s="50">
        <v>234500</v>
      </c>
      <c r="M63" s="50">
        <v>6384</v>
      </c>
      <c r="N63" s="50">
        <v>782050</v>
      </c>
    </row>
    <row r="64" spans="2:14">
      <c r="B64" s="50" t="s">
        <v>27</v>
      </c>
      <c r="C64" s="50">
        <v>3</v>
      </c>
      <c r="D64" s="50">
        <v>174</v>
      </c>
      <c r="E64" s="50">
        <v>4</v>
      </c>
      <c r="F64" s="50">
        <v>19</v>
      </c>
      <c r="G64" s="50">
        <v>129529</v>
      </c>
      <c r="H64" s="50">
        <v>3272457</v>
      </c>
      <c r="I64" s="50">
        <v>21148066</v>
      </c>
      <c r="J64" s="50">
        <v>51466</v>
      </c>
      <c r="K64" s="50">
        <v>0</v>
      </c>
      <c r="L64" s="50">
        <v>396888</v>
      </c>
      <c r="M64" s="50">
        <v>9817</v>
      </c>
      <c r="N64" s="50">
        <v>1027083</v>
      </c>
    </row>
    <row r="65" spans="1:14">
      <c r="A65">
        <v>5052</v>
      </c>
      <c r="B65" s="50" t="s">
        <v>25</v>
      </c>
      <c r="C65" s="50">
        <v>2</v>
      </c>
      <c r="D65" s="50">
        <v>69</v>
      </c>
      <c r="E65" s="50">
        <v>2</v>
      </c>
      <c r="F65" s="50">
        <v>11</v>
      </c>
      <c r="G65" s="50">
        <v>68100</v>
      </c>
      <c r="H65" s="50">
        <v>2095315</v>
      </c>
      <c r="I65" s="50">
        <v>11497901</v>
      </c>
      <c r="J65" s="50">
        <v>28504</v>
      </c>
      <c r="K65" s="50">
        <v>0</v>
      </c>
      <c r="L65" s="50">
        <v>261556</v>
      </c>
      <c r="M65" s="50">
        <v>5461</v>
      </c>
      <c r="N65" s="50">
        <v>760549</v>
      </c>
    </row>
    <row r="66" spans="2:14">
      <c r="B66" s="50" t="s">
        <v>26</v>
      </c>
      <c r="C66" s="50">
        <v>1</v>
      </c>
      <c r="D66" s="50">
        <v>89</v>
      </c>
      <c r="E66" s="50">
        <v>0</v>
      </c>
      <c r="F66" s="50">
        <v>18</v>
      </c>
      <c r="G66" s="50">
        <v>55335</v>
      </c>
      <c r="H66" s="50">
        <v>1173109</v>
      </c>
      <c r="I66" s="50">
        <v>9661919</v>
      </c>
      <c r="J66" s="50">
        <v>3298</v>
      </c>
      <c r="K66" s="50">
        <v>0</v>
      </c>
      <c r="L66" s="50">
        <v>223964</v>
      </c>
      <c r="M66" s="50">
        <v>3616</v>
      </c>
      <c r="N66" s="50">
        <v>417577</v>
      </c>
    </row>
    <row r="67" spans="2:14">
      <c r="B67" s="50" t="s">
        <v>27</v>
      </c>
      <c r="C67" s="50">
        <v>6</v>
      </c>
      <c r="D67" s="50">
        <v>237</v>
      </c>
      <c r="E67" s="50">
        <v>8</v>
      </c>
      <c r="F67" s="50">
        <v>15</v>
      </c>
      <c r="G67" s="50">
        <v>132860</v>
      </c>
      <c r="H67" s="50">
        <v>2830161</v>
      </c>
      <c r="I67" s="50">
        <v>23631013</v>
      </c>
      <c r="J67" s="50">
        <v>87408</v>
      </c>
      <c r="K67" s="50">
        <v>0</v>
      </c>
      <c r="L67" s="50">
        <v>213302</v>
      </c>
      <c r="M67" s="50">
        <v>11556</v>
      </c>
      <c r="N67" s="50">
        <v>876163</v>
      </c>
    </row>
    <row r="68" spans="1:14">
      <c r="A68">
        <v>5053</v>
      </c>
      <c r="B68" s="50" t="s">
        <v>25</v>
      </c>
      <c r="C68" s="50">
        <v>7</v>
      </c>
      <c r="D68" s="50">
        <v>261</v>
      </c>
      <c r="E68" s="50">
        <v>6</v>
      </c>
      <c r="F68" s="50">
        <v>26</v>
      </c>
      <c r="G68" s="50">
        <v>141208</v>
      </c>
      <c r="H68" s="50">
        <v>3477158</v>
      </c>
      <c r="I68" s="50">
        <v>30817042</v>
      </c>
      <c r="J68" s="50">
        <v>138062</v>
      </c>
      <c r="K68" s="50">
        <v>0</v>
      </c>
      <c r="L68" s="50">
        <v>526656</v>
      </c>
      <c r="M68" s="50">
        <v>14980</v>
      </c>
      <c r="N68" s="50">
        <v>1022301</v>
      </c>
    </row>
    <row r="69" spans="2:14">
      <c r="B69" s="50" t="s">
        <v>26</v>
      </c>
      <c r="C69" s="50">
        <v>1</v>
      </c>
      <c r="D69" s="50">
        <v>62</v>
      </c>
      <c r="E69" s="50">
        <v>0</v>
      </c>
      <c r="F69" s="50">
        <v>15</v>
      </c>
      <c r="G69" s="50">
        <v>33717</v>
      </c>
      <c r="H69" s="50">
        <v>1313106</v>
      </c>
      <c r="I69" s="50">
        <v>8062245</v>
      </c>
      <c r="J69" s="50">
        <v>12726</v>
      </c>
      <c r="K69" s="50">
        <v>0</v>
      </c>
      <c r="L69" s="50">
        <v>138524</v>
      </c>
      <c r="M69" s="50">
        <v>3458</v>
      </c>
      <c r="N69" s="50">
        <v>421722</v>
      </c>
    </row>
    <row r="70" spans="2:14">
      <c r="B70" s="50" t="s">
        <v>27</v>
      </c>
      <c r="C70" s="50">
        <v>1</v>
      </c>
      <c r="D70" s="50">
        <v>72</v>
      </c>
      <c r="E70" s="50">
        <v>4</v>
      </c>
      <c r="F70" s="50">
        <v>19</v>
      </c>
      <c r="G70" s="50">
        <v>105862</v>
      </c>
      <c r="H70" s="50">
        <v>3096524</v>
      </c>
      <c r="I70" s="50">
        <v>21790360</v>
      </c>
      <c r="J70" s="50">
        <v>52528</v>
      </c>
      <c r="K70" s="50">
        <v>0</v>
      </c>
      <c r="L70" s="50">
        <v>386887</v>
      </c>
      <c r="M70" s="50">
        <v>8394</v>
      </c>
      <c r="N70" s="50">
        <v>1005607</v>
      </c>
    </row>
    <row r="71" spans="1:14">
      <c r="A71">
        <v>5054</v>
      </c>
      <c r="B71" s="50" t="s">
        <v>25</v>
      </c>
      <c r="C71" s="50">
        <v>6</v>
      </c>
      <c r="D71" s="50">
        <v>244</v>
      </c>
      <c r="E71" s="50">
        <v>6</v>
      </c>
      <c r="F71" s="50">
        <v>20</v>
      </c>
      <c r="G71" s="50">
        <v>139677</v>
      </c>
      <c r="H71" s="50">
        <v>3267707</v>
      </c>
      <c r="I71" s="50">
        <v>29373171</v>
      </c>
      <c r="J71" s="50">
        <v>119886</v>
      </c>
      <c r="K71" s="50">
        <v>0</v>
      </c>
      <c r="L71" s="50">
        <v>960411</v>
      </c>
      <c r="M71" s="50">
        <v>14020</v>
      </c>
      <c r="N71" s="50">
        <v>957676</v>
      </c>
    </row>
    <row r="72" spans="2:14">
      <c r="B72" s="50" t="s">
        <v>26</v>
      </c>
      <c r="C72" s="50">
        <v>1</v>
      </c>
      <c r="D72" s="50">
        <v>53</v>
      </c>
      <c r="E72" s="50">
        <v>0</v>
      </c>
      <c r="F72" s="50">
        <v>17</v>
      </c>
      <c r="G72" s="50">
        <v>40357</v>
      </c>
      <c r="H72" s="50">
        <v>1492587</v>
      </c>
      <c r="I72" s="50">
        <v>9764311</v>
      </c>
      <c r="J72" s="50">
        <v>9138</v>
      </c>
      <c r="K72" s="50">
        <v>0</v>
      </c>
      <c r="L72" s="50">
        <v>99077</v>
      </c>
      <c r="M72" s="50">
        <v>3624</v>
      </c>
      <c r="N72" s="50">
        <v>556261</v>
      </c>
    </row>
    <row r="73" spans="2:14">
      <c r="B73" s="50" t="s">
        <v>27</v>
      </c>
      <c r="C73" s="50">
        <v>2</v>
      </c>
      <c r="D73" s="50">
        <v>98</v>
      </c>
      <c r="E73" s="50">
        <v>2</v>
      </c>
      <c r="F73" s="50">
        <v>18</v>
      </c>
      <c r="G73" s="50">
        <v>93827</v>
      </c>
      <c r="H73" s="50">
        <v>2887101</v>
      </c>
      <c r="I73" s="50">
        <v>20110289</v>
      </c>
      <c r="J73" s="50">
        <v>99532</v>
      </c>
      <c r="K73" s="50">
        <v>0</v>
      </c>
      <c r="L73" s="50">
        <v>679737</v>
      </c>
      <c r="M73" s="50">
        <v>9873</v>
      </c>
      <c r="N73" s="50">
        <v>1031265</v>
      </c>
    </row>
    <row r="74" spans="1:14">
      <c r="A74">
        <v>5055</v>
      </c>
      <c r="B74" s="50" t="s">
        <v>25</v>
      </c>
      <c r="C74" s="50">
        <v>3</v>
      </c>
      <c r="D74" s="50">
        <v>104</v>
      </c>
      <c r="E74" s="50">
        <v>3</v>
      </c>
      <c r="F74" s="50">
        <v>10</v>
      </c>
      <c r="G74" s="50">
        <v>75243</v>
      </c>
      <c r="H74" s="50">
        <v>1619752</v>
      </c>
      <c r="I74" s="50">
        <v>9474598</v>
      </c>
      <c r="J74" s="50">
        <v>19020</v>
      </c>
      <c r="K74" s="50">
        <v>0</v>
      </c>
      <c r="L74" s="50">
        <v>214359</v>
      </c>
      <c r="M74" s="50">
        <v>4961</v>
      </c>
      <c r="N74" s="50">
        <v>509471</v>
      </c>
    </row>
    <row r="75" spans="2:14">
      <c r="B75" s="50" t="s">
        <v>26</v>
      </c>
      <c r="C75" s="50">
        <v>4</v>
      </c>
      <c r="D75" s="50">
        <v>214</v>
      </c>
      <c r="E75" s="50">
        <v>6</v>
      </c>
      <c r="F75" s="50">
        <v>19</v>
      </c>
      <c r="G75" s="50">
        <v>148999</v>
      </c>
      <c r="H75" s="50">
        <v>2445376</v>
      </c>
      <c r="I75" s="50">
        <v>20604671</v>
      </c>
      <c r="J75" s="50">
        <v>39652</v>
      </c>
      <c r="K75" s="50">
        <v>0</v>
      </c>
      <c r="L75" s="50">
        <v>340448</v>
      </c>
      <c r="M75" s="50">
        <v>9150</v>
      </c>
      <c r="N75" s="50">
        <v>732905</v>
      </c>
    </row>
    <row r="76" spans="2:14">
      <c r="B76" s="50" t="s">
        <v>27</v>
      </c>
      <c r="C76" s="50">
        <v>2</v>
      </c>
      <c r="D76" s="50">
        <v>77</v>
      </c>
      <c r="E76" s="50">
        <v>1</v>
      </c>
      <c r="F76" s="50">
        <v>9</v>
      </c>
      <c r="G76" s="50">
        <v>45622</v>
      </c>
      <c r="H76" s="50">
        <v>1059958</v>
      </c>
      <c r="I76" s="50">
        <v>5417363</v>
      </c>
      <c r="J76" s="50">
        <v>1728</v>
      </c>
      <c r="K76" s="50">
        <v>0</v>
      </c>
      <c r="L76" s="50">
        <v>131772</v>
      </c>
      <c r="M76" s="50">
        <v>2917</v>
      </c>
      <c r="N76" s="50">
        <v>322126</v>
      </c>
    </row>
    <row r="77" spans="1:14">
      <c r="A77">
        <v>5056</v>
      </c>
      <c r="B77" s="50" t="s">
        <v>25</v>
      </c>
      <c r="C77" s="50">
        <v>3</v>
      </c>
      <c r="D77" s="50">
        <v>105</v>
      </c>
      <c r="E77" s="50">
        <v>2</v>
      </c>
      <c r="F77" s="50">
        <v>24</v>
      </c>
      <c r="G77" s="50">
        <v>100949</v>
      </c>
      <c r="H77" s="50">
        <v>2529875</v>
      </c>
      <c r="I77" s="50">
        <v>20973524</v>
      </c>
      <c r="J77" s="50">
        <v>55414</v>
      </c>
      <c r="K77" s="50">
        <v>0</v>
      </c>
      <c r="L77" s="50">
        <v>198448</v>
      </c>
      <c r="M77" s="50">
        <v>8243</v>
      </c>
      <c r="N77" s="50">
        <v>800421</v>
      </c>
    </row>
    <row r="78" spans="2:14">
      <c r="B78" s="50" t="s">
        <v>26</v>
      </c>
      <c r="C78" s="50">
        <v>2</v>
      </c>
      <c r="D78" s="50">
        <v>115</v>
      </c>
      <c r="E78" s="50">
        <v>2</v>
      </c>
      <c r="F78" s="50">
        <v>19</v>
      </c>
      <c r="G78" s="50">
        <v>81144</v>
      </c>
      <c r="H78" s="50">
        <v>2822522</v>
      </c>
      <c r="I78" s="50">
        <v>17568824</v>
      </c>
      <c r="J78" s="50">
        <v>74772</v>
      </c>
      <c r="K78" s="50">
        <v>0</v>
      </c>
      <c r="L78" s="50">
        <v>155944</v>
      </c>
      <c r="M78" s="50">
        <v>8656</v>
      </c>
      <c r="N78" s="50">
        <v>858384</v>
      </c>
    </row>
    <row r="79" spans="2:14">
      <c r="B79" s="50" t="s">
        <v>27</v>
      </c>
      <c r="C79" s="50">
        <v>4</v>
      </c>
      <c r="D79" s="50">
        <v>175</v>
      </c>
      <c r="E79" s="50">
        <v>5</v>
      </c>
      <c r="F79" s="50">
        <v>15</v>
      </c>
      <c r="G79" s="50">
        <v>86929</v>
      </c>
      <c r="H79" s="50">
        <v>3041948</v>
      </c>
      <c r="I79" s="50">
        <v>19054859</v>
      </c>
      <c r="J79" s="50">
        <v>68960</v>
      </c>
      <c r="K79" s="50">
        <v>0</v>
      </c>
      <c r="L79" s="50">
        <v>341329</v>
      </c>
      <c r="M79" s="50">
        <v>9771</v>
      </c>
      <c r="N79" s="50">
        <v>970478</v>
      </c>
    </row>
    <row r="80" spans="1:14">
      <c r="A80">
        <v>5057</v>
      </c>
      <c r="B80" s="50" t="s">
        <v>25</v>
      </c>
      <c r="C80" s="50">
        <v>4</v>
      </c>
      <c r="D80" s="50">
        <v>122</v>
      </c>
      <c r="E80" s="50">
        <v>2</v>
      </c>
      <c r="F80" s="50">
        <v>10</v>
      </c>
      <c r="G80" s="50">
        <v>63756</v>
      </c>
      <c r="H80" s="50">
        <v>1973723</v>
      </c>
      <c r="I80" s="50">
        <v>9462937</v>
      </c>
      <c r="J80" s="50">
        <v>17224</v>
      </c>
      <c r="K80" s="50">
        <v>0</v>
      </c>
      <c r="L80" s="50">
        <v>290456</v>
      </c>
      <c r="M80" s="50">
        <v>5520</v>
      </c>
      <c r="N80" s="50">
        <v>612060</v>
      </c>
    </row>
    <row r="81" spans="2:14">
      <c r="B81" s="50" t="s">
        <v>26</v>
      </c>
      <c r="C81" s="50">
        <v>1</v>
      </c>
      <c r="D81" s="50">
        <v>152</v>
      </c>
      <c r="E81" s="50">
        <v>2</v>
      </c>
      <c r="F81" s="50">
        <v>21</v>
      </c>
      <c r="G81" s="50">
        <v>113785</v>
      </c>
      <c r="H81" s="50">
        <v>1768743</v>
      </c>
      <c r="I81" s="50">
        <v>17254843</v>
      </c>
      <c r="J81" s="50">
        <v>59026</v>
      </c>
      <c r="K81" s="50">
        <v>0</v>
      </c>
      <c r="L81" s="50">
        <v>516737</v>
      </c>
      <c r="M81" s="50">
        <v>7712</v>
      </c>
      <c r="N81" s="50">
        <v>647750</v>
      </c>
    </row>
    <row r="82" spans="2:14">
      <c r="B82" s="50" t="s">
        <v>27</v>
      </c>
      <c r="C82" s="50">
        <v>4</v>
      </c>
      <c r="D82" s="50">
        <v>121</v>
      </c>
      <c r="E82" s="50">
        <v>5</v>
      </c>
      <c r="F82" s="50">
        <v>22</v>
      </c>
      <c r="G82" s="50">
        <v>123713</v>
      </c>
      <c r="H82" s="50">
        <v>2081311</v>
      </c>
      <c r="I82" s="50">
        <v>19050576</v>
      </c>
      <c r="J82" s="50">
        <v>25594</v>
      </c>
      <c r="K82" s="50">
        <v>0</v>
      </c>
      <c r="L82" s="50">
        <v>614277</v>
      </c>
      <c r="M82" s="50">
        <v>7289</v>
      </c>
      <c r="N82" s="50">
        <v>628990</v>
      </c>
    </row>
    <row r="83" spans="1:14">
      <c r="A83">
        <v>5058</v>
      </c>
      <c r="B83" s="50" t="s">
        <v>25</v>
      </c>
      <c r="C83" s="50">
        <v>2</v>
      </c>
      <c r="D83" s="50">
        <v>73</v>
      </c>
      <c r="E83" s="50">
        <v>1</v>
      </c>
      <c r="F83" s="50">
        <v>18</v>
      </c>
      <c r="G83" s="50">
        <v>86359</v>
      </c>
      <c r="H83" s="50">
        <v>1600575</v>
      </c>
      <c r="I83" s="50">
        <v>15038363</v>
      </c>
      <c r="J83" s="50">
        <v>5852</v>
      </c>
      <c r="K83" s="50">
        <v>0</v>
      </c>
      <c r="L83" s="50">
        <v>146500</v>
      </c>
      <c r="M83" s="50">
        <v>4715</v>
      </c>
      <c r="N83" s="50">
        <v>510119</v>
      </c>
    </row>
    <row r="84" spans="2:14">
      <c r="B84" s="50" t="s">
        <v>26</v>
      </c>
      <c r="C84" s="50">
        <v>4</v>
      </c>
      <c r="D84" s="50">
        <v>191</v>
      </c>
      <c r="E84" s="50">
        <v>4</v>
      </c>
      <c r="F84" s="50">
        <v>21</v>
      </c>
      <c r="G84" s="50">
        <v>110722</v>
      </c>
      <c r="H84" s="50">
        <v>2647159</v>
      </c>
      <c r="I84" s="50">
        <v>21785503</v>
      </c>
      <c r="J84" s="50">
        <v>85662</v>
      </c>
      <c r="K84" s="50">
        <v>0</v>
      </c>
      <c r="L84" s="50">
        <v>334264</v>
      </c>
      <c r="M84" s="50">
        <v>10426</v>
      </c>
      <c r="N84" s="50">
        <v>652165</v>
      </c>
    </row>
    <row r="85" spans="2:14">
      <c r="B85" s="50" t="s">
        <v>27</v>
      </c>
      <c r="C85" s="50">
        <v>3</v>
      </c>
      <c r="D85" s="50">
        <v>131</v>
      </c>
      <c r="E85" s="50">
        <v>4</v>
      </c>
      <c r="F85" s="50">
        <v>19</v>
      </c>
      <c r="G85" s="50">
        <v>102965</v>
      </c>
      <c r="H85" s="50">
        <v>2561265</v>
      </c>
      <c r="I85" s="50">
        <v>20129908</v>
      </c>
      <c r="J85" s="50">
        <v>75720</v>
      </c>
      <c r="K85" s="50">
        <v>0</v>
      </c>
      <c r="L85" s="50">
        <v>248176</v>
      </c>
      <c r="M85" s="50">
        <v>9094</v>
      </c>
      <c r="N85" s="50">
        <v>651243</v>
      </c>
    </row>
    <row r="86" spans="1:14">
      <c r="A86">
        <v>5059</v>
      </c>
      <c r="B86" s="50" t="s">
        <v>25</v>
      </c>
      <c r="C86" s="50">
        <v>6</v>
      </c>
      <c r="D86" s="50">
        <v>278</v>
      </c>
      <c r="E86" s="50">
        <v>8</v>
      </c>
      <c r="F86" s="50">
        <v>22</v>
      </c>
      <c r="G86" s="50">
        <v>133618</v>
      </c>
      <c r="H86" s="50">
        <v>2089876</v>
      </c>
      <c r="I86" s="50">
        <v>22045604</v>
      </c>
      <c r="J86" s="50">
        <v>40936</v>
      </c>
      <c r="K86" s="50">
        <v>0</v>
      </c>
      <c r="L86" s="50">
        <v>319224</v>
      </c>
      <c r="M86" s="50">
        <v>9730</v>
      </c>
      <c r="N86" s="50">
        <v>515389</v>
      </c>
    </row>
    <row r="87" spans="2:14">
      <c r="B87" s="50" t="s">
        <v>26</v>
      </c>
      <c r="C87" s="50">
        <v>2</v>
      </c>
      <c r="D87" s="50">
        <v>80</v>
      </c>
      <c r="E87" s="50">
        <v>1</v>
      </c>
      <c r="F87" s="50">
        <v>14</v>
      </c>
      <c r="G87" s="50">
        <v>70608</v>
      </c>
      <c r="H87" s="50">
        <v>1669921</v>
      </c>
      <c r="I87" s="50">
        <v>10342965</v>
      </c>
      <c r="J87" s="50">
        <v>9908</v>
      </c>
      <c r="K87" s="50">
        <v>0</v>
      </c>
      <c r="L87" s="50">
        <v>215833</v>
      </c>
      <c r="M87" s="50">
        <v>4462</v>
      </c>
      <c r="N87" s="50">
        <v>519772</v>
      </c>
    </row>
    <row r="88" spans="2:14">
      <c r="B88" s="50" t="s">
        <v>27</v>
      </c>
      <c r="C88" s="50">
        <v>1</v>
      </c>
      <c r="D88" s="50">
        <v>37</v>
      </c>
      <c r="E88" s="50">
        <v>1</v>
      </c>
      <c r="F88" s="50">
        <v>12</v>
      </c>
      <c r="G88" s="50">
        <v>63660</v>
      </c>
      <c r="H88" s="50">
        <v>1497845</v>
      </c>
      <c r="I88" s="50">
        <v>8906395</v>
      </c>
      <c r="J88" s="50">
        <v>14572</v>
      </c>
      <c r="K88" s="50">
        <v>0</v>
      </c>
      <c r="L88" s="50">
        <v>82774</v>
      </c>
      <c r="M88" s="50">
        <v>3655</v>
      </c>
      <c r="N88" s="50">
        <v>458141</v>
      </c>
    </row>
    <row r="89" spans="1:14">
      <c r="A89">
        <v>5060</v>
      </c>
      <c r="B89" s="50" t="s">
        <v>25</v>
      </c>
      <c r="C89" s="50">
        <v>3</v>
      </c>
      <c r="D89" s="50">
        <v>119</v>
      </c>
      <c r="E89" s="50">
        <v>1</v>
      </c>
      <c r="F89" s="50">
        <v>18</v>
      </c>
      <c r="G89" s="50">
        <v>71236</v>
      </c>
      <c r="H89" s="50">
        <v>2059929</v>
      </c>
      <c r="I89" s="50">
        <v>13586825</v>
      </c>
      <c r="J89" s="50">
        <v>30482</v>
      </c>
      <c r="K89" s="50">
        <v>0</v>
      </c>
      <c r="L89" s="50">
        <v>191388</v>
      </c>
      <c r="M89" s="50">
        <v>6274</v>
      </c>
      <c r="N89" s="50">
        <v>636199</v>
      </c>
    </row>
    <row r="90" spans="2:14">
      <c r="B90" s="50" t="s">
        <v>26</v>
      </c>
      <c r="C90" s="50">
        <v>3</v>
      </c>
      <c r="D90" s="50">
        <v>155</v>
      </c>
      <c r="E90" s="50">
        <v>5</v>
      </c>
      <c r="F90" s="50">
        <v>16</v>
      </c>
      <c r="G90" s="50">
        <v>93696</v>
      </c>
      <c r="H90" s="50">
        <v>2440495</v>
      </c>
      <c r="I90" s="50">
        <v>17996475</v>
      </c>
      <c r="J90" s="50">
        <v>47542</v>
      </c>
      <c r="K90" s="50">
        <v>0</v>
      </c>
      <c r="L90" s="50">
        <v>147020</v>
      </c>
      <c r="M90" s="50">
        <v>8058</v>
      </c>
      <c r="N90" s="50">
        <v>710351</v>
      </c>
    </row>
    <row r="91" spans="2:14">
      <c r="B91" s="50" t="s">
        <v>27</v>
      </c>
      <c r="C91" s="50">
        <v>3</v>
      </c>
      <c r="D91" s="50">
        <v>121</v>
      </c>
      <c r="E91" s="50">
        <v>3</v>
      </c>
      <c r="F91" s="50">
        <v>25</v>
      </c>
      <c r="G91" s="50">
        <v>113958</v>
      </c>
      <c r="H91" s="50">
        <v>2575733</v>
      </c>
      <c r="I91" s="50">
        <v>21909286</v>
      </c>
      <c r="J91" s="50">
        <v>52666</v>
      </c>
      <c r="K91" s="50">
        <v>0</v>
      </c>
      <c r="L91" s="50">
        <v>232895</v>
      </c>
      <c r="M91" s="50">
        <v>8542</v>
      </c>
      <c r="N91" s="50">
        <v>728134</v>
      </c>
    </row>
  </sheetData>
  <conditionalFormatting sqref="F38:F40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{369ee137-c567-4728-9be8-a75978fa367c}</x14:id>
        </ext>
      </extLst>
    </cfRule>
  </conditionalFormatting>
  <conditionalFormatting sqref="F41:F4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{e5f9ead9-a0b9-41f5-a3ce-c8b94c957371}</x14:id>
        </ext>
      </extLst>
    </cfRule>
  </conditionalFormatting>
  <conditionalFormatting sqref="F44:F46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{62c5ed6f-ce25-4e9b-a308-6fe24ed35444}</x14:id>
        </ext>
      </extLst>
    </cfRule>
  </conditionalFormatting>
  <conditionalFormatting sqref="F47:F4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{11846da8-14a6-44b0-8620-5669268386bc}</x14:id>
        </ext>
      </extLst>
    </cfRule>
  </conditionalFormatting>
  <conditionalFormatting sqref="F50:F52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{5c1d00a6-39e5-4091-913d-faba79bec90e}</x14:id>
        </ext>
      </extLst>
    </cfRule>
  </conditionalFormatting>
  <conditionalFormatting sqref="G38:G40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{10c36f21-261b-47dd-9d69-b8802c4f481e}</x14:id>
        </ext>
      </extLst>
    </cfRule>
  </conditionalFormatting>
  <conditionalFormatting sqref="G41:G43">
    <cfRule type="dataBar" priority="2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{ea5dc9cd-bcba-4161-ab90-5ffbc2ec6597}</x14:id>
        </ext>
      </extLst>
    </cfRule>
  </conditionalFormatting>
  <conditionalFormatting sqref="G44:G46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{547cde6f-cb2e-4ac9-bfbe-023f15cf8ae3}</x14:id>
        </ext>
      </extLst>
    </cfRule>
  </conditionalFormatting>
  <conditionalFormatting sqref="G47:G49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{b1ccef4f-0f7d-48a0-9a6e-4b08e7b7d94e}</x14:id>
        </ext>
      </extLst>
    </cfRule>
  </conditionalFormatting>
  <conditionalFormatting sqref="G50:G52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{c4899cdb-e1cc-4885-8289-de86aa174ab0}</x14:id>
        </ext>
      </extLst>
    </cfRule>
  </conditionalFormatting>
  <conditionalFormatting sqref="N44:N46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{12ea86c3-3a99-42c8-9db0-3f83b7634fcb}</x14:id>
        </ext>
      </extLst>
    </cfRule>
  </conditionalFormatting>
  <conditionalFormatting sqref="N50:N52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{514d857a-f4ca-47b6-89b3-cb38cb5cffbd}</x14:id>
        </ext>
      </extLst>
    </cfRule>
  </conditionalFormatting>
  <conditionalFormatting sqref="O2:O22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{44b2dd29-0af9-4840-a224-b604ff33a640}</x14:id>
        </ext>
      </extLst>
    </cfRule>
  </conditionalFormatting>
  <conditionalFormatting sqref="O23:O31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{5433f130-8c17-47cc-8be9-c64452c5fb01}</x14:id>
        </ext>
      </extLst>
    </cfRule>
  </conditionalFormatting>
  <conditionalFormatting sqref="O32:O34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{ff22c66d-65d8-4682-b369-0b43e6e1b4e5}</x14:id>
        </ext>
      </extLst>
    </cfRule>
  </conditionalFormatting>
  <conditionalFormatting sqref="P2:P22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{ea3fd7e4-d4c7-43c5-b333-1075181534e0}</x14:id>
        </ext>
      </extLst>
    </cfRule>
  </conditionalFormatting>
  <conditionalFormatting sqref="P23:P31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{6fc133cb-24ce-46e5-8a3d-70b6358ead4a}</x14:id>
        </ext>
      </extLst>
    </cfRule>
  </conditionalFormatting>
  <conditionalFormatting sqref="P32:P34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{77179dd1-8c62-4584-bb3a-e94090d1eabf}</x14:id>
        </ext>
      </extLst>
    </cfRule>
  </conditionalFormatting>
  <conditionalFormatting sqref="P38:P48">
    <cfRule type="cellIs" dxfId="37" priority="14" operator="equal">
      <formula>$S$38</formula>
    </cfRule>
  </conditionalFormatting>
  <conditionalFormatting sqref="Q2:Q34">
    <cfRule type="cellIs" dxfId="38" priority="21" operator="equal">
      <formula>配置!$D$4</formula>
    </cfRule>
    <cfRule type="cellIs" dxfId="39" priority="22" operator="equal">
      <formula>配置!$D$3</formula>
    </cfRule>
    <cfRule type="cellIs" dxfId="37" priority="23" operator="equal">
      <formula>配置!$D$2</formula>
    </cfRule>
  </conditionalFormatting>
  <conditionalFormatting sqref="Q32:Q34">
    <cfRule type="cellIs" dxfId="38" priority="3" operator="equal">
      <formula>配置!$D$4</formula>
    </cfRule>
    <cfRule type="cellIs" dxfId="39" priority="4" operator="equal">
      <formula>配置!$D$3</formula>
    </cfRule>
    <cfRule type="cellIs" dxfId="37" priority="5" operator="equal">
      <formula>配置!$D$2</formula>
    </cfRule>
    <cfRule type="cellIs" dxfId="38" priority="6" operator="equal">
      <formula>配置!$D$4</formula>
    </cfRule>
    <cfRule type="cellIs" dxfId="37" priority="7" operator="equal">
      <formula>配置!$D$2</formula>
    </cfRule>
  </conditionalFormatting>
  <conditionalFormatting sqref="R38:R42">
    <cfRule type="cellIs" dxfId="37" priority="15" operator="equal">
      <formula>$S$38</formula>
    </cfRule>
  </conditionalFormatting>
  <conditionalFormatting sqref="O35:O36 Q1:R1 Q2 Q4:Q5 Q7:Q8 Q10:Q11 Q13:Q14 Q16:Q17 Q19:Q23 Q25:Q31">
    <cfRule type="cellIs" dxfId="37" priority="31" operator="equal">
      <formula>配置!$D$2</formula>
    </cfRule>
  </conditionalFormatting>
  <conditionalFormatting sqref="Q2 Q4:Q5 Q7:Q8 Q10:Q11 Q13:Q14 Q16:Q17 Q19:Q23 Q25:Q31">
    <cfRule type="cellIs" dxfId="38" priority="30" operator="equal">
      <formula>配置!$D$4</formula>
    </cfRule>
  </conditionalFormatting>
  <conditionalFormatting sqref="N38:N43 N47:N49">
    <cfRule type="dataBar" priority="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{757bc5a2-7615-4a9a-ba3c-cb3f87365e8d}</x14:id>
        </ext>
      </extLst>
    </cfRule>
  </conditionalFormatting>
  <dataValidations count="1">
    <dataValidation type="list" allowBlank="1" showInputMessage="1" showErrorMessage="1" sqref="Q2:Q34">
      <formula1>配置!$D$2:$D$4</formula1>
    </dataValidation>
  </dataValidations>
  <pageMargins left="0.7" right="0.7" top="0.75" bottom="0.75" header="0.3" footer="0.3"/>
  <pageSetup paperSize="9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69ee137-c567-4728-9be8-a75978fa36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F38:F40</xm:sqref>
        </x14:conditionalFormatting>
        <x14:conditionalFormatting xmlns:xm="http://schemas.microsoft.com/office/excel/2006/main">
          <x14:cfRule type="dataBar" id="{e5f9ead9-a0b9-41f5-a3ce-c8b94c9573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F41:F43</xm:sqref>
        </x14:conditionalFormatting>
        <x14:conditionalFormatting xmlns:xm="http://schemas.microsoft.com/office/excel/2006/main">
          <x14:cfRule type="dataBar" id="{62c5ed6f-ce25-4e9b-a308-6fe24ed354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F44:F46</xm:sqref>
        </x14:conditionalFormatting>
        <x14:conditionalFormatting xmlns:xm="http://schemas.microsoft.com/office/excel/2006/main">
          <x14:cfRule type="dataBar" id="{11846da8-14a6-44b0-8620-5669268386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F47:F49</xm:sqref>
        </x14:conditionalFormatting>
        <x14:conditionalFormatting xmlns:xm="http://schemas.microsoft.com/office/excel/2006/main">
          <x14:cfRule type="dataBar" id="{5c1d00a6-39e5-4091-913d-faba79bec9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F50:F52</xm:sqref>
        </x14:conditionalFormatting>
        <x14:conditionalFormatting xmlns:xm="http://schemas.microsoft.com/office/excel/2006/main">
          <x14:cfRule type="dataBar" id="{10c36f21-261b-47dd-9d69-b8802c4f48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G38:G40</xm:sqref>
        </x14:conditionalFormatting>
        <x14:conditionalFormatting xmlns:xm="http://schemas.microsoft.com/office/excel/2006/main">
          <x14:cfRule type="dataBar" id="{ea5dc9cd-bcba-4161-ab90-5ffbc2ec65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G41:G43</xm:sqref>
        </x14:conditionalFormatting>
        <x14:conditionalFormatting xmlns:xm="http://schemas.microsoft.com/office/excel/2006/main">
          <x14:cfRule type="dataBar" id="{547cde6f-cb2e-4ac9-bfbe-023f15cf8a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G44:G46</xm:sqref>
        </x14:conditionalFormatting>
        <x14:conditionalFormatting xmlns:xm="http://schemas.microsoft.com/office/excel/2006/main">
          <x14:cfRule type="dataBar" id="{b1ccef4f-0f7d-48a0-9a6e-4b08e7b7d9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G47:G49</xm:sqref>
        </x14:conditionalFormatting>
        <x14:conditionalFormatting xmlns:xm="http://schemas.microsoft.com/office/excel/2006/main">
          <x14:cfRule type="dataBar" id="{c4899cdb-e1cc-4885-8289-de86aa174a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G50:G52</xm:sqref>
        </x14:conditionalFormatting>
        <x14:conditionalFormatting xmlns:xm="http://schemas.microsoft.com/office/excel/2006/main">
          <x14:cfRule type="dataBar" id="{12ea86c3-3a99-42c8-9db0-3f83b7634f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N44:N46</xm:sqref>
        </x14:conditionalFormatting>
        <x14:conditionalFormatting xmlns:xm="http://schemas.microsoft.com/office/excel/2006/main">
          <x14:cfRule type="dataBar" id="{514d857a-f4ca-47b6-89b3-cb38cb5cff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N50:N52</xm:sqref>
        </x14:conditionalFormatting>
        <x14:conditionalFormatting xmlns:xm="http://schemas.microsoft.com/office/excel/2006/main">
          <x14:cfRule type="dataBar" id="{44b2dd29-0af9-4840-a224-b604ff33a6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O2:O22</xm:sqref>
        </x14:conditionalFormatting>
        <x14:conditionalFormatting xmlns:xm="http://schemas.microsoft.com/office/excel/2006/main">
          <x14:cfRule type="dataBar" id="{5433f130-8c17-47cc-8be9-c64452c5fb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O23:O31</xm:sqref>
        </x14:conditionalFormatting>
        <x14:conditionalFormatting xmlns:xm="http://schemas.microsoft.com/office/excel/2006/main">
          <x14:cfRule type="dataBar" id="{ff22c66d-65d8-4682-b369-0b43e6e1b4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O32:O34</xm:sqref>
        </x14:conditionalFormatting>
        <x14:conditionalFormatting xmlns:xm="http://schemas.microsoft.com/office/excel/2006/main">
          <x14:cfRule type="dataBar" id="{ea3fd7e4-d4c7-43c5-b333-1075181534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P2:P22</xm:sqref>
        </x14:conditionalFormatting>
        <x14:conditionalFormatting xmlns:xm="http://schemas.microsoft.com/office/excel/2006/main">
          <x14:cfRule type="dataBar" id="{6fc133cb-24ce-46e5-8a3d-70b6358ead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P23:P31</xm:sqref>
        </x14:conditionalFormatting>
        <x14:conditionalFormatting xmlns:xm="http://schemas.microsoft.com/office/excel/2006/main">
          <x14:cfRule type="dataBar" id="{77179dd1-8c62-4584-bb3a-e94090d1ea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P32:P34</xm:sqref>
        </x14:conditionalFormatting>
        <x14:conditionalFormatting xmlns:xm="http://schemas.microsoft.com/office/excel/2006/main">
          <x14:cfRule type="dataBar" id="{757bc5a2-7615-4a9a-ba3c-cb3f87365e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N38:N43 N47:N49</xm:sqref>
        </x14:conditionalFormatting>
      </x14:conditionalFormatting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6"/>
  <sheetViews>
    <sheetView workbookViewId="0">
      <selection activeCell="J22" sqref="J22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1">
        <v>5061</v>
      </c>
      <c r="B2" s="371">
        <f>VLOOKUP(表1_86121822242670[[#This Row],[区服]],$P$32:$Q$44,2,FALSE)</f>
        <v>47</v>
      </c>
      <c r="C2" s="372" t="s">
        <v>132</v>
      </c>
      <c r="D2" s="373" t="str">
        <f>表1_86121822242670[[#This Row],[目标国家]]</f>
        <v>魏</v>
      </c>
      <c r="E2" s="374">
        <f>(VLOOKUP(表1_86121822242670[[#This Row],[目标区服]],$R$32:$S$35,2,FALSE)-表1_86121822242670[[#This Row],[开服天数]])*配置!$B$1</f>
        <v>1000</v>
      </c>
      <c r="F2" s="374">
        <f>表1_86121822242670[[#This Row],[补偿Coin]]*(表1_86121822242670[[#This Row],[活跃高战玩家数]]+表1_86121822242670[[#This Row],[活跃中坚玩家数]])</f>
        <v>27000</v>
      </c>
      <c r="G2" s="374">
        <f>(VLOOKUP(表1_86121822242670[[#This Row],[目标区服]],$R$32:$S$35,2,FALSE)-表1_86121822242670[[#This Row],[开服天数]])*配置!$B$2</f>
        <v>10</v>
      </c>
      <c r="H2" s="376" t="s">
        <v>25</v>
      </c>
      <c r="I2" s="376">
        <f>IF(表1_86121822242670[[#This Row],[原国家]]="魏",0,IF(表1_86121822242670[[#This Row],[原国家]]="蜀",1,2))</f>
        <v>0</v>
      </c>
      <c r="J2" s="380">
        <v>9</v>
      </c>
      <c r="K2" s="380">
        <v>321</v>
      </c>
      <c r="L2" s="380">
        <v>8</v>
      </c>
      <c r="M2" s="380">
        <v>19</v>
      </c>
      <c r="N2" s="380">
        <v>156038</v>
      </c>
      <c r="O2" s="380">
        <v>3289702</v>
      </c>
      <c r="P2" s="381">
        <v>27103634</v>
      </c>
      <c r="Q2" s="493" t="s">
        <v>25</v>
      </c>
      <c r="R2" s="376">
        <f>IF(表1_86121822242670[[#This Row],[目标国家]]="魏",0,IF(表1_86121822242670[[#This Row],[目标国家]]="蜀",1,2))</f>
        <v>0</v>
      </c>
      <c r="S2" s="380">
        <v>109698</v>
      </c>
      <c r="T2" s="380">
        <v>0</v>
      </c>
      <c r="U2" s="380">
        <v>442222</v>
      </c>
      <c r="V2" s="380">
        <v>14402</v>
      </c>
      <c r="W2" s="374">
        <v>893134</v>
      </c>
      <c r="X2" s="387" t="str">
        <f>"{"&amp;"'coin':"&amp;表1_86121822242670[[#This Row],[补偿Coin]]&amp;",'"&amp;配置!$A$2&amp;"':"&amp;表1_86121822242670[[#This Row],[补偿辎重]]&amp;"},"</f>
        <v>{'coin':1000,'item036':10},</v>
      </c>
      <c r="Y2" s="388" t="str">
        <f>"      '"&amp;表1_86121822242670[[#This Row],[区服]]&amp;"':{"</f>
        <v>      '5061':{</v>
      </c>
    </row>
    <row r="3" s="354" customFormat="1" ht="14.25" customHeight="1" spans="1:25">
      <c r="A3" s="371">
        <v>5061</v>
      </c>
      <c r="B3" s="371">
        <f>VLOOKUP(表1_86121822242670[[#This Row],[区服]],$P$32:$Q$44,2,FALSE)</f>
        <v>47</v>
      </c>
      <c r="C3" s="372" t="s">
        <v>132</v>
      </c>
      <c r="D3" s="376" t="str">
        <f>表1_86121822242670[[#This Row],[目标国家]]</f>
        <v>蜀</v>
      </c>
      <c r="E3" s="380">
        <f>(VLOOKUP(表1_86121822242670[[#This Row],[目标区服]],$R$32:$S$35,2,FALSE)-表1_86121822242670[[#This Row],[开服天数]])*配置!$B$1</f>
        <v>1000</v>
      </c>
      <c r="F3" s="380">
        <f>表1_86121822242670[[#This Row],[补偿Coin]]*(表1_86121822242670[[#This Row],[活跃高战玩家数]]+表1_86121822242670[[#This Row],[活跃中坚玩家数]])</f>
        <v>11000</v>
      </c>
      <c r="G3" s="380">
        <f>(VLOOKUP(表1_86121822242670[[#This Row],[目标区服]],$R$32:$S$35,2,FALSE)-表1_86121822242670[[#This Row],[开服天数]])*配置!$B$2</f>
        <v>10</v>
      </c>
      <c r="H3" s="376" t="s">
        <v>26</v>
      </c>
      <c r="I3" s="376">
        <f>IF(表1_86121822242670[[#This Row],[原国家]]="魏",0,IF(表1_86121822242670[[#This Row],[原国家]]="蜀",1,2))</f>
        <v>1</v>
      </c>
      <c r="J3" s="380">
        <v>0</v>
      </c>
      <c r="K3" s="380">
        <v>47</v>
      </c>
      <c r="L3" s="380">
        <v>2</v>
      </c>
      <c r="M3" s="380">
        <v>9</v>
      </c>
      <c r="N3" s="380">
        <v>48376</v>
      </c>
      <c r="O3" s="380">
        <v>1740925</v>
      </c>
      <c r="P3" s="381">
        <v>7820354</v>
      </c>
      <c r="Q3" s="493" t="s">
        <v>26</v>
      </c>
      <c r="R3" s="376">
        <f>IF(表1_86121822242670[[#This Row],[目标国家]]="魏",0,IF(表1_86121822242670[[#This Row],[目标国家]]="蜀",1,2))</f>
        <v>1</v>
      </c>
      <c r="S3" s="380">
        <v>33416</v>
      </c>
      <c r="T3" s="380">
        <v>0</v>
      </c>
      <c r="U3" s="380">
        <v>159951</v>
      </c>
      <c r="V3" s="380">
        <v>4317</v>
      </c>
      <c r="W3" s="374">
        <v>632180</v>
      </c>
      <c r="X3" s="387" t="str">
        <f>"{"&amp;"'coin':"&amp;表1_86121822242670[[#This Row],[补偿Coin]]&amp;",'"&amp;配置!$A$2&amp;"':"&amp;表1_86121822242670[[#This Row],[补偿辎重]]&amp;"},"</f>
        <v>{'coin':1000,'item036':10},</v>
      </c>
      <c r="Y3" s="388" t="str">
        <f>"            'to_zone':'"&amp;表1_86121822242670[[#This Row],[目标区服]]&amp;"',
            'reward':"&amp;表1_86121822242670[[#This Row],[辅助导出]]&amp;"
            'country':["&amp;R2&amp;","&amp;R3&amp;","&amp;R4&amp;"],"</f>
        <v>            'to_zone':'h1_528',
            'reward':{'coin':1000,'item036':10},
            'country':[0,1,0],</v>
      </c>
    </row>
    <row r="4" s="354" customFormat="1" ht="14.25" customHeight="1" spans="1:25">
      <c r="A4" s="371">
        <v>5061</v>
      </c>
      <c r="B4" s="371">
        <f>VLOOKUP(表1_86121822242670[[#This Row],[区服]],$P$32:$Q$44,2,FALSE)</f>
        <v>47</v>
      </c>
      <c r="C4" s="372" t="s">
        <v>132</v>
      </c>
      <c r="D4" s="376" t="str">
        <f>表1_86121822242670[[#This Row],[目标国家]]</f>
        <v>魏</v>
      </c>
      <c r="E4" s="380">
        <f>(VLOOKUP(表1_86121822242670[[#This Row],[目标区服]],$R$32:$S$35,2,FALSE)-表1_86121822242670[[#This Row],[开服天数]])*配置!$B$1</f>
        <v>1000</v>
      </c>
      <c r="F4" s="380">
        <f>表1_86121822242670[[#This Row],[补偿Coin]]*(表1_86121822242670[[#This Row],[活跃高战玩家数]]+表1_86121822242670[[#This Row],[活跃中坚玩家数]])</f>
        <v>9000</v>
      </c>
      <c r="G4" s="380">
        <f>(VLOOKUP(表1_86121822242670[[#This Row],[目标区服]],$R$32:$S$35,2,FALSE)-表1_86121822242670[[#This Row],[开服天数]])*配置!$B$2</f>
        <v>10</v>
      </c>
      <c r="H4" s="376" t="s">
        <v>27</v>
      </c>
      <c r="I4" s="376">
        <f>IF(表1_86121822242670[[#This Row],[原国家]]="魏",0,IF(表1_86121822242670[[#This Row],[原国家]]="蜀",1,2))</f>
        <v>2</v>
      </c>
      <c r="J4" s="380">
        <v>0</v>
      </c>
      <c r="K4" s="380">
        <v>27</v>
      </c>
      <c r="L4" s="380">
        <v>0</v>
      </c>
      <c r="M4" s="380">
        <v>9</v>
      </c>
      <c r="N4" s="380">
        <v>37347</v>
      </c>
      <c r="O4" s="380">
        <v>1205874</v>
      </c>
      <c r="P4" s="381">
        <v>5400366</v>
      </c>
      <c r="Q4" s="493" t="s">
        <v>25</v>
      </c>
      <c r="R4" s="376">
        <f>IF(表1_86121822242670[[#This Row],[目标国家]]="魏",0,IF(表1_86121822242670[[#This Row],[目标国家]]="蜀",1,2))</f>
        <v>0</v>
      </c>
      <c r="S4" s="380">
        <v>12784</v>
      </c>
      <c r="T4" s="380">
        <v>0</v>
      </c>
      <c r="U4" s="380">
        <v>166675</v>
      </c>
      <c r="V4" s="380">
        <v>2669</v>
      </c>
      <c r="W4" s="374">
        <v>478361</v>
      </c>
      <c r="X4" s="387" t="str">
        <f>"{"&amp;"'coin':"&amp;表1_86121822242670[[#This Row],[补偿Coin]]&amp;",'"&amp;配置!$A$2&amp;"':"&amp;表1_86121822242670[[#This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1">
        <v>5062</v>
      </c>
      <c r="B5" s="371">
        <f>VLOOKUP(表1_86121822242670[[#This Row],[区服]],$P$32:$Q$44,2,FALSE)</f>
        <v>46</v>
      </c>
      <c r="C5" s="372" t="s">
        <v>132</v>
      </c>
      <c r="D5" s="376" t="str">
        <f>表1_86121822242670[[#This Row],[目标国家]]</f>
        <v>蜀</v>
      </c>
      <c r="E5" s="380">
        <f>(VLOOKUP(表1_86121822242670[[#This Row],[目标区服]],$R$32:$S$35,2,FALSE)-表1_86121822242670[[#This Row],[开服天数]])*配置!$B$1</f>
        <v>1500</v>
      </c>
      <c r="F5" s="380">
        <f>表1_86121822242670[[#This Row],[补偿Coin]]*(表1_86121822242670[[#This Row],[活跃高战玩家数]]+表1_86121822242670[[#This Row],[活跃中坚玩家数]])</f>
        <v>19500</v>
      </c>
      <c r="G5" s="380">
        <f>(VLOOKUP(表1_86121822242670[[#This Row],[目标区服]],$R$32:$S$35,2,FALSE)-表1_86121822242670[[#This Row],[开服天数]])*配置!$B$2</f>
        <v>15</v>
      </c>
      <c r="H5" s="376" t="s">
        <v>25</v>
      </c>
      <c r="I5" s="376">
        <f>IF(表1_86121822242670[[#This Row],[原国家]]="魏",0,IF(表1_86121822242670[[#This Row],[原国家]]="蜀",1,2))</f>
        <v>0</v>
      </c>
      <c r="J5" s="380">
        <v>0</v>
      </c>
      <c r="K5" s="380">
        <v>77</v>
      </c>
      <c r="L5" s="380">
        <v>2</v>
      </c>
      <c r="M5" s="380">
        <v>11</v>
      </c>
      <c r="N5" s="380">
        <v>45172</v>
      </c>
      <c r="O5" s="380">
        <v>1218237</v>
      </c>
      <c r="P5" s="381">
        <v>6773532</v>
      </c>
      <c r="Q5" s="493" t="s">
        <v>26</v>
      </c>
      <c r="R5" s="376">
        <f>IF(表1_86121822242670[[#This Row],[目标国家]]="魏",0,IF(表1_86121822242670[[#This Row],[目标国家]]="蜀",1,2))</f>
        <v>1</v>
      </c>
      <c r="S5" s="380">
        <v>9648</v>
      </c>
      <c r="T5" s="380">
        <v>0</v>
      </c>
      <c r="U5" s="380">
        <v>244373</v>
      </c>
      <c r="V5" s="380">
        <v>3303</v>
      </c>
      <c r="W5" s="374">
        <v>357121</v>
      </c>
      <c r="X5" s="387" t="str">
        <f>"{"&amp;"'coin':"&amp;表1_86121822242670[[#This Row],[补偿Coin]]&amp;",'"&amp;配置!$A$2&amp;"':"&amp;表1_86121822242670[[#This Row],[补偿辎重]]&amp;"},"</f>
        <v>{'coin':1500,'item036':15},</v>
      </c>
      <c r="Y5" s="388" t="str">
        <f>"      '"&amp;表1_86121822242670[[#This Row],[区服]]&amp;"':{"</f>
        <v>      '5062':{</v>
      </c>
    </row>
    <row r="6" s="354" customFormat="1" ht="14.25" customHeight="1" spans="1:25">
      <c r="A6" s="371">
        <v>5062</v>
      </c>
      <c r="B6" s="371">
        <f>VLOOKUP(表1_86121822242670[[#This Row],[区服]],$P$32:$Q$44,2,FALSE)</f>
        <v>46</v>
      </c>
      <c r="C6" s="372" t="s">
        <v>132</v>
      </c>
      <c r="D6" s="376" t="str">
        <f>表1_86121822242670[[#This Row],[目标国家]]</f>
        <v>吴</v>
      </c>
      <c r="E6" s="380">
        <f>(VLOOKUP(表1_86121822242670[[#This Row],[目标区服]],$R$32:$S$35,2,FALSE)-表1_86121822242670[[#This Row],[开服天数]])*配置!$B$1</f>
        <v>1500</v>
      </c>
      <c r="F6" s="380">
        <f>表1_86121822242670[[#This Row],[补偿Coin]]*(表1_86121822242670[[#This Row],[活跃高战玩家数]]+表1_86121822242670[[#This Row],[活跃中坚玩家数]])</f>
        <v>46500</v>
      </c>
      <c r="G6" s="380">
        <f>(VLOOKUP(表1_86121822242670[[#This Row],[目标区服]],$R$32:$S$35,2,FALSE)-表1_86121822242670[[#This Row],[开服天数]])*配置!$B$2</f>
        <v>15</v>
      </c>
      <c r="H6" s="376" t="s">
        <v>26</v>
      </c>
      <c r="I6" s="376">
        <f>IF(表1_86121822242670[[#This Row],[原国家]]="魏",0,IF(表1_86121822242670[[#This Row],[原国家]]="蜀",1,2))</f>
        <v>1</v>
      </c>
      <c r="J6" s="380">
        <v>8</v>
      </c>
      <c r="K6" s="380">
        <v>249</v>
      </c>
      <c r="L6" s="380">
        <v>5</v>
      </c>
      <c r="M6" s="380">
        <v>26</v>
      </c>
      <c r="N6" s="380">
        <v>180160</v>
      </c>
      <c r="O6" s="380">
        <v>2361828</v>
      </c>
      <c r="P6" s="381">
        <v>24868335</v>
      </c>
      <c r="Q6" s="493" t="s">
        <v>27</v>
      </c>
      <c r="R6" s="376">
        <f>IF(表1_86121822242670[[#This Row],[目标国家]]="魏",0,IF(表1_86121822242670[[#This Row],[目标国家]]="蜀",1,2))</f>
        <v>2</v>
      </c>
      <c r="S6" s="380">
        <v>60160</v>
      </c>
      <c r="T6" s="380">
        <v>0</v>
      </c>
      <c r="U6" s="380">
        <v>751838</v>
      </c>
      <c r="V6" s="380">
        <v>11220</v>
      </c>
      <c r="W6" s="374">
        <v>712139</v>
      </c>
      <c r="X6" s="387" t="str">
        <f>"{"&amp;"'coin':"&amp;表1_86121822242670[[#This Row],[补偿Coin]]&amp;",'"&amp;配置!$A$2&amp;"':"&amp;表1_86121822242670[[#This Row],[补偿辎重]]&amp;"},"</f>
        <v>{'coin':1500,'item036':15},</v>
      </c>
      <c r="Y6" s="388" t="str">
        <f>"            'to_zone':'"&amp;表1_86121822242670[[#This Row],[目标区服]]&amp;"',
            'reward':"&amp;表1_86121822242670[[#This Row],[辅助导出]]&amp;"
            'country':["&amp;R5&amp;","&amp;R6&amp;","&amp;R7&amp;"],"</f>
        <v>            'to_zone':'h1_528',
            'reward':{'coin':1500,'item036':15},
            'country':[1,2,2],</v>
      </c>
    </row>
    <row r="7" s="354" customFormat="1" ht="14.25" customHeight="1" spans="1:25">
      <c r="A7" s="371">
        <v>5062</v>
      </c>
      <c r="B7" s="371">
        <f>VLOOKUP(表1_86121822242670[[#This Row],[区服]],$P$32:$Q$44,2,FALSE)</f>
        <v>46</v>
      </c>
      <c r="C7" s="372" t="s">
        <v>132</v>
      </c>
      <c r="D7" s="376" t="str">
        <f>表1_86121822242670[[#This Row],[目标国家]]</f>
        <v>吴</v>
      </c>
      <c r="E7" s="380">
        <f>(VLOOKUP(表1_86121822242670[[#This Row],[目标区服]],$R$32:$S$35,2,FALSE)-表1_86121822242670[[#This Row],[开服天数]])*配置!$B$1</f>
        <v>1500</v>
      </c>
      <c r="F7" s="380">
        <f>表1_86121822242670[[#This Row],[补偿Coin]]*(表1_86121822242670[[#This Row],[活跃高战玩家数]]+表1_86121822242670[[#This Row],[活跃中坚玩家数]])</f>
        <v>12000</v>
      </c>
      <c r="G7" s="380">
        <f>(VLOOKUP(表1_86121822242670[[#This Row],[目标区服]],$R$32:$S$35,2,FALSE)-表1_86121822242670[[#This Row],[开服天数]])*配置!$B$2</f>
        <v>15</v>
      </c>
      <c r="H7" s="376" t="s">
        <v>27</v>
      </c>
      <c r="I7" s="376">
        <f>IF(表1_86121822242670[[#This Row],[原国家]]="魏",0,IF(表1_86121822242670[[#This Row],[原国家]]="蜀",1,2))</f>
        <v>2</v>
      </c>
      <c r="J7" s="380">
        <v>1</v>
      </c>
      <c r="K7" s="380">
        <v>69</v>
      </c>
      <c r="L7" s="380">
        <v>2</v>
      </c>
      <c r="M7" s="380">
        <v>6</v>
      </c>
      <c r="N7" s="380">
        <v>34249</v>
      </c>
      <c r="O7" s="380">
        <v>1499450</v>
      </c>
      <c r="P7" s="381">
        <v>4982767</v>
      </c>
      <c r="Q7" s="493" t="s">
        <v>27</v>
      </c>
      <c r="R7" s="376">
        <f>IF(表1_86121822242670[[#This Row],[目标国家]]="魏",0,IF(表1_86121822242670[[#This Row],[目标国家]]="蜀",1,2))</f>
        <v>2</v>
      </c>
      <c r="S7" s="380">
        <v>1612</v>
      </c>
      <c r="T7" s="380">
        <v>0</v>
      </c>
      <c r="U7" s="380">
        <v>62627</v>
      </c>
      <c r="V7" s="380">
        <v>3038</v>
      </c>
      <c r="W7" s="374">
        <v>474594</v>
      </c>
      <c r="X7" s="387" t="str">
        <f>"{"&amp;"'coin':"&amp;表1_86121822242670[[#This Row],[补偿Coin]]&amp;",'"&amp;配置!$A$2&amp;"':"&amp;表1_86121822242670[[#This Row],[补偿辎重]]&amp;"},"</f>
        <v>{'coin':1500,'item036':15},</v>
      </c>
      <c r="Y7" s="388" t="str">
        <f t="shared" ref="Y7" si="0">"      },"</f>
        <v>      },</v>
      </c>
    </row>
    <row r="8" s="354" customFormat="1" ht="14.25" customHeight="1" spans="1:25">
      <c r="A8" s="375">
        <v>5063</v>
      </c>
      <c r="B8" s="371">
        <f>VLOOKUP(表1_86121822242670[[#This Row],[区服]],$P$32:$Q$44,2,FALSE)</f>
        <v>46</v>
      </c>
      <c r="C8" s="372" t="s">
        <v>132</v>
      </c>
      <c r="D8" s="376" t="str">
        <f>表1_86121822242670[[#This Row],[目标国家]]</f>
        <v>蜀</v>
      </c>
      <c r="E8" s="380">
        <f>(VLOOKUP(表1_86121822242670[[#This Row],[目标区服]],$R$32:$S$35,2,FALSE)-表1_86121822242670[[#This Row],[开服天数]])*配置!$B$1</f>
        <v>1500</v>
      </c>
      <c r="F8" s="380">
        <f>表1_86121822242670[[#This Row],[补偿Coin]]*(表1_86121822242670[[#This Row],[活跃高战玩家数]]+表1_86121822242670[[#This Row],[活跃中坚玩家数]])</f>
        <v>54000</v>
      </c>
      <c r="G8" s="490">
        <f>(VLOOKUP(表1_86121822242670[[#This Row],[目标区服]],$R$32:$S$35,2,FALSE)-表1_86121822242670[[#This Row],[开服天数]])*配置!$B$2</f>
        <v>15</v>
      </c>
      <c r="H8" s="376" t="s">
        <v>25</v>
      </c>
      <c r="I8" s="491">
        <f>IF(表1_86121822242670[[#This Row],[原国家]]="魏",0,IF(表1_86121822242670[[#This Row],[原国家]]="蜀",1,2))</f>
        <v>0</v>
      </c>
      <c r="J8" s="380">
        <v>4</v>
      </c>
      <c r="K8" s="380">
        <v>222</v>
      </c>
      <c r="L8" s="380">
        <v>8</v>
      </c>
      <c r="M8" s="380">
        <v>28</v>
      </c>
      <c r="N8" s="380">
        <v>172411</v>
      </c>
      <c r="O8" s="492">
        <v>2224153</v>
      </c>
      <c r="P8" s="381">
        <v>29734919</v>
      </c>
      <c r="Q8" s="493" t="s">
        <v>26</v>
      </c>
      <c r="R8" s="376">
        <f>IF(表1_86121822242670[[#This Row],[目标国家]]="魏",0,IF(表1_86121822242670[[#This Row],[目标国家]]="蜀",1,2))</f>
        <v>1</v>
      </c>
      <c r="S8" s="380">
        <v>62484</v>
      </c>
      <c r="T8" s="380">
        <v>0</v>
      </c>
      <c r="U8" s="380">
        <v>378975</v>
      </c>
      <c r="V8" s="380">
        <v>10743</v>
      </c>
      <c r="W8" s="380">
        <v>605516</v>
      </c>
      <c r="X8" s="494" t="str">
        <f>"{"&amp;"'coin':"&amp;表1_86121822242670[[#This Row],[补偿Coin]]&amp;",'"&amp;配置!$A$2&amp;"':"&amp;表1_86121822242670[[#This Row],[补偿辎重]]&amp;"},"</f>
        <v>{'coin':1500,'item036':15},</v>
      </c>
      <c r="Y8" s="494" t="str">
        <f>"      '"&amp;表1_86121822242670[[#This Row],[区服]]&amp;"':{"</f>
        <v>      '5063':{</v>
      </c>
    </row>
    <row r="9" s="354" customFormat="1" ht="14.25" customHeight="1" spans="1:25">
      <c r="A9" s="375">
        <v>5063</v>
      </c>
      <c r="B9" s="371">
        <f>VLOOKUP(表1_86121822242670[[#This Row],[区服]],$P$32:$Q$44,2,FALSE)</f>
        <v>46</v>
      </c>
      <c r="C9" s="372" t="s">
        <v>132</v>
      </c>
      <c r="D9" s="376" t="str">
        <f>表1_86121822242670[[#This Row],[目标国家]]</f>
        <v>吴</v>
      </c>
      <c r="E9" s="380">
        <f>(VLOOKUP(表1_86121822242670[[#This Row],[目标区服]],$R$32:$S$35,2,FALSE)-表1_86121822242670[[#This Row],[开服天数]])*配置!$B$1</f>
        <v>1500</v>
      </c>
      <c r="F9" s="380">
        <f>表1_86121822242670[[#This Row],[补偿Coin]]*(表1_86121822242670[[#This Row],[活跃高战玩家数]]+表1_86121822242670[[#This Row],[活跃中坚玩家数]])</f>
        <v>43500</v>
      </c>
      <c r="G9" s="490">
        <f>(VLOOKUP(表1_86121822242670[[#This Row],[目标区服]],$R$32:$S$35,2,FALSE)-表1_86121822242670[[#This Row],[开服天数]])*配置!$B$2</f>
        <v>15</v>
      </c>
      <c r="H9" s="376" t="s">
        <v>26</v>
      </c>
      <c r="I9" s="491">
        <f>IF(表1_86121822242670[[#This Row],[原国家]]="魏",0,IF(表1_86121822242670[[#This Row],[原国家]]="蜀",1,2))</f>
        <v>1</v>
      </c>
      <c r="J9" s="380">
        <v>3</v>
      </c>
      <c r="K9" s="380">
        <v>101</v>
      </c>
      <c r="L9" s="380">
        <v>2</v>
      </c>
      <c r="M9" s="380">
        <v>27</v>
      </c>
      <c r="N9" s="380">
        <v>103772</v>
      </c>
      <c r="O9" s="492">
        <v>2155726</v>
      </c>
      <c r="P9" s="381">
        <v>18892108</v>
      </c>
      <c r="Q9" s="493" t="s">
        <v>27</v>
      </c>
      <c r="R9" s="376">
        <f>IF(表1_86121822242670[[#This Row],[目标国家]]="魏",0,IF(表1_86121822242670[[#This Row],[目标国家]]="蜀",1,2))</f>
        <v>2</v>
      </c>
      <c r="S9" s="380">
        <v>39012</v>
      </c>
      <c r="T9" s="380">
        <v>0</v>
      </c>
      <c r="U9" s="380">
        <v>104913</v>
      </c>
      <c r="V9" s="380">
        <v>7096</v>
      </c>
      <c r="W9" s="380">
        <v>609438</v>
      </c>
      <c r="X9" s="494" t="str">
        <f>"{"&amp;"'coin':"&amp;表1_86121822242670[[#This Row],[补偿Coin]]&amp;",'"&amp;配置!$A$2&amp;"':"&amp;表1_86121822242670[[#This Row],[补偿辎重]]&amp;"},"</f>
        <v>{'coin':1500,'item036':15},</v>
      </c>
      <c r="Y9" s="494" t="str">
        <f>"            'to_zone':'"&amp;表1_86121822242670[[#This Row],[目标区服]]&amp;"',
            'reward':"&amp;表1_86121822242670[[#This Row],[辅助导出]]&amp;"
            'country':["&amp;R8&amp;","&amp;R9&amp;","&amp;R10&amp;"],"</f>
        <v>            'to_zone':'h1_528',
            'reward':{'coin':1500,'item036':15},
            'country':[1,2,0],</v>
      </c>
    </row>
    <row r="10" s="354" customFormat="1" ht="14.25" customHeight="1" spans="1:25">
      <c r="A10" s="375">
        <v>5063</v>
      </c>
      <c r="B10" s="371">
        <f>VLOOKUP(表1_86121822242670[[#This Row],[区服]],$P$32:$Q$44,2,FALSE)</f>
        <v>46</v>
      </c>
      <c r="C10" s="372" t="s">
        <v>132</v>
      </c>
      <c r="D10" s="376" t="str">
        <f>表1_86121822242670[[#This Row],[目标国家]]</f>
        <v>魏</v>
      </c>
      <c r="E10" s="380">
        <f>(VLOOKUP(表1_86121822242670[[#This Row],[目标区服]],$R$32:$S$35,2,FALSE)-表1_86121822242670[[#This Row],[开服天数]])*配置!$B$1</f>
        <v>1500</v>
      </c>
      <c r="F10" s="380">
        <f>表1_86121822242670[[#This Row],[补偿Coin]]*(表1_86121822242670[[#This Row],[活跃高战玩家数]]+表1_86121822242670[[#This Row],[活跃中坚玩家数]])</f>
        <v>15000</v>
      </c>
      <c r="G10" s="490">
        <f>(VLOOKUP(表1_86121822242670[[#This Row],[目标区服]],$R$32:$S$35,2,FALSE)-表1_86121822242670[[#This Row],[开服天数]])*配置!$B$2</f>
        <v>15</v>
      </c>
      <c r="H10" s="376" t="s">
        <v>27</v>
      </c>
      <c r="I10" s="491">
        <f>IF(表1_86121822242670[[#This Row],[原国家]]="魏",0,IF(表1_86121822242670[[#This Row],[原国家]]="蜀",1,2))</f>
        <v>2</v>
      </c>
      <c r="J10" s="380">
        <v>2</v>
      </c>
      <c r="K10" s="380">
        <v>72</v>
      </c>
      <c r="L10" s="380">
        <v>0</v>
      </c>
      <c r="M10" s="380">
        <v>10</v>
      </c>
      <c r="N10" s="380">
        <v>29332</v>
      </c>
      <c r="O10" s="492">
        <v>1032252</v>
      </c>
      <c r="P10" s="381">
        <v>5529411</v>
      </c>
      <c r="Q10" s="493" t="s">
        <v>25</v>
      </c>
      <c r="R10" s="376">
        <f>IF(表1_86121822242670[[#This Row],[目标国家]]="魏",0,IF(表1_86121822242670[[#This Row],[目标国家]]="蜀",1,2))</f>
        <v>0</v>
      </c>
      <c r="S10" s="380">
        <v>5292</v>
      </c>
      <c r="T10" s="380">
        <v>0</v>
      </c>
      <c r="U10" s="380">
        <v>89516</v>
      </c>
      <c r="V10" s="380">
        <v>2855</v>
      </c>
      <c r="W10" s="380">
        <v>352055</v>
      </c>
      <c r="X10" s="494" t="str">
        <f>"{"&amp;"'coin':"&amp;表1_86121822242670[[#This Row],[补偿Coin]]&amp;",'"&amp;配置!$A$2&amp;"':"&amp;表1_86121822242670[[#This Row],[补偿辎重]]&amp;"},"</f>
        <v>{'coin':1500,'item036':15},</v>
      </c>
      <c r="Y10" s="494" t="str">
        <f>"      },"</f>
        <v>      },</v>
      </c>
    </row>
    <row r="11" s="354" customFormat="1" ht="14.25" customHeight="1" spans="1:25">
      <c r="A11" s="259">
        <v>5064</v>
      </c>
      <c r="B11" s="210">
        <f>VLOOKUP(表1_86121822242670[[#This Row],[区服]],$P$32:$Q$44,2,FALSE)</f>
        <v>45</v>
      </c>
      <c r="C11" s="296" t="s">
        <v>133</v>
      </c>
      <c r="D11" s="212" t="str">
        <f>表1_86121822242670[[#This Row],[目标国家]]</f>
        <v>魏</v>
      </c>
      <c r="E11" s="213">
        <f>(VLOOKUP(表1_86121822242670[[#This Row],[目标区服]],$R$32:$S$35,2,FALSE)-表1_86121822242670[[#This Row],[开服天数]])*配置!$B$1</f>
        <v>1000</v>
      </c>
      <c r="F11" s="213">
        <f>表1_86121822242670[[#This Row],[补偿Coin]]*(表1_86121822242670[[#This Row],[活跃高战玩家数]]+表1_86121822242670[[#This Row],[活跃中坚玩家数]])</f>
        <v>28000</v>
      </c>
      <c r="G11" s="260">
        <f>(VLOOKUP(表1_86121822242670[[#This Row],[目标区服]],$R$32:$S$35,2,FALSE)-表1_86121822242670[[#This Row],[开服天数]])*配置!$B$2</f>
        <v>10</v>
      </c>
      <c r="H11" s="212" t="s">
        <v>25</v>
      </c>
      <c r="I11" s="268">
        <f>IF(表1_86121822242670[[#This Row],[原国家]]="魏",0,IF(表1_86121822242670[[#This Row],[原国家]]="蜀",1,2))</f>
        <v>0</v>
      </c>
      <c r="J11" s="213">
        <v>4</v>
      </c>
      <c r="K11" s="213">
        <v>139</v>
      </c>
      <c r="L11" s="213">
        <v>3</v>
      </c>
      <c r="M11" s="213">
        <v>25</v>
      </c>
      <c r="N11" s="213">
        <v>87447</v>
      </c>
      <c r="O11" s="419">
        <v>3379125</v>
      </c>
      <c r="P11" s="420">
        <v>21382979</v>
      </c>
      <c r="Q11" s="243" t="s">
        <v>25</v>
      </c>
      <c r="R11" s="212">
        <f>IF(表1_86121822242670[[#This Row],[目标国家]]="魏",0,IF(表1_86121822242670[[#This Row],[目标国家]]="蜀",1,2))</f>
        <v>0</v>
      </c>
      <c r="S11" s="213">
        <v>94058</v>
      </c>
      <c r="T11" s="213">
        <v>0</v>
      </c>
      <c r="U11" s="213">
        <v>829241</v>
      </c>
      <c r="V11" s="213">
        <v>10981</v>
      </c>
      <c r="W11" s="213">
        <v>1005844</v>
      </c>
      <c r="X11" s="278" t="str">
        <f>"{"&amp;"'coin':"&amp;表1_86121822242670[[#This Row],[补偿Coin]]&amp;",'"&amp;配置!$A$2&amp;"':"&amp;表1_86121822242670[[#This Row],[补偿辎重]]&amp;"},"</f>
        <v>{'coin':1000,'item036':10},</v>
      </c>
      <c r="Y11" s="278" t="str">
        <f>"      '"&amp;表1_86121822242670[[#This Row],[区服]]&amp;"':{"</f>
        <v>      '5064':{</v>
      </c>
    </row>
    <row r="12" s="354" customFormat="1" ht="14.25" customHeight="1" spans="1:25">
      <c r="A12" s="259">
        <v>5064</v>
      </c>
      <c r="B12" s="210">
        <f>VLOOKUP(表1_86121822242670[[#This Row],[区服]],$P$32:$Q$44,2,FALSE)</f>
        <v>45</v>
      </c>
      <c r="C12" s="296" t="s">
        <v>133</v>
      </c>
      <c r="D12" s="212" t="str">
        <f>表1_86121822242670[[#This Row],[目标国家]]</f>
        <v>蜀</v>
      </c>
      <c r="E12" s="213">
        <f>(VLOOKUP(表1_86121822242670[[#This Row],[目标区服]],$R$32:$S$35,2,FALSE)-表1_86121822242670[[#This Row],[开服天数]])*配置!$B$1</f>
        <v>1000</v>
      </c>
      <c r="F12" s="213">
        <f>表1_86121822242670[[#This Row],[补偿Coin]]*(表1_86121822242670[[#This Row],[活跃高战玩家数]]+表1_86121822242670[[#This Row],[活跃中坚玩家数]])</f>
        <v>25000</v>
      </c>
      <c r="G12" s="260">
        <f>(VLOOKUP(表1_86121822242670[[#This Row],[目标区服]],$R$32:$S$35,2,FALSE)-表1_86121822242670[[#This Row],[开服天数]])*配置!$B$2</f>
        <v>10</v>
      </c>
      <c r="H12" s="212" t="s">
        <v>26</v>
      </c>
      <c r="I12" s="268">
        <f>IF(表1_86121822242670[[#This Row],[原国家]]="魏",0,IF(表1_86121822242670[[#This Row],[原国家]]="蜀",1,2))</f>
        <v>1</v>
      </c>
      <c r="J12" s="213">
        <v>3</v>
      </c>
      <c r="K12" s="213">
        <v>172</v>
      </c>
      <c r="L12" s="213">
        <v>4</v>
      </c>
      <c r="M12" s="213">
        <v>21</v>
      </c>
      <c r="N12" s="213">
        <v>118198</v>
      </c>
      <c r="O12" s="419">
        <v>2710631</v>
      </c>
      <c r="P12" s="420">
        <v>22483178</v>
      </c>
      <c r="Q12" s="243" t="s">
        <v>26</v>
      </c>
      <c r="R12" s="212">
        <f>IF(表1_86121822242670[[#This Row],[目标国家]]="魏",0,IF(表1_86121822242670[[#This Row],[目标国家]]="蜀",1,2))</f>
        <v>1</v>
      </c>
      <c r="S12" s="213">
        <v>76386</v>
      </c>
      <c r="T12" s="213">
        <v>0</v>
      </c>
      <c r="U12" s="213">
        <v>391646</v>
      </c>
      <c r="V12" s="213">
        <v>10057</v>
      </c>
      <c r="W12" s="213">
        <v>917294</v>
      </c>
      <c r="X12" s="278" t="str">
        <f>"{"&amp;"'coin':"&amp;表1_86121822242670[[#This Row],[补偿Coin]]&amp;",'"&amp;配置!$A$2&amp;"':"&amp;表1_86121822242670[[#This Row],[补偿辎重]]&amp;"},"</f>
        <v>{'coin':1000,'item036':10},</v>
      </c>
      <c r="Y12" s="278" t="str">
        <f>"            'to_zone':'"&amp;表1_86121822242670[[#This Row],[目标区服]]&amp;"',
            'reward':"&amp;表1_86121822242670[[#This Row],[辅助导出]]&amp;"
            'country':["&amp;R11&amp;","&amp;R12&amp;","&amp;R13&amp;"],"</f>
        <v>            'to_zone':'h1_529',
            'reward':{'coin':1000,'item036':10},
            'country':[0,1,2],</v>
      </c>
    </row>
    <row r="13" s="354" customFormat="1" ht="14.25" customHeight="1" spans="1:25">
      <c r="A13" s="259">
        <v>5064</v>
      </c>
      <c r="B13" s="210">
        <f>VLOOKUP(表1_86121822242670[[#This Row],[区服]],$P$32:$Q$44,2,FALSE)</f>
        <v>45</v>
      </c>
      <c r="C13" s="296" t="s">
        <v>133</v>
      </c>
      <c r="D13" s="212" t="str">
        <f>表1_86121822242670[[#This Row],[目标国家]]</f>
        <v>吴</v>
      </c>
      <c r="E13" s="213">
        <f>(VLOOKUP(表1_86121822242670[[#This Row],[目标区服]],$R$32:$S$35,2,FALSE)-表1_86121822242670[[#This Row],[开服天数]])*配置!$B$1</f>
        <v>1000</v>
      </c>
      <c r="F13" s="213">
        <f>表1_86121822242670[[#This Row],[补偿Coin]]*(表1_86121822242670[[#This Row],[活跃高战玩家数]]+表1_86121822242670[[#This Row],[活跃中坚玩家数]])</f>
        <v>23000</v>
      </c>
      <c r="G13" s="260">
        <f>(VLOOKUP(表1_86121822242670[[#This Row],[目标区服]],$R$32:$S$35,2,FALSE)-表1_86121822242670[[#This Row],[开服天数]])*配置!$B$2</f>
        <v>10</v>
      </c>
      <c r="H13" s="212" t="s">
        <v>27</v>
      </c>
      <c r="I13" s="268">
        <f>IF(表1_86121822242670[[#This Row],[原国家]]="魏",0,IF(表1_86121822242670[[#This Row],[原国家]]="蜀",1,2))</f>
        <v>2</v>
      </c>
      <c r="J13" s="213">
        <v>2</v>
      </c>
      <c r="K13" s="213">
        <v>84</v>
      </c>
      <c r="L13" s="213">
        <v>2</v>
      </c>
      <c r="M13" s="213">
        <v>21</v>
      </c>
      <c r="N13" s="213">
        <v>91956</v>
      </c>
      <c r="O13" s="419">
        <v>2180361</v>
      </c>
      <c r="P13" s="420">
        <v>18315307</v>
      </c>
      <c r="Q13" s="243" t="s">
        <v>27</v>
      </c>
      <c r="R13" s="212">
        <f>IF(表1_86121822242670[[#This Row],[目标国家]]="魏",0,IF(表1_86121822242670[[#This Row],[目标国家]]="蜀",1,2))</f>
        <v>2</v>
      </c>
      <c r="S13" s="213">
        <v>76278</v>
      </c>
      <c r="T13" s="213">
        <v>0</v>
      </c>
      <c r="U13" s="213">
        <v>228003</v>
      </c>
      <c r="V13" s="213">
        <v>7914</v>
      </c>
      <c r="W13" s="213">
        <v>682892</v>
      </c>
      <c r="X13" s="278" t="str">
        <f>"{"&amp;"'coin':"&amp;表1_86121822242670[[#This Row],[补偿Coin]]&amp;",'"&amp;配置!$A$2&amp;"':"&amp;表1_86121822242670[[#This Row],[补偿辎重]]&amp;"},"</f>
        <v>{'coin':1000,'item036':10},</v>
      </c>
      <c r="Y13" s="278" t="str">
        <f t="shared" ref="Y13" si="1">"      },"</f>
        <v>      },</v>
      </c>
    </row>
    <row r="14" ht="14.25" customHeight="1" spans="1:25">
      <c r="A14" s="210">
        <v>5065</v>
      </c>
      <c r="B14" s="210">
        <f>VLOOKUP(表1_86121822242670[[#This Row],[区服]],$P$32:$Q$44,2,FALSE)</f>
        <v>44</v>
      </c>
      <c r="C14" s="296" t="s">
        <v>133</v>
      </c>
      <c r="D14" s="212" t="str">
        <f>表1_86121822242670[[#This Row],[目标国家]]</f>
        <v>吴</v>
      </c>
      <c r="E14" s="213">
        <f>(VLOOKUP(表1_86121822242670[[#This Row],[目标区服]],$R$32:$S$35,2,FALSE)-表1_86121822242670[[#This Row],[开服天数]])*配置!$B$1</f>
        <v>1500</v>
      </c>
      <c r="F14" s="213">
        <f>表1_86121822242670[[#This Row],[补偿Coin]]*(表1_86121822242670[[#This Row],[活跃高战玩家数]]+表1_86121822242670[[#This Row],[活跃中坚玩家数]])</f>
        <v>28500</v>
      </c>
      <c r="G14" s="213">
        <f>(VLOOKUP(表1_86121822242670[[#This Row],[目标区服]],$R$32:$S$35,2,FALSE)-表1_86121822242670[[#This Row],[开服天数]])*配置!$B$2</f>
        <v>15</v>
      </c>
      <c r="H14" s="212" t="s">
        <v>25</v>
      </c>
      <c r="I14" s="212">
        <f>IF(表1_86121822242670[[#This Row],[原国家]]="魏",0,IF(表1_86121822242670[[#This Row],[原国家]]="蜀",1,2))</f>
        <v>0</v>
      </c>
      <c r="J14" s="213">
        <v>3</v>
      </c>
      <c r="K14" s="213">
        <v>120</v>
      </c>
      <c r="L14" s="213">
        <v>4</v>
      </c>
      <c r="M14" s="213">
        <v>15</v>
      </c>
      <c r="N14" s="213">
        <v>93500</v>
      </c>
      <c r="O14" s="213">
        <v>2552060</v>
      </c>
      <c r="P14" s="420">
        <v>15778748</v>
      </c>
      <c r="Q14" s="243" t="s">
        <v>27</v>
      </c>
      <c r="R14" s="212">
        <f>IF(表1_86121822242670[[#This Row],[目标国家]]="魏",0,IF(表1_86121822242670[[#This Row],[目标国家]]="蜀",1,2))</f>
        <v>2</v>
      </c>
      <c r="S14" s="213">
        <v>90826</v>
      </c>
      <c r="T14" s="213">
        <v>0</v>
      </c>
      <c r="U14" s="213">
        <v>237969</v>
      </c>
      <c r="V14" s="213">
        <v>8941</v>
      </c>
      <c r="W14" s="68">
        <v>695376</v>
      </c>
      <c r="X14" s="245" t="str">
        <f>"{"&amp;"'coin':"&amp;表1_86121822242670[[#This Row],[补偿Coin]]&amp;",'"&amp;配置!$A$2&amp;"':"&amp;表1_86121822242670[[#This Row],[补偿辎重]]&amp;"},"</f>
        <v>{'coin':1500,'item036':15},</v>
      </c>
      <c r="Y14" s="254" t="str">
        <f>"      '"&amp;表1_86121822242670[[#This Row],[区服]]&amp;"':{"</f>
        <v>      '5065':{</v>
      </c>
    </row>
    <row r="15" ht="14.25" customHeight="1" spans="1:25">
      <c r="A15" s="210">
        <v>5065</v>
      </c>
      <c r="B15" s="210">
        <f>VLOOKUP(表1_86121822242670[[#This Row],[区服]],$P$32:$Q$44,2,FALSE)</f>
        <v>44</v>
      </c>
      <c r="C15" s="296" t="s">
        <v>133</v>
      </c>
      <c r="D15" s="212" t="str">
        <f>表1_86121822242670[[#This Row],[目标国家]]</f>
        <v>蜀</v>
      </c>
      <c r="E15" s="213">
        <f>(VLOOKUP(表1_86121822242670[[#This Row],[目标区服]],$R$32:$S$35,2,FALSE)-表1_86121822242670[[#This Row],[开服天数]])*配置!$B$1</f>
        <v>1500</v>
      </c>
      <c r="F15" s="213">
        <f>表1_86121822242670[[#This Row],[补偿Coin]]*(表1_86121822242670[[#This Row],[活跃高战玩家数]]+表1_86121822242670[[#This Row],[活跃中坚玩家数]])</f>
        <v>40500</v>
      </c>
      <c r="G15" s="213">
        <f>(VLOOKUP(表1_86121822242670[[#This Row],[目标区服]],$R$32:$S$35,2,FALSE)-表1_86121822242670[[#This Row],[开服天数]])*配置!$B$2</f>
        <v>15</v>
      </c>
      <c r="H15" s="212" t="s">
        <v>26</v>
      </c>
      <c r="I15" s="212">
        <f>IF(表1_86121822242670[[#This Row],[原国家]]="魏",0,IF(表1_86121822242670[[#This Row],[原国家]]="蜀",1,2))</f>
        <v>1</v>
      </c>
      <c r="J15" s="213">
        <v>3</v>
      </c>
      <c r="K15" s="213">
        <v>184</v>
      </c>
      <c r="L15" s="213">
        <v>3</v>
      </c>
      <c r="M15" s="213">
        <v>24</v>
      </c>
      <c r="N15" s="213">
        <v>103359</v>
      </c>
      <c r="O15" s="213">
        <v>1959926</v>
      </c>
      <c r="P15" s="420">
        <v>17291661</v>
      </c>
      <c r="Q15" s="243" t="s">
        <v>26</v>
      </c>
      <c r="R15" s="212">
        <f>IF(表1_86121822242670[[#This Row],[目标国家]]="魏",0,IF(表1_86121822242670[[#This Row],[目标国家]]="蜀",1,2))</f>
        <v>1</v>
      </c>
      <c r="S15" s="213">
        <v>26458</v>
      </c>
      <c r="T15" s="213">
        <v>0</v>
      </c>
      <c r="U15" s="213">
        <v>339588</v>
      </c>
      <c r="V15" s="213">
        <v>7309</v>
      </c>
      <c r="W15" s="68">
        <v>562904</v>
      </c>
      <c r="X15" s="245" t="str">
        <f>"{"&amp;"'coin':"&amp;表1_86121822242670[[#This Row],[补偿Coin]]&amp;",'"&amp;配置!$A$2&amp;"':"&amp;表1_86121822242670[[#This Row],[补偿辎重]]&amp;"},"</f>
        <v>{'coin':1500,'item036':15},</v>
      </c>
      <c r="Y15" s="254" t="str">
        <f>"            'to_zone':'"&amp;表1_86121822242670[[#This Row],[目标区服]]&amp;"',
            'reward':"&amp;表1_86121822242670[[#This Row],[辅助导出]]&amp;"
            'country':["&amp;R14&amp;","&amp;R15&amp;","&amp;R16&amp;"],"</f>
        <v>            'to_zone':'h1_529',
            'reward':{'coin':1500,'item036':15},
            'country':[2,1,0],</v>
      </c>
    </row>
    <row r="16" ht="14.25" customHeight="1" spans="1:25">
      <c r="A16" s="210">
        <v>5065</v>
      </c>
      <c r="B16" s="210">
        <f>VLOOKUP(表1_86121822242670[[#This Row],[区服]],$P$32:$Q$44,2,FALSE)</f>
        <v>44</v>
      </c>
      <c r="C16" s="296" t="s">
        <v>133</v>
      </c>
      <c r="D16" s="212" t="str">
        <f>表1_86121822242670[[#This Row],[目标国家]]</f>
        <v>魏</v>
      </c>
      <c r="E16" s="213">
        <f>(VLOOKUP(表1_86121822242670[[#This Row],[目标区服]],$R$32:$S$35,2,FALSE)-表1_86121822242670[[#This Row],[开服天数]])*配置!$B$1</f>
        <v>1500</v>
      </c>
      <c r="F16" s="213">
        <f>表1_86121822242670[[#This Row],[补偿Coin]]*(表1_86121822242670[[#This Row],[活跃高战玩家数]]+表1_86121822242670[[#This Row],[活跃中坚玩家数]])</f>
        <v>31500</v>
      </c>
      <c r="G16" s="213">
        <f>(VLOOKUP(表1_86121822242670[[#This Row],[目标区服]],$R$32:$S$35,2,FALSE)-表1_86121822242670[[#This Row],[开服天数]])*配置!$B$2</f>
        <v>15</v>
      </c>
      <c r="H16" s="212" t="s">
        <v>27</v>
      </c>
      <c r="I16" s="212">
        <f>IF(表1_86121822242670[[#This Row],[原国家]]="魏",0,IF(表1_86121822242670[[#This Row],[原国家]]="蜀",1,2))</f>
        <v>2</v>
      </c>
      <c r="J16" s="213">
        <v>3</v>
      </c>
      <c r="K16" s="213">
        <v>91</v>
      </c>
      <c r="L16" s="213">
        <v>3</v>
      </c>
      <c r="M16" s="213">
        <v>18</v>
      </c>
      <c r="N16" s="213">
        <v>99508</v>
      </c>
      <c r="O16" s="213">
        <v>2174534</v>
      </c>
      <c r="P16" s="420">
        <v>15659506</v>
      </c>
      <c r="Q16" s="243" t="s">
        <v>25</v>
      </c>
      <c r="R16" s="212">
        <f>IF(表1_86121822242670[[#This Row],[目标国家]]="魏",0,IF(表1_86121822242670[[#This Row],[目标国家]]="蜀",1,2))</f>
        <v>0</v>
      </c>
      <c r="S16" s="213">
        <v>42360</v>
      </c>
      <c r="T16" s="213">
        <v>0</v>
      </c>
      <c r="U16" s="213">
        <v>219726</v>
      </c>
      <c r="V16" s="213">
        <v>6828</v>
      </c>
      <c r="W16" s="68">
        <v>652355</v>
      </c>
      <c r="X16" s="245" t="str">
        <f>"{"&amp;"'coin':"&amp;表1_86121822242670[[#This Row],[补偿Coin]]&amp;",'"&amp;配置!$A$2&amp;"':"&amp;表1_86121822242670[[#This Row],[补偿辎重]]&amp;"},"</f>
        <v>{'coin':1500,'item036':15},</v>
      </c>
      <c r="Y16" s="254" t="str">
        <f t="shared" ref="Y16" si="2">"      },"</f>
        <v>      },</v>
      </c>
    </row>
    <row r="17" ht="14.25" customHeight="1" spans="1:25">
      <c r="A17" s="17">
        <v>5066</v>
      </c>
      <c r="B17" s="17">
        <f>VLOOKUP(表1_86121822242670[[#This Row],[区服]],$P$32:$Q$44,2,FALSE)</f>
        <v>44</v>
      </c>
      <c r="C17" s="18" t="s">
        <v>134</v>
      </c>
      <c r="D17" s="19" t="str">
        <f>表1_86121822242670[[#This Row],[目标国家]]</f>
        <v>魏</v>
      </c>
      <c r="E17" s="20">
        <f>(VLOOKUP(表1_86121822242670[[#This Row],[目标区服]],$R$32:$S$35,2,FALSE)-表1_86121822242670[[#This Row],[开服天数]])*配置!$B$1</f>
        <v>1000</v>
      </c>
      <c r="F17" s="20">
        <f>表1_86121822242670[[#This Row],[补偿Coin]]*(表1_86121822242670[[#This Row],[活跃高战玩家数]]+表1_86121822242670[[#This Row],[活跃中坚玩家数]])</f>
        <v>19000</v>
      </c>
      <c r="G17" s="20">
        <f>(VLOOKUP(表1_86121822242670[[#This Row],[目标区服]],$R$32:$S$35,2,FALSE)-表1_86121822242670[[#This Row],[开服天数]])*配置!$B$2</f>
        <v>10</v>
      </c>
      <c r="H17" s="19" t="s">
        <v>25</v>
      </c>
      <c r="I17" s="19">
        <f>IF(表1_86121822242670[[#This Row],[原国家]]="魏",0,IF(表1_86121822242670[[#This Row],[原国家]]="蜀",1,2))</f>
        <v>0</v>
      </c>
      <c r="J17" s="20">
        <v>5</v>
      </c>
      <c r="K17" s="20">
        <v>197</v>
      </c>
      <c r="L17" s="20">
        <v>5</v>
      </c>
      <c r="M17" s="20">
        <v>14</v>
      </c>
      <c r="N17" s="20">
        <v>117954</v>
      </c>
      <c r="O17" s="20">
        <v>3268436</v>
      </c>
      <c r="P17" s="26">
        <v>16216362</v>
      </c>
      <c r="Q17" s="31" t="s">
        <v>25</v>
      </c>
      <c r="R17" s="19">
        <f>IF(表1_86121822242670[[#This Row],[目标国家]]="魏",0,IF(表1_86121822242670[[#This Row],[目标国家]]="蜀",1,2))</f>
        <v>0</v>
      </c>
      <c r="S17" s="20">
        <v>66366</v>
      </c>
      <c r="T17" s="20">
        <v>0</v>
      </c>
      <c r="U17" s="20">
        <v>405130</v>
      </c>
      <c r="V17" s="20">
        <v>10143</v>
      </c>
      <c r="W17" s="32">
        <v>956868</v>
      </c>
      <c r="X17" s="33" t="str">
        <f>"{"&amp;"'coin':"&amp;表1_86121822242670[[#This Row],[补偿Coin]]&amp;",'"&amp;配置!$A$2&amp;"':"&amp;表1_86121822242670[[#This Row],[补偿辎重]]&amp;"},"</f>
        <v>{'coin':1000,'item036':10},</v>
      </c>
      <c r="Y17" s="34" t="str">
        <f>"      '"&amp;表1_86121822242670[[#This Row],[区服]]&amp;"':{"</f>
        <v>      '5066':{</v>
      </c>
    </row>
    <row r="18" ht="14.25" customHeight="1" spans="1:25">
      <c r="A18" s="17">
        <v>5066</v>
      </c>
      <c r="B18" s="17">
        <f>VLOOKUP(表1_86121822242670[[#This Row],[区服]],$P$32:$Q$44,2,FALSE)</f>
        <v>44</v>
      </c>
      <c r="C18" s="18" t="s">
        <v>134</v>
      </c>
      <c r="D18" s="19" t="str">
        <f>表1_86121822242670[[#This Row],[目标国家]]</f>
        <v>魏</v>
      </c>
      <c r="E18" s="20">
        <f>(VLOOKUP(表1_86121822242670[[#This Row],[目标区服]],$R$32:$S$35,2,FALSE)-表1_86121822242670[[#This Row],[开服天数]])*配置!$B$1</f>
        <v>1000</v>
      </c>
      <c r="F18" s="20">
        <f>表1_86121822242670[[#This Row],[补偿Coin]]*(表1_86121822242670[[#This Row],[活跃高战玩家数]]+表1_86121822242670[[#This Row],[活跃中坚玩家数]])</f>
        <v>10000</v>
      </c>
      <c r="G18" s="20">
        <f>(VLOOKUP(表1_86121822242670[[#This Row],[目标区服]],$R$32:$S$35,2,FALSE)-表1_86121822242670[[#This Row],[开服天数]])*配置!$B$2</f>
        <v>10</v>
      </c>
      <c r="H18" s="19" t="s">
        <v>26</v>
      </c>
      <c r="I18" s="19">
        <f>IF(表1_86121822242670[[#This Row],[原国家]]="魏",0,IF(表1_86121822242670[[#This Row],[原国家]]="蜀",1,2))</f>
        <v>1</v>
      </c>
      <c r="J18" s="20">
        <v>1</v>
      </c>
      <c r="K18" s="20">
        <v>68</v>
      </c>
      <c r="L18" s="20">
        <v>0</v>
      </c>
      <c r="M18" s="20">
        <v>10</v>
      </c>
      <c r="N18" s="20">
        <v>43492</v>
      </c>
      <c r="O18" s="20">
        <v>883295</v>
      </c>
      <c r="P18" s="26">
        <v>4312913</v>
      </c>
      <c r="Q18" s="31" t="s">
        <v>25</v>
      </c>
      <c r="R18" s="19">
        <f>IF(表1_86121822242670[[#This Row],[目标国家]]="魏",0,IF(表1_86121822242670[[#This Row],[目标国家]]="蜀",1,2))</f>
        <v>0</v>
      </c>
      <c r="S18" s="20">
        <v>1760</v>
      </c>
      <c r="T18" s="20">
        <v>0</v>
      </c>
      <c r="U18" s="20">
        <v>178463</v>
      </c>
      <c r="V18" s="20">
        <v>2454</v>
      </c>
      <c r="W18" s="32">
        <v>276682</v>
      </c>
      <c r="X18" s="33" t="str">
        <f>"{"&amp;"'coin':"&amp;表1_86121822242670[[#This Row],[补偿Coin]]&amp;",'"&amp;配置!$A$2&amp;"':"&amp;表1_86121822242670[[#This Row],[补偿辎重]]&amp;"},"</f>
        <v>{'coin':1000,'item036':10},</v>
      </c>
      <c r="Y18" s="34" t="str">
        <f>"            'to_zone':'"&amp;表1_86121822242670[[#This Row],[目标区服]]&amp;"',
            'reward':"&amp;表1_86121822242670[[#This Row],[辅助导出]]&amp;"
            'country':["&amp;R17&amp;","&amp;R18&amp;","&amp;R19&amp;"],"</f>
        <v>            'to_zone':'h1_530',
            'reward':{'coin':1000,'item036':10},
            'country':[0,0,2],</v>
      </c>
    </row>
    <row r="19" ht="14.25" customHeight="1" spans="1:25">
      <c r="A19" s="17">
        <v>5066</v>
      </c>
      <c r="B19" s="17">
        <f>VLOOKUP(表1_86121822242670[[#This Row],[区服]],$P$32:$Q$44,2,FALSE)</f>
        <v>44</v>
      </c>
      <c r="C19" s="18" t="s">
        <v>134</v>
      </c>
      <c r="D19" s="19" t="str">
        <f>表1_86121822242670[[#This Row],[目标国家]]</f>
        <v>吴</v>
      </c>
      <c r="E19" s="20">
        <f>(VLOOKUP(表1_86121822242670[[#This Row],[目标区服]],$R$32:$S$35,2,FALSE)-表1_86121822242670[[#This Row],[开服天数]])*配置!$B$1</f>
        <v>1000</v>
      </c>
      <c r="F19" s="20">
        <f>表1_86121822242670[[#This Row],[补偿Coin]]*(表1_86121822242670[[#This Row],[活跃高战玩家数]]+表1_86121822242670[[#This Row],[活跃中坚玩家数]])</f>
        <v>15000</v>
      </c>
      <c r="G19" s="20">
        <f>(VLOOKUP(表1_86121822242670[[#This Row],[目标区服]],$R$32:$S$35,2,FALSE)-表1_86121822242670[[#This Row],[开服天数]])*配置!$B$2</f>
        <v>10</v>
      </c>
      <c r="H19" s="19" t="s">
        <v>27</v>
      </c>
      <c r="I19" s="19">
        <f>IF(表1_86121822242670[[#This Row],[原国家]]="魏",0,IF(表1_86121822242670[[#This Row],[原国家]]="蜀",1,2))</f>
        <v>2</v>
      </c>
      <c r="J19" s="20">
        <v>3</v>
      </c>
      <c r="K19" s="20">
        <v>130</v>
      </c>
      <c r="L19" s="20">
        <v>4</v>
      </c>
      <c r="M19" s="20">
        <v>11</v>
      </c>
      <c r="N19" s="20">
        <v>78272</v>
      </c>
      <c r="O19" s="20">
        <v>2599300</v>
      </c>
      <c r="P19" s="26">
        <v>10749975</v>
      </c>
      <c r="Q19" s="31" t="s">
        <v>27</v>
      </c>
      <c r="R19" s="19">
        <f>IF(表1_86121822242670[[#This Row],[目标国家]]="魏",0,IF(表1_86121822242670[[#This Row],[目标国家]]="蜀",1,2))</f>
        <v>2</v>
      </c>
      <c r="S19" s="20">
        <v>87674</v>
      </c>
      <c r="T19" s="20">
        <v>0</v>
      </c>
      <c r="U19" s="20">
        <v>442813</v>
      </c>
      <c r="V19" s="20">
        <v>8517</v>
      </c>
      <c r="W19" s="32">
        <v>875675</v>
      </c>
      <c r="X19" s="33" t="str">
        <f>"{"&amp;"'coin':"&amp;表1_86121822242670[[#This Row],[补偿Coin]]&amp;",'"&amp;配置!$A$2&amp;"':"&amp;表1_86121822242670[[#This Row],[补偿辎重]]&amp;"},"</f>
        <v>{'coin':1000,'item036':10},</v>
      </c>
      <c r="Y19" s="34" t="str">
        <f t="shared" ref="Y19" si="3">"      },"</f>
        <v>      },</v>
      </c>
    </row>
    <row r="20" ht="14.25" customHeight="1" spans="1:25">
      <c r="A20" s="17">
        <v>5067</v>
      </c>
      <c r="B20" s="17">
        <f>VLOOKUP(表1_86121822242670[[#This Row],[区服]],$P$32:$Q$44,2,FALSE)</f>
        <v>43</v>
      </c>
      <c r="C20" s="18" t="s">
        <v>134</v>
      </c>
      <c r="D20" s="19" t="str">
        <f>表1_86121822242670[[#This Row],[目标国家]]</f>
        <v>蜀</v>
      </c>
      <c r="E20" s="20">
        <f>(VLOOKUP(表1_86121822242670[[#This Row],[目标区服]],$R$32:$S$35,2,FALSE)-表1_86121822242670[[#This Row],[开服天数]])*配置!$B$1</f>
        <v>1500</v>
      </c>
      <c r="F20" s="20">
        <f>表1_86121822242670[[#This Row],[补偿Coin]]*(表1_86121822242670[[#This Row],[活跃高战玩家数]]+表1_86121822242670[[#This Row],[活跃中坚玩家数]])</f>
        <v>33000</v>
      </c>
      <c r="G20" s="20">
        <f>(VLOOKUP(表1_86121822242670[[#This Row],[目标区服]],$R$32:$S$35,2,FALSE)-表1_86121822242670[[#This Row],[开服天数]])*配置!$B$2</f>
        <v>15</v>
      </c>
      <c r="H20" s="19" t="s">
        <v>25</v>
      </c>
      <c r="I20" s="19">
        <f>IF(表1_86121822242670[[#This Row],[原国家]]="魏",0,IF(表1_86121822242670[[#This Row],[原国家]]="蜀",1,2))</f>
        <v>0</v>
      </c>
      <c r="J20" s="20">
        <v>4</v>
      </c>
      <c r="K20" s="20">
        <v>152</v>
      </c>
      <c r="L20" s="20">
        <v>6</v>
      </c>
      <c r="M20" s="20">
        <v>16</v>
      </c>
      <c r="N20" s="20">
        <v>135228</v>
      </c>
      <c r="O20" s="20">
        <v>1953501</v>
      </c>
      <c r="P20" s="26">
        <v>18801360</v>
      </c>
      <c r="Q20" s="31" t="s">
        <v>26</v>
      </c>
      <c r="R20" s="19">
        <f>IF(表1_86121822242670[[#This Row],[目标国家]]="魏",0,IF(表1_86121822242670[[#This Row],[目标国家]]="蜀",1,2))</f>
        <v>1</v>
      </c>
      <c r="S20" s="20">
        <v>61956</v>
      </c>
      <c r="T20" s="20">
        <v>0</v>
      </c>
      <c r="U20" s="20">
        <v>456464</v>
      </c>
      <c r="V20" s="20">
        <v>8516</v>
      </c>
      <c r="W20" s="32">
        <v>523601</v>
      </c>
      <c r="X20" s="33" t="str">
        <f>"{"&amp;"'coin':"&amp;表1_86121822242670[[#This Row],[补偿Coin]]&amp;",'"&amp;配置!$A$2&amp;"':"&amp;表1_86121822242670[[#This Row],[补偿辎重]]&amp;"},"</f>
        <v>{'coin':1500,'item036':15},</v>
      </c>
      <c r="Y20" s="34" t="str">
        <f>"      '"&amp;表1_86121822242670[[#This Row],[区服]]&amp;"':{"</f>
        <v>      '5067':{</v>
      </c>
    </row>
    <row r="21" ht="14.25" customHeight="1" spans="1:25">
      <c r="A21" s="17">
        <v>5067</v>
      </c>
      <c r="B21" s="17">
        <f>VLOOKUP(表1_86121822242670[[#This Row],[区服]],$P$32:$Q$44,2,FALSE)</f>
        <v>43</v>
      </c>
      <c r="C21" s="18" t="s">
        <v>134</v>
      </c>
      <c r="D21" s="19" t="str">
        <f>表1_86121822242670[[#This Row],[目标国家]]</f>
        <v>蜀</v>
      </c>
      <c r="E21" s="20">
        <f>(VLOOKUP(表1_86121822242670[[#This Row],[目标区服]],$R$32:$S$35,2,FALSE)-表1_86121822242670[[#This Row],[开服天数]])*配置!$B$1</f>
        <v>1500</v>
      </c>
      <c r="F21" s="20">
        <f>表1_86121822242670[[#This Row],[补偿Coin]]*(表1_86121822242670[[#This Row],[活跃高战玩家数]]+表1_86121822242670[[#This Row],[活跃中坚玩家数]])</f>
        <v>25500</v>
      </c>
      <c r="G21" s="20">
        <f>(VLOOKUP(表1_86121822242670[[#This Row],[目标区服]],$R$32:$S$35,2,FALSE)-表1_86121822242670[[#This Row],[开服天数]])*配置!$B$2</f>
        <v>15</v>
      </c>
      <c r="H21" s="19" t="s">
        <v>26</v>
      </c>
      <c r="I21" s="19">
        <f>IF(表1_86121822242670[[#This Row],[原国家]]="魏",0,IF(表1_86121822242670[[#This Row],[原国家]]="蜀",1,2))</f>
        <v>1</v>
      </c>
      <c r="J21" s="20">
        <v>3</v>
      </c>
      <c r="K21" s="20">
        <v>159</v>
      </c>
      <c r="L21" s="20">
        <v>2</v>
      </c>
      <c r="M21" s="20">
        <v>15</v>
      </c>
      <c r="N21" s="20">
        <v>76077</v>
      </c>
      <c r="O21" s="20">
        <v>2124926</v>
      </c>
      <c r="P21" s="26">
        <v>12475522</v>
      </c>
      <c r="Q21" s="31" t="s">
        <v>26</v>
      </c>
      <c r="R21" s="19">
        <f>IF(表1_86121822242670[[#This Row],[目标国家]]="魏",0,IF(表1_86121822242670[[#This Row],[目标国家]]="蜀",1,2))</f>
        <v>1</v>
      </c>
      <c r="S21" s="20">
        <v>84530</v>
      </c>
      <c r="T21" s="20">
        <v>0</v>
      </c>
      <c r="U21" s="20">
        <v>594987</v>
      </c>
      <c r="V21" s="20">
        <v>8476</v>
      </c>
      <c r="W21" s="32">
        <v>645983</v>
      </c>
      <c r="X21" s="33" t="str">
        <f>"{"&amp;"'coin':"&amp;表1_86121822242670[[#This Row],[补偿Coin]]&amp;",'"&amp;配置!$A$2&amp;"':"&amp;表1_86121822242670[[#This Row],[补偿辎重]]&amp;"},"</f>
        <v>{'coin':1500,'item036':15},</v>
      </c>
      <c r="Y21" s="34" t="str">
        <f>"            'to_zone':'"&amp;表1_86121822242670[[#This Row],[目标区服]]&amp;"',
            'reward':"&amp;表1_86121822242670[[#This Row],[辅助导出]]&amp;"
            'country':["&amp;R20&amp;","&amp;R21&amp;","&amp;R22&amp;"],"</f>
        <v>            'to_zone':'h1_530',
            'reward':{'coin':1500,'item036':15},
            'country':[1,1,2],</v>
      </c>
    </row>
    <row r="22" ht="14.25" customHeight="1" spans="1:25">
      <c r="A22" s="17">
        <v>5067</v>
      </c>
      <c r="B22" s="17">
        <f>VLOOKUP(表1_86121822242670[[#This Row],[区服]],$P$32:$Q$44,2,FALSE)</f>
        <v>43</v>
      </c>
      <c r="C22" s="18" t="s">
        <v>134</v>
      </c>
      <c r="D22" s="19" t="str">
        <f>表1_86121822242670[[#This Row],[目标国家]]</f>
        <v>吴</v>
      </c>
      <c r="E22" s="20">
        <f>(VLOOKUP(表1_86121822242670[[#This Row],[目标区服]],$R$32:$S$35,2,FALSE)-表1_86121822242670[[#This Row],[开服天数]])*配置!$B$1</f>
        <v>1500</v>
      </c>
      <c r="F22" s="20">
        <f>表1_86121822242670[[#This Row],[补偿Coin]]*(表1_86121822242670[[#This Row],[活跃高战玩家数]]+表1_86121822242670[[#This Row],[活跃中坚玩家数]])</f>
        <v>31500</v>
      </c>
      <c r="G22" s="20">
        <f>(VLOOKUP(表1_86121822242670[[#This Row],[目标区服]],$R$32:$S$35,2,FALSE)-表1_86121822242670[[#This Row],[开服天数]])*配置!$B$2</f>
        <v>15</v>
      </c>
      <c r="H22" s="19" t="s">
        <v>27</v>
      </c>
      <c r="I22" s="19">
        <f>IF(表1_86121822242670[[#This Row],[原国家]]="魏",0,IF(表1_86121822242670[[#This Row],[原国家]]="蜀",1,2))</f>
        <v>2</v>
      </c>
      <c r="J22" s="20">
        <v>2</v>
      </c>
      <c r="K22" s="20">
        <v>84</v>
      </c>
      <c r="L22" s="20">
        <v>2</v>
      </c>
      <c r="M22" s="20">
        <v>19</v>
      </c>
      <c r="N22" s="20">
        <v>73978</v>
      </c>
      <c r="O22" s="20">
        <v>1698654</v>
      </c>
      <c r="P22" s="26">
        <v>11492863</v>
      </c>
      <c r="Q22" s="31" t="s">
        <v>27</v>
      </c>
      <c r="R22" s="19">
        <f>IF(表1_86121822242670[[#This Row],[目标国家]]="魏",0,IF(表1_86121822242670[[#This Row],[目标国家]]="蜀",1,2))</f>
        <v>2</v>
      </c>
      <c r="S22" s="20">
        <v>28606</v>
      </c>
      <c r="T22" s="20">
        <v>0</v>
      </c>
      <c r="U22" s="20">
        <v>162383</v>
      </c>
      <c r="V22" s="20">
        <v>5197</v>
      </c>
      <c r="W22" s="32">
        <v>557107</v>
      </c>
      <c r="X22" s="33" t="str">
        <f>"{"&amp;"'coin':"&amp;表1_86121822242670[[#This Row],[补偿Coin]]&amp;",'"&amp;配置!$A$2&amp;"':"&amp;表1_86121822242670[[#This Row],[补偿辎重]]&amp;"},"</f>
        <v>{'coin':1500,'item036':15},</v>
      </c>
      <c r="Y22" s="34" t="str">
        <f t="shared" ref="Y22" si="4">"      },"</f>
        <v>      },</v>
      </c>
    </row>
    <row r="23" ht="14.25" customHeight="1" spans="1:25">
      <c r="A23" s="515">
        <v>5068</v>
      </c>
      <c r="B23" s="515">
        <f>VLOOKUP(表1_86121822242670[[#This Row],[区服]],$P$32:$Q$44,2,FALSE)</f>
        <v>43</v>
      </c>
      <c r="C23" s="589" t="s">
        <v>135</v>
      </c>
      <c r="D23" s="517" t="str">
        <f>表1_86121822242670[[#This Row],[目标国家]]</f>
        <v>魏</v>
      </c>
      <c r="E23" s="518">
        <f>(VLOOKUP(表1_86121822242670[[#This Row],[目标区服]],$R$32:$S$35,2,FALSE)-表1_86121822242670[[#This Row],[开服天数]])*配置!$B$1</f>
        <v>1000</v>
      </c>
      <c r="F23" s="519">
        <f>表1_86121822242670[[#This Row],[补偿Coin]]*(表1_86121822242670[[#This Row],[活跃高战玩家数]]+表1_86121822242670[[#This Row],[活跃中坚玩家数]])</f>
        <v>21000</v>
      </c>
      <c r="G23" s="520">
        <f>(VLOOKUP(表1_86121822242670[[#This Row],[目标区服]],$R$32:$S$35,2,FALSE)-表1_86121822242670[[#This Row],[开服天数]])*配置!$B$2</f>
        <v>10</v>
      </c>
      <c r="H23" s="517" t="s">
        <v>25</v>
      </c>
      <c r="I23" s="527">
        <f>IF(表1_86121822242670[[#This Row],[原国家]]="魏",0,IF(表1_86121822242670[[#This Row],[原国家]]="蜀",1,2))</f>
        <v>0</v>
      </c>
      <c r="J23" s="519">
        <v>3</v>
      </c>
      <c r="K23" s="519">
        <v>116</v>
      </c>
      <c r="L23" s="519">
        <v>4</v>
      </c>
      <c r="M23" s="519">
        <v>17</v>
      </c>
      <c r="N23" s="519">
        <v>79657</v>
      </c>
      <c r="O23" s="528">
        <v>1999987</v>
      </c>
      <c r="P23" s="529">
        <v>14058746</v>
      </c>
      <c r="Q23" s="532" t="s">
        <v>25</v>
      </c>
      <c r="R23" s="517">
        <f>IF(表1_86121822242670[[#This Row],[目标国家]]="魏",0,IF(表1_86121822242670[[#This Row],[目标国家]]="蜀",1,2))</f>
        <v>0</v>
      </c>
      <c r="S23" s="519">
        <v>44524</v>
      </c>
      <c r="T23" s="519">
        <v>0</v>
      </c>
      <c r="U23" s="519">
        <v>269169</v>
      </c>
      <c r="V23" s="519">
        <v>6734</v>
      </c>
      <c r="W23" s="533">
        <v>674899</v>
      </c>
      <c r="X23" s="534" t="str">
        <f>"{"&amp;"'coin':"&amp;表1_86121822242670[[#This Row],[补偿Coin]]&amp;",'"&amp;配置!$A$2&amp;"':"&amp;表1_86121822242670[[#This Row],[补偿辎重]]&amp;"},"</f>
        <v>{'coin':1000,'item036':10},</v>
      </c>
      <c r="Y23" s="536" t="str">
        <f>"      '"&amp;表1_86121822242670[[#This Row],[区服]]&amp;"':{"</f>
        <v>      '5068':{</v>
      </c>
    </row>
    <row r="24" ht="14.25" customHeight="1" spans="1:25">
      <c r="A24" s="515">
        <v>5068</v>
      </c>
      <c r="B24" s="515">
        <f>VLOOKUP(表1_86121822242670[[#This Row],[区服]],$P$32:$Q$44,2,FALSE)</f>
        <v>43</v>
      </c>
      <c r="C24" s="589" t="s">
        <v>135</v>
      </c>
      <c r="D24" s="517" t="str">
        <f>表1_86121822242670[[#This Row],[目标国家]]</f>
        <v>蜀</v>
      </c>
      <c r="E24" s="518">
        <f>(VLOOKUP(表1_86121822242670[[#This Row],[目标区服]],$R$32:$S$35,2,FALSE)-表1_86121822242670[[#This Row],[开服天数]])*配置!$B$1</f>
        <v>1000</v>
      </c>
      <c r="F24" s="519">
        <f>表1_86121822242670[[#This Row],[补偿Coin]]*(表1_86121822242670[[#This Row],[活跃高战玩家数]]+表1_86121822242670[[#This Row],[活跃中坚玩家数]])</f>
        <v>32000</v>
      </c>
      <c r="G24" s="520">
        <f>(VLOOKUP(表1_86121822242670[[#This Row],[目标区服]],$R$32:$S$35,2,FALSE)-表1_86121822242670[[#This Row],[开服天数]])*配置!$B$2</f>
        <v>10</v>
      </c>
      <c r="H24" s="517" t="s">
        <v>26</v>
      </c>
      <c r="I24" s="527">
        <f>IF(表1_86121822242670[[#This Row],[原国家]]="魏",0,IF(表1_86121822242670[[#This Row],[原国家]]="蜀",1,2))</f>
        <v>1</v>
      </c>
      <c r="J24" s="519">
        <v>4</v>
      </c>
      <c r="K24" s="519">
        <v>202</v>
      </c>
      <c r="L24" s="519">
        <v>4</v>
      </c>
      <c r="M24" s="519">
        <v>28</v>
      </c>
      <c r="N24" s="519">
        <v>157657</v>
      </c>
      <c r="O24" s="528">
        <v>2584715</v>
      </c>
      <c r="P24" s="529">
        <v>25313365</v>
      </c>
      <c r="Q24" s="532" t="s">
        <v>26</v>
      </c>
      <c r="R24" s="517">
        <f>IF(表1_86121822242670[[#This Row],[目标国家]]="魏",0,IF(表1_86121822242670[[#This Row],[目标国家]]="蜀",1,2))</f>
        <v>1</v>
      </c>
      <c r="S24" s="519">
        <v>83884</v>
      </c>
      <c r="T24" s="519">
        <v>0</v>
      </c>
      <c r="U24" s="519">
        <v>403229</v>
      </c>
      <c r="V24" s="519">
        <v>11042</v>
      </c>
      <c r="W24" s="533">
        <v>724559</v>
      </c>
      <c r="X24" s="534" t="str">
        <f>"{"&amp;"'coin':"&amp;表1_86121822242670[[#This Row],[补偿Coin]]&amp;",'"&amp;配置!$A$2&amp;"':"&amp;表1_86121822242670[[#This Row],[补偿辎重]]&amp;"},"</f>
        <v>{'coin':1000,'item036':10},</v>
      </c>
      <c r="Y24" s="536" t="str">
        <f>"            'to_zone':'"&amp;表1_86121822242670[[#This Row],[目标区服]]&amp;"',
            'reward':"&amp;表1_86121822242670[[#This Row],[辅助导出]]&amp;"
            'country':["&amp;R23&amp;","&amp;R24&amp;","&amp;R25&amp;"],"</f>
        <v>            'to_zone':'h1_531',
            'reward':{'coin':1000,'item036':10},
            'country':[0,1,1],</v>
      </c>
    </row>
    <row r="25" ht="14.25" customHeight="1" spans="1:25">
      <c r="A25" s="515">
        <v>5068</v>
      </c>
      <c r="B25" s="515">
        <f>VLOOKUP(表1_86121822242670[[#This Row],[区服]],$P$32:$Q$44,2,FALSE)</f>
        <v>43</v>
      </c>
      <c r="C25" s="589" t="s">
        <v>135</v>
      </c>
      <c r="D25" s="517" t="str">
        <f>表1_86121822242670[[#This Row],[目标国家]]</f>
        <v>蜀</v>
      </c>
      <c r="E25" s="518">
        <f>(VLOOKUP(表1_86121822242670[[#This Row],[目标区服]],$R$32:$S$35,2,FALSE)-表1_86121822242670[[#This Row],[开服天数]])*配置!$B$1</f>
        <v>1000</v>
      </c>
      <c r="F25" s="519">
        <f>表1_86121822242670[[#This Row],[补偿Coin]]*(表1_86121822242670[[#This Row],[活跃高战玩家数]]+表1_86121822242670[[#This Row],[活跃中坚玩家数]])</f>
        <v>19000</v>
      </c>
      <c r="G25" s="520">
        <f>(VLOOKUP(表1_86121822242670[[#This Row],[目标区服]],$R$32:$S$35,2,FALSE)-表1_86121822242670[[#This Row],[开服天数]])*配置!$B$2</f>
        <v>10</v>
      </c>
      <c r="H25" s="517" t="s">
        <v>27</v>
      </c>
      <c r="I25" s="527">
        <f>IF(表1_86121822242670[[#This Row],[原国家]]="魏",0,IF(表1_86121822242670[[#This Row],[原国家]]="蜀",1,2))</f>
        <v>2</v>
      </c>
      <c r="J25" s="519">
        <v>2</v>
      </c>
      <c r="K25" s="519">
        <v>77</v>
      </c>
      <c r="L25" s="519">
        <v>2</v>
      </c>
      <c r="M25" s="519">
        <v>17</v>
      </c>
      <c r="N25" s="519">
        <v>46810</v>
      </c>
      <c r="O25" s="528">
        <v>1567086</v>
      </c>
      <c r="P25" s="529">
        <v>9564878</v>
      </c>
      <c r="Q25" s="532" t="s">
        <v>26</v>
      </c>
      <c r="R25" s="517">
        <f>IF(表1_86121822242670[[#This Row],[目标国家]]="魏",0,IF(表1_86121822242670[[#This Row],[目标国家]]="蜀",1,2))</f>
        <v>1</v>
      </c>
      <c r="S25" s="519">
        <v>15818</v>
      </c>
      <c r="T25" s="519">
        <v>0</v>
      </c>
      <c r="U25" s="519">
        <v>115035</v>
      </c>
      <c r="V25" s="519">
        <v>4259</v>
      </c>
      <c r="W25" s="533">
        <v>533271</v>
      </c>
      <c r="X25" s="534" t="str">
        <f>"{"&amp;"'coin':"&amp;表1_86121822242670[[#This Row],[补偿Coin]]&amp;",'"&amp;配置!$A$2&amp;"':"&amp;表1_86121822242670[[#This Row],[补偿辎重]]&amp;"},"</f>
        <v>{'coin':1000,'item036':10},</v>
      </c>
      <c r="Y25" s="536" t="str">
        <f t="shared" ref="Y25" si="5">"      },"</f>
        <v>      },</v>
      </c>
    </row>
    <row r="26" ht="14.25" customHeight="1" spans="1:25">
      <c r="A26" s="515">
        <v>5069</v>
      </c>
      <c r="B26" s="515">
        <f>VLOOKUP(表1_86121822242670[[#This Row],[区服]],$P$32:$Q$44,2,FALSE)</f>
        <v>42</v>
      </c>
      <c r="C26" s="589" t="s">
        <v>135</v>
      </c>
      <c r="D26" s="517" t="str">
        <f>表1_86121822242670[[#This Row],[目标国家]]</f>
        <v>魏</v>
      </c>
      <c r="E26" s="518">
        <f>(VLOOKUP(表1_86121822242670[[#This Row],[目标区服]],$R$32:$S$35,2,FALSE)-表1_86121822242670[[#This Row],[开服天数]])*配置!$B$1</f>
        <v>1500</v>
      </c>
      <c r="F26" s="519">
        <f>表1_86121822242670[[#This Row],[补偿Coin]]*(表1_86121822242670[[#This Row],[活跃高战玩家数]]+表1_86121822242670[[#This Row],[活跃中坚玩家数]])</f>
        <v>54000</v>
      </c>
      <c r="G26" s="520">
        <f>(VLOOKUP(表1_86121822242670[[#This Row],[目标区服]],$R$32:$S$35,2,FALSE)-表1_86121822242670[[#This Row],[开服天数]])*配置!$B$2</f>
        <v>15</v>
      </c>
      <c r="H26" s="517" t="s">
        <v>25</v>
      </c>
      <c r="I26" s="527">
        <f>IF(表1_86121822242670[[#This Row],[原国家]]="魏",0,IF(表1_86121822242670[[#This Row],[原国家]]="蜀",1,2))</f>
        <v>0</v>
      </c>
      <c r="J26" s="519">
        <v>7</v>
      </c>
      <c r="K26" s="519">
        <v>296</v>
      </c>
      <c r="L26" s="519">
        <v>7</v>
      </c>
      <c r="M26" s="519">
        <v>29</v>
      </c>
      <c r="N26" s="519">
        <v>187279</v>
      </c>
      <c r="O26" s="528">
        <v>2018922</v>
      </c>
      <c r="P26" s="529">
        <v>28230607</v>
      </c>
      <c r="Q26" s="532" t="s">
        <v>25</v>
      </c>
      <c r="R26" s="517">
        <f>IF(表1_86121822242670[[#This Row],[目标国家]]="魏",0,IF(表1_86121822242670[[#This Row],[目标国家]]="蜀",1,2))</f>
        <v>0</v>
      </c>
      <c r="S26" s="519">
        <v>47628</v>
      </c>
      <c r="T26" s="519">
        <v>0</v>
      </c>
      <c r="U26" s="519">
        <v>686342</v>
      </c>
      <c r="V26" s="519">
        <v>11210</v>
      </c>
      <c r="W26" s="533">
        <v>591371</v>
      </c>
      <c r="X26" s="534" t="str">
        <f>"{"&amp;"'coin':"&amp;表1_86121822242670[[#This Row],[补偿Coin]]&amp;",'"&amp;配置!$A$2&amp;"':"&amp;表1_86121822242670[[#This Row],[补偿辎重]]&amp;"},"</f>
        <v>{'coin':1500,'item036':15},</v>
      </c>
      <c r="Y26" s="536" t="str">
        <f>"      '"&amp;表1_86121822242670[[#This Row],[区服]]&amp;"':{"</f>
        <v>      '5069':{</v>
      </c>
    </row>
    <row r="27" ht="14.25" customHeight="1" spans="1:25">
      <c r="A27" s="515">
        <v>5069</v>
      </c>
      <c r="B27" s="515">
        <f>VLOOKUP(表1_86121822242670[[#This Row],[区服]],$P$32:$Q$44,2,FALSE)</f>
        <v>42</v>
      </c>
      <c r="C27" s="589" t="s">
        <v>135</v>
      </c>
      <c r="D27" s="517" t="str">
        <f>表1_86121822242670[[#This Row],[目标国家]]</f>
        <v>吴</v>
      </c>
      <c r="E27" s="518">
        <f>(VLOOKUP(表1_86121822242670[[#This Row],[目标区服]],$R$32:$S$35,2,FALSE)-表1_86121822242670[[#This Row],[开服天数]])*配置!$B$1</f>
        <v>1500</v>
      </c>
      <c r="F27" s="519">
        <f>表1_86121822242670[[#This Row],[补偿Coin]]*(表1_86121822242670[[#This Row],[活跃高战玩家数]]+表1_86121822242670[[#This Row],[活跃中坚玩家数]])</f>
        <v>27000</v>
      </c>
      <c r="G27" s="520">
        <f>(VLOOKUP(表1_86121822242670[[#This Row],[目标区服]],$R$32:$S$35,2,FALSE)-表1_86121822242670[[#This Row],[开服天数]])*配置!$B$2</f>
        <v>15</v>
      </c>
      <c r="H27" s="517" t="s">
        <v>26</v>
      </c>
      <c r="I27" s="527">
        <f>IF(表1_86121822242670[[#This Row],[原国家]]="魏",0,IF(表1_86121822242670[[#This Row],[原国家]]="蜀",1,2))</f>
        <v>1</v>
      </c>
      <c r="J27" s="519">
        <v>2</v>
      </c>
      <c r="K27" s="519">
        <v>75</v>
      </c>
      <c r="L27" s="519">
        <v>3</v>
      </c>
      <c r="M27" s="519">
        <v>15</v>
      </c>
      <c r="N27" s="519">
        <v>74313</v>
      </c>
      <c r="O27" s="528">
        <v>2809767</v>
      </c>
      <c r="P27" s="529">
        <v>13911488</v>
      </c>
      <c r="Q27" s="532" t="s">
        <v>27</v>
      </c>
      <c r="R27" s="517">
        <f>IF(表1_86121822242670[[#This Row],[目标国家]]="魏",0,IF(表1_86121822242670[[#This Row],[目标国家]]="蜀",1,2))</f>
        <v>2</v>
      </c>
      <c r="S27" s="519">
        <v>100280</v>
      </c>
      <c r="T27" s="519">
        <v>0</v>
      </c>
      <c r="U27" s="519">
        <v>688033</v>
      </c>
      <c r="V27" s="519">
        <v>8874</v>
      </c>
      <c r="W27" s="533">
        <v>1090183</v>
      </c>
      <c r="X27" s="534" t="str">
        <f>"{"&amp;"'coin':"&amp;表1_86121822242670[[#This Row],[补偿Coin]]&amp;",'"&amp;配置!$A$2&amp;"':"&amp;表1_86121822242670[[#This Row],[补偿辎重]]&amp;"},"</f>
        <v>{'coin':1500,'item036':15},</v>
      </c>
      <c r="Y27" s="536" t="str">
        <f>"            'to_zone':'"&amp;表1_86121822242670[[#This Row],[目标区服]]&amp;"',
            'reward':"&amp;表1_86121822242670[[#This Row],[辅助导出]]&amp;"
            'country':["&amp;R26&amp;","&amp;R27&amp;","&amp;R28&amp;"],"</f>
        <v>            'to_zone':'h1_531',
            'reward':{'coin':1500,'item036':15},
            'country':[0,2,2],</v>
      </c>
    </row>
    <row r="28" ht="14.25" customHeight="1" spans="1:25">
      <c r="A28" s="515">
        <v>5069</v>
      </c>
      <c r="B28" s="515">
        <f>VLOOKUP(表1_86121822242670[[#This Row],[区服]],$P$32:$Q$44,2,FALSE)</f>
        <v>42</v>
      </c>
      <c r="C28" s="589" t="s">
        <v>135</v>
      </c>
      <c r="D28" s="517" t="str">
        <f>表1_86121822242670[[#This Row],[目标国家]]</f>
        <v>吴</v>
      </c>
      <c r="E28" s="518">
        <f>(VLOOKUP(表1_86121822242670[[#This Row],[目标区服]],$R$32:$S$35,2,FALSE)-表1_86121822242670[[#This Row],[开服天数]])*配置!$B$1</f>
        <v>1500</v>
      </c>
      <c r="F28" s="519">
        <f>表1_86121822242670[[#This Row],[补偿Coin]]*(表1_86121822242670[[#This Row],[活跃高战玩家数]]+表1_86121822242670[[#This Row],[活跃中坚玩家数]])</f>
        <v>21000</v>
      </c>
      <c r="G28" s="520">
        <f>(VLOOKUP(表1_86121822242670[[#This Row],[目标区服]],$R$32:$S$35,2,FALSE)-表1_86121822242670[[#This Row],[开服天数]])*配置!$B$2</f>
        <v>15</v>
      </c>
      <c r="H28" s="517" t="s">
        <v>27</v>
      </c>
      <c r="I28" s="527">
        <f>IF(表1_86121822242670[[#This Row],[原国家]]="魏",0,IF(表1_86121822242670[[#This Row],[原国家]]="蜀",1,2))</f>
        <v>2</v>
      </c>
      <c r="J28" s="519">
        <v>0</v>
      </c>
      <c r="K28" s="519">
        <v>24</v>
      </c>
      <c r="L28" s="519">
        <v>0</v>
      </c>
      <c r="M28" s="519">
        <v>14</v>
      </c>
      <c r="N28" s="519">
        <v>38789</v>
      </c>
      <c r="O28" s="528">
        <v>817011</v>
      </c>
      <c r="P28" s="529">
        <v>6099243</v>
      </c>
      <c r="Q28" s="532" t="s">
        <v>27</v>
      </c>
      <c r="R28" s="517">
        <f>IF(表1_86121822242670[[#This Row],[目标国家]]="魏",0,IF(表1_86121822242670[[#This Row],[目标国家]]="蜀",1,2))</f>
        <v>2</v>
      </c>
      <c r="S28" s="519">
        <v>4290</v>
      </c>
      <c r="T28" s="519">
        <v>0</v>
      </c>
      <c r="U28" s="519">
        <v>222984</v>
      </c>
      <c r="V28" s="519">
        <v>2101</v>
      </c>
      <c r="W28" s="535">
        <v>258343</v>
      </c>
      <c r="X28" s="534" t="str">
        <f>"{"&amp;"'coin':"&amp;表1_86121822242670[[#This Row],[补偿Coin]]&amp;",'"&amp;配置!$A$2&amp;"':"&amp;表1_86121822242670[[#This Row],[补偿辎重]]&amp;"},"</f>
        <v>{'coin':1500,'item036':15},</v>
      </c>
      <c r="Y28" s="536" t="str">
        <f t="shared" ref="Y28" si="6">"      },"</f>
        <v>      },</v>
      </c>
    </row>
    <row r="31" ht="27" spans="1:19">
      <c r="A31" s="36" t="s">
        <v>28</v>
      </c>
      <c r="B31" s="37" t="s">
        <v>29</v>
      </c>
      <c r="C31" s="38" t="s">
        <v>30</v>
      </c>
      <c r="D31" s="38" t="s">
        <v>31</v>
      </c>
      <c r="E31" s="38" t="s">
        <v>32</v>
      </c>
      <c r="F31" s="38" t="s">
        <v>33</v>
      </c>
      <c r="G31" s="38" t="s">
        <v>15</v>
      </c>
      <c r="H31" s="37" t="s">
        <v>18</v>
      </c>
      <c r="I31" s="37" t="s">
        <v>19</v>
      </c>
      <c r="J31" s="37" t="s">
        <v>34</v>
      </c>
      <c r="K31" s="38" t="s">
        <v>35</v>
      </c>
      <c r="L31" s="38" t="s">
        <v>36</v>
      </c>
      <c r="M31" s="38" t="s">
        <v>37</v>
      </c>
      <c r="N31" s="38" t="s">
        <v>88</v>
      </c>
      <c r="P31" s="51" t="s">
        <v>0</v>
      </c>
      <c r="Q31" s="51" t="s">
        <v>1</v>
      </c>
      <c r="R31" s="51"/>
      <c r="S31" s="51" t="s">
        <v>38</v>
      </c>
    </row>
    <row r="32" ht="15" spans="1:19">
      <c r="A32" s="39" t="s">
        <v>132</v>
      </c>
      <c r="B32" s="39" t="s">
        <v>25</v>
      </c>
      <c r="C32" s="39">
        <f>COUNTIFS(表1_86121822242670[目标区服],表2_97131923252771[[#This Row],[合区区服]],表1_86121822242670[目标国家（映射）],表2_97131923252771[[#This Row],[国家]])</f>
        <v>3</v>
      </c>
      <c r="D32" s="39">
        <f>SUMIFS(表1_86121822242670[活跃高战玩家数],表1_86121822242670[目标区服],表2_97131923252771[[#This Row],[合区区服]],表1_86121822242670[目标国家（映射）],表2_97131923252771[[#This Row],[国家]])</f>
        <v>8</v>
      </c>
      <c r="E32" s="39">
        <f>SUMIFS(表1_86121822242670[活跃中坚玩家数],表1_86121822242670[目标区服],表2_97131923252771[[#This Row],[合区区服]],表1_86121822242670[目标国家（映射）],表2_97131923252771[[#This Row],[国家]])</f>
        <v>38</v>
      </c>
      <c r="F32" s="39">
        <f t="array" ref="F32">MAX((表1_86121822242670[目标区服]=表2_97131923252771[[#This Row],[合区区服]])*(表1_86121822242670[目标国家（映射）]=表2_97131923252771[[#This Row],[国家]])*表1_86121822242670[活跃尖端战力])</f>
        <v>3289702</v>
      </c>
      <c r="G32" s="40">
        <f>SUMIFS(表1_86121822242670[活跃总战力],表1_86121822242670[目标区服],表2_97131923252771[[#This Row],[合区区服]],表1_86121822242670[目标国家（映射）],表2_97131923252771[[#This Row],[国家]])</f>
        <v>38033411</v>
      </c>
      <c r="H32" s="39">
        <f>SUMIFS(表1_86121822242670[活跃实际充值],表1_86121822242670[目标区服],表2_97131923252771[[#This Row],[合区区服]],表1_86121822242670[目标国家（映射）],表2_97131923252771[[#This Row],[国家]])</f>
        <v>127774</v>
      </c>
      <c r="I32" s="39">
        <f>SUMIFS(表1_86121822242670[活跃虚拟充值],表1_86121822242670[目标区服],表2_97131923252771[[#This Row],[合区区服]],表1_86121822242670[目标国家（映射）],表2_97131923252771[[#This Row],[国家]])</f>
        <v>0</v>
      </c>
      <c r="J32" s="39">
        <f>SUMIFS(表1_86121822242670[活跃Coin],表1_86121822242670[目标区服],表2_97131923252771[[#This Row],[合区区服]],表1_86121822242670[目标国家（映射）],表2_97131923252771[[#This Row],[国家]])</f>
        <v>698413</v>
      </c>
      <c r="K32" s="39">
        <f>SUMIFS(表1_86121822242670[共计补偿Coin],表1_86121822242670[目标区服],表2_97131923252771[[#This Row],[合区区服]],表1_86121822242670[目标国家（映射）],表2_97131923252771[[#This Row],[国家]])</f>
        <v>51000</v>
      </c>
      <c r="L32" s="39">
        <f>表2_97131923252771[[#This Row],[活跃Coin]]+表2_97131923252771[[#This Row],[共计补偿Coin]]</f>
        <v>749413</v>
      </c>
      <c r="M32" s="39">
        <f>SUMIFS(表1_86121822242670[综合国力],表1_86121822242670[目标区服],表2_97131923252771[[#This Row],[合区区服]],表1_86121822242670[目标国家（映射）],表2_97131923252771[[#This Row],[国家]])</f>
        <v>19926</v>
      </c>
      <c r="N32" s="39">
        <f t="array" ref="N32">MAX((表1_86121822242670[目标区服]=表2_97131923252771[[#This Row],[合区区服]])*(表1_86121822242670[目标国家（映射）]=表2_97131923252771[[#This Row],[国家]])*表1_86121822242670[单将最高战力])</f>
        <v>893134</v>
      </c>
      <c r="P32" s="51">
        <v>5061</v>
      </c>
      <c r="Q32" s="51">
        <v>47</v>
      </c>
      <c r="R32" s="51" t="s">
        <v>132</v>
      </c>
      <c r="S32" s="51">
        <v>49</v>
      </c>
    </row>
    <row r="33" ht="15" spans="1:19">
      <c r="A33" s="39" t="s">
        <v>132</v>
      </c>
      <c r="B33" s="39" t="s">
        <v>26</v>
      </c>
      <c r="C33" s="39">
        <f>COUNTIFS(表1_86121822242670[目标区服],表2_97131923252771[[#This Row],[合区区服]],表1_86121822242670[目标国家（映射）],表2_97131923252771[[#This Row],[国家]])</f>
        <v>3</v>
      </c>
      <c r="D33" s="39">
        <f>SUMIFS(表1_86121822242670[活跃高战玩家数],表1_86121822242670[目标区服],表2_97131923252771[[#This Row],[合区区服]],表1_86121822242670[目标国家（映射）],表2_97131923252771[[#This Row],[国家]])</f>
        <v>12</v>
      </c>
      <c r="E33" s="39">
        <f>SUMIFS(表1_86121822242670[活跃中坚玩家数],表1_86121822242670[目标区服],表2_97131923252771[[#This Row],[合区区服]],表1_86121822242670[目标国家（映射）],表2_97131923252771[[#This Row],[国家]])</f>
        <v>48</v>
      </c>
      <c r="F33" s="39">
        <f t="array" ref="F33">MAX((表1_86121822242670[目标区服]=表2_97131923252771[[#This Row],[合区区服]])*(表1_86121822242670[目标国家（映射）]=表2_97131923252771[[#This Row],[国家]])*表1_86121822242670[活跃尖端战力])</f>
        <v>2224153</v>
      </c>
      <c r="G33" s="40">
        <f>SUMIFS(表1_86121822242670[活跃总战力],表1_86121822242670[目标区服],表2_97131923252771[[#This Row],[合区区服]],表1_86121822242670[目标国家（映射）],表2_97131923252771[[#This Row],[国家]])</f>
        <v>44328805</v>
      </c>
      <c r="H33" s="39">
        <f>SUMIFS(表1_86121822242670[活跃实际充值],表1_86121822242670[目标区服],表2_97131923252771[[#This Row],[合区区服]],表1_86121822242670[目标国家（映射）],表2_97131923252771[[#This Row],[国家]])</f>
        <v>105548</v>
      </c>
      <c r="I33" s="39">
        <f>SUMIFS(表1_86121822242670[活跃虚拟充值],表1_86121822242670[目标区服],表2_97131923252771[[#This Row],[合区区服]],表1_86121822242670[目标国家（映射）],表2_97131923252771[[#This Row],[国家]])</f>
        <v>0</v>
      </c>
      <c r="J33" s="39">
        <f>SUMIFS(表1_86121822242670[活跃Coin],表1_86121822242670[目标区服],表2_97131923252771[[#This Row],[合区区服]],表1_86121822242670[目标国家（映射）],表2_97131923252771[[#This Row],[国家]])</f>
        <v>783299</v>
      </c>
      <c r="K33" s="39">
        <f>SUMIFS(表1_86121822242670[共计补偿Coin],表1_86121822242670[目标区服],表2_97131923252771[[#This Row],[合区区服]],表1_86121822242670[目标国家（映射）],表2_97131923252771[[#This Row],[国家]])</f>
        <v>84500</v>
      </c>
      <c r="L33" s="39">
        <f>表2_97131923252771[[#This Row],[活跃Coin]]+表2_97131923252771[[#This Row],[共计补偿Coin]]</f>
        <v>867799</v>
      </c>
      <c r="M33" s="39">
        <f>SUMIFS(表1_86121822242670[综合国力],表1_86121822242670[目标区服],表2_97131923252771[[#This Row],[合区区服]],表1_86121822242670[目标国家（映射）],表2_97131923252771[[#This Row],[国家]])</f>
        <v>18363</v>
      </c>
      <c r="N33" s="39">
        <f t="array" ref="N33">MAX((表1_86121822242670[目标区服]=表2_97131923252771[[#This Row],[合区区服]])*(表1_86121822242670[目标国家（映射）]=表2_97131923252771[[#This Row],[国家]])*表1_86121822242670[单将最高战力])</f>
        <v>632180</v>
      </c>
      <c r="P33" s="51">
        <v>5062</v>
      </c>
      <c r="Q33" s="51">
        <v>46</v>
      </c>
      <c r="R33" s="51" t="s">
        <v>133</v>
      </c>
      <c r="S33" s="51">
        <v>47</v>
      </c>
    </row>
    <row r="34" ht="15" spans="1:19">
      <c r="A34" s="39" t="s">
        <v>132</v>
      </c>
      <c r="B34" s="39" t="s">
        <v>27</v>
      </c>
      <c r="C34" s="39">
        <f>COUNTIFS(表1_86121822242670[目标区服],表2_97131923252771[[#This Row],[合区区服]],表1_86121822242670[目标国家（映射）],表2_97131923252771[[#This Row],[国家]])</f>
        <v>3</v>
      </c>
      <c r="D34" s="39">
        <f>SUMIFS(表1_86121822242670[活跃高战玩家数],表1_86121822242670[目标区服],表2_97131923252771[[#This Row],[合区区服]],表1_86121822242670[目标国家（映射）],表2_97131923252771[[#This Row],[国家]])</f>
        <v>9</v>
      </c>
      <c r="E34" s="39">
        <f>SUMIFS(表1_86121822242670[活跃中坚玩家数],表1_86121822242670[目标区服],表2_97131923252771[[#This Row],[合区区服]],表1_86121822242670[目标国家（映射）],表2_97131923252771[[#This Row],[国家]])</f>
        <v>59</v>
      </c>
      <c r="F34" s="39">
        <f t="array" ref="F34">MAX((表1_86121822242670[目标区服]=表2_97131923252771[[#This Row],[合区区服]])*(表1_86121822242670[目标国家（映射）]=表2_97131923252771[[#This Row],[国家]])*表1_86121822242670[活跃尖端战力])</f>
        <v>2361828</v>
      </c>
      <c r="G34" s="40">
        <f>SUMIFS(表1_86121822242670[活跃总战力],表1_86121822242670[目标区服],表2_97131923252771[[#This Row],[合区区服]],表1_86121822242670[目标国家（映射）],表2_97131923252771[[#This Row],[国家]])</f>
        <v>48743210</v>
      </c>
      <c r="H34" s="39">
        <f>SUMIFS(表1_86121822242670[活跃实际充值],表1_86121822242670[目标区服],表2_97131923252771[[#This Row],[合区区服]],表1_86121822242670[目标国家（映射）],表2_97131923252771[[#This Row],[国家]])</f>
        <v>100784</v>
      </c>
      <c r="I34" s="39">
        <f>SUMIFS(表1_86121822242670[活跃虚拟充值],表1_86121822242670[目标区服],表2_97131923252771[[#This Row],[合区区服]],表1_86121822242670[目标国家（映射）],表2_97131923252771[[#This Row],[国家]])</f>
        <v>0</v>
      </c>
      <c r="J34" s="39">
        <f>SUMIFS(表1_86121822242670[活跃Coin],表1_86121822242670[目标区服],表2_97131923252771[[#This Row],[合区区服]],表1_86121822242670[目标国家（映射）],表2_97131923252771[[#This Row],[国家]])</f>
        <v>919378</v>
      </c>
      <c r="K34" s="39">
        <f>SUMIFS(表1_86121822242670[共计补偿Coin],表1_86121822242670[目标区服],表2_97131923252771[[#This Row],[合区区服]],表1_86121822242670[目标国家（映射）],表2_97131923252771[[#This Row],[国家]])</f>
        <v>102000</v>
      </c>
      <c r="L34" s="39">
        <f>表2_97131923252771[[#This Row],[活跃Coin]]+表2_97131923252771[[#This Row],[共计补偿Coin]]</f>
        <v>1021378</v>
      </c>
      <c r="M34" s="39">
        <f>SUMIFS(表1_86121822242670[综合国力],表1_86121822242670[目标区服],表2_97131923252771[[#This Row],[合区区服]],表1_86121822242670[目标国家（映射）],表2_97131923252771[[#This Row],[国家]])</f>
        <v>21354</v>
      </c>
      <c r="N34" s="39">
        <f t="array" ref="N34">MAX((表1_86121822242670[目标区服]=表2_97131923252771[[#This Row],[合区区服]])*(表1_86121822242670[目标国家（映射）]=表2_97131923252771[[#This Row],[国家]])*表1_86121822242670[单将最高战力])</f>
        <v>712139</v>
      </c>
      <c r="P34" s="51">
        <v>5063</v>
      </c>
      <c r="Q34" s="51">
        <v>46</v>
      </c>
      <c r="R34" s="51" t="s">
        <v>134</v>
      </c>
      <c r="S34" s="51">
        <v>46</v>
      </c>
    </row>
    <row r="35" ht="15" spans="1:19">
      <c r="A35" s="41" t="s">
        <v>133</v>
      </c>
      <c r="B35" s="41" t="s">
        <v>25</v>
      </c>
      <c r="C35" s="41">
        <f>COUNTIFS(表1_86121822242670[目标区服],表2_97131923252771[[#This Row],[合区区服]],表1_86121822242670[目标国家（映射）],表2_97131923252771[[#This Row],[国家]])</f>
        <v>2</v>
      </c>
      <c r="D35" s="41">
        <f>SUMIFS(表1_86121822242670[活跃高战玩家数],表1_86121822242670[目标区服],表2_97131923252771[[#This Row],[合区区服]],表1_86121822242670[目标国家（映射）],表2_97131923252771[[#This Row],[国家]])</f>
        <v>6</v>
      </c>
      <c r="E35" s="41">
        <f>SUMIFS(表1_86121822242670[活跃中坚玩家数],表1_86121822242670[目标区服],表2_97131923252771[[#This Row],[合区区服]],表1_86121822242670[目标国家（映射）],表2_97131923252771[[#This Row],[国家]])</f>
        <v>43</v>
      </c>
      <c r="F35" s="41">
        <f t="array" ref="F35">MAX((表1_86121822242670[目标区服]=表2_97131923252771[[#This Row],[合区区服]])*(表1_86121822242670[目标国家（映射）]=表2_97131923252771[[#This Row],[国家]])*表1_86121822242670[活跃尖端战力])</f>
        <v>3379125</v>
      </c>
      <c r="G35" s="42">
        <f>SUMIFS(表1_86121822242670[活跃总战力],表1_86121822242670[目标区服],表2_97131923252771[[#This Row],[合区区服]],表1_86121822242670[目标国家（映射）],表2_97131923252771[[#This Row],[国家]])</f>
        <v>37042485</v>
      </c>
      <c r="H35" s="41">
        <f>SUMIFS(表1_86121822242670[活跃实际充值],表1_86121822242670[目标区服],表2_97131923252771[[#This Row],[合区区服]],表1_86121822242670[目标国家（映射）],表2_97131923252771[[#This Row],[国家]])</f>
        <v>136418</v>
      </c>
      <c r="I35" s="41">
        <f>SUMIFS(表1_86121822242670[活跃虚拟充值],表1_86121822242670[目标区服],表2_97131923252771[[#This Row],[合区区服]],表1_86121822242670[目标国家（映射）],表2_97131923252771[[#This Row],[国家]])</f>
        <v>0</v>
      </c>
      <c r="J35" s="41">
        <f>SUMIFS(表1_86121822242670[活跃Coin],表1_86121822242670[目标区服],表2_97131923252771[[#This Row],[合区区服]],表1_86121822242670[目标国家（映射）],表2_97131923252771[[#This Row],[国家]])</f>
        <v>1048967</v>
      </c>
      <c r="K35" s="41">
        <f>SUMIFS(表1_86121822242670[共计补偿Coin],表1_86121822242670[目标区服],表2_97131923252771[[#This Row],[合区区服]],表1_86121822242670[目标国家（映射）],表2_97131923252771[[#This Row],[国家]])</f>
        <v>59500</v>
      </c>
      <c r="L35" s="41">
        <f>表2_97131923252771[[#This Row],[活跃Coin]]+表2_97131923252771[[#This Row],[共计补偿Coin]]</f>
        <v>1108467</v>
      </c>
      <c r="M35" s="41">
        <f>SUMIFS(表1_86121822242670[综合国力],表1_86121822242670[目标区服],表2_97131923252771[[#This Row],[合区区服]],表1_86121822242670[目标国家（映射）],表2_97131923252771[[#This Row],[国家]])</f>
        <v>17809</v>
      </c>
      <c r="N35" s="41">
        <f t="array" ref="N35">MAX((表1_86121822242670[目标区服]=表2_97131923252771[[#This Row],[合区区服]])*(表1_86121822242670[目标国家（映射）]=表2_97131923252771[[#This Row],[国家]])*表1_86121822242670[单将最高战力])</f>
        <v>1005844</v>
      </c>
      <c r="P35" s="51">
        <v>5064</v>
      </c>
      <c r="Q35" s="51">
        <v>45</v>
      </c>
      <c r="R35" s="51" t="s">
        <v>135</v>
      </c>
      <c r="S35" s="51">
        <v>45</v>
      </c>
    </row>
    <row r="36" ht="15" spans="1:17">
      <c r="A36" s="41" t="s">
        <v>133</v>
      </c>
      <c r="B36" s="41" t="s">
        <v>26</v>
      </c>
      <c r="C36" s="41">
        <f>COUNTIFS(表1_86121822242670[目标区服],表2_97131923252771[[#This Row],[合区区服]],表1_86121822242670[目标国家（映射）],表2_97131923252771[[#This Row],[国家]])</f>
        <v>2</v>
      </c>
      <c r="D36" s="41">
        <f>SUMIFS(表1_86121822242670[活跃高战玩家数],表1_86121822242670[目标区服],表2_97131923252771[[#This Row],[合区区服]],表1_86121822242670[目标国家（映射）],表2_97131923252771[[#This Row],[国家]])</f>
        <v>7</v>
      </c>
      <c r="E36" s="41">
        <f>SUMIFS(表1_86121822242670[活跃中坚玩家数],表1_86121822242670[目标区服],表2_97131923252771[[#This Row],[合区区服]],表1_86121822242670[目标国家（映射）],表2_97131923252771[[#This Row],[国家]])</f>
        <v>45</v>
      </c>
      <c r="F36" s="41">
        <f t="array" ref="F36">MAX((表1_86121822242670[目标区服]=表2_97131923252771[[#This Row],[合区区服]])*(表1_86121822242670[目标国家（映射）]=表2_97131923252771[[#This Row],[国家]])*表1_86121822242670[活跃尖端战力])</f>
        <v>2710631</v>
      </c>
      <c r="G36" s="42">
        <f>SUMIFS(表1_86121822242670[活跃总战力],表1_86121822242670[目标区服],表2_97131923252771[[#This Row],[合区区服]],表1_86121822242670[目标国家（映射）],表2_97131923252771[[#This Row],[国家]])</f>
        <v>39774839</v>
      </c>
      <c r="H36" s="41">
        <f>SUMIFS(表1_86121822242670[活跃实际充值],表1_86121822242670[目标区服],表2_97131923252771[[#This Row],[合区区服]],表1_86121822242670[目标国家（映射）],表2_97131923252771[[#This Row],[国家]])</f>
        <v>102844</v>
      </c>
      <c r="I36" s="41">
        <f>SUMIFS(表1_86121822242670[活跃虚拟充值],表1_86121822242670[目标区服],表2_97131923252771[[#This Row],[合区区服]],表1_86121822242670[目标国家（映射）],表2_97131923252771[[#This Row],[国家]])</f>
        <v>0</v>
      </c>
      <c r="J36" s="41">
        <f>SUMIFS(表1_86121822242670[活跃Coin],表1_86121822242670[目标区服],表2_97131923252771[[#This Row],[合区区服]],表1_86121822242670[目标国家（映射）],表2_97131923252771[[#This Row],[国家]])</f>
        <v>731234</v>
      </c>
      <c r="K36" s="41">
        <f>SUMIFS(表1_86121822242670[共计补偿Coin],表1_86121822242670[目标区服],表2_97131923252771[[#This Row],[合区区服]],表1_86121822242670[目标国家（映射）],表2_97131923252771[[#This Row],[国家]])</f>
        <v>65500</v>
      </c>
      <c r="L36" s="41">
        <f>表2_97131923252771[[#This Row],[活跃Coin]]+表2_97131923252771[[#This Row],[共计补偿Coin]]</f>
        <v>796734</v>
      </c>
      <c r="M36" s="41">
        <f>SUMIFS(表1_86121822242670[综合国力],表1_86121822242670[目标区服],表2_97131923252771[[#This Row],[合区区服]],表1_86121822242670[目标国家（映射）],表2_97131923252771[[#This Row],[国家]])</f>
        <v>17366</v>
      </c>
      <c r="N36" s="41">
        <f t="array" ref="N36">MAX((表1_86121822242670[目标区服]=表2_97131923252771[[#This Row],[合区区服]])*(表1_86121822242670[目标国家（映射）]=表2_97131923252771[[#This Row],[国家]])*表1_86121822242670[单将最高战力])</f>
        <v>917294</v>
      </c>
      <c r="P36" s="51">
        <v>5065</v>
      </c>
      <c r="Q36" s="51">
        <v>44</v>
      </c>
    </row>
    <row r="37" ht="15" spans="1:17">
      <c r="A37" s="41" t="s">
        <v>133</v>
      </c>
      <c r="B37" s="43" t="s">
        <v>27</v>
      </c>
      <c r="C37" s="43">
        <f>COUNTIFS(表1_86121822242670[目标区服],表2_97131923252771[[#This Row],[合区区服]],表1_86121822242670[目标国家（映射）],表2_97131923252771[[#This Row],[国家]])</f>
        <v>2</v>
      </c>
      <c r="D37" s="43">
        <f>SUMIFS(表1_86121822242670[活跃高战玩家数],表1_86121822242670[目标区服],表2_97131923252771[[#This Row],[合区区服]],表1_86121822242670[目标国家（映射）],表2_97131923252771[[#This Row],[国家]])</f>
        <v>6</v>
      </c>
      <c r="E37" s="43">
        <f>SUMIFS(表1_86121822242670[活跃中坚玩家数],表1_86121822242670[目标区服],表2_97131923252771[[#This Row],[合区区服]],表1_86121822242670[目标国家（映射）],表2_97131923252771[[#This Row],[国家]])</f>
        <v>36</v>
      </c>
      <c r="F37" s="43">
        <f t="array" ref="F37">MAX((表1_86121822242670[目标区服]=表2_97131923252771[[#This Row],[合区区服]])*(表1_86121822242670[目标国家（映射）]=表2_97131923252771[[#This Row],[国家]])*表1_86121822242670[活跃尖端战力])</f>
        <v>2552060</v>
      </c>
      <c r="G37" s="44">
        <f>SUMIFS(表1_86121822242670[活跃总战力],表1_86121822242670[目标区服],表2_97131923252771[[#This Row],[合区区服]],表1_86121822242670[目标国家（映射）],表2_97131923252771[[#This Row],[国家]])</f>
        <v>34094055</v>
      </c>
      <c r="H37" s="43">
        <f>SUMIFS(表1_86121822242670[活跃实际充值],表1_86121822242670[目标区服],表2_97131923252771[[#This Row],[合区区服]],表1_86121822242670[目标国家（映射）],表2_97131923252771[[#This Row],[国家]])</f>
        <v>167104</v>
      </c>
      <c r="I37" s="43">
        <f>SUMIFS(表1_86121822242670[活跃虚拟充值],表1_86121822242670[目标区服],表2_97131923252771[[#This Row],[合区区服]],表1_86121822242670[目标国家（映射）],表2_97131923252771[[#This Row],[国家]])</f>
        <v>0</v>
      </c>
      <c r="J37" s="43">
        <f>SUMIFS(表1_86121822242670[活跃Coin],表1_86121822242670[目标区服],表2_97131923252771[[#This Row],[合区区服]],表1_86121822242670[目标国家（映射）],表2_97131923252771[[#This Row],[国家]])</f>
        <v>465972</v>
      </c>
      <c r="K37" s="43">
        <f>SUMIFS(表1_86121822242670[共计补偿Coin],表1_86121822242670[目标区服],表2_97131923252771[[#This Row],[合区区服]],表1_86121822242670[目标国家（映射）],表2_97131923252771[[#This Row],[国家]])</f>
        <v>51500</v>
      </c>
      <c r="L37" s="43">
        <f>表2_97131923252771[[#This Row],[活跃Coin]]+表2_97131923252771[[#This Row],[共计补偿Coin]]</f>
        <v>517472</v>
      </c>
      <c r="M37" s="43">
        <f>SUMIFS(表1_86121822242670[综合国力],表1_86121822242670[目标区服],表2_97131923252771[[#This Row],[合区区服]],表1_86121822242670[目标国家（映射）],表2_97131923252771[[#This Row],[国家]])</f>
        <v>16855</v>
      </c>
      <c r="N37" s="41">
        <f t="array" ref="N37">MAX((表1_86121822242670[目标区服]=表2_97131923252771[[#This Row],[合区区服]])*(表1_86121822242670[目标国家（映射）]=表2_97131923252771[[#This Row],[国家]])*表1_86121822242670[单将最高战力])</f>
        <v>695376</v>
      </c>
      <c r="P37" s="51">
        <v>5066</v>
      </c>
      <c r="Q37" s="51">
        <v>44</v>
      </c>
    </row>
    <row r="38" ht="15" spans="1:17">
      <c r="A38" s="45" t="s">
        <v>134</v>
      </c>
      <c r="B38" s="46" t="s">
        <v>25</v>
      </c>
      <c r="C38" s="46">
        <f>COUNTIFS(表1_86121822242670[目标区服],表2_97131923252771[[#This Row],[合区区服]],表1_86121822242670[目标国家（映射）],表2_97131923252771[[#This Row],[国家]])</f>
        <v>2</v>
      </c>
      <c r="D38" s="46">
        <f>SUMIFS(表1_86121822242670[活跃高战玩家数],表1_86121822242670[目标区服],表2_97131923252771[[#This Row],[合区区服]],表1_86121822242670[目标国家（映射）],表2_97131923252771[[#This Row],[国家]])</f>
        <v>5</v>
      </c>
      <c r="E38" s="46">
        <f>SUMIFS(表1_86121822242670[活跃中坚玩家数],表1_86121822242670[目标区服],表2_97131923252771[[#This Row],[合区区服]],表1_86121822242670[目标国家（映射）],表2_97131923252771[[#This Row],[国家]])</f>
        <v>24</v>
      </c>
      <c r="F38" s="46">
        <f t="array" ref="F38">MAX((表1_86121822242670[目标区服]=表2_97131923252771[[#This Row],[合区区服]])*(表1_86121822242670[目标国家（映射）]=表2_97131923252771[[#This Row],[国家]])*表1_86121822242670[活跃尖端战力])</f>
        <v>3268436</v>
      </c>
      <c r="G38" s="47">
        <f>SUMIFS(表1_86121822242670[活跃总战力],表1_86121822242670[目标区服],表2_97131923252771[[#This Row],[合区区服]],表1_86121822242670[目标国家（映射）],表2_97131923252771[[#This Row],[国家]])</f>
        <v>20529275</v>
      </c>
      <c r="H38" s="46">
        <f>SUMIFS(表1_86121822242670[活跃实际充值],表1_86121822242670[目标区服],表2_97131923252771[[#This Row],[合区区服]],表1_86121822242670[目标国家（映射）],表2_97131923252771[[#This Row],[国家]])</f>
        <v>68126</v>
      </c>
      <c r="I38" s="46">
        <f>SUMIFS(表1_86121822242670[活跃虚拟充值],表1_86121822242670[目标区服],表2_97131923252771[[#This Row],[合区区服]],表1_86121822242670[目标国家（映射）],表2_97131923252771[[#This Row],[国家]])</f>
        <v>0</v>
      </c>
      <c r="J38" s="46">
        <f>SUMIFS(表1_86121822242670[活跃Coin],表1_86121822242670[目标区服],表2_97131923252771[[#This Row],[合区区服]],表1_86121822242670[目标国家（映射）],表2_97131923252771[[#This Row],[国家]])</f>
        <v>583593</v>
      </c>
      <c r="K38" s="46">
        <f>SUMIFS(表1_86121822242670[共计补偿Coin],表1_86121822242670[目标区服],表2_97131923252771[[#This Row],[合区区服]],表1_86121822242670[目标国家（映射）],表2_97131923252771[[#This Row],[国家]])</f>
        <v>29000</v>
      </c>
      <c r="L38" s="46">
        <f>表2_97131923252771[[#This Row],[活跃Coin]]+表2_97131923252771[[#This Row],[共计补偿Coin]]</f>
        <v>612593</v>
      </c>
      <c r="M38" s="46">
        <f>SUMIFS(表1_86121822242670[综合国力],表1_86121822242670[目标区服],表2_97131923252771[[#This Row],[合区区服]],表1_86121822242670[目标国家（映射）],表2_97131923252771[[#This Row],[国家]])</f>
        <v>12597</v>
      </c>
      <c r="N38" s="46">
        <f t="array" ref="N38">MAX((表1_86121822242670[目标区服]=表2_97131923252771[[#This Row],[合区区服]])*(表1_86121822242670[目标国家（映射）]=表2_97131923252771[[#This Row],[国家]])*表1_86121822242670[单将最高战力])</f>
        <v>956868</v>
      </c>
      <c r="P38" s="51">
        <v>5067</v>
      </c>
      <c r="Q38" s="51">
        <v>43</v>
      </c>
    </row>
    <row r="39" ht="15" spans="1:17">
      <c r="A39" s="45" t="s">
        <v>134</v>
      </c>
      <c r="B39" s="46" t="s">
        <v>26</v>
      </c>
      <c r="C39" s="46">
        <f>COUNTIFS(表1_86121822242670[目标区服],表2_97131923252771[[#This Row],[合区区服]],表1_86121822242670[目标国家（映射）],表2_97131923252771[[#This Row],[国家]])</f>
        <v>2</v>
      </c>
      <c r="D39" s="46">
        <f>SUMIFS(表1_86121822242670[活跃高战玩家数],表1_86121822242670[目标区服],表2_97131923252771[[#This Row],[合区区服]],表1_86121822242670[目标国家（映射）],表2_97131923252771[[#This Row],[国家]])</f>
        <v>8</v>
      </c>
      <c r="E39" s="46">
        <f>SUMIFS(表1_86121822242670[活跃中坚玩家数],表1_86121822242670[目标区服],表2_97131923252771[[#This Row],[合区区服]],表1_86121822242670[目标国家（映射）],表2_97131923252771[[#This Row],[国家]])</f>
        <v>31</v>
      </c>
      <c r="F39" s="46">
        <f t="array" ref="F39">MAX((表1_86121822242670[目标区服]=表2_97131923252771[[#This Row],[合区区服]])*(表1_86121822242670[目标国家（映射）]=表2_97131923252771[[#This Row],[国家]])*表1_86121822242670[活跃尖端战力])</f>
        <v>2124926</v>
      </c>
      <c r="G39" s="47">
        <f>SUMIFS(表1_86121822242670[活跃总战力],表1_86121822242670[目标区服],表2_97131923252771[[#This Row],[合区区服]],表1_86121822242670[目标国家（映射）],表2_97131923252771[[#This Row],[国家]])</f>
        <v>31276882</v>
      </c>
      <c r="H39" s="46">
        <f>SUMIFS(表1_86121822242670[活跃实际充值],表1_86121822242670[目标区服],表2_97131923252771[[#This Row],[合区区服]],表1_86121822242670[目标国家（映射）],表2_97131923252771[[#This Row],[国家]])</f>
        <v>146486</v>
      </c>
      <c r="I39" s="46">
        <f>SUMIFS(表1_86121822242670[活跃虚拟充值],表1_86121822242670[目标区服],表2_97131923252771[[#This Row],[合区区服]],表1_86121822242670[目标国家（映射）],表2_97131923252771[[#This Row],[国家]])</f>
        <v>0</v>
      </c>
      <c r="J39" s="46">
        <f>SUMIFS(表1_86121822242670[活跃Coin],表1_86121822242670[目标区服],表2_97131923252771[[#This Row],[合区区服]],表1_86121822242670[目标国家（映射）],表2_97131923252771[[#This Row],[国家]])</f>
        <v>1051451</v>
      </c>
      <c r="K39" s="46">
        <f>SUMIFS(表1_86121822242670[共计补偿Coin],表1_86121822242670[目标区服],表2_97131923252771[[#This Row],[合区区服]],表1_86121822242670[目标国家（映射）],表2_97131923252771[[#This Row],[国家]])</f>
        <v>58500</v>
      </c>
      <c r="L39" s="46">
        <f>表2_97131923252771[[#This Row],[活跃Coin]]+表2_97131923252771[[#This Row],[共计补偿Coin]]</f>
        <v>1109951</v>
      </c>
      <c r="M39" s="46">
        <f>SUMIFS(表1_86121822242670[综合国力],表1_86121822242670[目标区服],表2_97131923252771[[#This Row],[合区区服]],表1_86121822242670[目标国家（映射）],表2_97131923252771[[#This Row],[国家]])</f>
        <v>16992</v>
      </c>
      <c r="N39" s="46">
        <f t="array" ref="N39">MAX((表1_86121822242670[目标区服]=表2_97131923252771[[#This Row],[合区区服]])*(表1_86121822242670[目标国家（映射）]=表2_97131923252771[[#This Row],[国家]])*表1_86121822242670[单将最高战力])</f>
        <v>645983</v>
      </c>
      <c r="P39" s="51">
        <v>5068</v>
      </c>
      <c r="Q39" s="51">
        <v>43</v>
      </c>
    </row>
    <row r="40" ht="15" spans="1:17">
      <c r="A40" s="45" t="s">
        <v>134</v>
      </c>
      <c r="B40" s="48" t="s">
        <v>27</v>
      </c>
      <c r="C40" s="48">
        <f>COUNTIFS(表1_86121822242670[目标区服],表2_97131923252771[[#This Row],[合区区服]],表1_86121822242670[目标国家（映射）],表2_97131923252771[[#This Row],[国家]])</f>
        <v>2</v>
      </c>
      <c r="D40" s="48">
        <f>SUMIFS(表1_86121822242670[活跃高战玩家数],表1_86121822242670[目标区服],表2_97131923252771[[#This Row],[合区区服]],表1_86121822242670[目标国家（映射）],表2_97131923252771[[#This Row],[国家]])</f>
        <v>6</v>
      </c>
      <c r="E40" s="48">
        <f>SUMIFS(表1_86121822242670[活跃中坚玩家数],表1_86121822242670[目标区服],表2_97131923252771[[#This Row],[合区区服]],表1_86121822242670[目标国家（映射）],表2_97131923252771[[#This Row],[国家]])</f>
        <v>30</v>
      </c>
      <c r="F40" s="48">
        <f t="array" ref="F40">MAX((表1_86121822242670[目标区服]=表2_97131923252771[[#This Row],[合区区服]])*(表1_86121822242670[目标国家（映射）]=表2_97131923252771[[#This Row],[国家]])*表1_86121822242670[活跃尖端战力])</f>
        <v>2599300</v>
      </c>
      <c r="G40" s="458">
        <f>SUMIFS(表1_86121822242670[活跃总战力],表1_86121822242670[目标区服],表2_97131923252771[[#This Row],[合区区服]],表1_86121822242670[目标国家（映射）],表2_97131923252771[[#This Row],[国家]])</f>
        <v>22242838</v>
      </c>
      <c r="H40" s="48">
        <f>SUMIFS(表1_86121822242670[活跃实际充值],表1_86121822242670[目标区服],表2_97131923252771[[#This Row],[合区区服]],表1_86121822242670[目标国家（映射）],表2_97131923252771[[#This Row],[国家]])</f>
        <v>116280</v>
      </c>
      <c r="I40" s="48">
        <f>SUMIFS(表1_86121822242670[活跃虚拟充值],表1_86121822242670[目标区服],表2_97131923252771[[#This Row],[合区区服]],表1_86121822242670[目标国家（映射）],表2_97131923252771[[#This Row],[国家]])</f>
        <v>0</v>
      </c>
      <c r="J40" s="48">
        <f>SUMIFS(表1_86121822242670[活跃Coin],表1_86121822242670[目标区服],表2_97131923252771[[#This Row],[合区区服]],表1_86121822242670[目标国家（映射）],表2_97131923252771[[#This Row],[国家]])</f>
        <v>605196</v>
      </c>
      <c r="K40" s="48">
        <f>SUMIFS(表1_86121822242670[共计补偿Coin],表1_86121822242670[目标区服],表2_97131923252771[[#This Row],[合区区服]],表1_86121822242670[目标国家（映射）],表2_97131923252771[[#This Row],[国家]])</f>
        <v>46500</v>
      </c>
      <c r="L40" s="48">
        <f>表2_97131923252771[[#This Row],[活跃Coin]]+表2_97131923252771[[#This Row],[共计补偿Coin]]</f>
        <v>651696</v>
      </c>
      <c r="M40" s="48">
        <f>SUMIFS(表1_86121822242670[综合国力],表1_86121822242670[目标区服],表2_97131923252771[[#This Row],[合区区服]],表1_86121822242670[目标国家（映射）],表2_97131923252771[[#This Row],[国家]])</f>
        <v>13714</v>
      </c>
      <c r="N40" s="46">
        <f t="array" ref="N40">MAX((表1_86121822242670[目标区服]=表2_97131923252771[[#This Row],[合区区服]])*(表1_86121822242670[目标国家（映射）]=表2_97131923252771[[#This Row],[国家]])*表1_86121822242670[单将最高战力])</f>
        <v>875675</v>
      </c>
      <c r="P40" s="51">
        <v>5069</v>
      </c>
      <c r="Q40" s="51">
        <v>42</v>
      </c>
    </row>
    <row r="41" ht="15" spans="1:17">
      <c r="A41" s="521" t="s">
        <v>135</v>
      </c>
      <c r="B41" s="522" t="s">
        <v>25</v>
      </c>
      <c r="C41" s="522">
        <f>COUNTIFS(表1_86121822242670[目标区服],表2_97131923252771[[#This Row],[合区区服]],表1_86121822242670[目标国家（映射）],表2_97131923252771[[#This Row],[国家]])</f>
        <v>2</v>
      </c>
      <c r="D41" s="522">
        <f>SUMIFS(表1_86121822242670[活跃高战玩家数],表1_86121822242670[目标区服],表2_97131923252771[[#This Row],[合区区服]],表1_86121822242670[目标国家（映射）],表2_97131923252771[[#This Row],[国家]])</f>
        <v>11</v>
      </c>
      <c r="E41" s="522">
        <f>SUMIFS(表1_86121822242670[活跃中坚玩家数],表1_86121822242670[目标区服],表2_97131923252771[[#This Row],[合区区服]],表1_86121822242670[目标国家（映射）],表2_97131923252771[[#This Row],[国家]])</f>
        <v>46</v>
      </c>
      <c r="F41" s="522">
        <f t="array" ref="F41">MAX((表1_86121822242670[目标区服]=表2_97131923252771[[#This Row],[合区区服]])*(表1_86121822242670[目标国家（映射）]=表2_97131923252771[[#This Row],[国家]])*表1_86121822242670[活跃尖端战力])</f>
        <v>2018922</v>
      </c>
      <c r="G41" s="523">
        <f>SUMIFS(表1_86121822242670[活跃总战力],表1_86121822242670[目标区服],表2_97131923252771[[#This Row],[合区区服]],表1_86121822242670[目标国家（映射）],表2_97131923252771[[#This Row],[国家]])</f>
        <v>42289353</v>
      </c>
      <c r="H41" s="522">
        <f>SUMIFS(表1_86121822242670[活跃实际充值],表1_86121822242670[目标区服],表2_97131923252771[[#This Row],[合区区服]],表1_86121822242670[目标国家（映射）],表2_97131923252771[[#This Row],[国家]])</f>
        <v>92152</v>
      </c>
      <c r="I41" s="522">
        <f>SUMIFS(表1_86121822242670[活跃虚拟充值],表1_86121822242670[目标区服],表2_97131923252771[[#This Row],[合区区服]],表1_86121822242670[目标国家（映射）],表2_97131923252771[[#This Row],[国家]])</f>
        <v>0</v>
      </c>
      <c r="J41" s="522">
        <f>SUMIFS(表1_86121822242670[活跃Coin],表1_86121822242670[目标区服],表2_97131923252771[[#This Row],[合区区服]],表1_86121822242670[目标国家（映射）],表2_97131923252771[[#This Row],[国家]])</f>
        <v>955511</v>
      </c>
      <c r="K41" s="522">
        <f>SUMIFS(表1_86121822242670[共计补偿Coin],表1_86121822242670[目标区服],表2_97131923252771[[#This Row],[合区区服]],表1_86121822242670[目标国家（映射）],表2_97131923252771[[#This Row],[国家]])</f>
        <v>75000</v>
      </c>
      <c r="L41" s="522">
        <f>表2_97131923252771[[#This Row],[活跃Coin]]+表2_97131923252771[[#This Row],[共计补偿Coin]]</f>
        <v>1030511</v>
      </c>
      <c r="M41" s="522">
        <f>SUMIFS(表1_86121822242670[综合国力],表1_86121822242670[目标区服],表2_97131923252771[[#This Row],[合区区服]],表1_86121822242670[目标国家（映射）],表2_97131923252771[[#This Row],[国家]])</f>
        <v>17944</v>
      </c>
      <c r="N41" s="530">
        <f t="array" ref="N41">MAX((表1_86121822242670[目标区服]=表2_97131923252771[[#This Row],[合区区服]])*(表1_86121822242670[目标国家（映射）]=表2_97131923252771[[#This Row],[国家]])*表1_86121822242670[单将最高战力])</f>
        <v>674899</v>
      </c>
      <c r="P41" s="590"/>
      <c r="Q41" s="590"/>
    </row>
    <row r="42" ht="15" spans="1:17">
      <c r="A42" s="521" t="s">
        <v>135</v>
      </c>
      <c r="B42" s="522" t="s">
        <v>26</v>
      </c>
      <c r="C42" s="522">
        <f>COUNTIFS(表1_86121822242670[目标区服],表2_97131923252771[[#This Row],[合区区服]],表1_86121822242670[目标国家（映射）],表2_97131923252771[[#This Row],[国家]])</f>
        <v>2</v>
      </c>
      <c r="D42" s="522">
        <f>SUMIFS(表1_86121822242670[活跃高战玩家数],表1_86121822242670[目标区服],表2_97131923252771[[#This Row],[合区区服]],表1_86121822242670[目标国家（映射）],表2_97131923252771[[#This Row],[国家]])</f>
        <v>6</v>
      </c>
      <c r="E42" s="522">
        <f>SUMIFS(表1_86121822242670[活跃中坚玩家数],表1_86121822242670[目标区服],表2_97131923252771[[#This Row],[合区区服]],表1_86121822242670[目标国家（映射）],表2_97131923252771[[#This Row],[国家]])</f>
        <v>45</v>
      </c>
      <c r="F42" s="522">
        <f t="array" ref="F42">MAX((表1_86121822242670[目标区服]=表2_97131923252771[[#This Row],[合区区服]])*(表1_86121822242670[目标国家（映射）]=表2_97131923252771[[#This Row],[国家]])*表1_86121822242670[活跃尖端战力])</f>
        <v>2584715</v>
      </c>
      <c r="G42" s="523">
        <f>SUMIFS(表1_86121822242670[活跃总战力],表1_86121822242670[目标区服],表2_97131923252771[[#This Row],[合区区服]],表1_86121822242670[目标国家（映射）],表2_97131923252771[[#This Row],[国家]])</f>
        <v>34878243</v>
      </c>
      <c r="H42" s="522">
        <f>SUMIFS(表1_86121822242670[活跃实际充值],表1_86121822242670[目标区服],表2_97131923252771[[#This Row],[合区区服]],表1_86121822242670[目标国家（映射）],表2_97131923252771[[#This Row],[国家]])</f>
        <v>99702</v>
      </c>
      <c r="I42" s="522">
        <f>SUMIFS(表1_86121822242670[活跃虚拟充值],表1_86121822242670[目标区服],表2_97131923252771[[#This Row],[合区区服]],表1_86121822242670[目标国家（映射）],表2_97131923252771[[#This Row],[国家]])</f>
        <v>0</v>
      </c>
      <c r="J42" s="522">
        <f>SUMIFS(表1_86121822242670[活跃Coin],表1_86121822242670[目标区服],表2_97131923252771[[#This Row],[合区区服]],表1_86121822242670[目标国家（映射）],表2_97131923252771[[#This Row],[国家]])</f>
        <v>518264</v>
      </c>
      <c r="K42" s="522">
        <f>SUMIFS(表1_86121822242670[共计补偿Coin],表1_86121822242670[目标区服],表2_97131923252771[[#This Row],[合区区服]],表1_86121822242670[目标国家（映射）],表2_97131923252771[[#This Row],[国家]])</f>
        <v>51000</v>
      </c>
      <c r="L42" s="522">
        <f>表2_97131923252771[[#This Row],[活跃Coin]]+表2_97131923252771[[#This Row],[共计补偿Coin]]</f>
        <v>569264</v>
      </c>
      <c r="M42" s="522">
        <f>SUMIFS(表1_86121822242670[综合国力],表1_86121822242670[目标区服],表2_97131923252771[[#This Row],[合区区服]],表1_86121822242670[目标国家（映射）],表2_97131923252771[[#This Row],[国家]])</f>
        <v>15301</v>
      </c>
      <c r="N42" s="530">
        <f t="array" ref="N42">MAX((表1_86121822242670[目标区服]=表2_97131923252771[[#This Row],[合区区服]])*(表1_86121822242670[目标国家（映射）]=表2_97131923252771[[#This Row],[国家]])*表1_86121822242670[单将最高战力])</f>
        <v>724559</v>
      </c>
      <c r="P42" s="590"/>
      <c r="Q42" s="590"/>
    </row>
    <row r="43" ht="15" spans="1:17">
      <c r="A43" s="524" t="s">
        <v>135</v>
      </c>
      <c r="B43" s="525" t="s">
        <v>27</v>
      </c>
      <c r="C43" s="525">
        <f>COUNTIFS(表1_86121822242670[目标区服],表2_97131923252771[[#This Row],[合区区服]],表1_86121822242670[目标国家（映射）],表2_97131923252771[[#This Row],[国家]])</f>
        <v>2</v>
      </c>
      <c r="D43" s="525">
        <f>SUMIFS(表1_86121822242670[活跃高战玩家数],表1_86121822242670[目标区服],表2_97131923252771[[#This Row],[合区区服]],表1_86121822242670[目标国家（映射）],表2_97131923252771[[#This Row],[国家]])</f>
        <v>3</v>
      </c>
      <c r="E43" s="525">
        <f>SUMIFS(表1_86121822242670[活跃中坚玩家数],表1_86121822242670[目标区服],表2_97131923252771[[#This Row],[合区区服]],表1_86121822242670[目标国家（映射）],表2_97131923252771[[#This Row],[国家]])</f>
        <v>29</v>
      </c>
      <c r="F43" s="525">
        <f t="array" ref="F43">MAX((表1_86121822242670[目标区服]=表2_97131923252771[[#This Row],[合区区服]])*(表1_86121822242670[目标国家（映射）]=表2_97131923252771[[#This Row],[国家]])*表1_86121822242670[活跃尖端战力])</f>
        <v>2809767</v>
      </c>
      <c r="G43" s="526">
        <f>SUMIFS(表1_86121822242670[活跃总战力],表1_86121822242670[目标区服],表2_97131923252771[[#This Row],[合区区服]],表1_86121822242670[目标国家（映射）],表2_97131923252771[[#This Row],[国家]])</f>
        <v>20010731</v>
      </c>
      <c r="H43" s="525">
        <f>SUMIFS(表1_86121822242670[活跃实际充值],表1_86121822242670[目标区服],表2_97131923252771[[#This Row],[合区区服]],表1_86121822242670[目标国家（映射）],表2_97131923252771[[#This Row],[国家]])</f>
        <v>104570</v>
      </c>
      <c r="I43" s="525">
        <f>SUMIFS(表1_86121822242670[活跃虚拟充值],表1_86121822242670[目标区服],表2_97131923252771[[#This Row],[合区区服]],表1_86121822242670[目标国家（映射）],表2_97131923252771[[#This Row],[国家]])</f>
        <v>0</v>
      </c>
      <c r="J43" s="525">
        <f>SUMIFS(表1_86121822242670[活跃Coin],表1_86121822242670[目标区服],表2_97131923252771[[#This Row],[合区区服]],表1_86121822242670[目标国家（映射）],表2_97131923252771[[#This Row],[国家]])</f>
        <v>911017</v>
      </c>
      <c r="K43" s="525">
        <f>SUMIFS(表1_86121822242670[共计补偿Coin],表1_86121822242670[目标区服],表2_97131923252771[[#This Row],[合区区服]],表1_86121822242670[目标国家（映射）],表2_97131923252771[[#This Row],[国家]])</f>
        <v>48000</v>
      </c>
      <c r="L43" s="525">
        <f>表2_97131923252771[[#This Row],[活跃Coin]]+表2_97131923252771[[#This Row],[共计补偿Coin]]</f>
        <v>959017</v>
      </c>
      <c r="M43" s="525">
        <f>SUMIFS(表1_86121822242670[综合国力],表1_86121822242670[目标区服],表2_97131923252771[[#This Row],[合区区服]],表1_86121822242670[目标国家（映射）],表2_97131923252771[[#This Row],[国家]])</f>
        <v>10975</v>
      </c>
      <c r="N43" s="531">
        <f t="array" ref="N43">MAX((表1_86121822242670[目标区服]=表2_97131923252771[[#This Row],[合区区服]])*(表1_86121822242670[目标国家（映射）]=表2_97131923252771[[#This Row],[国家]])*表1_86121822242670[单将最高战力])</f>
        <v>1090183</v>
      </c>
      <c r="P43" s="590"/>
      <c r="Q43" s="590"/>
    </row>
    <row r="49" ht="27" spans="2:14">
      <c r="B49" s="49"/>
      <c r="C49" s="50" t="s">
        <v>9</v>
      </c>
      <c r="D49" s="50" t="s">
        <v>10</v>
      </c>
      <c r="E49" s="50" t="s">
        <v>11</v>
      </c>
      <c r="F49" s="50" t="s">
        <v>12</v>
      </c>
      <c r="G49" s="50" t="s">
        <v>13</v>
      </c>
      <c r="H49" s="50" t="s">
        <v>14</v>
      </c>
      <c r="I49" s="50" t="s">
        <v>15</v>
      </c>
      <c r="J49" s="50" t="s">
        <v>18</v>
      </c>
      <c r="K49" s="50" t="s">
        <v>19</v>
      </c>
      <c r="L49" s="50" t="s">
        <v>20</v>
      </c>
      <c r="M49" s="50" t="s">
        <v>21</v>
      </c>
      <c r="N49" s="50" t="s">
        <v>82</v>
      </c>
    </row>
    <row r="50" spans="1:14">
      <c r="A50">
        <v>5061</v>
      </c>
      <c r="B50" s="50" t="s">
        <v>25</v>
      </c>
      <c r="C50" s="50">
        <v>9</v>
      </c>
      <c r="D50" s="50">
        <v>321</v>
      </c>
      <c r="E50" s="50">
        <v>8</v>
      </c>
      <c r="F50" s="50">
        <v>19</v>
      </c>
      <c r="G50" s="50">
        <v>156038</v>
      </c>
      <c r="H50" s="50">
        <v>3289702</v>
      </c>
      <c r="I50" s="50">
        <v>27103634</v>
      </c>
      <c r="J50" s="50">
        <v>109698</v>
      </c>
      <c r="K50" s="50">
        <v>0</v>
      </c>
      <c r="L50" s="50">
        <v>442222</v>
      </c>
      <c r="M50" s="50">
        <v>14402</v>
      </c>
      <c r="N50" s="50">
        <v>893134</v>
      </c>
    </row>
    <row r="51" spans="2:14">
      <c r="B51" s="50" t="s">
        <v>26</v>
      </c>
      <c r="C51" s="50">
        <v>0</v>
      </c>
      <c r="D51" s="50">
        <v>47</v>
      </c>
      <c r="E51" s="50">
        <v>2</v>
      </c>
      <c r="F51" s="50">
        <v>9</v>
      </c>
      <c r="G51" s="50">
        <v>48376</v>
      </c>
      <c r="H51" s="50">
        <v>1740925</v>
      </c>
      <c r="I51" s="50">
        <v>7820354</v>
      </c>
      <c r="J51" s="50">
        <v>33416</v>
      </c>
      <c r="K51" s="50">
        <v>0</v>
      </c>
      <c r="L51" s="50">
        <v>159951</v>
      </c>
      <c r="M51" s="50">
        <v>4317</v>
      </c>
      <c r="N51" s="50">
        <v>632180</v>
      </c>
    </row>
    <row r="52" spans="2:14">
      <c r="B52" s="50" t="s">
        <v>27</v>
      </c>
      <c r="C52" s="50">
        <v>0</v>
      </c>
      <c r="D52" s="50">
        <v>27</v>
      </c>
      <c r="E52" s="50">
        <v>0</v>
      </c>
      <c r="F52" s="50">
        <v>9</v>
      </c>
      <c r="G52" s="50">
        <v>37347</v>
      </c>
      <c r="H52" s="50">
        <v>1205874</v>
      </c>
      <c r="I52" s="50">
        <v>5400366</v>
      </c>
      <c r="J52" s="50">
        <v>12784</v>
      </c>
      <c r="K52" s="50">
        <v>0</v>
      </c>
      <c r="L52" s="50">
        <v>166675</v>
      </c>
      <c r="M52" s="50">
        <v>2669</v>
      </c>
      <c r="N52" s="50">
        <v>478361</v>
      </c>
    </row>
    <row r="53" spans="1:14">
      <c r="A53">
        <v>5062</v>
      </c>
      <c r="B53" s="50" t="s">
        <v>25</v>
      </c>
      <c r="C53" s="50">
        <v>0</v>
      </c>
      <c r="D53" s="50">
        <v>77</v>
      </c>
      <c r="E53" s="50">
        <v>2</v>
      </c>
      <c r="F53" s="50">
        <v>11</v>
      </c>
      <c r="G53" s="50">
        <v>45172</v>
      </c>
      <c r="H53" s="50">
        <v>1218237</v>
      </c>
      <c r="I53" s="50">
        <v>6773532</v>
      </c>
      <c r="J53" s="50">
        <v>9648</v>
      </c>
      <c r="K53" s="50">
        <v>0</v>
      </c>
      <c r="L53" s="50">
        <v>244373</v>
      </c>
      <c r="M53" s="50">
        <v>3303</v>
      </c>
      <c r="N53" s="50">
        <v>357121</v>
      </c>
    </row>
    <row r="54" spans="2:14">
      <c r="B54" s="50" t="s">
        <v>26</v>
      </c>
      <c r="C54" s="50">
        <v>8</v>
      </c>
      <c r="D54" s="50">
        <v>249</v>
      </c>
      <c r="E54" s="50">
        <v>5</v>
      </c>
      <c r="F54" s="50">
        <v>26</v>
      </c>
      <c r="G54" s="50">
        <v>180160</v>
      </c>
      <c r="H54" s="50">
        <v>2361828</v>
      </c>
      <c r="I54" s="50">
        <v>24868335</v>
      </c>
      <c r="J54" s="50">
        <v>60160</v>
      </c>
      <c r="K54" s="50">
        <v>0</v>
      </c>
      <c r="L54" s="50">
        <v>751838</v>
      </c>
      <c r="M54" s="50">
        <v>11220</v>
      </c>
      <c r="N54" s="50">
        <v>712139</v>
      </c>
    </row>
    <row r="55" spans="2:14">
      <c r="B55" s="50" t="s">
        <v>27</v>
      </c>
      <c r="C55" s="50">
        <v>1</v>
      </c>
      <c r="D55" s="50">
        <v>69</v>
      </c>
      <c r="E55" s="50">
        <v>2</v>
      </c>
      <c r="F55" s="50">
        <v>6</v>
      </c>
      <c r="G55" s="50">
        <v>34249</v>
      </c>
      <c r="H55" s="50">
        <v>1499450</v>
      </c>
      <c r="I55" s="50">
        <v>4982767</v>
      </c>
      <c r="J55" s="50">
        <v>1612</v>
      </c>
      <c r="K55" s="50">
        <v>0</v>
      </c>
      <c r="L55" s="50">
        <v>62627</v>
      </c>
      <c r="M55" s="50">
        <v>3038</v>
      </c>
      <c r="N55" s="50">
        <v>474594</v>
      </c>
    </row>
    <row r="56" spans="1:14">
      <c r="A56">
        <v>5063</v>
      </c>
      <c r="B56" s="50" t="s">
        <v>25</v>
      </c>
      <c r="C56" s="50">
        <v>4</v>
      </c>
      <c r="D56" s="50">
        <v>222</v>
      </c>
      <c r="E56" s="50">
        <v>8</v>
      </c>
      <c r="F56" s="50">
        <v>28</v>
      </c>
      <c r="G56" s="50">
        <v>172411</v>
      </c>
      <c r="H56" s="50">
        <v>2224153</v>
      </c>
      <c r="I56" s="50">
        <v>29734919</v>
      </c>
      <c r="J56" s="50">
        <v>62484</v>
      </c>
      <c r="K56" s="50">
        <v>0</v>
      </c>
      <c r="L56" s="50">
        <v>378975</v>
      </c>
      <c r="M56" s="50">
        <v>10743</v>
      </c>
      <c r="N56" s="50">
        <v>605516</v>
      </c>
    </row>
    <row r="57" spans="2:14">
      <c r="B57" s="50" t="s">
        <v>26</v>
      </c>
      <c r="C57" s="50">
        <v>3</v>
      </c>
      <c r="D57" s="50">
        <v>101</v>
      </c>
      <c r="E57" s="50">
        <v>2</v>
      </c>
      <c r="F57" s="50">
        <v>27</v>
      </c>
      <c r="G57" s="50">
        <v>103772</v>
      </c>
      <c r="H57" s="50">
        <v>2155726</v>
      </c>
      <c r="I57" s="50">
        <v>18892108</v>
      </c>
      <c r="J57" s="50">
        <v>39012</v>
      </c>
      <c r="K57" s="50">
        <v>0</v>
      </c>
      <c r="L57" s="50">
        <v>104913</v>
      </c>
      <c r="M57" s="50">
        <v>7096</v>
      </c>
      <c r="N57" s="50">
        <v>609438</v>
      </c>
    </row>
    <row r="58" spans="2:14">
      <c r="B58" s="50" t="s">
        <v>27</v>
      </c>
      <c r="C58" s="50">
        <v>2</v>
      </c>
      <c r="D58" s="50">
        <v>72</v>
      </c>
      <c r="E58" s="50">
        <v>0</v>
      </c>
      <c r="F58" s="50">
        <v>10</v>
      </c>
      <c r="G58" s="50">
        <v>29332</v>
      </c>
      <c r="H58" s="50">
        <v>1032252</v>
      </c>
      <c r="I58" s="50">
        <v>5529411</v>
      </c>
      <c r="J58" s="50">
        <v>5292</v>
      </c>
      <c r="K58" s="50">
        <v>0</v>
      </c>
      <c r="L58" s="50">
        <v>89516</v>
      </c>
      <c r="M58" s="50">
        <v>2855</v>
      </c>
      <c r="N58" s="50">
        <v>352055</v>
      </c>
    </row>
    <row r="59" spans="1:14">
      <c r="A59">
        <v>5064</v>
      </c>
      <c r="B59" s="50" t="s">
        <v>25</v>
      </c>
      <c r="C59" s="50">
        <v>4</v>
      </c>
      <c r="D59" s="50">
        <v>139</v>
      </c>
      <c r="E59" s="50">
        <v>3</v>
      </c>
      <c r="F59" s="50">
        <v>25</v>
      </c>
      <c r="G59" s="50">
        <v>87447</v>
      </c>
      <c r="H59" s="50">
        <v>3379125</v>
      </c>
      <c r="I59" s="50">
        <v>21382979</v>
      </c>
      <c r="J59" s="50">
        <v>94058</v>
      </c>
      <c r="K59" s="50">
        <v>0</v>
      </c>
      <c r="L59" s="50">
        <v>829241</v>
      </c>
      <c r="M59" s="50">
        <v>10981</v>
      </c>
      <c r="N59" s="50">
        <v>1005844</v>
      </c>
    </row>
    <row r="60" spans="2:14">
      <c r="B60" s="50" t="s">
        <v>26</v>
      </c>
      <c r="C60" s="50">
        <v>3</v>
      </c>
      <c r="D60" s="50">
        <v>172</v>
      </c>
      <c r="E60" s="50">
        <v>4</v>
      </c>
      <c r="F60" s="50">
        <v>21</v>
      </c>
      <c r="G60" s="50">
        <v>118198</v>
      </c>
      <c r="H60" s="50">
        <v>2710631</v>
      </c>
      <c r="I60" s="50">
        <v>22483178</v>
      </c>
      <c r="J60" s="50">
        <v>76386</v>
      </c>
      <c r="K60" s="50">
        <v>0</v>
      </c>
      <c r="L60" s="50">
        <v>391646</v>
      </c>
      <c r="M60" s="50">
        <v>10057</v>
      </c>
      <c r="N60" s="50">
        <v>917294</v>
      </c>
    </row>
    <row r="61" spans="2:14">
      <c r="B61" s="50" t="s">
        <v>27</v>
      </c>
      <c r="C61" s="50">
        <v>2</v>
      </c>
      <c r="D61" s="50">
        <v>84</v>
      </c>
      <c r="E61" s="50">
        <v>2</v>
      </c>
      <c r="F61" s="50">
        <v>21</v>
      </c>
      <c r="G61" s="50">
        <v>91956</v>
      </c>
      <c r="H61" s="50">
        <v>2180361</v>
      </c>
      <c r="I61" s="50">
        <v>18315307</v>
      </c>
      <c r="J61" s="50">
        <v>76278</v>
      </c>
      <c r="K61" s="50">
        <v>0</v>
      </c>
      <c r="L61" s="50">
        <v>228003</v>
      </c>
      <c r="M61" s="50">
        <v>7914</v>
      </c>
      <c r="N61" s="50">
        <v>682892</v>
      </c>
    </row>
    <row r="62" spans="1:14">
      <c r="A62">
        <v>5065</v>
      </c>
      <c r="B62" s="50" t="s">
        <v>25</v>
      </c>
      <c r="C62" s="50">
        <v>3</v>
      </c>
      <c r="D62" s="50">
        <v>120</v>
      </c>
      <c r="E62" s="50">
        <v>4</v>
      </c>
      <c r="F62" s="50">
        <v>15</v>
      </c>
      <c r="G62" s="50">
        <v>93500</v>
      </c>
      <c r="H62" s="50">
        <v>2552060</v>
      </c>
      <c r="I62" s="50">
        <v>15778748</v>
      </c>
      <c r="J62" s="50">
        <v>90826</v>
      </c>
      <c r="K62" s="50">
        <v>0</v>
      </c>
      <c r="L62" s="50">
        <v>237969</v>
      </c>
      <c r="M62" s="50">
        <v>8941</v>
      </c>
      <c r="N62" s="50">
        <v>695376</v>
      </c>
    </row>
    <row r="63" spans="2:14">
      <c r="B63" s="50" t="s">
        <v>26</v>
      </c>
      <c r="C63" s="50">
        <v>3</v>
      </c>
      <c r="D63" s="50">
        <v>184</v>
      </c>
      <c r="E63" s="50">
        <v>3</v>
      </c>
      <c r="F63" s="50">
        <v>24</v>
      </c>
      <c r="G63" s="50">
        <v>103359</v>
      </c>
      <c r="H63" s="50">
        <v>1959926</v>
      </c>
      <c r="I63" s="50">
        <v>17291661</v>
      </c>
      <c r="J63" s="50">
        <v>26458</v>
      </c>
      <c r="K63" s="50">
        <v>0</v>
      </c>
      <c r="L63" s="50">
        <v>339588</v>
      </c>
      <c r="M63" s="50">
        <v>7309</v>
      </c>
      <c r="N63" s="50">
        <v>562904</v>
      </c>
    </row>
    <row r="64" spans="2:14">
      <c r="B64" s="50" t="s">
        <v>27</v>
      </c>
      <c r="C64" s="50">
        <v>3</v>
      </c>
      <c r="D64" s="50">
        <v>91</v>
      </c>
      <c r="E64" s="50">
        <v>3</v>
      </c>
      <c r="F64" s="50">
        <v>18</v>
      </c>
      <c r="G64" s="50">
        <v>99508</v>
      </c>
      <c r="H64" s="50">
        <v>2174534</v>
      </c>
      <c r="I64" s="50">
        <v>15659506</v>
      </c>
      <c r="J64" s="50">
        <v>42360</v>
      </c>
      <c r="K64" s="50">
        <v>0</v>
      </c>
      <c r="L64" s="50">
        <v>219726</v>
      </c>
      <c r="M64" s="50">
        <v>6828</v>
      </c>
      <c r="N64" s="50">
        <v>652355</v>
      </c>
    </row>
    <row r="65" spans="1:14">
      <c r="A65">
        <v>5066</v>
      </c>
      <c r="B65" s="50" t="s">
        <v>25</v>
      </c>
      <c r="C65" s="50">
        <v>5</v>
      </c>
      <c r="D65" s="50">
        <v>197</v>
      </c>
      <c r="E65" s="50">
        <v>5</v>
      </c>
      <c r="F65" s="50">
        <v>14</v>
      </c>
      <c r="G65" s="50">
        <v>117954</v>
      </c>
      <c r="H65" s="50">
        <v>3268436</v>
      </c>
      <c r="I65" s="50">
        <v>16216362</v>
      </c>
      <c r="J65" s="50">
        <v>66366</v>
      </c>
      <c r="K65" s="50">
        <v>0</v>
      </c>
      <c r="L65" s="50">
        <v>405130</v>
      </c>
      <c r="M65" s="50">
        <v>10143</v>
      </c>
      <c r="N65" s="50">
        <v>956868</v>
      </c>
    </row>
    <row r="66" spans="2:14">
      <c r="B66" s="50" t="s">
        <v>26</v>
      </c>
      <c r="C66" s="50">
        <v>1</v>
      </c>
      <c r="D66" s="50">
        <v>68</v>
      </c>
      <c r="E66" s="50">
        <v>0</v>
      </c>
      <c r="F66" s="50">
        <v>10</v>
      </c>
      <c r="G66" s="50">
        <v>43492</v>
      </c>
      <c r="H66" s="50">
        <v>883295</v>
      </c>
      <c r="I66" s="50">
        <v>4312913</v>
      </c>
      <c r="J66" s="50">
        <v>1760</v>
      </c>
      <c r="K66" s="50">
        <v>0</v>
      </c>
      <c r="L66" s="50">
        <v>178463</v>
      </c>
      <c r="M66" s="50">
        <v>2454</v>
      </c>
      <c r="N66" s="50">
        <v>276682</v>
      </c>
    </row>
    <row r="67" spans="2:14">
      <c r="B67" s="50" t="s">
        <v>27</v>
      </c>
      <c r="C67" s="50">
        <v>3</v>
      </c>
      <c r="D67" s="50">
        <v>130</v>
      </c>
      <c r="E67" s="50">
        <v>4</v>
      </c>
      <c r="F67" s="50">
        <v>11</v>
      </c>
      <c r="G67" s="50">
        <v>78272</v>
      </c>
      <c r="H67" s="50">
        <v>2599300</v>
      </c>
      <c r="I67" s="50">
        <v>10749975</v>
      </c>
      <c r="J67" s="50">
        <v>87674</v>
      </c>
      <c r="K67" s="50">
        <v>0</v>
      </c>
      <c r="L67" s="50">
        <v>442813</v>
      </c>
      <c r="M67" s="50">
        <v>8517</v>
      </c>
      <c r="N67" s="50">
        <v>875675</v>
      </c>
    </row>
    <row r="68" spans="1:14">
      <c r="A68">
        <v>5067</v>
      </c>
      <c r="B68" s="50" t="s">
        <v>25</v>
      </c>
      <c r="C68" s="50">
        <v>4</v>
      </c>
      <c r="D68" s="50">
        <v>152</v>
      </c>
      <c r="E68" s="50">
        <v>6</v>
      </c>
      <c r="F68" s="50">
        <v>16</v>
      </c>
      <c r="G68" s="50">
        <v>135228</v>
      </c>
      <c r="H68" s="50">
        <v>1953501</v>
      </c>
      <c r="I68" s="50">
        <v>18801360</v>
      </c>
      <c r="J68" s="50">
        <v>61956</v>
      </c>
      <c r="K68" s="50">
        <v>0</v>
      </c>
      <c r="L68" s="50">
        <v>456464</v>
      </c>
      <c r="M68" s="50">
        <v>8516</v>
      </c>
      <c r="N68" s="50">
        <v>523601</v>
      </c>
    </row>
    <row r="69" spans="2:14">
      <c r="B69" s="50" t="s">
        <v>26</v>
      </c>
      <c r="C69" s="50">
        <v>3</v>
      </c>
      <c r="D69" s="50">
        <v>159</v>
      </c>
      <c r="E69" s="50">
        <v>2</v>
      </c>
      <c r="F69" s="50">
        <v>15</v>
      </c>
      <c r="G69" s="50">
        <v>76077</v>
      </c>
      <c r="H69" s="50">
        <v>2124926</v>
      </c>
      <c r="I69" s="50">
        <v>12475522</v>
      </c>
      <c r="J69" s="50">
        <v>84530</v>
      </c>
      <c r="K69" s="50">
        <v>0</v>
      </c>
      <c r="L69" s="50">
        <v>594987</v>
      </c>
      <c r="M69" s="50">
        <v>8476</v>
      </c>
      <c r="N69" s="50">
        <v>645983</v>
      </c>
    </row>
    <row r="70" spans="2:14">
      <c r="B70" s="50" t="s">
        <v>27</v>
      </c>
      <c r="C70" s="50">
        <v>2</v>
      </c>
      <c r="D70" s="50">
        <v>84</v>
      </c>
      <c r="E70" s="50">
        <v>2</v>
      </c>
      <c r="F70" s="50">
        <v>19</v>
      </c>
      <c r="G70" s="50">
        <v>73978</v>
      </c>
      <c r="H70" s="50">
        <v>1698654</v>
      </c>
      <c r="I70" s="50">
        <v>11492863</v>
      </c>
      <c r="J70" s="50">
        <v>28606</v>
      </c>
      <c r="K70" s="50">
        <v>0</v>
      </c>
      <c r="L70" s="50">
        <v>162383</v>
      </c>
      <c r="M70" s="50">
        <v>5197</v>
      </c>
      <c r="N70" s="50">
        <v>557107</v>
      </c>
    </row>
    <row r="71" spans="1:14">
      <c r="A71">
        <v>5068</v>
      </c>
      <c r="B71" s="50" t="s">
        <v>25</v>
      </c>
      <c r="C71" s="50">
        <v>3</v>
      </c>
      <c r="D71" s="50">
        <v>116</v>
      </c>
      <c r="E71" s="50">
        <v>4</v>
      </c>
      <c r="F71" s="50">
        <v>17</v>
      </c>
      <c r="G71" s="50">
        <v>79657</v>
      </c>
      <c r="H71" s="50">
        <v>1999987</v>
      </c>
      <c r="I71" s="50">
        <v>14058746</v>
      </c>
      <c r="J71" s="50">
        <v>44524</v>
      </c>
      <c r="K71" s="50">
        <v>0</v>
      </c>
      <c r="L71" s="50">
        <v>269169</v>
      </c>
      <c r="M71" s="50">
        <v>6734</v>
      </c>
      <c r="N71" s="50">
        <v>674899</v>
      </c>
    </row>
    <row r="72" spans="2:14">
      <c r="B72" s="50" t="s">
        <v>26</v>
      </c>
      <c r="C72" s="50">
        <v>4</v>
      </c>
      <c r="D72" s="50">
        <v>202</v>
      </c>
      <c r="E72" s="50">
        <v>4</v>
      </c>
      <c r="F72" s="50">
        <v>28</v>
      </c>
      <c r="G72" s="50">
        <v>157657</v>
      </c>
      <c r="H72" s="50">
        <v>2584715</v>
      </c>
      <c r="I72" s="50">
        <v>25313365</v>
      </c>
      <c r="J72" s="50">
        <v>83884</v>
      </c>
      <c r="K72" s="50">
        <v>0</v>
      </c>
      <c r="L72" s="50">
        <v>403229</v>
      </c>
      <c r="M72" s="50">
        <v>11042</v>
      </c>
      <c r="N72" s="50">
        <v>724559</v>
      </c>
    </row>
    <row r="73" spans="2:14">
      <c r="B73" s="50" t="s">
        <v>27</v>
      </c>
      <c r="C73" s="50">
        <v>2</v>
      </c>
      <c r="D73" s="50">
        <v>77</v>
      </c>
      <c r="E73" s="50">
        <v>2</v>
      </c>
      <c r="F73" s="50">
        <v>17</v>
      </c>
      <c r="G73" s="50">
        <v>46810</v>
      </c>
      <c r="H73" s="50">
        <v>1567086</v>
      </c>
      <c r="I73" s="50">
        <v>9564878</v>
      </c>
      <c r="J73" s="50">
        <v>15818</v>
      </c>
      <c r="K73" s="50">
        <v>0</v>
      </c>
      <c r="L73" s="50">
        <v>115035</v>
      </c>
      <c r="M73" s="50">
        <v>4259</v>
      </c>
      <c r="N73" s="50">
        <v>533271</v>
      </c>
    </row>
    <row r="74" spans="1:14">
      <c r="A74">
        <v>5069</v>
      </c>
      <c r="B74" s="50" t="s">
        <v>25</v>
      </c>
      <c r="C74" s="50">
        <v>7</v>
      </c>
      <c r="D74" s="50">
        <v>296</v>
      </c>
      <c r="E74" s="50">
        <v>7</v>
      </c>
      <c r="F74" s="50">
        <v>29</v>
      </c>
      <c r="G74" s="50">
        <v>187279</v>
      </c>
      <c r="H74" s="50">
        <v>2018922</v>
      </c>
      <c r="I74" s="50">
        <v>28230607</v>
      </c>
      <c r="J74" s="50">
        <v>47628</v>
      </c>
      <c r="K74" s="50">
        <v>0</v>
      </c>
      <c r="L74" s="50">
        <v>686342</v>
      </c>
      <c r="M74" s="50">
        <v>11210</v>
      </c>
      <c r="N74" s="50">
        <v>591371</v>
      </c>
    </row>
    <row r="75" spans="2:14">
      <c r="B75" s="50" t="s">
        <v>26</v>
      </c>
      <c r="C75" s="50">
        <v>2</v>
      </c>
      <c r="D75" s="50">
        <v>75</v>
      </c>
      <c r="E75" s="50">
        <v>3</v>
      </c>
      <c r="F75" s="50">
        <v>15</v>
      </c>
      <c r="G75" s="50">
        <v>74313</v>
      </c>
      <c r="H75" s="50">
        <v>2809767</v>
      </c>
      <c r="I75" s="50">
        <v>13911488</v>
      </c>
      <c r="J75" s="50">
        <v>100280</v>
      </c>
      <c r="K75" s="50">
        <v>0</v>
      </c>
      <c r="L75" s="50">
        <v>688033</v>
      </c>
      <c r="M75" s="50">
        <v>8874</v>
      </c>
      <c r="N75" s="50">
        <v>1090183</v>
      </c>
    </row>
    <row r="76" spans="2:14">
      <c r="B76" s="50" t="s">
        <v>27</v>
      </c>
      <c r="C76" s="50">
        <v>0</v>
      </c>
      <c r="D76" s="50">
        <v>24</v>
      </c>
      <c r="E76" s="50">
        <v>0</v>
      </c>
      <c r="F76" s="50">
        <v>14</v>
      </c>
      <c r="G76" s="50">
        <v>38789</v>
      </c>
      <c r="H76" s="50">
        <v>817011</v>
      </c>
      <c r="I76" s="50">
        <v>6099243</v>
      </c>
      <c r="J76" s="50">
        <v>4290</v>
      </c>
      <c r="K76" s="50">
        <v>0</v>
      </c>
      <c r="L76" s="50">
        <v>222984</v>
      </c>
      <c r="M76" s="50">
        <v>2101</v>
      </c>
      <c r="N76" s="50">
        <v>258343</v>
      </c>
    </row>
  </sheetData>
  <conditionalFormatting sqref="F32:F34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{94cdef3d-9d77-486c-88a6-8f2bc2882020}</x14:id>
        </ext>
      </extLst>
    </cfRule>
  </conditionalFormatting>
  <conditionalFormatting sqref="F35:F3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{fa8ce0cc-72c9-4b2a-8b37-f7042c35b8c0}</x14:id>
        </ext>
      </extLst>
    </cfRule>
  </conditionalFormatting>
  <conditionalFormatting sqref="F38:F40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{df39924c-027f-418a-8b01-c24f63625677}</x14:id>
        </ext>
      </extLst>
    </cfRule>
  </conditionalFormatting>
  <conditionalFormatting sqref="F41:F4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{dfd26902-3160-4801-9dfc-65add416268b}</x14:id>
        </ext>
      </extLst>
    </cfRule>
  </conditionalFormatting>
  <conditionalFormatting sqref="G32:G34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{bf997dea-20ed-42f2-8cdc-ea9b484f2b33}</x14:id>
        </ext>
      </extLst>
    </cfRule>
  </conditionalFormatting>
  <conditionalFormatting sqref="G35:G37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{015478b8-b7e4-4cc0-8930-37fd1f892dd5}</x14:id>
        </ext>
      </extLst>
    </cfRule>
  </conditionalFormatting>
  <conditionalFormatting sqref="G38:G40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{2fd315e7-ce49-4d2e-ad7b-fdd8f0067e2f}</x14:id>
        </ext>
      </extLst>
    </cfRule>
  </conditionalFormatting>
  <conditionalFormatting sqref="G41:G43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{e368b262-1fe6-416e-8cda-9604aaaf41e3}</x14:id>
        </ext>
      </extLst>
    </cfRule>
  </conditionalFormatting>
  <conditionalFormatting sqref="N32:N43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{abba742f-dbcb-4689-9f65-20cf7c766438}</x14:id>
        </ext>
      </extLst>
    </cfRule>
  </conditionalFormatting>
  <conditionalFormatting sqref="N41:N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{20fe9c6c-72db-43c6-9f73-d3085ad8012e}</x14:id>
        </ext>
      </extLst>
    </cfRule>
  </conditionalFormatting>
  <conditionalFormatting sqref="O2:O19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{330f8463-1a15-4de7-b393-a044179619f3}</x14:id>
        </ext>
      </extLst>
    </cfRule>
  </conditionalFormatting>
  <conditionalFormatting sqref="O20:O2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{3032d153-9782-4f31-8033-d1996b825f78}</x14:id>
        </ext>
      </extLst>
    </cfRule>
  </conditionalFormatting>
  <conditionalFormatting sqref="P2:P19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{3e55e211-3283-460e-b48d-cd3a0520f66a}</x14:id>
        </ext>
      </extLst>
    </cfRule>
  </conditionalFormatting>
  <conditionalFormatting sqref="P20:P28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{8c027fd5-0202-474f-a5dd-19ee64d43fc8}</x14:id>
        </ext>
      </extLst>
    </cfRule>
  </conditionalFormatting>
  <conditionalFormatting sqref="P32:P43">
    <cfRule type="cellIs" dxfId="37" priority="4" operator="equal">
      <formula>$S$32</formula>
    </cfRule>
  </conditionalFormatting>
  <conditionalFormatting sqref="Q2:Q28">
    <cfRule type="cellIs" dxfId="38" priority="11" operator="equal">
      <formula>配置!$D$4</formula>
    </cfRule>
    <cfRule type="cellIs" dxfId="39" priority="12" operator="equal">
      <formula>配置!$D$3</formula>
    </cfRule>
    <cfRule type="cellIs" dxfId="37" priority="13" operator="equal">
      <formula>配置!$D$2</formula>
    </cfRule>
  </conditionalFormatting>
  <conditionalFormatting sqref="R32:R35">
    <cfRule type="cellIs" dxfId="37" priority="5" operator="equal">
      <formula>$S$32</formula>
    </cfRule>
  </conditionalFormatting>
  <conditionalFormatting sqref="O29:O30 Q1:R1 Q2 Q4:Q5 Q7:Q8 Q10:Q11 Q13:Q14 Q16:Q17 Q19:Q20 Q22:Q28">
    <cfRule type="cellIs" dxfId="37" priority="21" operator="equal">
      <formula>配置!$D$2</formula>
    </cfRule>
  </conditionalFormatting>
  <conditionalFormatting sqref="Q2 Q4:Q5 Q7:Q8 Q10:Q11 Q13:Q14 Q16:Q17 Q19:Q20 Q22:Q28">
    <cfRule type="cellIs" dxfId="38" priority="20" operator="equal">
      <formula>配置!$D$4</formula>
    </cfRule>
  </conditionalFormatting>
  <dataValidations count="1">
    <dataValidation type="list" allowBlank="1" showInputMessage="1" showErrorMessage="1" sqref="Q2:Q28">
      <formula1>配置!$D$2:$D$4</formula1>
    </dataValidation>
  </dataValidations>
  <pageMargins left="0.7" right="0.7" top="0.75" bottom="0.75" header="0.3" footer="0.3"/>
  <pageSetup paperSize="9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4cdef3d-9d77-486c-88a6-8f2bc28820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fa8ce0cc-72c9-4b2a-8b37-f7042c35b8c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F35:F37</xm:sqref>
        </x14:conditionalFormatting>
        <x14:conditionalFormatting xmlns:xm="http://schemas.microsoft.com/office/excel/2006/main">
          <x14:cfRule type="dataBar" id="{df39924c-027f-418a-8b01-c24f636256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F38:F40</xm:sqref>
        </x14:conditionalFormatting>
        <x14:conditionalFormatting xmlns:xm="http://schemas.microsoft.com/office/excel/2006/main">
          <x14:cfRule type="dataBar" id="{dfd26902-3160-4801-9dfc-65add41626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F41:F43</xm:sqref>
        </x14:conditionalFormatting>
        <x14:conditionalFormatting xmlns:xm="http://schemas.microsoft.com/office/excel/2006/main">
          <x14:cfRule type="dataBar" id="{bf997dea-20ed-42f2-8cdc-ea9b484f2b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015478b8-b7e4-4cc0-8930-37fd1f892d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G35:G37</xm:sqref>
        </x14:conditionalFormatting>
        <x14:conditionalFormatting xmlns:xm="http://schemas.microsoft.com/office/excel/2006/main">
          <x14:cfRule type="dataBar" id="{2fd315e7-ce49-4d2e-ad7b-fdd8f0067e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G38:G40</xm:sqref>
        </x14:conditionalFormatting>
        <x14:conditionalFormatting xmlns:xm="http://schemas.microsoft.com/office/excel/2006/main">
          <x14:cfRule type="dataBar" id="{e368b262-1fe6-416e-8cda-9604aaaf41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G41:G43</xm:sqref>
        </x14:conditionalFormatting>
        <x14:conditionalFormatting xmlns:xm="http://schemas.microsoft.com/office/excel/2006/main">
          <x14:cfRule type="dataBar" id="{abba742f-dbcb-4689-9f65-20cf7c7664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N32:N43</xm:sqref>
        </x14:conditionalFormatting>
        <x14:conditionalFormatting xmlns:xm="http://schemas.microsoft.com/office/excel/2006/main">
          <x14:cfRule type="dataBar" id="{20fe9c6c-72db-43c6-9f73-d3085ad801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N41:N43</xm:sqref>
        </x14:conditionalFormatting>
        <x14:conditionalFormatting xmlns:xm="http://schemas.microsoft.com/office/excel/2006/main">
          <x14:cfRule type="dataBar" id="{330f8463-1a15-4de7-b393-a044179619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3032d153-9782-4f31-8033-d1996b825f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O20:O28</xm:sqref>
        </x14:conditionalFormatting>
        <x14:conditionalFormatting xmlns:xm="http://schemas.microsoft.com/office/excel/2006/main">
          <x14:cfRule type="dataBar" id="{3e55e211-3283-460e-b48d-cd3a0520f6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8c027fd5-0202-474f-a5dd-19ee64d43f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P20:P28</xm:sqref>
        </x14:conditionalFormatting>
      </x14:conditionalFormatting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1"/>
  <sheetViews>
    <sheetView workbookViewId="0">
      <selection activeCell="K17" sqref="K17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5">
        <v>7001</v>
      </c>
      <c r="B2" s="371">
        <f>VLOOKUP(表1_861218222426[[#This Row],[区服]],$P$26:$Q$33,2,FALSE)</f>
        <v>43</v>
      </c>
      <c r="C2" s="372" t="s">
        <v>136</v>
      </c>
      <c r="D2" s="373" t="str">
        <f>表1_861218222426[[#This Row],[目标国家]]</f>
        <v>魏</v>
      </c>
      <c r="E2" s="374">
        <f>(VLOOKUP(表1_861218222426[[#This Row],[目标区服]],$R$26:$S$29,2,FALSE)-表1_861218222426[[#This Row],[开服天数]])*配置!$B$1</f>
        <v>1000</v>
      </c>
      <c r="F2" s="374">
        <f>表1_861218222426[[#This Row],[补偿Coin]]*(表1_861218222426[[#This Row],[活跃高战玩家数]]+表1_861218222426[[#This Row],[活跃中坚玩家数]])</f>
        <v>22000</v>
      </c>
      <c r="G2" s="374">
        <f>(VLOOKUP(表1_861218222426[[#This Row],[目标区服]],$R$26:$S$29,2,FALSE)-表1_861218222426[[#This Row],[开服天数]])*配置!$B$2</f>
        <v>10</v>
      </c>
      <c r="H2" s="376" t="s">
        <v>25</v>
      </c>
      <c r="I2" s="376">
        <f>IF(表1_861218222426[[#This Row],[原国家]]="魏",0,IF(表1_861218222426[[#This Row],[原国家]]="蜀",1,2))</f>
        <v>0</v>
      </c>
      <c r="J2" s="380">
        <v>6</v>
      </c>
      <c r="K2" s="380">
        <v>233</v>
      </c>
      <c r="L2" s="380">
        <v>4</v>
      </c>
      <c r="M2" s="380">
        <v>18</v>
      </c>
      <c r="N2" s="380">
        <v>114441</v>
      </c>
      <c r="O2" s="380">
        <v>1991291</v>
      </c>
      <c r="P2" s="381">
        <v>15644555</v>
      </c>
      <c r="Q2" s="31" t="s">
        <v>25</v>
      </c>
      <c r="R2" s="376">
        <f>IF(表1_861218222426[[#This Row],[目标国家]]="魏",0,IF(表1_861218222426[[#This Row],[目标国家]]="蜀",1,2))</f>
        <v>0</v>
      </c>
      <c r="S2" s="380">
        <v>34338</v>
      </c>
      <c r="T2" s="380">
        <v>0</v>
      </c>
      <c r="U2" s="380">
        <v>397076</v>
      </c>
      <c r="V2" s="380">
        <v>8286</v>
      </c>
      <c r="W2" s="374">
        <v>681857</v>
      </c>
      <c r="X2" s="387" t="str">
        <f>"{"&amp;"'coin':"&amp;表1_861218222426[[#This Row],[补偿Coin]]&amp;",'"&amp;配置!$A$2&amp;"':"&amp;表1_861218222426[[#This Row],[补偿辎重]]&amp;"},"</f>
        <v>{'coin':1000,'item036':10},</v>
      </c>
      <c r="Y2" s="388" t="str">
        <f>"      '"&amp;表1_861218222426[[#This Row],[区服]]&amp;"':{"</f>
        <v>      '7001':{</v>
      </c>
    </row>
    <row r="3" s="354" customFormat="1" ht="14.25" customHeight="1" spans="1:25">
      <c r="A3" s="375">
        <v>7001</v>
      </c>
      <c r="B3" s="371">
        <f>VLOOKUP(表1_861218222426[[#This Row],[区服]],$P$26:$Q$33,2,FALSE)</f>
        <v>43</v>
      </c>
      <c r="C3" s="372" t="s">
        <v>136</v>
      </c>
      <c r="D3" s="376" t="str">
        <f>表1_861218222426[[#This Row],[目标国家]]</f>
        <v>魏</v>
      </c>
      <c r="E3" s="380">
        <f>(VLOOKUP(表1_861218222426[[#This Row],[目标区服]],$R$26:$S$29,2,FALSE)-表1_861218222426[[#This Row],[开服天数]])*配置!$B$1</f>
        <v>1000</v>
      </c>
      <c r="F3" s="380">
        <f>表1_861218222426[[#This Row],[补偿Coin]]*(表1_861218222426[[#This Row],[活跃高战玩家数]]+表1_861218222426[[#This Row],[活跃中坚玩家数]])</f>
        <v>16000</v>
      </c>
      <c r="G3" s="380">
        <f>(VLOOKUP(表1_861218222426[[#This Row],[目标区服]],$R$26:$S$29,2,FALSE)-表1_861218222426[[#This Row],[开服天数]])*配置!$B$2</f>
        <v>10</v>
      </c>
      <c r="H3" s="376" t="s">
        <v>26</v>
      </c>
      <c r="I3" s="376">
        <f>IF(表1_861218222426[[#This Row],[原国家]]="魏",0,IF(表1_861218222426[[#This Row],[原国家]]="蜀",1,2))</f>
        <v>1</v>
      </c>
      <c r="J3" s="380">
        <v>1</v>
      </c>
      <c r="K3" s="380">
        <v>82</v>
      </c>
      <c r="L3" s="380">
        <v>2</v>
      </c>
      <c r="M3" s="380">
        <v>14</v>
      </c>
      <c r="N3" s="380">
        <v>71106</v>
      </c>
      <c r="O3" s="380">
        <v>1181938</v>
      </c>
      <c r="P3" s="381">
        <v>9059560</v>
      </c>
      <c r="Q3" s="31" t="s">
        <v>25</v>
      </c>
      <c r="R3" s="376">
        <f>IF(表1_861218222426[[#This Row],[目标国家]]="魏",0,IF(表1_861218222426[[#This Row],[目标国家]]="蜀",1,2))</f>
        <v>0</v>
      </c>
      <c r="S3" s="380">
        <v>3660</v>
      </c>
      <c r="T3" s="380">
        <v>15770</v>
      </c>
      <c r="U3" s="380">
        <v>187942</v>
      </c>
      <c r="V3" s="380">
        <v>3724</v>
      </c>
      <c r="W3" s="374">
        <v>400504</v>
      </c>
      <c r="X3" s="387" t="str">
        <f>"{"&amp;"'coin':"&amp;表1_861218222426[[#This Row],[补偿Coin]]&amp;",'"&amp;配置!$A$2&amp;"':"&amp;表1_861218222426[[#This Row],[补偿辎重]]&amp;"},"</f>
        <v>{'coin':1000,'item036':10},</v>
      </c>
      <c r="Y3" s="388" t="str">
        <f>"            'to_zone':'"&amp;表1_861218222426[[#This Row],[目标区服]]&amp;"',
            'reward':"&amp;表1_861218222426[[#This Row],[辅助导出]]&amp;"
            'country':["&amp;R2&amp;","&amp;R3&amp;","&amp;R4&amp;"],"</f>
        <v>            'to_zone':'h1_701',
            'reward':{'coin':1000,'item036':10},
            'country':[0,0,0],</v>
      </c>
    </row>
    <row r="4" s="354" customFormat="1" ht="14.25" customHeight="1" spans="1:25">
      <c r="A4" s="375">
        <v>7001</v>
      </c>
      <c r="B4" s="371">
        <f>VLOOKUP(表1_861218222426[[#This Row],[区服]],$P$26:$Q$33,2,FALSE)</f>
        <v>43</v>
      </c>
      <c r="C4" s="372" t="s">
        <v>136</v>
      </c>
      <c r="D4" s="376" t="str">
        <f>表1_861218222426[[#This Row],[目标国家]]</f>
        <v>魏</v>
      </c>
      <c r="E4" s="380">
        <f>(VLOOKUP(表1_861218222426[[#This Row],[目标区服]],$R$26:$S$29,2,FALSE)-表1_861218222426[[#This Row],[开服天数]])*配置!$B$1</f>
        <v>1000</v>
      </c>
      <c r="F4" s="380">
        <f>表1_861218222426[[#This Row],[补偿Coin]]*(表1_861218222426[[#This Row],[活跃高战玩家数]]+表1_861218222426[[#This Row],[活跃中坚玩家数]])</f>
        <v>19000</v>
      </c>
      <c r="G4" s="380">
        <f>(VLOOKUP(表1_861218222426[[#This Row],[目标区服]],$R$26:$S$29,2,FALSE)-表1_861218222426[[#This Row],[开服天数]])*配置!$B$2</f>
        <v>10</v>
      </c>
      <c r="H4" s="376" t="s">
        <v>27</v>
      </c>
      <c r="I4" s="376">
        <f>IF(表1_861218222426[[#This Row],[原国家]]="魏",0,IF(表1_861218222426[[#This Row],[原国家]]="蜀",1,2))</f>
        <v>2</v>
      </c>
      <c r="J4" s="380">
        <v>2</v>
      </c>
      <c r="K4" s="380">
        <v>80</v>
      </c>
      <c r="L4" s="380">
        <v>3</v>
      </c>
      <c r="M4" s="380">
        <v>16</v>
      </c>
      <c r="N4" s="380">
        <v>77335</v>
      </c>
      <c r="O4" s="380">
        <v>1540934</v>
      </c>
      <c r="P4" s="381">
        <v>10621657</v>
      </c>
      <c r="Q4" s="31" t="s">
        <v>25</v>
      </c>
      <c r="R4" s="376">
        <f>IF(表1_861218222426[[#This Row],[目标国家]]="魏",0,IF(表1_861218222426[[#This Row],[目标国家]]="蜀",1,2))</f>
        <v>0</v>
      </c>
      <c r="S4" s="380">
        <v>11728</v>
      </c>
      <c r="T4" s="380">
        <v>11442</v>
      </c>
      <c r="U4" s="380">
        <v>103157</v>
      </c>
      <c r="V4" s="380">
        <v>4507</v>
      </c>
      <c r="W4" s="374">
        <v>452584</v>
      </c>
      <c r="X4" s="387" t="str">
        <f>"{"&amp;"'coin':"&amp;表1_861218222426[[#This Row],[补偿Coin]]&amp;",'"&amp;配置!$A$2&amp;"':"&amp;表1_861218222426[[#This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5">
        <v>7002</v>
      </c>
      <c r="B5" s="371">
        <f>VLOOKUP(表1_861218222426[[#This Row],[区服]],$P$26:$Q$33,2,FALSE)</f>
        <v>42</v>
      </c>
      <c r="C5" s="372" t="s">
        <v>136</v>
      </c>
      <c r="D5" s="376" t="str">
        <f>表1_861218222426[[#This Row],[目标国家]]</f>
        <v>蜀</v>
      </c>
      <c r="E5" s="380">
        <f>(VLOOKUP(表1_861218222426[[#This Row],[目标区服]],$R$26:$S$29,2,FALSE)-表1_861218222426[[#This Row],[开服天数]])*配置!$B$1</f>
        <v>1500</v>
      </c>
      <c r="F5" s="380">
        <f>表1_861218222426[[#This Row],[补偿Coin]]*(表1_861218222426[[#This Row],[活跃高战玩家数]]+表1_861218222426[[#This Row],[活跃中坚玩家数]])</f>
        <v>24000</v>
      </c>
      <c r="G5" s="380">
        <f>(VLOOKUP(表1_861218222426[[#This Row],[目标区服]],$R$26:$S$29,2,FALSE)-表1_861218222426[[#This Row],[开服天数]])*配置!$B$2</f>
        <v>15</v>
      </c>
      <c r="H5" s="376" t="s">
        <v>25</v>
      </c>
      <c r="I5" s="376">
        <f>IF(表1_861218222426[[#This Row],[原国家]]="魏",0,IF(表1_861218222426[[#This Row],[原国家]]="蜀",1,2))</f>
        <v>0</v>
      </c>
      <c r="J5" s="380">
        <v>0</v>
      </c>
      <c r="K5" s="380">
        <v>57</v>
      </c>
      <c r="L5" s="380">
        <v>1</v>
      </c>
      <c r="M5" s="380">
        <v>15</v>
      </c>
      <c r="N5" s="380">
        <v>50077</v>
      </c>
      <c r="O5" s="380">
        <v>1417024</v>
      </c>
      <c r="P5" s="381">
        <v>8622574</v>
      </c>
      <c r="Q5" s="31" t="s">
        <v>26</v>
      </c>
      <c r="R5" s="376">
        <f>IF(表1_861218222426[[#This Row],[目标国家]]="魏",0,IF(表1_861218222426[[#This Row],[目标国家]]="蜀",1,2))</f>
        <v>1</v>
      </c>
      <c r="S5" s="380">
        <v>1952</v>
      </c>
      <c r="T5" s="380">
        <v>60876</v>
      </c>
      <c r="U5" s="380">
        <v>358411</v>
      </c>
      <c r="V5" s="380">
        <v>3946</v>
      </c>
      <c r="W5" s="374">
        <v>605371</v>
      </c>
      <c r="X5" s="387" t="str">
        <f>"{"&amp;"'coin':"&amp;表1_861218222426[[#This Row],[补偿Coin]]&amp;",'"&amp;配置!$A$2&amp;"':"&amp;表1_861218222426[[#This Row],[补偿辎重]]&amp;"},"</f>
        <v>{'coin':1500,'item036':15},</v>
      </c>
      <c r="Y5" s="388" t="str">
        <f>"      '"&amp;表1_861218222426[[#This Row],[区服]]&amp;"':{"</f>
        <v>      '7002':{</v>
      </c>
    </row>
    <row r="6" s="354" customFormat="1" ht="14.25" customHeight="1" spans="1:25">
      <c r="A6" s="375">
        <v>7002</v>
      </c>
      <c r="B6" s="371">
        <f>VLOOKUP(表1_861218222426[[#This Row],[区服]],$P$26:$Q$33,2,FALSE)</f>
        <v>42</v>
      </c>
      <c r="C6" s="372" t="s">
        <v>136</v>
      </c>
      <c r="D6" s="376" t="str">
        <f>表1_861218222426[[#This Row],[目标国家]]</f>
        <v>蜀</v>
      </c>
      <c r="E6" s="380">
        <f>(VLOOKUP(表1_861218222426[[#This Row],[目标区服]],$R$26:$S$29,2,FALSE)-表1_861218222426[[#This Row],[开服天数]])*配置!$B$1</f>
        <v>1500</v>
      </c>
      <c r="F6" s="380">
        <f>表1_861218222426[[#This Row],[补偿Coin]]*(表1_861218222426[[#This Row],[活跃高战玩家数]]+表1_861218222426[[#This Row],[活跃中坚玩家数]])</f>
        <v>27000</v>
      </c>
      <c r="G6" s="380">
        <f>(VLOOKUP(表1_861218222426[[#This Row],[目标区服]],$R$26:$S$29,2,FALSE)-表1_861218222426[[#This Row],[开服天数]])*配置!$B$2</f>
        <v>15</v>
      </c>
      <c r="H6" s="376" t="s">
        <v>26</v>
      </c>
      <c r="I6" s="376">
        <f>IF(表1_861218222426[[#This Row],[原国家]]="魏",0,IF(表1_861218222426[[#This Row],[原国家]]="蜀",1,2))</f>
        <v>1</v>
      </c>
      <c r="J6" s="380">
        <v>1</v>
      </c>
      <c r="K6" s="380">
        <v>108</v>
      </c>
      <c r="L6" s="380">
        <v>1</v>
      </c>
      <c r="M6" s="380">
        <v>17</v>
      </c>
      <c r="N6" s="380">
        <v>66439</v>
      </c>
      <c r="O6" s="380">
        <v>2165570</v>
      </c>
      <c r="P6" s="381">
        <v>11987792</v>
      </c>
      <c r="Q6" s="31" t="s">
        <v>26</v>
      </c>
      <c r="R6" s="376">
        <f>IF(表1_861218222426[[#This Row],[目标国家]]="魏",0,IF(表1_861218222426[[#This Row],[目标国家]]="蜀",1,2))</f>
        <v>1</v>
      </c>
      <c r="S6" s="380">
        <v>14444</v>
      </c>
      <c r="T6" s="380">
        <v>68480</v>
      </c>
      <c r="U6" s="380">
        <v>469880</v>
      </c>
      <c r="V6" s="380">
        <v>6229</v>
      </c>
      <c r="W6" s="374">
        <v>858981</v>
      </c>
      <c r="X6" s="387" t="str">
        <f>"{"&amp;"'coin':"&amp;表1_861218222426[[#This Row],[补偿Coin]]&amp;",'"&amp;配置!$A$2&amp;"':"&amp;表1_861218222426[[#This Row],[补偿辎重]]&amp;"},"</f>
        <v>{'coin':1500,'item036':15},</v>
      </c>
      <c r="Y6" s="388" t="str">
        <f>"            'to_zone':'"&amp;表1_861218222426[[#This Row],[目标区服]]&amp;"',
            'reward':"&amp;表1_861218222426[[#This Row],[辅助导出]]&amp;"
            'country':["&amp;R5&amp;","&amp;R6&amp;","&amp;R7&amp;"],"</f>
        <v>            'to_zone':'h1_701',
            'reward':{'coin':1500,'item036':15},
            'country':[1,1,2],</v>
      </c>
    </row>
    <row r="7" s="354" customFormat="1" ht="14.25" customHeight="1" spans="1:25">
      <c r="A7" s="375">
        <v>7002</v>
      </c>
      <c r="B7" s="371">
        <f>VLOOKUP(表1_861218222426[[#This Row],[区服]],$P$26:$Q$33,2,FALSE)</f>
        <v>42</v>
      </c>
      <c r="C7" s="372" t="s">
        <v>136</v>
      </c>
      <c r="D7" s="376" t="str">
        <f>表1_861218222426[[#This Row],[目标国家]]</f>
        <v>吴</v>
      </c>
      <c r="E7" s="380">
        <f>(VLOOKUP(表1_861218222426[[#This Row],[目标区服]],$R$26:$S$29,2,FALSE)-表1_861218222426[[#This Row],[开服天数]])*配置!$B$1</f>
        <v>1500</v>
      </c>
      <c r="F7" s="380">
        <f>表1_861218222426[[#This Row],[补偿Coin]]*(表1_861218222426[[#This Row],[活跃高战玩家数]]+表1_861218222426[[#This Row],[活跃中坚玩家数]])</f>
        <v>45000</v>
      </c>
      <c r="G7" s="380">
        <f>(VLOOKUP(表1_861218222426[[#This Row],[目标区服]],$R$26:$S$29,2,FALSE)-表1_861218222426[[#This Row],[开服天数]])*配置!$B$2</f>
        <v>15</v>
      </c>
      <c r="H7" s="376" t="s">
        <v>27</v>
      </c>
      <c r="I7" s="376">
        <f>IF(表1_861218222426[[#This Row],[原国家]]="魏",0,IF(表1_861218222426[[#This Row],[原国家]]="蜀",1,2))</f>
        <v>2</v>
      </c>
      <c r="J7" s="380">
        <v>8</v>
      </c>
      <c r="K7" s="380">
        <v>230</v>
      </c>
      <c r="L7" s="380">
        <v>7</v>
      </c>
      <c r="M7" s="380">
        <v>23</v>
      </c>
      <c r="N7" s="380">
        <v>162334</v>
      </c>
      <c r="O7" s="380">
        <v>3028139</v>
      </c>
      <c r="P7" s="381">
        <v>26422031</v>
      </c>
      <c r="Q7" s="31" t="s">
        <v>27</v>
      </c>
      <c r="R7" s="376">
        <f>IF(表1_861218222426[[#This Row],[目标国家]]="魏",0,IF(表1_861218222426[[#This Row],[目标国家]]="蜀",1,2))</f>
        <v>2</v>
      </c>
      <c r="S7" s="380">
        <v>128962</v>
      </c>
      <c r="T7" s="380">
        <v>118</v>
      </c>
      <c r="U7" s="380">
        <v>491652</v>
      </c>
      <c r="V7" s="380">
        <v>13697</v>
      </c>
      <c r="W7" s="374">
        <v>1051034</v>
      </c>
      <c r="X7" s="387" t="str">
        <f>"{"&amp;"'coin':"&amp;表1_861218222426[[#This Row],[补偿Coin]]&amp;",'"&amp;配置!$A$2&amp;"':"&amp;表1_861218222426[[#This Row],[补偿辎重]]&amp;"},"</f>
        <v>{'coin':1500,'item036':15},</v>
      </c>
      <c r="Y7" s="388" t="str">
        <f t="shared" ref="Y7" si="0">"      },"</f>
        <v>      },</v>
      </c>
    </row>
    <row r="8" s="354" customFormat="1" ht="14.25" customHeight="1" spans="1:25">
      <c r="A8" s="259">
        <v>7003</v>
      </c>
      <c r="B8" s="210">
        <f>VLOOKUP(表1_861218222426[[#This Row],[区服]],$P$26:$Q$33,2,FALSE)</f>
        <v>41</v>
      </c>
      <c r="C8" s="296" t="s">
        <v>137</v>
      </c>
      <c r="D8" s="212" t="str">
        <f>表1_861218222426[[#This Row],[目标国家]]</f>
        <v>魏</v>
      </c>
      <c r="E8" s="213">
        <f>(VLOOKUP(表1_861218222426[[#This Row],[目标区服]],$R$26:$S$29,2,FALSE)-表1_861218222426[[#This Row],[开服天数]])*配置!$B$1</f>
        <v>1000</v>
      </c>
      <c r="F8" s="213">
        <f>表1_861218222426[[#This Row],[补偿Coin]]*(表1_861218222426[[#This Row],[活跃高战玩家数]]+表1_861218222426[[#This Row],[活跃中坚玩家数]])</f>
        <v>12000</v>
      </c>
      <c r="G8" s="260">
        <f>(VLOOKUP(表1_861218222426[[#This Row],[目标区服]],$R$26:$S$29,2,FALSE)-表1_861218222426[[#This Row],[开服天数]])*配置!$B$2</f>
        <v>10</v>
      </c>
      <c r="H8" s="212" t="s">
        <v>25</v>
      </c>
      <c r="I8" s="268">
        <f>IF(表1_861218222426[[#This Row],[原国家]]="魏",0,IF(表1_861218222426[[#This Row],[原国家]]="蜀",1,2))</f>
        <v>0</v>
      </c>
      <c r="J8" s="213">
        <v>0</v>
      </c>
      <c r="K8" s="213">
        <v>69</v>
      </c>
      <c r="L8" s="213">
        <v>1</v>
      </c>
      <c r="M8" s="213">
        <v>11</v>
      </c>
      <c r="N8" s="213">
        <v>51416</v>
      </c>
      <c r="O8" s="419">
        <v>1255253</v>
      </c>
      <c r="P8" s="420">
        <v>6495562</v>
      </c>
      <c r="Q8" s="31" t="s">
        <v>25</v>
      </c>
      <c r="R8" s="212">
        <f>IF(表1_861218222426[[#This Row],[目标国家]]="魏",0,IF(表1_861218222426[[#This Row],[目标国家]]="蜀",1,2))</f>
        <v>0</v>
      </c>
      <c r="S8" s="213">
        <v>27216</v>
      </c>
      <c r="T8" s="213">
        <v>0</v>
      </c>
      <c r="U8" s="213">
        <v>139597</v>
      </c>
      <c r="V8" s="213">
        <v>3738</v>
      </c>
      <c r="W8" s="213">
        <v>422761</v>
      </c>
      <c r="X8" s="278" t="str">
        <f>"{"&amp;"'coin':"&amp;表1_861218222426[[#This Row],[补偿Coin]]&amp;",'"&amp;配置!$A$2&amp;"':"&amp;表1_861218222426[[#This Row],[补偿辎重]]&amp;"},"</f>
        <v>{'coin':1000,'item036':10},</v>
      </c>
      <c r="Y8" s="278" t="str">
        <f>"      '"&amp;表1_861218222426[[#This Row],[区服]]&amp;"':{"</f>
        <v>      '7003':{</v>
      </c>
    </row>
    <row r="9" s="354" customFormat="1" ht="14.25" customHeight="1" spans="1:25">
      <c r="A9" s="259">
        <v>7003</v>
      </c>
      <c r="B9" s="210">
        <f>VLOOKUP(表1_861218222426[[#This Row],[区服]],$P$26:$Q$33,2,FALSE)</f>
        <v>41</v>
      </c>
      <c r="C9" s="296" t="s">
        <v>137</v>
      </c>
      <c r="D9" s="212" t="str">
        <f>表1_861218222426[[#This Row],[目标国家]]</f>
        <v>蜀</v>
      </c>
      <c r="E9" s="213">
        <f>(VLOOKUP(表1_861218222426[[#This Row],[目标区服]],$R$26:$S$29,2,FALSE)-表1_861218222426[[#This Row],[开服天数]])*配置!$B$1</f>
        <v>1000</v>
      </c>
      <c r="F9" s="213">
        <f>表1_861218222426[[#This Row],[补偿Coin]]*(表1_861218222426[[#This Row],[活跃高战玩家数]]+表1_861218222426[[#This Row],[活跃中坚玩家数]])</f>
        <v>28000</v>
      </c>
      <c r="G9" s="260">
        <f>(VLOOKUP(表1_861218222426[[#This Row],[目标区服]],$R$26:$S$29,2,FALSE)-表1_861218222426[[#This Row],[开服天数]])*配置!$B$2</f>
        <v>10</v>
      </c>
      <c r="H9" s="212" t="s">
        <v>26</v>
      </c>
      <c r="I9" s="268">
        <f>IF(表1_861218222426[[#This Row],[原国家]]="魏",0,IF(表1_861218222426[[#This Row],[原国家]]="蜀",1,2))</f>
        <v>1</v>
      </c>
      <c r="J9" s="213">
        <v>7</v>
      </c>
      <c r="K9" s="213">
        <v>265</v>
      </c>
      <c r="L9" s="213">
        <v>7</v>
      </c>
      <c r="M9" s="213">
        <v>21</v>
      </c>
      <c r="N9" s="213">
        <v>154170</v>
      </c>
      <c r="O9" s="419">
        <v>1881864</v>
      </c>
      <c r="P9" s="420">
        <v>18765558</v>
      </c>
      <c r="Q9" s="31" t="s">
        <v>26</v>
      </c>
      <c r="R9" s="212">
        <f>IF(表1_861218222426[[#This Row],[目标国家]]="魏",0,IF(表1_861218222426[[#This Row],[目标国家]]="蜀",1,2))</f>
        <v>1</v>
      </c>
      <c r="S9" s="213">
        <v>50472</v>
      </c>
      <c r="T9" s="213">
        <v>0</v>
      </c>
      <c r="U9" s="213">
        <v>510731</v>
      </c>
      <c r="V9" s="213">
        <v>9648</v>
      </c>
      <c r="W9" s="213">
        <v>521694</v>
      </c>
      <c r="X9" s="278" t="str">
        <f>"{"&amp;"'coin':"&amp;表1_861218222426[[#This Row],[补偿Coin]]&amp;",'"&amp;配置!$A$2&amp;"':"&amp;表1_861218222426[[#This Row],[补偿辎重]]&amp;"},"</f>
        <v>{'coin':1000,'item036':10},</v>
      </c>
      <c r="Y9" s="278" t="str">
        <f>"            'to_zone':'"&amp;表1_861218222426[[#This Row],[目标区服]]&amp;"',
            'reward':"&amp;表1_861218222426[[#This Row],[辅助导出]]&amp;"
            'country':["&amp;R8&amp;","&amp;R9&amp;","&amp;R10&amp;"],"</f>
        <v>            'to_zone':'h1_702',
            'reward':{'coin':1000,'item036':10},
            'country':[0,1,2],</v>
      </c>
    </row>
    <row r="10" s="354" customFormat="1" ht="14.25" customHeight="1" spans="1:25">
      <c r="A10" s="259">
        <v>7003</v>
      </c>
      <c r="B10" s="210">
        <f>VLOOKUP(表1_861218222426[[#This Row],[区服]],$P$26:$Q$33,2,FALSE)</f>
        <v>41</v>
      </c>
      <c r="C10" s="296" t="s">
        <v>137</v>
      </c>
      <c r="D10" s="212" t="str">
        <f>表1_861218222426[[#This Row],[目标国家]]</f>
        <v>吴</v>
      </c>
      <c r="E10" s="213">
        <f>(VLOOKUP(表1_861218222426[[#This Row],[目标区服]],$R$26:$S$29,2,FALSE)-表1_861218222426[[#This Row],[开服天数]])*配置!$B$1</f>
        <v>1000</v>
      </c>
      <c r="F10" s="213">
        <f>表1_861218222426[[#This Row],[补偿Coin]]*(表1_861218222426[[#This Row],[活跃高战玩家数]]+表1_861218222426[[#This Row],[活跃中坚玩家数]])</f>
        <v>16000</v>
      </c>
      <c r="G10" s="260">
        <f>(VLOOKUP(表1_861218222426[[#This Row],[目标区服]],$R$26:$S$29,2,FALSE)-表1_861218222426[[#This Row],[开服天数]])*配置!$B$2</f>
        <v>10</v>
      </c>
      <c r="H10" s="212" t="s">
        <v>27</v>
      </c>
      <c r="I10" s="268">
        <f>IF(表1_861218222426[[#This Row],[原国家]]="魏",0,IF(表1_861218222426[[#This Row],[原国家]]="蜀",1,2))</f>
        <v>2</v>
      </c>
      <c r="J10" s="213">
        <v>2</v>
      </c>
      <c r="K10" s="213">
        <v>61</v>
      </c>
      <c r="L10" s="213">
        <v>1</v>
      </c>
      <c r="M10" s="213">
        <v>15</v>
      </c>
      <c r="N10" s="213">
        <v>55692</v>
      </c>
      <c r="O10" s="419">
        <v>907393</v>
      </c>
      <c r="P10" s="420">
        <v>6737823</v>
      </c>
      <c r="Q10" s="31" t="s">
        <v>27</v>
      </c>
      <c r="R10" s="212">
        <f>IF(表1_861218222426[[#This Row],[目标国家]]="魏",0,IF(表1_861218222426[[#This Row],[目标国家]]="蜀",1,2))</f>
        <v>2</v>
      </c>
      <c r="S10" s="213">
        <v>15236</v>
      </c>
      <c r="T10" s="213">
        <v>0</v>
      </c>
      <c r="U10" s="213">
        <v>153864</v>
      </c>
      <c r="V10" s="213">
        <v>3203</v>
      </c>
      <c r="W10" s="213">
        <v>244411</v>
      </c>
      <c r="X10" s="278" t="str">
        <f>"{"&amp;"'coin':"&amp;表1_861218222426[[#This Row],[补偿Coin]]&amp;",'"&amp;配置!$A$2&amp;"':"&amp;表1_861218222426[[#This Row],[补偿辎重]]&amp;"},"</f>
        <v>{'coin':1000,'item036':10},</v>
      </c>
      <c r="Y10" s="278" t="str">
        <f>"      },"</f>
        <v>      },</v>
      </c>
    </row>
    <row r="11" s="354" customFormat="1" ht="14.25" customHeight="1" spans="1:25">
      <c r="A11" s="259">
        <v>7004</v>
      </c>
      <c r="B11" s="210">
        <f>VLOOKUP(表1_861218222426[[#This Row],[区服]],$P$26:$Q$33,2,FALSE)</f>
        <v>40</v>
      </c>
      <c r="C11" s="296" t="s">
        <v>137</v>
      </c>
      <c r="D11" s="212" t="str">
        <f>表1_861218222426[[#This Row],[目标国家]]</f>
        <v>吴</v>
      </c>
      <c r="E11" s="213">
        <f>(VLOOKUP(表1_861218222426[[#This Row],[目标区服]],$R$26:$S$29,2,FALSE)-表1_861218222426[[#This Row],[开服天数]])*配置!$B$1</f>
        <v>1500</v>
      </c>
      <c r="F11" s="213">
        <f>表1_861218222426[[#This Row],[补偿Coin]]*(表1_861218222426[[#This Row],[活跃高战玩家数]]+表1_861218222426[[#This Row],[活跃中坚玩家数]])</f>
        <v>36000</v>
      </c>
      <c r="G11" s="260">
        <f>(VLOOKUP(表1_861218222426[[#This Row],[目标区服]],$R$26:$S$29,2,FALSE)-表1_861218222426[[#This Row],[开服天数]])*配置!$B$2</f>
        <v>15</v>
      </c>
      <c r="H11" s="212" t="s">
        <v>25</v>
      </c>
      <c r="I11" s="268">
        <f>IF(表1_861218222426[[#This Row],[原国家]]="魏",0,IF(表1_861218222426[[#This Row],[原国家]]="蜀",1,2))</f>
        <v>0</v>
      </c>
      <c r="J11" s="213">
        <v>5</v>
      </c>
      <c r="K11" s="213">
        <v>167</v>
      </c>
      <c r="L11" s="213">
        <v>6</v>
      </c>
      <c r="M11" s="213">
        <v>18</v>
      </c>
      <c r="N11" s="213">
        <v>123144</v>
      </c>
      <c r="O11" s="419">
        <v>1558889</v>
      </c>
      <c r="P11" s="420">
        <v>15590042</v>
      </c>
      <c r="Q11" s="31" t="s">
        <v>27</v>
      </c>
      <c r="R11" s="212">
        <f>IF(表1_861218222426[[#This Row],[目标国家]]="魏",0,IF(表1_861218222426[[#This Row],[目标国家]]="蜀",1,2))</f>
        <v>2</v>
      </c>
      <c r="S11" s="213">
        <v>26846</v>
      </c>
      <c r="T11" s="213">
        <v>0</v>
      </c>
      <c r="U11" s="213">
        <v>192089</v>
      </c>
      <c r="V11" s="213">
        <v>6805</v>
      </c>
      <c r="W11" s="213">
        <v>437183</v>
      </c>
      <c r="X11" s="278" t="str">
        <f>"{"&amp;"'coin':"&amp;表1_861218222426[[#This Row],[补偿Coin]]&amp;",'"&amp;配置!$A$2&amp;"':"&amp;表1_861218222426[[#This Row],[补偿辎重]]&amp;"},"</f>
        <v>{'coin':1500,'item036':15},</v>
      </c>
      <c r="Y11" s="278" t="str">
        <f>"      '"&amp;表1_861218222426[[#This Row],[区服]]&amp;"':{"</f>
        <v>      '7004':{</v>
      </c>
    </row>
    <row r="12" s="354" customFormat="1" ht="14.25" customHeight="1" spans="1:25">
      <c r="A12" s="259">
        <v>7004</v>
      </c>
      <c r="B12" s="210">
        <f>VLOOKUP(表1_861218222426[[#This Row],[区服]],$P$26:$Q$33,2,FALSE)</f>
        <v>40</v>
      </c>
      <c r="C12" s="296" t="s">
        <v>137</v>
      </c>
      <c r="D12" s="212" t="str">
        <f>表1_861218222426[[#This Row],[目标国家]]</f>
        <v>蜀</v>
      </c>
      <c r="E12" s="213">
        <f>(VLOOKUP(表1_861218222426[[#This Row],[目标区服]],$R$26:$S$29,2,FALSE)-表1_861218222426[[#This Row],[开服天数]])*配置!$B$1</f>
        <v>1500</v>
      </c>
      <c r="F12" s="213">
        <f>表1_861218222426[[#This Row],[补偿Coin]]*(表1_861218222426[[#This Row],[活跃高战玩家数]]+表1_861218222426[[#This Row],[活跃中坚玩家数]])</f>
        <v>21000</v>
      </c>
      <c r="G12" s="260">
        <f>(VLOOKUP(表1_861218222426[[#This Row],[目标区服]],$R$26:$S$29,2,FALSE)-表1_861218222426[[#This Row],[开服天数]])*配置!$B$2</f>
        <v>15</v>
      </c>
      <c r="H12" s="212" t="s">
        <v>26</v>
      </c>
      <c r="I12" s="268">
        <f>IF(表1_861218222426[[#This Row],[原国家]]="魏",0,IF(表1_861218222426[[#This Row],[原国家]]="蜀",1,2))</f>
        <v>1</v>
      </c>
      <c r="J12" s="213">
        <v>1</v>
      </c>
      <c r="K12" s="213">
        <v>61</v>
      </c>
      <c r="L12" s="213">
        <v>1</v>
      </c>
      <c r="M12" s="213">
        <v>13</v>
      </c>
      <c r="N12" s="213">
        <v>51766</v>
      </c>
      <c r="O12" s="419">
        <v>812321</v>
      </c>
      <c r="P12" s="420">
        <v>6559427</v>
      </c>
      <c r="Q12" s="31" t="s">
        <v>26</v>
      </c>
      <c r="R12" s="212">
        <f>IF(表1_861218222426[[#This Row],[目标国家]]="魏",0,IF(表1_861218222426[[#This Row],[目标国家]]="蜀",1,2))</f>
        <v>1</v>
      </c>
      <c r="S12" s="213">
        <v>2344</v>
      </c>
      <c r="T12" s="213">
        <v>8766</v>
      </c>
      <c r="U12" s="213">
        <v>125515</v>
      </c>
      <c r="V12" s="213">
        <v>2657</v>
      </c>
      <c r="W12" s="213">
        <v>239618</v>
      </c>
      <c r="X12" s="278" t="str">
        <f>"{"&amp;"'coin':"&amp;表1_861218222426[[#This Row],[补偿Coin]]&amp;",'"&amp;配置!$A$2&amp;"':"&amp;表1_861218222426[[#This Row],[补偿辎重]]&amp;"},"</f>
        <v>{'coin':1500,'item036':15},</v>
      </c>
      <c r="Y12" s="278" t="str">
        <f>"            'to_zone':'"&amp;表1_861218222426[[#This Row],[目标区服]]&amp;"',
            'reward':"&amp;表1_861218222426[[#This Row],[辅助导出]]&amp;"
            'country':["&amp;R11&amp;","&amp;R12&amp;","&amp;R13&amp;"],"</f>
        <v>            'to_zone':'h1_702',
            'reward':{'coin':1500,'item036':15},
            'country':[2,1,2],</v>
      </c>
    </row>
    <row r="13" s="354" customFormat="1" ht="14.25" customHeight="1" spans="1:25">
      <c r="A13" s="259">
        <v>7004</v>
      </c>
      <c r="B13" s="210">
        <f>VLOOKUP(表1_861218222426[[#This Row],[区服]],$P$26:$Q$33,2,FALSE)</f>
        <v>40</v>
      </c>
      <c r="C13" s="296" t="s">
        <v>137</v>
      </c>
      <c r="D13" s="212" t="str">
        <f>表1_861218222426[[#This Row],[目标国家]]</f>
        <v>吴</v>
      </c>
      <c r="E13" s="213">
        <f>(VLOOKUP(表1_861218222426[[#This Row],[目标区服]],$R$26:$S$29,2,FALSE)-表1_861218222426[[#This Row],[开服天数]])*配置!$B$1</f>
        <v>1500</v>
      </c>
      <c r="F13" s="213">
        <f>表1_861218222426[[#This Row],[补偿Coin]]*(表1_861218222426[[#This Row],[活跃高战玩家数]]+表1_861218222426[[#This Row],[活跃中坚玩家数]])</f>
        <v>27000</v>
      </c>
      <c r="G13" s="260">
        <f>(VLOOKUP(表1_861218222426[[#This Row],[目标区服]],$R$26:$S$29,2,FALSE)-表1_861218222426[[#This Row],[开服天数]])*配置!$B$2</f>
        <v>15</v>
      </c>
      <c r="H13" s="212" t="s">
        <v>27</v>
      </c>
      <c r="I13" s="268">
        <f>IF(表1_861218222426[[#This Row],[原国家]]="魏",0,IF(表1_861218222426[[#This Row],[原国家]]="蜀",1,2))</f>
        <v>2</v>
      </c>
      <c r="J13" s="213">
        <v>3</v>
      </c>
      <c r="K13" s="213">
        <v>167</v>
      </c>
      <c r="L13" s="213">
        <v>2</v>
      </c>
      <c r="M13" s="213">
        <v>16</v>
      </c>
      <c r="N13" s="213">
        <v>102250</v>
      </c>
      <c r="O13" s="419">
        <v>1279254</v>
      </c>
      <c r="P13" s="420">
        <v>12049809</v>
      </c>
      <c r="Q13" s="31" t="s">
        <v>27</v>
      </c>
      <c r="R13" s="212">
        <f>IF(表1_861218222426[[#This Row],[目标国家]]="魏",0,IF(表1_861218222426[[#This Row],[目标国家]]="蜀",1,2))</f>
        <v>2</v>
      </c>
      <c r="S13" s="213">
        <v>18842</v>
      </c>
      <c r="T13" s="213">
        <v>17558</v>
      </c>
      <c r="U13" s="213">
        <v>171673</v>
      </c>
      <c r="V13" s="213">
        <v>5792</v>
      </c>
      <c r="W13" s="213">
        <v>328478</v>
      </c>
      <c r="X13" s="278" t="str">
        <f>"{"&amp;"'coin':"&amp;表1_861218222426[[#This Row],[补偿Coin]]&amp;",'"&amp;配置!$A$2&amp;"':"&amp;表1_861218222426[[#This Row],[补偿辎重]]&amp;"},"</f>
        <v>{'coin':1500,'item036':15},</v>
      </c>
      <c r="Y13" s="278" t="str">
        <f t="shared" ref="Y13" si="1">"      },"</f>
        <v>      },</v>
      </c>
    </row>
    <row r="14" ht="14.25" customHeight="1" spans="1:25">
      <c r="A14" s="17"/>
      <c r="B14" s="17" t="e">
        <f>VLOOKUP(表1_861218222426[[#This Row],[区服]],$P$26:$Q$33,2,FALSE)</f>
        <v>#N/A</v>
      </c>
      <c r="C14" s="18"/>
      <c r="D14" s="19" t="str">
        <f>表1_861218222426[[#This Row],[目标国家]]</f>
        <v>魏</v>
      </c>
      <c r="E14" s="20" t="e">
        <f>(VLOOKUP(表1_861218222426[[#This Row],[目标区服]],$R$26:$S$29,2,FALSE)-表1_861218222426[[#This Row],[开服天数]])*配置!$B$1</f>
        <v>#N/A</v>
      </c>
      <c r="F14" s="20" t="e">
        <f>表1_861218222426[[#This Row],[补偿Coin]]*(表1_861218222426[[#This Row],[活跃高战玩家数]]+表1_861218222426[[#This Row],[活跃中坚玩家数]])</f>
        <v>#N/A</v>
      </c>
      <c r="G14" s="20" t="e">
        <f>(VLOOKUP(表1_861218222426[[#This Row],[目标区服]],$R$26:$S$29,2,FALSE)-表1_861218222426[[#This Row],[开服天数]])*配置!$B$2</f>
        <v>#N/A</v>
      </c>
      <c r="H14" s="19" t="s">
        <v>25</v>
      </c>
      <c r="I14" s="19">
        <f>IF(表1_861218222426[[#This Row],[原国家]]="魏",0,IF(表1_861218222426[[#This Row],[原国家]]="蜀",1,2))</f>
        <v>0</v>
      </c>
      <c r="J14" s="20"/>
      <c r="K14" s="20"/>
      <c r="L14" s="20"/>
      <c r="M14" s="20"/>
      <c r="N14" s="20"/>
      <c r="O14" s="20"/>
      <c r="P14" s="26"/>
      <c r="Q14" s="31" t="s">
        <v>25</v>
      </c>
      <c r="R14" s="19">
        <f>IF(表1_861218222426[[#This Row],[目标国家]]="魏",0,IF(表1_861218222426[[#This Row],[目标国家]]="蜀",1,2))</f>
        <v>0</v>
      </c>
      <c r="S14" s="20"/>
      <c r="T14" s="20"/>
      <c r="U14" s="20"/>
      <c r="V14" s="20"/>
      <c r="W14" s="32"/>
      <c r="X14" s="33" t="e">
        <f>"{"&amp;"'coin':"&amp;表1_861218222426[[#This Row],[补偿Coin]]&amp;",'"&amp;配置!$A$2&amp;"':"&amp;表1_861218222426[[#This Row],[补偿辎重]]&amp;"},"</f>
        <v>#N/A</v>
      </c>
      <c r="Y14" s="34" t="str">
        <f>"      '"&amp;表1_861218222426[[#This Row],[区服]]&amp;"':{"</f>
        <v>      '':{</v>
      </c>
    </row>
    <row r="15" ht="14.25" customHeight="1" spans="1:25">
      <c r="A15" s="17"/>
      <c r="B15" s="17" t="e">
        <f>VLOOKUP(表1_861218222426[[#This Row],[区服]],$P$26:$Q$33,2,FALSE)</f>
        <v>#N/A</v>
      </c>
      <c r="C15" s="18"/>
      <c r="D15" s="19" t="str">
        <f>表1_861218222426[[#This Row],[目标国家]]</f>
        <v>蜀</v>
      </c>
      <c r="E15" s="20" t="e">
        <f>(VLOOKUP(表1_861218222426[[#This Row],[目标区服]],$R$26:$S$29,2,FALSE)-表1_861218222426[[#This Row],[开服天数]])*配置!$B$1</f>
        <v>#N/A</v>
      </c>
      <c r="F15" s="20" t="e">
        <f>表1_861218222426[[#This Row],[补偿Coin]]*(表1_861218222426[[#This Row],[活跃高战玩家数]]+表1_861218222426[[#This Row],[活跃中坚玩家数]])</f>
        <v>#N/A</v>
      </c>
      <c r="G15" s="20" t="e">
        <f>(VLOOKUP(表1_861218222426[[#This Row],[目标区服]],$R$26:$S$29,2,FALSE)-表1_861218222426[[#This Row],[开服天数]])*配置!$B$2</f>
        <v>#N/A</v>
      </c>
      <c r="H15" s="19" t="s">
        <v>26</v>
      </c>
      <c r="I15" s="19">
        <f>IF(表1_861218222426[[#This Row],[原国家]]="魏",0,IF(表1_861218222426[[#This Row],[原国家]]="蜀",1,2))</f>
        <v>1</v>
      </c>
      <c r="J15" s="20"/>
      <c r="K15" s="20"/>
      <c r="L15" s="20"/>
      <c r="M15" s="20"/>
      <c r="N15" s="20"/>
      <c r="O15" s="20"/>
      <c r="P15" s="26"/>
      <c r="Q15" s="31" t="s">
        <v>26</v>
      </c>
      <c r="R15" s="19">
        <f>IF(表1_861218222426[[#This Row],[目标国家]]="魏",0,IF(表1_861218222426[[#This Row],[目标国家]]="蜀",1,2))</f>
        <v>1</v>
      </c>
      <c r="S15" s="20"/>
      <c r="T15" s="20"/>
      <c r="U15" s="20"/>
      <c r="V15" s="20"/>
      <c r="W15" s="32"/>
      <c r="X15" s="33" t="e">
        <f>"{"&amp;"'coin':"&amp;表1_861218222426[[#This Row],[补偿Coin]]&amp;",'"&amp;配置!$A$2&amp;"':"&amp;表1_861218222426[[#This Row],[补偿辎重]]&amp;"},"</f>
        <v>#N/A</v>
      </c>
      <c r="Y15" s="34" t="e">
        <f>"            'to_zone':'"&amp;表1_861218222426[[#This Row],[目标区服]]&amp;"',
            'reward':"&amp;表1_861218222426[[#This Row],[辅助导出]]&amp;"
            'country':["&amp;R14&amp;","&amp;R15&amp;","&amp;R16&amp;"],"</f>
        <v>#N/A</v>
      </c>
    </row>
    <row r="16" ht="14.25" customHeight="1" spans="1:25">
      <c r="A16" s="17"/>
      <c r="B16" s="17" t="e">
        <f>VLOOKUP(表1_861218222426[[#This Row],[区服]],$P$26:$Q$33,2,FALSE)</f>
        <v>#N/A</v>
      </c>
      <c r="C16" s="18"/>
      <c r="D16" s="19" t="str">
        <f>表1_861218222426[[#This Row],[目标国家]]</f>
        <v>吴</v>
      </c>
      <c r="E16" s="20" t="e">
        <f>(VLOOKUP(表1_861218222426[[#This Row],[目标区服]],$R$26:$S$29,2,FALSE)-表1_861218222426[[#This Row],[开服天数]])*配置!$B$1</f>
        <v>#N/A</v>
      </c>
      <c r="F16" s="20" t="e">
        <f>表1_861218222426[[#This Row],[补偿Coin]]*(表1_861218222426[[#This Row],[活跃高战玩家数]]+表1_861218222426[[#This Row],[活跃中坚玩家数]])</f>
        <v>#N/A</v>
      </c>
      <c r="G16" s="20" t="e">
        <f>(VLOOKUP(表1_861218222426[[#This Row],[目标区服]],$R$26:$S$29,2,FALSE)-表1_861218222426[[#This Row],[开服天数]])*配置!$B$2</f>
        <v>#N/A</v>
      </c>
      <c r="H16" s="19" t="s">
        <v>27</v>
      </c>
      <c r="I16" s="19">
        <f>IF(表1_861218222426[[#This Row],[原国家]]="魏",0,IF(表1_861218222426[[#This Row],[原国家]]="蜀",1,2))</f>
        <v>2</v>
      </c>
      <c r="J16" s="20"/>
      <c r="K16" s="20"/>
      <c r="L16" s="20"/>
      <c r="M16" s="20"/>
      <c r="N16" s="20"/>
      <c r="O16" s="20"/>
      <c r="P16" s="26"/>
      <c r="Q16" s="31" t="s">
        <v>27</v>
      </c>
      <c r="R16" s="19">
        <f>IF(表1_861218222426[[#This Row],[目标国家]]="魏",0,IF(表1_861218222426[[#This Row],[目标国家]]="蜀",1,2))</f>
        <v>2</v>
      </c>
      <c r="S16" s="20"/>
      <c r="T16" s="20"/>
      <c r="U16" s="20"/>
      <c r="V16" s="20"/>
      <c r="W16" s="32"/>
      <c r="X16" s="33" t="e">
        <f>"{"&amp;"'coin':"&amp;表1_861218222426[[#This Row],[补偿Coin]]&amp;",'"&amp;配置!$A$2&amp;"':"&amp;表1_861218222426[[#This Row],[补偿辎重]]&amp;"},"</f>
        <v>#N/A</v>
      </c>
      <c r="Y16" s="34" t="str">
        <f t="shared" ref="Y16" si="2">"      },"</f>
        <v>      },</v>
      </c>
    </row>
    <row r="17" ht="14.25" customHeight="1" spans="1:25">
      <c r="A17" s="17"/>
      <c r="B17" s="17" t="e">
        <f>VLOOKUP(表1_861218222426[[#This Row],[区服]],$P$26:$Q$33,2,FALSE)</f>
        <v>#N/A</v>
      </c>
      <c r="C17" s="18"/>
      <c r="D17" s="19" t="str">
        <f>表1_861218222426[[#This Row],[目标国家]]</f>
        <v>魏</v>
      </c>
      <c r="E17" s="20" t="e">
        <f>(VLOOKUP(表1_861218222426[[#This Row],[目标区服]],$R$26:$S$29,2,FALSE)-表1_861218222426[[#This Row],[开服天数]])*配置!$B$1</f>
        <v>#N/A</v>
      </c>
      <c r="F17" s="20" t="e">
        <f>表1_861218222426[[#This Row],[补偿Coin]]*(表1_861218222426[[#This Row],[活跃高战玩家数]]+表1_861218222426[[#This Row],[活跃中坚玩家数]])</f>
        <v>#N/A</v>
      </c>
      <c r="G17" s="20" t="e">
        <f>(VLOOKUP(表1_861218222426[[#This Row],[目标区服]],$R$26:$S$29,2,FALSE)-表1_861218222426[[#This Row],[开服天数]])*配置!$B$2</f>
        <v>#N/A</v>
      </c>
      <c r="H17" s="19" t="s">
        <v>25</v>
      </c>
      <c r="I17" s="19">
        <f>IF(表1_861218222426[[#This Row],[原国家]]="魏",0,IF(表1_861218222426[[#This Row],[原国家]]="蜀",1,2))</f>
        <v>0</v>
      </c>
      <c r="J17" s="20"/>
      <c r="K17" s="20"/>
      <c r="L17" s="20"/>
      <c r="M17" s="20"/>
      <c r="N17" s="20"/>
      <c r="O17" s="20"/>
      <c r="P17" s="26"/>
      <c r="Q17" s="31" t="s">
        <v>25</v>
      </c>
      <c r="R17" s="19">
        <f>IF(表1_861218222426[[#This Row],[目标国家]]="魏",0,IF(表1_861218222426[[#This Row],[目标国家]]="蜀",1,2))</f>
        <v>0</v>
      </c>
      <c r="S17" s="20"/>
      <c r="T17" s="20"/>
      <c r="U17" s="20"/>
      <c r="V17" s="20"/>
      <c r="W17" s="32"/>
      <c r="X17" s="33" t="e">
        <f>"{"&amp;"'coin':"&amp;表1_861218222426[[#This Row],[补偿Coin]]&amp;",'"&amp;配置!$A$2&amp;"':"&amp;表1_861218222426[[#This Row],[补偿辎重]]&amp;"},"</f>
        <v>#N/A</v>
      </c>
      <c r="Y17" s="34" t="str">
        <f>"      '"&amp;表1_861218222426[[#This Row],[区服]]&amp;"':{"</f>
        <v>      '':{</v>
      </c>
    </row>
    <row r="18" ht="14.25" customHeight="1" spans="1:25">
      <c r="A18" s="17"/>
      <c r="B18" s="17" t="e">
        <f>VLOOKUP(表1_861218222426[[#This Row],[区服]],$P$26:$Q$33,2,FALSE)</f>
        <v>#N/A</v>
      </c>
      <c r="C18" s="18"/>
      <c r="D18" s="19" t="str">
        <f>表1_861218222426[[#This Row],[目标国家]]</f>
        <v>蜀</v>
      </c>
      <c r="E18" s="20" t="e">
        <f>(VLOOKUP(表1_861218222426[[#This Row],[目标区服]],$R$26:$S$29,2,FALSE)-表1_861218222426[[#This Row],[开服天数]])*配置!$B$1</f>
        <v>#N/A</v>
      </c>
      <c r="F18" s="20" t="e">
        <f>表1_861218222426[[#This Row],[补偿Coin]]*(表1_861218222426[[#This Row],[活跃高战玩家数]]+表1_861218222426[[#This Row],[活跃中坚玩家数]])</f>
        <v>#N/A</v>
      </c>
      <c r="G18" s="20" t="e">
        <f>(VLOOKUP(表1_861218222426[[#This Row],[目标区服]],$R$26:$S$29,2,FALSE)-表1_861218222426[[#This Row],[开服天数]])*配置!$B$2</f>
        <v>#N/A</v>
      </c>
      <c r="H18" s="19" t="s">
        <v>26</v>
      </c>
      <c r="I18" s="19">
        <f>IF(表1_861218222426[[#This Row],[原国家]]="魏",0,IF(表1_861218222426[[#This Row],[原国家]]="蜀",1,2))</f>
        <v>1</v>
      </c>
      <c r="J18" s="20"/>
      <c r="K18" s="20"/>
      <c r="L18" s="20"/>
      <c r="M18" s="20"/>
      <c r="N18" s="20"/>
      <c r="O18" s="20"/>
      <c r="P18" s="26"/>
      <c r="Q18" s="31" t="s">
        <v>26</v>
      </c>
      <c r="R18" s="19">
        <f>IF(表1_861218222426[[#This Row],[目标国家]]="魏",0,IF(表1_861218222426[[#This Row],[目标国家]]="蜀",1,2))</f>
        <v>1</v>
      </c>
      <c r="S18" s="20"/>
      <c r="T18" s="20"/>
      <c r="U18" s="20"/>
      <c r="V18" s="20"/>
      <c r="W18" s="32"/>
      <c r="X18" s="33" t="e">
        <f>"{"&amp;"'coin':"&amp;表1_861218222426[[#This Row],[补偿Coin]]&amp;",'"&amp;配置!$A$2&amp;"':"&amp;表1_861218222426[[#This Row],[补偿辎重]]&amp;"},"</f>
        <v>#N/A</v>
      </c>
      <c r="Y18" s="34" t="e">
        <f>"            'to_zone':'"&amp;表1_861218222426[[#This Row],[目标区服]]&amp;"',
            'reward':"&amp;表1_861218222426[[#This Row],[辅助导出]]&amp;"
            'country':["&amp;R17&amp;","&amp;R18&amp;","&amp;R19&amp;"],"</f>
        <v>#N/A</v>
      </c>
    </row>
    <row r="19" ht="14.25" customHeight="1" spans="1:25">
      <c r="A19" s="17"/>
      <c r="B19" s="17" t="e">
        <f>VLOOKUP(表1_861218222426[[#This Row],[区服]],$P$26:$Q$33,2,FALSE)</f>
        <v>#N/A</v>
      </c>
      <c r="C19" s="18"/>
      <c r="D19" s="19" t="str">
        <f>表1_861218222426[[#This Row],[目标国家]]</f>
        <v>吴</v>
      </c>
      <c r="E19" s="20" t="e">
        <f>(VLOOKUP(表1_861218222426[[#This Row],[目标区服]],$R$26:$S$29,2,FALSE)-表1_861218222426[[#This Row],[开服天数]])*配置!$B$1</f>
        <v>#N/A</v>
      </c>
      <c r="F19" s="20" t="e">
        <f>表1_861218222426[[#This Row],[补偿Coin]]*(表1_861218222426[[#This Row],[活跃高战玩家数]]+表1_861218222426[[#This Row],[活跃中坚玩家数]])</f>
        <v>#N/A</v>
      </c>
      <c r="G19" s="20" t="e">
        <f>(VLOOKUP(表1_861218222426[[#This Row],[目标区服]],$R$26:$S$29,2,FALSE)-表1_861218222426[[#This Row],[开服天数]])*配置!$B$2</f>
        <v>#N/A</v>
      </c>
      <c r="H19" s="19" t="s">
        <v>27</v>
      </c>
      <c r="I19" s="19">
        <f>IF(表1_861218222426[[#This Row],[原国家]]="魏",0,IF(表1_861218222426[[#This Row],[原国家]]="蜀",1,2))</f>
        <v>2</v>
      </c>
      <c r="J19" s="20"/>
      <c r="K19" s="20"/>
      <c r="L19" s="20"/>
      <c r="M19" s="20"/>
      <c r="N19" s="20"/>
      <c r="O19" s="20"/>
      <c r="P19" s="26"/>
      <c r="Q19" s="31" t="s">
        <v>27</v>
      </c>
      <c r="R19" s="19">
        <f>IF(表1_861218222426[[#This Row],[目标国家]]="魏",0,IF(表1_861218222426[[#This Row],[目标国家]]="蜀",1,2))</f>
        <v>2</v>
      </c>
      <c r="S19" s="20"/>
      <c r="T19" s="20"/>
      <c r="U19" s="20"/>
      <c r="V19" s="20"/>
      <c r="W19" s="32"/>
      <c r="X19" s="33" t="e">
        <f>"{"&amp;"'coin':"&amp;表1_861218222426[[#This Row],[补偿Coin]]&amp;",'"&amp;配置!$A$2&amp;"':"&amp;表1_861218222426[[#This Row],[补偿辎重]]&amp;"},"</f>
        <v>#N/A</v>
      </c>
      <c r="Y19" s="34" t="str">
        <f t="shared" ref="Y19" si="3">"      },"</f>
        <v>      },</v>
      </c>
    </row>
    <row r="20" ht="14.25" customHeight="1" spans="1:25">
      <c r="A20" s="17"/>
      <c r="B20" s="17" t="e">
        <f>VLOOKUP(表1_861218222426[[#This Row],[区服]],$P$26:$Q$33,2,FALSE)</f>
        <v>#N/A</v>
      </c>
      <c r="C20" s="18"/>
      <c r="D20" s="19" t="str">
        <f>表1_861218222426[[#This Row],[目标国家]]</f>
        <v>魏</v>
      </c>
      <c r="E20" s="20" t="e">
        <f>(VLOOKUP(表1_861218222426[[#This Row],[目标区服]],$R$26:$S$29,2,FALSE)-表1_861218222426[[#This Row],[开服天数]])*配置!$B$1</f>
        <v>#N/A</v>
      </c>
      <c r="F20" s="20" t="e">
        <f>表1_861218222426[[#This Row],[补偿Coin]]*(表1_861218222426[[#This Row],[活跃高战玩家数]]+表1_861218222426[[#This Row],[活跃中坚玩家数]])</f>
        <v>#N/A</v>
      </c>
      <c r="G20" s="20" t="e">
        <f>(VLOOKUP(表1_861218222426[[#This Row],[目标区服]],$R$26:$S$29,2,FALSE)-表1_861218222426[[#This Row],[开服天数]])*配置!$B$2</f>
        <v>#N/A</v>
      </c>
      <c r="H20" s="19" t="s">
        <v>25</v>
      </c>
      <c r="I20" s="19">
        <f>IF(表1_861218222426[[#This Row],[原国家]]="魏",0,IF(表1_861218222426[[#This Row],[原国家]]="蜀",1,2))</f>
        <v>0</v>
      </c>
      <c r="J20" s="20"/>
      <c r="K20" s="20"/>
      <c r="L20" s="20"/>
      <c r="M20" s="20"/>
      <c r="N20" s="20"/>
      <c r="O20" s="20"/>
      <c r="P20" s="26"/>
      <c r="Q20" s="31" t="s">
        <v>25</v>
      </c>
      <c r="R20" s="19">
        <f>IF(表1_861218222426[[#This Row],[目标国家]]="魏",0,IF(表1_861218222426[[#This Row],[目标国家]]="蜀",1,2))</f>
        <v>0</v>
      </c>
      <c r="S20" s="20"/>
      <c r="T20" s="20"/>
      <c r="U20" s="20"/>
      <c r="V20" s="20"/>
      <c r="W20" s="32"/>
      <c r="X20" s="33" t="e">
        <f>"{"&amp;"'coin':"&amp;表1_861218222426[[#This Row],[补偿Coin]]&amp;",'"&amp;配置!$A$2&amp;"':"&amp;表1_861218222426[[#This Row],[补偿辎重]]&amp;"},"</f>
        <v>#N/A</v>
      </c>
      <c r="Y20" s="34" t="str">
        <f>"      '"&amp;表1_861218222426[[#This Row],[区服]]&amp;"':{"</f>
        <v>      '':{</v>
      </c>
    </row>
    <row r="21" ht="14.25" customHeight="1" spans="1:25">
      <c r="A21" s="17"/>
      <c r="B21" s="17" t="e">
        <f>VLOOKUP(表1_861218222426[[#This Row],[区服]],$P$26:$Q$33,2,FALSE)</f>
        <v>#N/A</v>
      </c>
      <c r="C21" s="18"/>
      <c r="D21" s="19" t="str">
        <f>表1_861218222426[[#This Row],[目标国家]]</f>
        <v>蜀</v>
      </c>
      <c r="E21" s="20" t="e">
        <f>(VLOOKUP(表1_861218222426[[#This Row],[目标区服]],$R$26:$S$29,2,FALSE)-表1_861218222426[[#This Row],[开服天数]])*配置!$B$1</f>
        <v>#N/A</v>
      </c>
      <c r="F21" s="20" t="e">
        <f>表1_861218222426[[#This Row],[补偿Coin]]*(表1_861218222426[[#This Row],[活跃高战玩家数]]+表1_861218222426[[#This Row],[活跃中坚玩家数]])</f>
        <v>#N/A</v>
      </c>
      <c r="G21" s="20" t="e">
        <f>(VLOOKUP(表1_861218222426[[#This Row],[目标区服]],$R$26:$S$29,2,FALSE)-表1_861218222426[[#This Row],[开服天数]])*配置!$B$2</f>
        <v>#N/A</v>
      </c>
      <c r="H21" s="19" t="s">
        <v>26</v>
      </c>
      <c r="I21" s="19">
        <f>IF(表1_861218222426[[#This Row],[原国家]]="魏",0,IF(表1_861218222426[[#This Row],[原国家]]="蜀",1,2))</f>
        <v>1</v>
      </c>
      <c r="J21" s="20"/>
      <c r="K21" s="20"/>
      <c r="L21" s="20"/>
      <c r="M21" s="20"/>
      <c r="N21" s="20"/>
      <c r="O21" s="20"/>
      <c r="P21" s="26"/>
      <c r="Q21" s="31" t="s">
        <v>26</v>
      </c>
      <c r="R21" s="19">
        <f>IF(表1_861218222426[[#This Row],[目标国家]]="魏",0,IF(表1_861218222426[[#This Row],[目标国家]]="蜀",1,2))</f>
        <v>1</v>
      </c>
      <c r="S21" s="20"/>
      <c r="T21" s="20"/>
      <c r="U21" s="20"/>
      <c r="V21" s="20"/>
      <c r="W21" s="32"/>
      <c r="X21" s="33" t="e">
        <f>"{"&amp;"'coin':"&amp;表1_861218222426[[#This Row],[补偿Coin]]&amp;",'"&amp;配置!$A$2&amp;"':"&amp;表1_861218222426[[#This Row],[补偿辎重]]&amp;"},"</f>
        <v>#N/A</v>
      </c>
      <c r="Y21" s="34" t="e">
        <f>"            'to_zone':'"&amp;表1_861218222426[[#This Row],[目标区服]]&amp;"',
            'reward':"&amp;表1_861218222426[[#This Row],[辅助导出]]&amp;"
            'country':["&amp;R20&amp;","&amp;R21&amp;","&amp;R22&amp;"],"</f>
        <v>#N/A</v>
      </c>
    </row>
    <row r="22" ht="14.25" customHeight="1" spans="1:25">
      <c r="A22" s="17"/>
      <c r="B22" s="17" t="e">
        <f>VLOOKUP(表1_861218222426[[#This Row],[区服]],$P$26:$Q$33,2,FALSE)</f>
        <v>#N/A</v>
      </c>
      <c r="C22" s="18"/>
      <c r="D22" s="19" t="str">
        <f>表1_861218222426[[#This Row],[目标国家]]</f>
        <v>吴</v>
      </c>
      <c r="E22" s="20" t="e">
        <f>(VLOOKUP(表1_861218222426[[#This Row],[目标区服]],$R$26:$S$29,2,FALSE)-表1_861218222426[[#This Row],[开服天数]])*配置!$B$1</f>
        <v>#N/A</v>
      </c>
      <c r="F22" s="20" t="e">
        <f>表1_861218222426[[#This Row],[补偿Coin]]*(表1_861218222426[[#This Row],[活跃高战玩家数]]+表1_861218222426[[#This Row],[活跃中坚玩家数]])</f>
        <v>#N/A</v>
      </c>
      <c r="G22" s="20" t="e">
        <f>(VLOOKUP(表1_861218222426[[#This Row],[目标区服]],$R$26:$S$29,2,FALSE)-表1_861218222426[[#This Row],[开服天数]])*配置!$B$2</f>
        <v>#N/A</v>
      </c>
      <c r="H22" s="19" t="s">
        <v>27</v>
      </c>
      <c r="I22" s="19">
        <f>IF(表1_861218222426[[#This Row],[原国家]]="魏",0,IF(表1_861218222426[[#This Row],[原国家]]="蜀",1,2))</f>
        <v>2</v>
      </c>
      <c r="J22" s="20"/>
      <c r="K22" s="20"/>
      <c r="L22" s="20"/>
      <c r="M22" s="20"/>
      <c r="N22" s="20"/>
      <c r="O22" s="20"/>
      <c r="P22" s="26"/>
      <c r="Q22" s="31" t="s">
        <v>27</v>
      </c>
      <c r="R22" s="19">
        <f>IF(表1_861218222426[[#This Row],[目标国家]]="魏",0,IF(表1_861218222426[[#This Row],[目标国家]]="蜀",1,2))</f>
        <v>2</v>
      </c>
      <c r="S22" s="20"/>
      <c r="T22" s="20"/>
      <c r="U22" s="20"/>
      <c r="V22" s="20"/>
      <c r="W22" s="32"/>
      <c r="X22" s="33" t="e">
        <f>"{"&amp;"'coin':"&amp;表1_861218222426[[#This Row],[补偿Coin]]&amp;",'"&amp;配置!$A$2&amp;"':"&amp;表1_861218222426[[#This Row],[补偿辎重]]&amp;"},"</f>
        <v>#N/A</v>
      </c>
      <c r="Y22" s="34" t="str">
        <f t="shared" ref="Y22" si="4">"      },"</f>
        <v>      },</v>
      </c>
    </row>
    <row r="25" ht="37.5" customHeight="1" spans="1:19">
      <c r="A25" s="36" t="s">
        <v>28</v>
      </c>
      <c r="B25" s="37" t="s">
        <v>29</v>
      </c>
      <c r="C25" s="38" t="s">
        <v>30</v>
      </c>
      <c r="D25" s="38" t="s">
        <v>31</v>
      </c>
      <c r="E25" s="38" t="s">
        <v>32</v>
      </c>
      <c r="F25" s="38" t="s">
        <v>33</v>
      </c>
      <c r="G25" s="38" t="s">
        <v>15</v>
      </c>
      <c r="H25" s="37" t="s">
        <v>18</v>
      </c>
      <c r="I25" s="37" t="s">
        <v>19</v>
      </c>
      <c r="J25" s="37" t="s">
        <v>34</v>
      </c>
      <c r="K25" s="38" t="s">
        <v>35</v>
      </c>
      <c r="L25" s="38" t="s">
        <v>36</v>
      </c>
      <c r="M25" s="38" t="s">
        <v>37</v>
      </c>
      <c r="N25" s="38" t="s">
        <v>88</v>
      </c>
      <c r="P25" s="51" t="s">
        <v>0</v>
      </c>
      <c r="Q25" s="51" t="s">
        <v>1</v>
      </c>
      <c r="R25" s="51"/>
      <c r="S25" s="51" t="s">
        <v>38</v>
      </c>
    </row>
    <row r="26" ht="15.75" customHeight="1" spans="1:19">
      <c r="A26" s="39" t="s">
        <v>136</v>
      </c>
      <c r="B26" s="39" t="s">
        <v>25</v>
      </c>
      <c r="C26" s="39">
        <f>COUNTIFS(表1_861218222426[目标区服],表2_971319232527[[#This Row],[合区区服]],表1_861218222426[目标国家（映射）],表2_971319232527[[#This Row],[国家]])</f>
        <v>3</v>
      </c>
      <c r="D26" s="39">
        <f>SUMIFS(表1_861218222426[活跃高战玩家数],表1_861218222426[目标区服],表2_971319232527[[#This Row],[合区区服]],表1_861218222426[目标国家（映射）],表2_971319232527[[#This Row],[国家]])</f>
        <v>9</v>
      </c>
      <c r="E26" s="39">
        <f>SUMIFS(表1_861218222426[活跃中坚玩家数],表1_861218222426[目标区服],表2_971319232527[[#This Row],[合区区服]],表1_861218222426[目标国家（映射）],表2_971319232527[[#This Row],[国家]])</f>
        <v>48</v>
      </c>
      <c r="F26" s="39">
        <f t="array" ref="F26">MAX((表1_861218222426[目标区服]=表2_971319232527[[#This Row],[合区区服]])*(表1_861218222426[目标国家（映射）]=表2_971319232527[[#This Row],[国家]])*表1_861218222426[活跃尖端战力])</f>
        <v>1991291</v>
      </c>
      <c r="G26" s="40">
        <f>SUMIFS(表1_861218222426[活跃总战力],表1_861218222426[目标区服],表2_971319232527[[#This Row],[合区区服]],表1_861218222426[目标国家（映射）],表2_971319232527[[#This Row],[国家]])</f>
        <v>35325772</v>
      </c>
      <c r="H26" s="39">
        <f>SUMIFS(表1_861218222426[活跃实际充值],表1_861218222426[目标区服],表2_971319232527[[#This Row],[合区区服]],表1_861218222426[目标国家（映射）],表2_971319232527[[#This Row],[国家]])</f>
        <v>49726</v>
      </c>
      <c r="I26" s="39">
        <f>SUMIFS(表1_861218222426[活跃虚拟充值],表1_861218222426[目标区服],表2_971319232527[[#This Row],[合区区服]],表1_861218222426[目标国家（映射）],表2_971319232527[[#This Row],[国家]])</f>
        <v>27212</v>
      </c>
      <c r="J26" s="39">
        <f>SUMIFS(表1_861218222426[活跃Coin],表1_861218222426[目标区服],表2_971319232527[[#This Row],[合区区服]],表1_861218222426[目标国家（映射）],表2_971319232527[[#This Row],[国家]])</f>
        <v>688175</v>
      </c>
      <c r="K26" s="39">
        <f>SUMIFS(表1_861218222426[共计补偿Coin],表1_861218222426[目标区服],表2_971319232527[[#This Row],[合区区服]],表1_861218222426[目标国家（映射）],表2_971319232527[[#This Row],[国家]])</f>
        <v>57000</v>
      </c>
      <c r="L26" s="39">
        <f>表2_971319232527[[#This Row],[活跃Coin]]+表2_971319232527[[#This Row],[共计补偿Coin]]</f>
        <v>745175</v>
      </c>
      <c r="M26" s="39">
        <f>SUMIFS(表1_861218222426[综合国力],表1_861218222426[目标区服],表2_971319232527[[#This Row],[合区区服]],表1_861218222426[目标国家（映射）],表2_971319232527[[#This Row],[国家]])</f>
        <v>16517</v>
      </c>
      <c r="N26" s="39">
        <f t="array" ref="N26">MAX((表1_861218222426[目标区服]=表2_971319232527[[#This Row],[合区区服]])*(表1_861218222426[目标国家（映射）]=表2_971319232527[[#This Row],[国家]])*表1_861218222426[单将最高战力])</f>
        <v>681857</v>
      </c>
      <c r="P26" s="51">
        <v>7001</v>
      </c>
      <c r="Q26" s="51">
        <v>43</v>
      </c>
      <c r="R26" s="51" t="s">
        <v>136</v>
      </c>
      <c r="S26" s="51">
        <v>45</v>
      </c>
    </row>
    <row r="27" ht="15" spans="1:19">
      <c r="A27" s="39" t="s">
        <v>136</v>
      </c>
      <c r="B27" s="39" t="s">
        <v>26</v>
      </c>
      <c r="C27" s="39">
        <f>COUNTIFS(表1_861218222426[目标区服],表2_971319232527[[#This Row],[合区区服]],表1_861218222426[目标国家（映射）],表2_971319232527[[#This Row],[国家]])</f>
        <v>2</v>
      </c>
      <c r="D27" s="39">
        <f>SUMIFS(表1_861218222426[活跃高战玩家数],表1_861218222426[目标区服],表2_971319232527[[#This Row],[合区区服]],表1_861218222426[目标国家（映射）],表2_971319232527[[#This Row],[国家]])</f>
        <v>2</v>
      </c>
      <c r="E27" s="39">
        <f>SUMIFS(表1_861218222426[活跃中坚玩家数],表1_861218222426[目标区服],表2_971319232527[[#This Row],[合区区服]],表1_861218222426[目标国家（映射）],表2_971319232527[[#This Row],[国家]])</f>
        <v>32</v>
      </c>
      <c r="F27" s="39">
        <f t="array" ref="F27">MAX((表1_861218222426[目标区服]=表2_971319232527[[#This Row],[合区区服]])*(表1_861218222426[目标国家（映射）]=表2_971319232527[[#This Row],[国家]])*表1_861218222426[活跃尖端战力])</f>
        <v>2165570</v>
      </c>
      <c r="G27" s="40">
        <f>SUMIFS(表1_861218222426[活跃总战力],表1_861218222426[目标区服],表2_971319232527[[#This Row],[合区区服]],表1_861218222426[目标国家（映射）],表2_971319232527[[#This Row],[国家]])</f>
        <v>20610366</v>
      </c>
      <c r="H27" s="39">
        <f>SUMIFS(表1_861218222426[活跃实际充值],表1_861218222426[目标区服],表2_971319232527[[#This Row],[合区区服]],表1_861218222426[目标国家（映射）],表2_971319232527[[#This Row],[国家]])</f>
        <v>16396</v>
      </c>
      <c r="I27" s="39">
        <f>SUMIFS(表1_861218222426[活跃虚拟充值],表1_861218222426[目标区服],表2_971319232527[[#This Row],[合区区服]],表1_861218222426[目标国家（映射）],表2_971319232527[[#This Row],[国家]])</f>
        <v>129356</v>
      </c>
      <c r="J27" s="39">
        <f>SUMIFS(表1_861218222426[活跃Coin],表1_861218222426[目标区服],表2_971319232527[[#This Row],[合区区服]],表1_861218222426[目标国家（映射）],表2_971319232527[[#This Row],[国家]])</f>
        <v>828291</v>
      </c>
      <c r="K27" s="39">
        <f>SUMIFS(表1_861218222426[共计补偿Coin],表1_861218222426[目标区服],表2_971319232527[[#This Row],[合区区服]],表1_861218222426[目标国家（映射）],表2_971319232527[[#This Row],[国家]])</f>
        <v>51000</v>
      </c>
      <c r="L27" s="39">
        <f>表2_971319232527[[#This Row],[活跃Coin]]+表2_971319232527[[#This Row],[共计补偿Coin]]</f>
        <v>879291</v>
      </c>
      <c r="M27" s="39">
        <f>SUMIFS(表1_861218222426[综合国力],表1_861218222426[目标区服],表2_971319232527[[#This Row],[合区区服]],表1_861218222426[目标国家（映射）],表2_971319232527[[#This Row],[国家]])</f>
        <v>10175</v>
      </c>
      <c r="N27" s="39">
        <f t="array" ref="N27">MAX((表1_861218222426[目标区服]=表2_971319232527[[#This Row],[合区区服]])*(表1_861218222426[目标国家（映射）]=表2_971319232527[[#This Row],[国家]])*表1_861218222426[单将最高战力])</f>
        <v>858981</v>
      </c>
      <c r="P27" s="51">
        <v>7002</v>
      </c>
      <c r="Q27" s="51">
        <v>42</v>
      </c>
      <c r="R27" s="51" t="s">
        <v>137</v>
      </c>
      <c r="S27" s="51">
        <v>43</v>
      </c>
    </row>
    <row r="28" ht="15" spans="1:19">
      <c r="A28" s="39" t="s">
        <v>136</v>
      </c>
      <c r="B28" s="39" t="s">
        <v>27</v>
      </c>
      <c r="C28" s="39">
        <f>COUNTIFS(表1_861218222426[目标区服],表2_971319232527[[#This Row],[合区区服]],表1_861218222426[目标国家（映射）],表2_971319232527[[#This Row],[国家]])</f>
        <v>1</v>
      </c>
      <c r="D28" s="39">
        <f>SUMIFS(表1_861218222426[活跃高战玩家数],表1_861218222426[目标区服],表2_971319232527[[#This Row],[合区区服]],表1_861218222426[目标国家（映射）],表2_971319232527[[#This Row],[国家]])</f>
        <v>7</v>
      </c>
      <c r="E28" s="39">
        <f>SUMIFS(表1_861218222426[活跃中坚玩家数],表1_861218222426[目标区服],表2_971319232527[[#This Row],[合区区服]],表1_861218222426[目标国家（映射）],表2_971319232527[[#This Row],[国家]])</f>
        <v>23</v>
      </c>
      <c r="F28" s="39">
        <f t="array" ref="F28">MAX((表1_861218222426[目标区服]=表2_971319232527[[#This Row],[合区区服]])*(表1_861218222426[目标国家（映射）]=表2_971319232527[[#This Row],[国家]])*表1_861218222426[活跃尖端战力])</f>
        <v>3028139</v>
      </c>
      <c r="G28" s="40">
        <f>SUMIFS(表1_861218222426[活跃总战力],表1_861218222426[目标区服],表2_971319232527[[#This Row],[合区区服]],表1_861218222426[目标国家（映射）],表2_971319232527[[#This Row],[国家]])</f>
        <v>26422031</v>
      </c>
      <c r="H28" s="39">
        <f>SUMIFS(表1_861218222426[活跃实际充值],表1_861218222426[目标区服],表2_971319232527[[#This Row],[合区区服]],表1_861218222426[目标国家（映射）],表2_971319232527[[#This Row],[国家]])</f>
        <v>128962</v>
      </c>
      <c r="I28" s="39">
        <f>SUMIFS(表1_861218222426[活跃虚拟充值],表1_861218222426[目标区服],表2_971319232527[[#This Row],[合区区服]],表1_861218222426[目标国家（映射）],表2_971319232527[[#This Row],[国家]])</f>
        <v>118</v>
      </c>
      <c r="J28" s="39">
        <f>SUMIFS(表1_861218222426[活跃Coin],表1_861218222426[目标区服],表2_971319232527[[#This Row],[合区区服]],表1_861218222426[目标国家（映射）],表2_971319232527[[#This Row],[国家]])</f>
        <v>491652</v>
      </c>
      <c r="K28" s="39">
        <f>SUMIFS(表1_861218222426[共计补偿Coin],表1_861218222426[目标区服],表2_971319232527[[#This Row],[合区区服]],表1_861218222426[目标国家（映射）],表2_971319232527[[#This Row],[国家]])</f>
        <v>45000</v>
      </c>
      <c r="L28" s="39">
        <f>表2_971319232527[[#This Row],[活跃Coin]]+表2_971319232527[[#This Row],[共计补偿Coin]]</f>
        <v>536652</v>
      </c>
      <c r="M28" s="39">
        <f>SUMIFS(表1_861218222426[综合国力],表1_861218222426[目标区服],表2_971319232527[[#This Row],[合区区服]],表1_861218222426[目标国家（映射）],表2_971319232527[[#This Row],[国家]])</f>
        <v>13697</v>
      </c>
      <c r="N28" s="39">
        <f t="array" ref="N28">MAX((表1_861218222426[目标区服]=表2_971319232527[[#This Row],[合区区服]])*(表1_861218222426[目标国家（映射）]=表2_971319232527[[#This Row],[国家]])*表1_861218222426[单将最高战力])</f>
        <v>1051034</v>
      </c>
      <c r="P28" s="51">
        <v>7003</v>
      </c>
      <c r="Q28" s="51">
        <v>41</v>
      </c>
      <c r="R28" s="51"/>
      <c r="S28" s="51"/>
    </row>
    <row r="29" ht="15" spans="1:19">
      <c r="A29" s="41" t="s">
        <v>137</v>
      </c>
      <c r="B29" s="41" t="s">
        <v>25</v>
      </c>
      <c r="C29" s="41">
        <f>COUNTIFS(表1_861218222426[目标区服],表2_971319232527[[#This Row],[合区区服]],表1_861218222426[目标国家（映射）],表2_971319232527[[#This Row],[国家]])</f>
        <v>1</v>
      </c>
      <c r="D29" s="41">
        <f>SUMIFS(表1_861218222426[活跃高战玩家数],表1_861218222426[目标区服],表2_971319232527[[#This Row],[合区区服]],表1_861218222426[目标国家（映射）],表2_971319232527[[#This Row],[国家]])</f>
        <v>1</v>
      </c>
      <c r="E29" s="41">
        <f>SUMIFS(表1_861218222426[活跃中坚玩家数],表1_861218222426[目标区服],表2_971319232527[[#This Row],[合区区服]],表1_861218222426[目标国家（映射）],表2_971319232527[[#This Row],[国家]])</f>
        <v>11</v>
      </c>
      <c r="F29" s="41">
        <f t="array" ref="F29">MAX((表1_861218222426[目标区服]=表2_971319232527[[#This Row],[合区区服]])*(表1_861218222426[目标国家（映射）]=表2_971319232527[[#This Row],[国家]])*表1_861218222426[活跃尖端战力])</f>
        <v>1255253</v>
      </c>
      <c r="G29" s="42">
        <f>SUMIFS(表1_861218222426[活跃总战力],表1_861218222426[目标区服],表2_971319232527[[#This Row],[合区区服]],表1_861218222426[目标国家（映射）],表2_971319232527[[#This Row],[国家]])</f>
        <v>6495562</v>
      </c>
      <c r="H29" s="41">
        <f>SUMIFS(表1_861218222426[活跃实际充值],表1_861218222426[目标区服],表2_971319232527[[#This Row],[合区区服]],表1_861218222426[目标国家（映射）],表2_971319232527[[#This Row],[国家]])</f>
        <v>27216</v>
      </c>
      <c r="I29" s="41">
        <f>SUMIFS(表1_861218222426[活跃虚拟充值],表1_861218222426[目标区服],表2_971319232527[[#This Row],[合区区服]],表1_861218222426[目标国家（映射）],表2_971319232527[[#This Row],[国家]])</f>
        <v>0</v>
      </c>
      <c r="J29" s="41">
        <f>SUMIFS(表1_861218222426[活跃Coin],表1_861218222426[目标区服],表2_971319232527[[#This Row],[合区区服]],表1_861218222426[目标国家（映射）],表2_971319232527[[#This Row],[国家]])</f>
        <v>139597</v>
      </c>
      <c r="K29" s="41">
        <f>SUMIFS(表1_861218222426[共计补偿Coin],表1_861218222426[目标区服],表2_971319232527[[#This Row],[合区区服]],表1_861218222426[目标国家（映射）],表2_971319232527[[#This Row],[国家]])</f>
        <v>12000</v>
      </c>
      <c r="L29" s="41">
        <f>表2_971319232527[[#This Row],[活跃Coin]]+表2_971319232527[[#This Row],[共计补偿Coin]]</f>
        <v>151597</v>
      </c>
      <c r="M29" s="41">
        <f>SUMIFS(表1_861218222426[综合国力],表1_861218222426[目标区服],表2_971319232527[[#This Row],[合区区服]],表1_861218222426[目标国家（映射）],表2_971319232527[[#This Row],[国家]])</f>
        <v>3738</v>
      </c>
      <c r="N29" s="41">
        <f t="array" ref="N29">MAX((表1_861218222426[目标区服]=表2_971319232527[[#This Row],[合区区服]])*(表1_861218222426[目标国家（映射）]=表2_971319232527[[#This Row],[国家]])*表1_861218222426[单将最高战力])</f>
        <v>422761</v>
      </c>
      <c r="P29" s="51">
        <v>7004</v>
      </c>
      <c r="Q29" s="51">
        <v>40</v>
      </c>
      <c r="R29" s="51"/>
      <c r="S29" s="51"/>
    </row>
    <row r="30" ht="15" spans="1:17">
      <c r="A30" s="41" t="s">
        <v>137</v>
      </c>
      <c r="B30" s="41" t="s">
        <v>26</v>
      </c>
      <c r="C30" s="41">
        <f>COUNTIFS(表1_861218222426[目标区服],表2_971319232527[[#This Row],[合区区服]],表1_861218222426[目标国家（映射）],表2_971319232527[[#This Row],[国家]])</f>
        <v>2</v>
      </c>
      <c r="D30" s="41">
        <f>SUMIFS(表1_861218222426[活跃高战玩家数],表1_861218222426[目标区服],表2_971319232527[[#This Row],[合区区服]],表1_861218222426[目标国家（映射）],表2_971319232527[[#This Row],[国家]])</f>
        <v>8</v>
      </c>
      <c r="E30" s="41">
        <f>SUMIFS(表1_861218222426[活跃中坚玩家数],表1_861218222426[目标区服],表2_971319232527[[#This Row],[合区区服]],表1_861218222426[目标国家（映射）],表2_971319232527[[#This Row],[国家]])</f>
        <v>34</v>
      </c>
      <c r="F30" s="41">
        <f t="array" ref="F30">MAX((表1_861218222426[目标区服]=表2_971319232527[[#This Row],[合区区服]])*(表1_861218222426[目标国家（映射）]=表2_971319232527[[#This Row],[国家]])*表1_861218222426[活跃尖端战力])</f>
        <v>1881864</v>
      </c>
      <c r="G30" s="42">
        <f>SUMIFS(表1_861218222426[活跃总战力],表1_861218222426[目标区服],表2_971319232527[[#This Row],[合区区服]],表1_861218222426[目标国家（映射）],表2_971319232527[[#This Row],[国家]])</f>
        <v>25324985</v>
      </c>
      <c r="H30" s="41">
        <f>SUMIFS(表1_861218222426[活跃实际充值],表1_861218222426[目标区服],表2_971319232527[[#This Row],[合区区服]],表1_861218222426[目标国家（映射）],表2_971319232527[[#This Row],[国家]])</f>
        <v>52816</v>
      </c>
      <c r="I30" s="41">
        <f>SUMIFS(表1_861218222426[活跃虚拟充值],表1_861218222426[目标区服],表2_971319232527[[#This Row],[合区区服]],表1_861218222426[目标国家（映射）],表2_971319232527[[#This Row],[国家]])</f>
        <v>8766</v>
      </c>
      <c r="J30" s="41">
        <f>SUMIFS(表1_861218222426[活跃Coin],表1_861218222426[目标区服],表2_971319232527[[#This Row],[合区区服]],表1_861218222426[目标国家（映射）],表2_971319232527[[#This Row],[国家]])</f>
        <v>636246</v>
      </c>
      <c r="K30" s="41">
        <f>SUMIFS(表1_861218222426[共计补偿Coin],表1_861218222426[目标区服],表2_971319232527[[#This Row],[合区区服]],表1_861218222426[目标国家（映射）],表2_971319232527[[#This Row],[国家]])</f>
        <v>49000</v>
      </c>
      <c r="L30" s="41">
        <f>表2_971319232527[[#This Row],[活跃Coin]]+表2_971319232527[[#This Row],[共计补偿Coin]]</f>
        <v>685246</v>
      </c>
      <c r="M30" s="41">
        <f>SUMIFS(表1_861218222426[综合国力],表1_861218222426[目标区服],表2_971319232527[[#This Row],[合区区服]],表1_861218222426[目标国家（映射）],表2_971319232527[[#This Row],[国家]])</f>
        <v>12305</v>
      </c>
      <c r="N30" s="41">
        <f t="array" ref="N30">MAX((表1_861218222426[目标区服]=表2_971319232527[[#This Row],[合区区服]])*(表1_861218222426[目标国家（映射）]=表2_971319232527[[#This Row],[国家]])*表1_861218222426[单将最高战力])</f>
        <v>521694</v>
      </c>
      <c r="P30" s="51"/>
      <c r="Q30" s="51"/>
    </row>
    <row r="31" ht="15" spans="1:17">
      <c r="A31" s="41" t="s">
        <v>137</v>
      </c>
      <c r="B31" s="43" t="s">
        <v>27</v>
      </c>
      <c r="C31" s="43">
        <f>COUNTIFS(表1_861218222426[目标区服],表2_971319232527[[#This Row],[合区区服]],表1_861218222426[目标国家（映射）],表2_971319232527[[#This Row],[国家]])</f>
        <v>3</v>
      </c>
      <c r="D31" s="43">
        <f>SUMIFS(表1_861218222426[活跃高战玩家数],表1_861218222426[目标区服],表2_971319232527[[#This Row],[合区区服]],表1_861218222426[目标国家（映射）],表2_971319232527[[#This Row],[国家]])</f>
        <v>9</v>
      </c>
      <c r="E31" s="43">
        <f>SUMIFS(表1_861218222426[活跃中坚玩家数],表1_861218222426[目标区服],表2_971319232527[[#This Row],[合区区服]],表1_861218222426[目标国家（映射）],表2_971319232527[[#This Row],[国家]])</f>
        <v>49</v>
      </c>
      <c r="F31" s="43">
        <f t="array" ref="F31">MAX((表1_861218222426[目标区服]=表2_971319232527[[#This Row],[合区区服]])*(表1_861218222426[目标国家（映射）]=表2_971319232527[[#This Row],[国家]])*表1_861218222426[活跃尖端战力])</f>
        <v>1558889</v>
      </c>
      <c r="G31" s="44">
        <f>SUMIFS(表1_861218222426[活跃总战力],表1_861218222426[目标区服],表2_971319232527[[#This Row],[合区区服]],表1_861218222426[目标国家（映射）],表2_971319232527[[#This Row],[国家]])</f>
        <v>34377674</v>
      </c>
      <c r="H31" s="43">
        <f>SUMIFS(表1_861218222426[活跃实际充值],表1_861218222426[目标区服],表2_971319232527[[#This Row],[合区区服]],表1_861218222426[目标国家（映射）],表2_971319232527[[#This Row],[国家]])</f>
        <v>60924</v>
      </c>
      <c r="I31" s="43">
        <f>SUMIFS(表1_861218222426[活跃虚拟充值],表1_861218222426[目标区服],表2_971319232527[[#This Row],[合区区服]],表1_861218222426[目标国家（映射）],表2_971319232527[[#This Row],[国家]])</f>
        <v>17558</v>
      </c>
      <c r="J31" s="43">
        <f>SUMIFS(表1_861218222426[活跃Coin],表1_861218222426[目标区服],表2_971319232527[[#This Row],[合区区服]],表1_861218222426[目标国家（映射）],表2_971319232527[[#This Row],[国家]])</f>
        <v>517626</v>
      </c>
      <c r="K31" s="43">
        <f>SUMIFS(表1_861218222426[共计补偿Coin],表1_861218222426[目标区服],表2_971319232527[[#This Row],[合区区服]],表1_861218222426[目标国家（映射）],表2_971319232527[[#This Row],[国家]])</f>
        <v>79000</v>
      </c>
      <c r="L31" s="43">
        <f>表2_971319232527[[#This Row],[活跃Coin]]+表2_971319232527[[#This Row],[共计补偿Coin]]</f>
        <v>596626</v>
      </c>
      <c r="M31" s="43">
        <f>SUMIFS(表1_861218222426[综合国力],表1_861218222426[目标区服],表2_971319232527[[#This Row],[合区区服]],表1_861218222426[目标国家（映射）],表2_971319232527[[#This Row],[国家]])</f>
        <v>15800</v>
      </c>
      <c r="N31" s="41">
        <f t="array" ref="N31">MAX((表1_861218222426[目标区服]=表2_971319232527[[#This Row],[合区区服]])*(表1_861218222426[目标国家（映射）]=表2_971319232527[[#This Row],[国家]])*表1_861218222426[单将最高战力])</f>
        <v>437183</v>
      </c>
      <c r="P31" s="51"/>
      <c r="Q31" s="51"/>
    </row>
    <row r="32" ht="15" spans="1:17">
      <c r="A32" s="45"/>
      <c r="B32" s="46" t="s">
        <v>25</v>
      </c>
      <c r="C32" s="46">
        <f>COUNTIFS(表1_861218222426[目标区服],表2_971319232527[[#This Row],[合区区服]],表1_861218222426[目标国家（映射）],表2_971319232527[[#This Row],[国家]])</f>
        <v>0</v>
      </c>
      <c r="D32" s="46">
        <f>SUMIFS(表1_861218222426[活跃高战玩家数],表1_861218222426[目标区服],表2_971319232527[[#This Row],[合区区服]],表1_861218222426[目标国家（映射）],表2_971319232527[[#This Row],[国家]])</f>
        <v>0</v>
      </c>
      <c r="E32" s="46">
        <f>SUMIFS(表1_861218222426[活跃中坚玩家数],表1_861218222426[目标区服],表2_971319232527[[#This Row],[合区区服]],表1_861218222426[目标国家（映射）],表2_971319232527[[#This Row],[国家]])</f>
        <v>0</v>
      </c>
      <c r="F32" s="46">
        <f t="array" ref="F32">MAX((表1_861218222426[目标区服]=表2_971319232527[[#This Row],[合区区服]])*(表1_861218222426[目标国家（映射）]=表2_971319232527[[#This Row],[国家]])*表1_861218222426[活跃尖端战力])</f>
        <v>0</v>
      </c>
      <c r="G32" s="47">
        <f>SUMIFS(表1_861218222426[活跃总战力],表1_861218222426[目标区服],表2_971319232527[[#This Row],[合区区服]],表1_861218222426[目标国家（映射）],表2_971319232527[[#This Row],[国家]])</f>
        <v>0</v>
      </c>
      <c r="H32" s="46">
        <f>SUMIFS(表1_861218222426[活跃实际充值],表1_861218222426[目标区服],表2_971319232527[[#This Row],[合区区服]],表1_861218222426[目标国家（映射）],表2_971319232527[[#This Row],[国家]])</f>
        <v>0</v>
      </c>
      <c r="I32" s="46">
        <f>SUMIFS(表1_861218222426[活跃虚拟充值],表1_861218222426[目标区服],表2_971319232527[[#This Row],[合区区服]],表1_861218222426[目标国家（映射）],表2_971319232527[[#This Row],[国家]])</f>
        <v>0</v>
      </c>
      <c r="J32" s="46">
        <f>SUMIFS(表1_861218222426[活跃Coin],表1_861218222426[目标区服],表2_971319232527[[#This Row],[合区区服]],表1_861218222426[目标国家（映射）],表2_971319232527[[#This Row],[国家]])</f>
        <v>0</v>
      </c>
      <c r="K32" s="46">
        <f>SUMIFS(表1_861218222426[共计补偿Coin],表1_861218222426[目标区服],表2_971319232527[[#This Row],[合区区服]],表1_861218222426[目标国家（映射）],表2_971319232527[[#This Row],[国家]])</f>
        <v>0</v>
      </c>
      <c r="L32" s="46">
        <f>表2_971319232527[[#This Row],[活跃Coin]]+表2_971319232527[[#This Row],[共计补偿Coin]]</f>
        <v>0</v>
      </c>
      <c r="M32" s="46">
        <f>SUMIFS(表1_861218222426[综合国力],表1_861218222426[目标区服],表2_971319232527[[#This Row],[合区区服]],表1_861218222426[目标国家（映射）],表2_971319232527[[#This Row],[国家]])</f>
        <v>0</v>
      </c>
      <c r="N32" s="46">
        <f t="array" ref="N32">MAX((表1_861218222426[目标区服]=表2_971319232527[[#This Row],[合区区服]])*(表1_861218222426[目标国家（映射）]=表2_971319232527[[#This Row],[国家]])*表1_861218222426[单将最高战力])</f>
        <v>0</v>
      </c>
      <c r="P32" s="51"/>
      <c r="Q32" s="51"/>
    </row>
    <row r="33" ht="15" spans="1:17">
      <c r="A33" s="45"/>
      <c r="B33" s="46" t="s">
        <v>26</v>
      </c>
      <c r="C33" s="46">
        <f>COUNTIFS(表1_861218222426[目标区服],表2_971319232527[[#This Row],[合区区服]],表1_861218222426[目标国家（映射）],表2_971319232527[[#This Row],[国家]])</f>
        <v>0</v>
      </c>
      <c r="D33" s="46">
        <f>SUMIFS(表1_861218222426[活跃高战玩家数],表1_861218222426[目标区服],表2_971319232527[[#This Row],[合区区服]],表1_861218222426[目标国家（映射）],表2_971319232527[[#This Row],[国家]])</f>
        <v>0</v>
      </c>
      <c r="E33" s="46">
        <f>SUMIFS(表1_861218222426[活跃中坚玩家数],表1_861218222426[目标区服],表2_971319232527[[#This Row],[合区区服]],表1_861218222426[目标国家（映射）],表2_971319232527[[#This Row],[国家]])</f>
        <v>0</v>
      </c>
      <c r="F33" s="46">
        <f t="array" ref="F33">MAX((表1_861218222426[目标区服]=表2_971319232527[[#This Row],[合区区服]])*(表1_861218222426[目标国家（映射）]=表2_971319232527[[#This Row],[国家]])*表1_861218222426[活跃尖端战力])</f>
        <v>0</v>
      </c>
      <c r="G33" s="47">
        <f>SUMIFS(表1_861218222426[活跃总战力],表1_861218222426[目标区服],表2_971319232527[[#This Row],[合区区服]],表1_861218222426[目标国家（映射）],表2_971319232527[[#This Row],[国家]])</f>
        <v>0</v>
      </c>
      <c r="H33" s="46">
        <f>SUMIFS(表1_861218222426[活跃实际充值],表1_861218222426[目标区服],表2_971319232527[[#This Row],[合区区服]],表1_861218222426[目标国家（映射）],表2_971319232527[[#This Row],[国家]])</f>
        <v>0</v>
      </c>
      <c r="I33" s="46">
        <f>SUMIFS(表1_861218222426[活跃虚拟充值],表1_861218222426[目标区服],表2_971319232527[[#This Row],[合区区服]],表1_861218222426[目标国家（映射）],表2_971319232527[[#This Row],[国家]])</f>
        <v>0</v>
      </c>
      <c r="J33" s="46">
        <f>SUMIFS(表1_861218222426[活跃Coin],表1_861218222426[目标区服],表2_971319232527[[#This Row],[合区区服]],表1_861218222426[目标国家（映射）],表2_971319232527[[#This Row],[国家]])</f>
        <v>0</v>
      </c>
      <c r="K33" s="46">
        <f>SUMIFS(表1_861218222426[共计补偿Coin],表1_861218222426[目标区服],表2_971319232527[[#This Row],[合区区服]],表1_861218222426[目标国家（映射）],表2_971319232527[[#This Row],[国家]])</f>
        <v>0</v>
      </c>
      <c r="L33" s="46">
        <f>表2_971319232527[[#This Row],[活跃Coin]]+表2_971319232527[[#This Row],[共计补偿Coin]]</f>
        <v>0</v>
      </c>
      <c r="M33" s="46">
        <f>SUMIFS(表1_861218222426[综合国力],表1_861218222426[目标区服],表2_971319232527[[#This Row],[合区区服]],表1_861218222426[目标国家（映射）],表2_971319232527[[#This Row],[国家]])</f>
        <v>0</v>
      </c>
      <c r="N33" s="46">
        <f t="array" ref="N33">MAX((表1_861218222426[目标区服]=表2_971319232527[[#This Row],[合区区服]])*(表1_861218222426[目标国家（映射）]=表2_971319232527[[#This Row],[国家]])*表1_861218222426[单将最高战力])</f>
        <v>0</v>
      </c>
      <c r="P33" s="51"/>
      <c r="Q33" s="51"/>
    </row>
    <row r="34" ht="15" spans="1:14">
      <c r="A34" s="45"/>
      <c r="B34" s="48" t="s">
        <v>27</v>
      </c>
      <c r="C34" s="48">
        <f>COUNTIFS(表1_861218222426[目标区服],表2_971319232527[[#This Row],[合区区服]],表1_861218222426[目标国家（映射）],表2_971319232527[[#This Row],[国家]])</f>
        <v>0</v>
      </c>
      <c r="D34" s="48">
        <f>SUMIFS(表1_861218222426[活跃高战玩家数],表1_861218222426[目标区服],表2_971319232527[[#This Row],[合区区服]],表1_861218222426[目标国家（映射）],表2_971319232527[[#This Row],[国家]])</f>
        <v>0</v>
      </c>
      <c r="E34" s="48">
        <f>SUMIFS(表1_861218222426[活跃中坚玩家数],表1_861218222426[目标区服],表2_971319232527[[#This Row],[合区区服]],表1_861218222426[目标国家（映射）],表2_971319232527[[#This Row],[国家]])</f>
        <v>0</v>
      </c>
      <c r="F34" s="48">
        <f t="array" ref="F34">MAX((表1_861218222426[目标区服]=表2_971319232527[[#This Row],[合区区服]])*(表1_861218222426[目标国家（映射）]=表2_971319232527[[#This Row],[国家]])*表1_861218222426[活跃尖端战力])</f>
        <v>0</v>
      </c>
      <c r="G34" s="458">
        <f>SUMIFS(表1_861218222426[活跃总战力],表1_861218222426[目标区服],表2_971319232527[[#This Row],[合区区服]],表1_861218222426[目标国家（映射）],表2_971319232527[[#This Row],[国家]])</f>
        <v>0</v>
      </c>
      <c r="H34" s="48">
        <f>SUMIFS(表1_861218222426[活跃实际充值],表1_861218222426[目标区服],表2_971319232527[[#This Row],[合区区服]],表1_861218222426[目标国家（映射）],表2_971319232527[[#This Row],[国家]])</f>
        <v>0</v>
      </c>
      <c r="I34" s="48">
        <f>SUMIFS(表1_861218222426[活跃虚拟充值],表1_861218222426[目标区服],表2_971319232527[[#This Row],[合区区服]],表1_861218222426[目标国家（映射）],表2_971319232527[[#This Row],[国家]])</f>
        <v>0</v>
      </c>
      <c r="J34" s="48">
        <f>SUMIFS(表1_861218222426[活跃Coin],表1_861218222426[目标区服],表2_971319232527[[#This Row],[合区区服]],表1_861218222426[目标国家（映射）],表2_971319232527[[#This Row],[国家]])</f>
        <v>0</v>
      </c>
      <c r="K34" s="48">
        <f>SUMIFS(表1_861218222426[共计补偿Coin],表1_861218222426[目标区服],表2_971319232527[[#This Row],[合区区服]],表1_861218222426[目标国家（映射）],表2_971319232527[[#This Row],[国家]])</f>
        <v>0</v>
      </c>
      <c r="L34" s="48">
        <f>表2_971319232527[[#This Row],[活跃Coin]]+表2_971319232527[[#This Row],[共计补偿Coin]]</f>
        <v>0</v>
      </c>
      <c r="M34" s="48">
        <f>SUMIFS(表1_861218222426[综合国力],表1_861218222426[目标区服],表2_971319232527[[#This Row],[合区区服]],表1_861218222426[目标国家（映射）],表2_971319232527[[#This Row],[国家]])</f>
        <v>0</v>
      </c>
      <c r="N34" s="46">
        <f t="array" ref="N34">MAX((表1_861218222426[目标区服]=表2_971319232527[[#This Row],[合区区服]])*(表1_861218222426[目标国家（映射）]=表2_971319232527[[#This Row],[国家]])*表1_861218222426[单将最高战力])</f>
        <v>0</v>
      </c>
    </row>
    <row r="40" ht="27" spans="2:14">
      <c r="B40" s="49"/>
      <c r="C40" s="50" t="s">
        <v>9</v>
      </c>
      <c r="D40" s="50" t="s">
        <v>10</v>
      </c>
      <c r="E40" s="50" t="s">
        <v>11</v>
      </c>
      <c r="F40" s="50" t="s">
        <v>12</v>
      </c>
      <c r="G40" s="50" t="s">
        <v>13</v>
      </c>
      <c r="H40" s="50" t="s">
        <v>14</v>
      </c>
      <c r="I40" s="50" t="s">
        <v>15</v>
      </c>
      <c r="J40" s="50" t="s">
        <v>18</v>
      </c>
      <c r="K40" s="50" t="s">
        <v>19</v>
      </c>
      <c r="L40" s="50" t="s">
        <v>20</v>
      </c>
      <c r="M40" s="50" t="s">
        <v>21</v>
      </c>
      <c r="N40" s="50" t="s">
        <v>82</v>
      </c>
    </row>
    <row r="41" spans="1:14">
      <c r="A41">
        <v>7001</v>
      </c>
      <c r="B41" s="50" t="s">
        <v>25</v>
      </c>
      <c r="C41" s="50">
        <v>6</v>
      </c>
      <c r="D41" s="50">
        <v>233</v>
      </c>
      <c r="E41" s="50">
        <v>4</v>
      </c>
      <c r="F41" s="50">
        <v>18</v>
      </c>
      <c r="G41" s="50">
        <v>114441</v>
      </c>
      <c r="H41" s="50">
        <v>1991291</v>
      </c>
      <c r="I41" s="50">
        <v>15644555</v>
      </c>
      <c r="J41" s="50">
        <v>34338</v>
      </c>
      <c r="K41" s="50">
        <v>0</v>
      </c>
      <c r="L41" s="50">
        <v>397076</v>
      </c>
      <c r="M41" s="50">
        <v>8286</v>
      </c>
      <c r="N41" s="50">
        <v>681857</v>
      </c>
    </row>
    <row r="42" spans="2:14">
      <c r="B42" s="50" t="s">
        <v>26</v>
      </c>
      <c r="C42" s="50">
        <v>1</v>
      </c>
      <c r="D42" s="50">
        <v>82</v>
      </c>
      <c r="E42" s="50">
        <v>2</v>
      </c>
      <c r="F42" s="50">
        <v>14</v>
      </c>
      <c r="G42" s="50">
        <v>71106</v>
      </c>
      <c r="H42" s="50">
        <v>1181938</v>
      </c>
      <c r="I42" s="50">
        <v>9059560</v>
      </c>
      <c r="J42" s="50">
        <v>3660</v>
      </c>
      <c r="K42" s="50">
        <v>15770</v>
      </c>
      <c r="L42" s="50">
        <v>187942</v>
      </c>
      <c r="M42" s="50">
        <v>3724</v>
      </c>
      <c r="N42" s="50">
        <v>400504</v>
      </c>
    </row>
    <row r="43" spans="2:14">
      <c r="B43" s="50" t="s">
        <v>27</v>
      </c>
      <c r="C43" s="50">
        <v>2</v>
      </c>
      <c r="D43" s="50">
        <v>80</v>
      </c>
      <c r="E43" s="50">
        <v>3</v>
      </c>
      <c r="F43" s="50">
        <v>16</v>
      </c>
      <c r="G43" s="50">
        <v>77335</v>
      </c>
      <c r="H43" s="50">
        <v>1540934</v>
      </c>
      <c r="I43" s="50">
        <v>10621657</v>
      </c>
      <c r="J43" s="50">
        <v>11728</v>
      </c>
      <c r="K43" s="50">
        <v>11442</v>
      </c>
      <c r="L43" s="50">
        <v>103157</v>
      </c>
      <c r="M43" s="50">
        <v>4507</v>
      </c>
      <c r="N43" s="50">
        <v>452584</v>
      </c>
    </row>
    <row r="44" spans="1:14">
      <c r="A44">
        <v>7002</v>
      </c>
      <c r="B44" s="50" t="s">
        <v>25</v>
      </c>
      <c r="C44" s="50">
        <v>0</v>
      </c>
      <c r="D44" s="50">
        <v>57</v>
      </c>
      <c r="E44" s="50">
        <v>1</v>
      </c>
      <c r="F44" s="50">
        <v>15</v>
      </c>
      <c r="G44" s="50">
        <v>50077</v>
      </c>
      <c r="H44" s="50">
        <v>1417024</v>
      </c>
      <c r="I44" s="50">
        <v>8622574</v>
      </c>
      <c r="J44" s="50">
        <v>1952</v>
      </c>
      <c r="K44" s="50">
        <v>60876</v>
      </c>
      <c r="L44" s="50">
        <v>358411</v>
      </c>
      <c r="M44" s="50">
        <v>3946</v>
      </c>
      <c r="N44" s="50">
        <v>605371</v>
      </c>
    </row>
    <row r="45" spans="2:14">
      <c r="B45" s="50" t="s">
        <v>26</v>
      </c>
      <c r="C45" s="50">
        <v>1</v>
      </c>
      <c r="D45" s="50">
        <v>108</v>
      </c>
      <c r="E45" s="50">
        <v>1</v>
      </c>
      <c r="F45" s="50">
        <v>17</v>
      </c>
      <c r="G45" s="50">
        <v>66439</v>
      </c>
      <c r="H45" s="50">
        <v>2165570</v>
      </c>
      <c r="I45" s="50">
        <v>11987792</v>
      </c>
      <c r="J45" s="50">
        <v>14444</v>
      </c>
      <c r="K45" s="50">
        <v>68480</v>
      </c>
      <c r="L45" s="50">
        <v>469880</v>
      </c>
      <c r="M45" s="50">
        <v>6229</v>
      </c>
      <c r="N45" s="50">
        <v>858981</v>
      </c>
    </row>
    <row r="46" spans="2:14">
      <c r="B46" s="50" t="s">
        <v>27</v>
      </c>
      <c r="C46" s="50">
        <v>8</v>
      </c>
      <c r="D46" s="50">
        <v>230</v>
      </c>
      <c r="E46" s="50">
        <v>7</v>
      </c>
      <c r="F46" s="50">
        <v>23</v>
      </c>
      <c r="G46" s="50">
        <v>162334</v>
      </c>
      <c r="H46" s="50">
        <v>3028139</v>
      </c>
      <c r="I46" s="50">
        <v>26422031</v>
      </c>
      <c r="J46" s="50">
        <v>128962</v>
      </c>
      <c r="K46" s="50">
        <v>118</v>
      </c>
      <c r="L46" s="50">
        <v>491652</v>
      </c>
      <c r="M46" s="50">
        <v>13697</v>
      </c>
      <c r="N46" s="50">
        <v>1051034</v>
      </c>
    </row>
    <row r="47" spans="1:14">
      <c r="A47">
        <v>7003</v>
      </c>
      <c r="B47" s="50" t="s">
        <v>25</v>
      </c>
      <c r="C47" s="50">
        <v>0</v>
      </c>
      <c r="D47" s="50">
        <v>69</v>
      </c>
      <c r="E47" s="50">
        <v>1</v>
      </c>
      <c r="F47" s="50">
        <v>11</v>
      </c>
      <c r="G47" s="50">
        <v>51416</v>
      </c>
      <c r="H47" s="50">
        <v>1255253</v>
      </c>
      <c r="I47" s="50">
        <v>6495562</v>
      </c>
      <c r="J47" s="50">
        <v>27216</v>
      </c>
      <c r="K47" s="50">
        <v>0</v>
      </c>
      <c r="L47" s="50">
        <v>139597</v>
      </c>
      <c r="M47" s="50">
        <v>3738</v>
      </c>
      <c r="N47" s="50">
        <v>422761</v>
      </c>
    </row>
    <row r="48" spans="2:14">
      <c r="B48" s="50" t="s">
        <v>26</v>
      </c>
      <c r="C48" s="50">
        <v>7</v>
      </c>
      <c r="D48" s="50">
        <v>265</v>
      </c>
      <c r="E48" s="50">
        <v>7</v>
      </c>
      <c r="F48" s="50">
        <v>21</v>
      </c>
      <c r="G48" s="50">
        <v>154170</v>
      </c>
      <c r="H48" s="50">
        <v>1881864</v>
      </c>
      <c r="I48" s="50">
        <v>18765558</v>
      </c>
      <c r="J48" s="50">
        <v>50472</v>
      </c>
      <c r="K48" s="50">
        <v>0</v>
      </c>
      <c r="L48" s="50">
        <v>510731</v>
      </c>
      <c r="M48" s="50">
        <v>9648</v>
      </c>
      <c r="N48" s="50">
        <v>521694</v>
      </c>
    </row>
    <row r="49" spans="2:14">
      <c r="B49" s="50" t="s">
        <v>27</v>
      </c>
      <c r="C49" s="50">
        <v>2</v>
      </c>
      <c r="D49" s="50">
        <v>61</v>
      </c>
      <c r="E49" s="50">
        <v>1</v>
      </c>
      <c r="F49" s="50">
        <v>15</v>
      </c>
      <c r="G49" s="50">
        <v>55692</v>
      </c>
      <c r="H49" s="50">
        <v>907393</v>
      </c>
      <c r="I49" s="50">
        <v>6737823</v>
      </c>
      <c r="J49" s="50">
        <v>15236</v>
      </c>
      <c r="K49" s="50">
        <v>0</v>
      </c>
      <c r="L49" s="50">
        <v>153864</v>
      </c>
      <c r="M49" s="50">
        <v>3203</v>
      </c>
      <c r="N49" s="50">
        <v>244411</v>
      </c>
    </row>
    <row r="50" spans="1:14">
      <c r="A50">
        <v>7004</v>
      </c>
      <c r="B50" s="50" t="s">
        <v>25</v>
      </c>
      <c r="C50" s="50">
        <v>5</v>
      </c>
      <c r="D50" s="50">
        <v>167</v>
      </c>
      <c r="E50" s="50">
        <v>6</v>
      </c>
      <c r="F50" s="50">
        <v>18</v>
      </c>
      <c r="G50" s="50">
        <v>123144</v>
      </c>
      <c r="H50" s="50">
        <v>1558889</v>
      </c>
      <c r="I50" s="50">
        <v>15590042</v>
      </c>
      <c r="J50" s="50">
        <v>26846</v>
      </c>
      <c r="K50" s="50">
        <v>0</v>
      </c>
      <c r="L50" s="50">
        <v>192089</v>
      </c>
      <c r="M50" s="50">
        <v>6805</v>
      </c>
      <c r="N50" s="50">
        <v>437183</v>
      </c>
    </row>
    <row r="51" spans="2:14">
      <c r="B51" s="50" t="s">
        <v>26</v>
      </c>
      <c r="C51" s="50">
        <v>1</v>
      </c>
      <c r="D51" s="50">
        <v>61</v>
      </c>
      <c r="E51" s="50">
        <v>1</v>
      </c>
      <c r="F51" s="50">
        <v>13</v>
      </c>
      <c r="G51" s="50">
        <v>51766</v>
      </c>
      <c r="H51" s="50">
        <v>812321</v>
      </c>
      <c r="I51" s="50">
        <v>6559427</v>
      </c>
      <c r="J51" s="50">
        <v>2344</v>
      </c>
      <c r="K51" s="50">
        <v>8766</v>
      </c>
      <c r="L51" s="50">
        <v>125515</v>
      </c>
      <c r="M51" s="50">
        <v>2657</v>
      </c>
      <c r="N51" s="50">
        <v>239618</v>
      </c>
    </row>
    <row r="52" spans="2:14">
      <c r="B52" s="50" t="s">
        <v>27</v>
      </c>
      <c r="C52" s="50">
        <v>3</v>
      </c>
      <c r="D52" s="50">
        <v>167</v>
      </c>
      <c r="E52" s="50">
        <v>2</v>
      </c>
      <c r="F52" s="50">
        <v>16</v>
      </c>
      <c r="G52" s="50">
        <v>102250</v>
      </c>
      <c r="H52" s="50">
        <v>1279254</v>
      </c>
      <c r="I52" s="50">
        <v>12049809</v>
      </c>
      <c r="J52" s="50">
        <v>18842</v>
      </c>
      <c r="K52" s="50">
        <v>17558</v>
      </c>
      <c r="L52" s="50">
        <v>171673</v>
      </c>
      <c r="M52" s="50">
        <v>5792</v>
      </c>
      <c r="N52" s="50">
        <v>328478</v>
      </c>
    </row>
    <row r="53" spans="2:14"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</row>
    <row r="54" spans="2:14"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</row>
    <row r="55" spans="2:14"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</row>
    <row r="56" spans="2:14"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</row>
    <row r="57" spans="2:14"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</row>
    <row r="58" spans="2:14"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</row>
    <row r="59" spans="2:14"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</row>
    <row r="60" spans="2:14"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</row>
    <row r="61" spans="2:14"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</row>
  </sheetData>
  <conditionalFormatting sqref="F26:F28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{f6966537-a59c-4018-8ef8-89aa89f42b26}</x14:id>
        </ext>
      </extLst>
    </cfRule>
  </conditionalFormatting>
  <conditionalFormatting sqref="F29:F3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{2418c5b2-6a28-43dc-830e-266f7bb673be}</x14:id>
        </ext>
      </extLst>
    </cfRule>
  </conditionalFormatting>
  <conditionalFormatting sqref="F32:F34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{728e8955-fb1e-4e4f-8780-152c60d47c22}</x14:id>
        </ext>
      </extLst>
    </cfRule>
  </conditionalFormatting>
  <conditionalFormatting sqref="G26:G28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{e8c86cce-f9b9-418e-8735-4a6f4076b981}</x14:id>
        </ext>
      </extLst>
    </cfRule>
  </conditionalFormatting>
  <conditionalFormatting sqref="G29:G31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{540aeada-9e5b-4fb2-880e-8464cc434ee9}</x14:id>
        </ext>
      </extLst>
    </cfRule>
  </conditionalFormatting>
  <conditionalFormatting sqref="G32:G34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{9cdc3c3a-1832-4049-b13f-462bce27d027}</x14:id>
        </ext>
      </extLst>
    </cfRule>
  </conditionalFormatting>
  <conditionalFormatting sqref="N26:N34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{318b335d-b16b-4079-b88f-3facb367f995}</x14:id>
        </ext>
      </extLst>
    </cfRule>
  </conditionalFormatting>
  <conditionalFormatting sqref="O2:O19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{66117434-7633-48aa-a890-4c58e5507667}</x14:id>
        </ext>
      </extLst>
    </cfRule>
  </conditionalFormatting>
  <conditionalFormatting sqref="O20:O2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{43996131-0b56-48fb-b634-492578a840a3}</x14:id>
        </ext>
      </extLst>
    </cfRule>
  </conditionalFormatting>
  <conditionalFormatting sqref="P2:P19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{98501f4f-49e9-4fd8-8c67-ba949d699976}</x14:id>
        </ext>
      </extLst>
    </cfRule>
  </conditionalFormatting>
  <conditionalFormatting sqref="P20:P2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{4c43b6d5-b5be-47f6-9441-ca877e7ac468}</x14:id>
        </ext>
      </extLst>
    </cfRule>
  </conditionalFormatting>
  <conditionalFormatting sqref="P26:P33">
    <cfRule type="cellIs" dxfId="37" priority="1" operator="equal">
      <formula>$S$26</formula>
    </cfRule>
  </conditionalFormatting>
  <conditionalFormatting sqref="Q2:Q22">
    <cfRule type="cellIs" dxfId="38" priority="13" operator="equal">
      <formula>配置!$D$4</formula>
    </cfRule>
    <cfRule type="cellIs" dxfId="39" priority="14" operator="equal">
      <formula>配置!$D$3</formula>
    </cfRule>
    <cfRule type="cellIs" dxfId="37" priority="15" operator="equal">
      <formula>配置!$D$2</formula>
    </cfRule>
  </conditionalFormatting>
  <conditionalFormatting sqref="R26:R29">
    <cfRule type="cellIs" dxfId="37" priority="2" operator="equal">
      <formula>$S$26</formula>
    </cfRule>
  </conditionalFormatting>
  <conditionalFormatting sqref="O23:O24 Q1:R1 Q2 Q4:Q5 Q7:Q8 Q10:Q11 Q13:Q14 Q16:Q17 Q19:Q20 Q22">
    <cfRule type="cellIs" dxfId="37" priority="25" operator="equal">
      <formula>配置!$D$2</formula>
    </cfRule>
  </conditionalFormatting>
  <conditionalFormatting sqref="Q2 Q4:Q5 Q7:Q8 Q10:Q11 Q13:Q14 Q16:Q17 Q19:Q20 Q22">
    <cfRule type="cellIs" dxfId="38" priority="24" operator="equal">
      <formula>配置!$D$4</formula>
    </cfRule>
  </conditionalFormatting>
  <dataValidations count="1">
    <dataValidation type="list" allowBlank="1" showInputMessage="1" showErrorMessage="1" sqref="Q2:Q22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6966537-a59c-4018-8ef8-89aa89f42b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2418c5b2-6a28-43dc-830e-266f7bb673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728e8955-fb1e-4e4f-8780-152c60d47c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e8c86cce-f9b9-418e-8735-4a6f4076b9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540aeada-9e5b-4fb2-880e-8464cc434e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9cdc3c3a-1832-4049-b13f-462bce27d0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318b335d-b16b-4079-b88f-3facb367f9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N26:N34</xm:sqref>
        </x14:conditionalFormatting>
        <x14:conditionalFormatting xmlns:xm="http://schemas.microsoft.com/office/excel/2006/main">
          <x14:cfRule type="dataBar" id="{66117434-7633-48aa-a890-4c58e55076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43996131-0b56-48fb-b634-492578a840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98501f4f-49e9-4fd8-8c67-ba949d6999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4c43b6d5-b5be-47f6-9441-ca877e7ac4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</x14:conditionalFormatting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97"/>
  <sheetViews>
    <sheetView topLeftCell="A19" workbookViewId="0">
      <selection activeCell="Y37" sqref="Y2:Y37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1">
        <v>150</v>
      </c>
      <c r="B2" s="371">
        <f>VLOOKUP(表1_8612182224267275[[#This Row],[区服]],$P$41:$Q$52,2,FALSE)</f>
        <v>56</v>
      </c>
      <c r="C2" s="372" t="s">
        <v>138</v>
      </c>
      <c r="D2" s="373" t="str">
        <f>表1_8612182224267275[[#This Row],[目标国家]]</f>
        <v>吴</v>
      </c>
      <c r="E2" s="374">
        <f>(VLOOKUP(表1_8612182224267275[[#This Row],[目标区服]],$R$41:$S$45,2,FALSE)-表1_8612182224267275[[#This Row],[开服天数]])*配置!$B$1</f>
        <v>1000</v>
      </c>
      <c r="F2" s="374">
        <f>表1_8612182224267275[[#This Row],[补偿Coin]]*(表1_8612182224267275[[#This Row],[活跃高战玩家数]]+表1_8612182224267275[[#This Row],[活跃中坚玩家数]])</f>
        <v>11000</v>
      </c>
      <c r="G2" s="374">
        <f>(VLOOKUP(表1_8612182224267275[[#This Row],[目标区服]],$R$41:$S$45,2,FALSE)-表1_8612182224267275[[#This Row],[开服天数]])*配置!$B$2</f>
        <v>10</v>
      </c>
      <c r="H2" s="376" t="s">
        <v>25</v>
      </c>
      <c r="I2" s="376">
        <f>IF(表1_8612182224267275[[#This Row],[原国家]]="魏",0,IF(表1_8612182224267275[[#This Row],[原国家]]="蜀",1,2))</f>
        <v>0</v>
      </c>
      <c r="J2" s="380">
        <v>2</v>
      </c>
      <c r="K2" s="380">
        <v>72</v>
      </c>
      <c r="L2" s="380">
        <v>0</v>
      </c>
      <c r="M2" s="380">
        <v>11</v>
      </c>
      <c r="N2" s="380">
        <v>23148</v>
      </c>
      <c r="O2" s="380">
        <v>1658846</v>
      </c>
      <c r="P2" s="381">
        <v>9856944</v>
      </c>
      <c r="Q2" s="31" t="s">
        <v>27</v>
      </c>
      <c r="R2" s="376">
        <f>IF(表1_8612182224267275[[#This Row],[目标国家]]="魏",0,IF(表1_8612182224267275[[#This Row],[目标国家]]="蜀",1,2))</f>
        <v>2</v>
      </c>
      <c r="S2" s="380">
        <v>6540</v>
      </c>
      <c r="T2" s="380">
        <v>0</v>
      </c>
      <c r="U2" s="380">
        <v>119736</v>
      </c>
      <c r="V2" s="380">
        <v>3936</v>
      </c>
      <c r="W2" s="374">
        <v>542863</v>
      </c>
      <c r="X2" s="387" t="str">
        <f>"{"&amp;"'coin':"&amp;表1_8612182224267275[[#This Row],[补偿Coin]]&amp;",'"&amp;配置!$A$2&amp;"':"&amp;表1_8612182224267275[[#This Row],[补偿辎重]]&amp;"},"</f>
        <v>{'coin':1000,'item036':10},</v>
      </c>
      <c r="Y2" s="388" t="str">
        <f>"      '"&amp;表1_8612182224267275[[#This Row],[区服]]&amp;"':{"</f>
        <v>      '150':{</v>
      </c>
    </row>
    <row r="3" s="354" customFormat="1" ht="14.25" customHeight="1" spans="1:25">
      <c r="A3" s="371">
        <v>150</v>
      </c>
      <c r="B3" s="371">
        <f>VLOOKUP(表1_8612182224267275[[#This Row],[区服]],$P$41:$Q$52,2,FALSE)</f>
        <v>56</v>
      </c>
      <c r="C3" s="372" t="s">
        <v>138</v>
      </c>
      <c r="D3" s="376" t="str">
        <f>表1_8612182224267275[[#This Row],[目标国家]]</f>
        <v>蜀</v>
      </c>
      <c r="E3" s="380">
        <f>(VLOOKUP(表1_8612182224267275[[#This Row],[目标区服]],$R$41:$S$45,2,FALSE)-表1_8612182224267275[[#This Row],[开服天数]])*配置!$B$1</f>
        <v>1000</v>
      </c>
      <c r="F3" s="380">
        <f>表1_8612182224267275[[#This Row],[补偿Coin]]*(表1_8612182224267275[[#This Row],[活跃高战玩家数]]+表1_8612182224267275[[#This Row],[活跃中坚玩家数]])</f>
        <v>50000</v>
      </c>
      <c r="G3" s="380">
        <f>(VLOOKUP(表1_8612182224267275[[#This Row],[目标区服]],$R$41:$S$45,2,FALSE)-表1_8612182224267275[[#This Row],[开服天数]])*配置!$B$2</f>
        <v>10</v>
      </c>
      <c r="H3" s="376" t="s">
        <v>26</v>
      </c>
      <c r="I3" s="376">
        <f>IF(表1_8612182224267275[[#This Row],[原国家]]="魏",0,IF(表1_8612182224267275[[#This Row],[原国家]]="蜀",1,2))</f>
        <v>1</v>
      </c>
      <c r="J3" s="380">
        <v>4</v>
      </c>
      <c r="K3" s="380">
        <v>188</v>
      </c>
      <c r="L3" s="380">
        <v>8</v>
      </c>
      <c r="M3" s="380">
        <v>42</v>
      </c>
      <c r="N3" s="380">
        <v>220135</v>
      </c>
      <c r="O3" s="380">
        <v>4359133</v>
      </c>
      <c r="P3" s="381">
        <v>66187017</v>
      </c>
      <c r="Q3" s="31" t="s">
        <v>26</v>
      </c>
      <c r="R3" s="376">
        <f>IF(表1_8612182224267275[[#This Row],[目标国家]]="魏",0,IF(表1_8612182224267275[[#This Row],[目标国家]]="蜀",1,2))</f>
        <v>1</v>
      </c>
      <c r="S3" s="380">
        <v>299186</v>
      </c>
      <c r="T3" s="380">
        <v>0</v>
      </c>
      <c r="U3" s="380">
        <v>1303855</v>
      </c>
      <c r="V3" s="380">
        <v>23986</v>
      </c>
      <c r="W3" s="374">
        <v>1203856</v>
      </c>
      <c r="X3" s="387" t="str">
        <f>"{"&amp;"'coin':"&amp;表1_8612182224267275[[#This Row],[补偿Coin]]&amp;",'"&amp;配置!$A$2&amp;"':"&amp;表1_8612182224267275[[#This Row],[补偿辎重]]&amp;"},"</f>
        <v>{'coin':1000,'item036':10},</v>
      </c>
      <c r="Y3" s="388" t="str">
        <f>"            'to_zone':'"&amp;表1_8612182224267275[[#This Row],[目标区服]]&amp;"',
            'reward':"&amp;表1_8612182224267275[[#This Row],[辅助导出]]&amp;"
            'country':["&amp;R2&amp;","&amp;R3&amp;","&amp;R4&amp;"],"</f>
        <v>            'to_zone':'h1_65',
            'reward':{'coin':1000,'item036':10},
            'country':[2,1,2],</v>
      </c>
    </row>
    <row r="4" s="354" customFormat="1" ht="14.25" customHeight="1" spans="1:25">
      <c r="A4" s="371">
        <v>150</v>
      </c>
      <c r="B4" s="371">
        <f>VLOOKUP(表1_8612182224267275[[#This Row],[区服]],$P$41:$Q$52,2,FALSE)</f>
        <v>56</v>
      </c>
      <c r="C4" s="372" t="s">
        <v>138</v>
      </c>
      <c r="D4" s="376" t="str">
        <f>表1_8612182224267275[[#This Row],[目标国家]]</f>
        <v>吴</v>
      </c>
      <c r="E4" s="380">
        <f>(VLOOKUP(表1_8612182224267275[[#This Row],[目标区服]],$R$41:$S$45,2,FALSE)-表1_8612182224267275[[#This Row],[开服天数]])*配置!$B$1</f>
        <v>1000</v>
      </c>
      <c r="F4" s="380">
        <f>表1_8612182224267275[[#This Row],[补偿Coin]]*(表1_8612182224267275[[#This Row],[活跃高战玩家数]]+表1_8612182224267275[[#This Row],[活跃中坚玩家数]])</f>
        <v>22000</v>
      </c>
      <c r="G4" s="380">
        <f>(VLOOKUP(表1_8612182224267275[[#This Row],[目标区服]],$R$41:$S$45,2,FALSE)-表1_8612182224267275[[#This Row],[开服天数]])*配置!$B$2</f>
        <v>10</v>
      </c>
      <c r="H4" s="376" t="s">
        <v>27</v>
      </c>
      <c r="I4" s="376">
        <f>IF(表1_8612182224267275[[#This Row],[原国家]]="魏",0,IF(表1_8612182224267275[[#This Row],[原国家]]="蜀",1,2))</f>
        <v>2</v>
      </c>
      <c r="J4" s="380">
        <v>3</v>
      </c>
      <c r="K4" s="380">
        <v>135</v>
      </c>
      <c r="L4" s="380">
        <v>2</v>
      </c>
      <c r="M4" s="380">
        <v>20</v>
      </c>
      <c r="N4" s="380">
        <v>69086</v>
      </c>
      <c r="O4" s="380">
        <v>2890975</v>
      </c>
      <c r="P4" s="381">
        <v>23145850</v>
      </c>
      <c r="Q4" s="31" t="s">
        <v>27</v>
      </c>
      <c r="R4" s="376">
        <f>IF(表1_8612182224267275[[#This Row],[目标国家]]="魏",0,IF(表1_8612182224267275[[#This Row],[目标国家]]="蜀",1,2))</f>
        <v>2</v>
      </c>
      <c r="S4" s="380">
        <v>47966</v>
      </c>
      <c r="T4" s="380">
        <v>0</v>
      </c>
      <c r="U4" s="380">
        <v>175485</v>
      </c>
      <c r="V4" s="380">
        <v>8727</v>
      </c>
      <c r="W4" s="374">
        <v>971746</v>
      </c>
      <c r="X4" s="387" t="str">
        <f>"{"&amp;"'coin':"&amp;表1_8612182224267275[[#This Row],[补偿Coin]]&amp;",'"&amp;配置!$A$2&amp;"':"&amp;表1_8612182224267275[[#This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5">
        <v>151</v>
      </c>
      <c r="B5" s="371">
        <f>VLOOKUP(表1_8612182224267275[[#This Row],[区服]],$P$41:$Q$52,2,FALSE)</f>
        <v>55</v>
      </c>
      <c r="C5" s="372" t="s">
        <v>138</v>
      </c>
      <c r="D5" s="376" t="str">
        <f>表1_8612182224267275[[#This Row],[目标国家]]</f>
        <v>魏</v>
      </c>
      <c r="E5" s="380">
        <f>(VLOOKUP(表1_8612182224267275[[#This Row],[目标区服]],$R$41:$S$45,2,FALSE)-表1_8612182224267275[[#This Row],[开服天数]])*配置!$B$1</f>
        <v>1500</v>
      </c>
      <c r="F5" s="380">
        <f>表1_8612182224267275[[#This Row],[补偿Coin]]*(表1_8612182224267275[[#This Row],[活跃高战玩家数]]+表1_8612182224267275[[#This Row],[活跃中坚玩家数]])</f>
        <v>60000</v>
      </c>
      <c r="G5" s="380">
        <f>(VLOOKUP(表1_8612182224267275[[#This Row],[目标区服]],$R$41:$S$45,2,FALSE)-表1_8612182224267275[[#This Row],[开服天数]])*配置!$B$2</f>
        <v>15</v>
      </c>
      <c r="H5" s="376" t="s">
        <v>25</v>
      </c>
      <c r="I5" s="376">
        <f>IF(表1_8612182224267275[[#This Row],[原国家]]="魏",0,IF(表1_8612182224267275[[#This Row],[原国家]]="蜀",1,2))</f>
        <v>0</v>
      </c>
      <c r="J5" s="380">
        <v>6</v>
      </c>
      <c r="K5" s="380">
        <v>210</v>
      </c>
      <c r="L5" s="380">
        <v>6</v>
      </c>
      <c r="M5" s="380">
        <v>34</v>
      </c>
      <c r="N5" s="380">
        <v>185553</v>
      </c>
      <c r="O5" s="380">
        <v>3309713</v>
      </c>
      <c r="P5" s="381">
        <v>43935050</v>
      </c>
      <c r="Q5" s="31" t="s">
        <v>25</v>
      </c>
      <c r="R5" s="376">
        <f>IF(表1_8612182224267275[[#This Row],[目标国家]]="魏",0,IF(表1_8612182224267275[[#This Row],[目标国家]]="蜀",1,2))</f>
        <v>0</v>
      </c>
      <c r="S5" s="380">
        <v>78850</v>
      </c>
      <c r="T5" s="380">
        <v>0</v>
      </c>
      <c r="U5" s="380">
        <v>850781</v>
      </c>
      <c r="V5" s="380">
        <v>14121</v>
      </c>
      <c r="W5" s="374">
        <v>1235446</v>
      </c>
      <c r="X5" s="387" t="str">
        <f>"{"&amp;"'coin':"&amp;表1_8612182224267275[[#This Row],[补偿Coin]]&amp;",'"&amp;配置!$A$2&amp;"':"&amp;表1_8612182224267275[[#This Row],[补偿辎重]]&amp;"},"</f>
        <v>{'coin':1500,'item036':15},</v>
      </c>
      <c r="Y5" s="388" t="str">
        <f>"      '"&amp;表1_8612182224267275[[#This Row],[区服]]&amp;"':{"</f>
        <v>      '151':{</v>
      </c>
    </row>
    <row r="6" s="354" customFormat="1" ht="14.25" customHeight="1" spans="1:25">
      <c r="A6" s="375">
        <v>151</v>
      </c>
      <c r="B6" s="371">
        <f>VLOOKUP(表1_8612182224267275[[#This Row],[区服]],$P$41:$Q$52,2,FALSE)</f>
        <v>55</v>
      </c>
      <c r="C6" s="372" t="s">
        <v>138</v>
      </c>
      <c r="D6" s="376" t="str">
        <f>表1_8612182224267275[[#This Row],[目标国家]]</f>
        <v>魏</v>
      </c>
      <c r="E6" s="380">
        <f>(VLOOKUP(表1_8612182224267275[[#This Row],[目标区服]],$R$41:$S$45,2,FALSE)-表1_8612182224267275[[#This Row],[开服天数]])*配置!$B$1</f>
        <v>1500</v>
      </c>
      <c r="F6" s="380">
        <f>表1_8612182224267275[[#This Row],[补偿Coin]]*(表1_8612182224267275[[#This Row],[活跃高战玩家数]]+表1_8612182224267275[[#This Row],[活跃中坚玩家数]])</f>
        <v>37500</v>
      </c>
      <c r="G6" s="380">
        <f>(VLOOKUP(表1_8612182224267275[[#This Row],[目标区服]],$R$41:$S$45,2,FALSE)-表1_8612182224267275[[#This Row],[开服天数]])*配置!$B$2</f>
        <v>15</v>
      </c>
      <c r="H6" s="376" t="s">
        <v>26</v>
      </c>
      <c r="I6" s="376">
        <f>IF(表1_8612182224267275[[#This Row],[原国家]]="魏",0,IF(表1_8612182224267275[[#This Row],[原国家]]="蜀",1,2))</f>
        <v>1</v>
      </c>
      <c r="J6" s="380">
        <v>1</v>
      </c>
      <c r="K6" s="380">
        <v>104</v>
      </c>
      <c r="L6" s="380">
        <v>2</v>
      </c>
      <c r="M6" s="380">
        <v>23</v>
      </c>
      <c r="N6" s="380">
        <v>79368</v>
      </c>
      <c r="O6" s="380">
        <v>2475848</v>
      </c>
      <c r="P6" s="381">
        <v>23160962</v>
      </c>
      <c r="Q6" s="31" t="s">
        <v>25</v>
      </c>
      <c r="R6" s="376">
        <f>IF(表1_8612182224267275[[#This Row],[目标国家]]="魏",0,IF(表1_8612182224267275[[#This Row],[目标国家]]="蜀",1,2))</f>
        <v>0</v>
      </c>
      <c r="S6" s="380">
        <v>48134</v>
      </c>
      <c r="T6" s="380">
        <v>0</v>
      </c>
      <c r="U6" s="380">
        <v>469054</v>
      </c>
      <c r="V6" s="380">
        <v>8007</v>
      </c>
      <c r="W6" s="374">
        <v>749895</v>
      </c>
      <c r="X6" s="387" t="str">
        <f>"{"&amp;"'coin':"&amp;表1_8612182224267275[[#This Row],[补偿Coin]]&amp;",'"&amp;配置!$A$2&amp;"':"&amp;表1_8612182224267275[[#This Row],[补偿辎重]]&amp;"},"</f>
        <v>{'coin':1500,'item036':15},</v>
      </c>
      <c r="Y6" s="388" t="str">
        <f>"            'to_zone':'"&amp;表1_8612182224267275[[#This Row],[目标区服]]&amp;"',
            'reward':"&amp;表1_8612182224267275[[#This Row],[辅助导出]]&amp;"
            'country':["&amp;R5&amp;","&amp;R6&amp;","&amp;R7&amp;"],"</f>
        <v>            'to_zone':'h1_65',
            'reward':{'coin':1500,'item036':15},
            'country':[0,0,2],</v>
      </c>
    </row>
    <row r="7" s="354" customFormat="1" ht="14.25" customHeight="1" spans="1:25">
      <c r="A7" s="375">
        <v>151</v>
      </c>
      <c r="B7" s="371">
        <f>VLOOKUP(表1_8612182224267275[[#This Row],[区服]],$P$41:$Q$52,2,FALSE)</f>
        <v>55</v>
      </c>
      <c r="C7" s="372" t="s">
        <v>138</v>
      </c>
      <c r="D7" s="376" t="str">
        <f>表1_8612182224267275[[#This Row],[目标国家]]</f>
        <v>吴</v>
      </c>
      <c r="E7" s="380">
        <f>(VLOOKUP(表1_8612182224267275[[#This Row],[目标区服]],$R$41:$S$45,2,FALSE)-表1_8612182224267275[[#This Row],[开服天数]])*配置!$B$1</f>
        <v>1500</v>
      </c>
      <c r="F7" s="380">
        <f>表1_8612182224267275[[#This Row],[补偿Coin]]*(表1_8612182224267275[[#This Row],[活跃高战玩家数]]+表1_8612182224267275[[#This Row],[活跃中坚玩家数]])</f>
        <v>19500</v>
      </c>
      <c r="G7" s="380">
        <f>(VLOOKUP(表1_8612182224267275[[#This Row],[目标区服]],$R$41:$S$45,2,FALSE)-表1_8612182224267275[[#This Row],[开服天数]])*配置!$B$2</f>
        <v>15</v>
      </c>
      <c r="H7" s="376" t="s">
        <v>27</v>
      </c>
      <c r="I7" s="376">
        <f>IF(表1_8612182224267275[[#This Row],[原国家]]="魏",0,IF(表1_8612182224267275[[#This Row],[原国家]]="蜀",1,2))</f>
        <v>2</v>
      </c>
      <c r="J7" s="380">
        <v>2</v>
      </c>
      <c r="K7" s="380">
        <v>81</v>
      </c>
      <c r="L7" s="380">
        <v>1</v>
      </c>
      <c r="M7" s="380">
        <v>12</v>
      </c>
      <c r="N7" s="380">
        <v>32678</v>
      </c>
      <c r="O7" s="380">
        <v>2608507</v>
      </c>
      <c r="P7" s="381">
        <v>12445460</v>
      </c>
      <c r="Q7" s="31" t="s">
        <v>27</v>
      </c>
      <c r="R7" s="376">
        <f>IF(表1_8612182224267275[[#This Row],[目标国家]]="魏",0,IF(表1_8612182224267275[[#This Row],[目标国家]]="蜀",1,2))</f>
        <v>2</v>
      </c>
      <c r="S7" s="380">
        <v>69014</v>
      </c>
      <c r="T7" s="380">
        <v>0</v>
      </c>
      <c r="U7" s="380">
        <v>142571</v>
      </c>
      <c r="V7" s="380">
        <v>7168</v>
      </c>
      <c r="W7" s="374">
        <v>1095665</v>
      </c>
      <c r="X7" s="387" t="str">
        <f>"{"&amp;"'coin':"&amp;表1_8612182224267275[[#This Row],[补偿Coin]]&amp;",'"&amp;配置!$A$2&amp;"':"&amp;表1_8612182224267275[[#This Row],[补偿辎重]]&amp;"},"</f>
        <v>{'coin':1500,'item036':15},</v>
      </c>
      <c r="Y7" s="388" t="str">
        <f t="shared" ref="Y7" si="0">"      },"</f>
        <v>      },</v>
      </c>
    </row>
    <row r="8" s="354" customFormat="1" ht="14.25" customHeight="1" spans="1:25">
      <c r="A8" s="259">
        <v>152</v>
      </c>
      <c r="B8" s="210">
        <f>VLOOKUP(表1_8612182224267275[[#This Row],[区服]],$P$41:$Q$52,2,FALSE)</f>
        <v>55</v>
      </c>
      <c r="C8" s="296" t="s">
        <v>139</v>
      </c>
      <c r="D8" s="212" t="str">
        <f>表1_8612182224267275[[#This Row],[目标国家]]</f>
        <v>吴</v>
      </c>
      <c r="E8" s="213">
        <f>(VLOOKUP(表1_8612182224267275[[#This Row],[目标区服]],$R$41:$S$45,2,FALSE)-表1_8612182224267275[[#This Row],[开服天数]])*配置!$B$1</f>
        <v>1000</v>
      </c>
      <c r="F8" s="213">
        <f>表1_8612182224267275[[#This Row],[补偿Coin]]*(表1_8612182224267275[[#This Row],[活跃高战玩家数]]+表1_8612182224267275[[#This Row],[活跃中坚玩家数]])</f>
        <v>20000</v>
      </c>
      <c r="G8" s="260">
        <f>(VLOOKUP(表1_8612182224267275[[#This Row],[目标区服]],$R$41:$S$45,2,FALSE)-表1_8612182224267275[[#This Row],[开服天数]])*配置!$B$2</f>
        <v>10</v>
      </c>
      <c r="H8" s="212" t="s">
        <v>25</v>
      </c>
      <c r="I8" s="268">
        <f>IF(表1_8612182224267275[[#This Row],[原国家]]="魏",0,IF(表1_8612182224267275[[#This Row],[原国家]]="蜀",1,2))</f>
        <v>0</v>
      </c>
      <c r="J8" s="213">
        <v>0</v>
      </c>
      <c r="K8" s="213">
        <v>59</v>
      </c>
      <c r="L8" s="213">
        <v>0</v>
      </c>
      <c r="M8" s="213">
        <v>20</v>
      </c>
      <c r="N8" s="213">
        <v>48393</v>
      </c>
      <c r="O8" s="419">
        <v>1317082</v>
      </c>
      <c r="P8" s="420">
        <v>11645087</v>
      </c>
      <c r="Q8" s="31" t="s">
        <v>27</v>
      </c>
      <c r="R8" s="212">
        <f>IF(表1_8612182224267275[[#This Row],[目标国家]]="魏",0,IF(表1_8612182224267275[[#This Row],[目标国家]]="蜀",1,2))</f>
        <v>2</v>
      </c>
      <c r="S8" s="213">
        <v>4168</v>
      </c>
      <c r="T8" s="213">
        <v>0</v>
      </c>
      <c r="U8" s="213">
        <v>176171</v>
      </c>
      <c r="V8" s="213">
        <v>3526</v>
      </c>
      <c r="W8" s="213">
        <v>413647</v>
      </c>
      <c r="X8" s="278" t="str">
        <f>"{"&amp;"'coin':"&amp;表1_8612182224267275[[#This Row],[补偿Coin]]&amp;",'"&amp;配置!$A$2&amp;"':"&amp;表1_8612182224267275[[#This Row],[补偿辎重]]&amp;"},"</f>
        <v>{'coin':1000,'item036':10},</v>
      </c>
      <c r="Y8" s="278" t="str">
        <f>"      '"&amp;表1_8612182224267275[[#This Row],[区服]]&amp;"':{"</f>
        <v>      '152':{</v>
      </c>
    </row>
    <row r="9" s="354" customFormat="1" ht="14.25" customHeight="1" spans="1:25">
      <c r="A9" s="259">
        <v>152</v>
      </c>
      <c r="B9" s="210">
        <f>VLOOKUP(表1_8612182224267275[[#This Row],[区服]],$P$41:$Q$52,2,FALSE)</f>
        <v>55</v>
      </c>
      <c r="C9" s="296" t="s">
        <v>139</v>
      </c>
      <c r="D9" s="212" t="str">
        <f>表1_8612182224267275[[#This Row],[目标国家]]</f>
        <v>魏</v>
      </c>
      <c r="E9" s="213">
        <f>(VLOOKUP(表1_8612182224267275[[#This Row],[目标区服]],$R$41:$S$45,2,FALSE)-表1_8612182224267275[[#This Row],[开服天数]])*配置!$B$1</f>
        <v>1000</v>
      </c>
      <c r="F9" s="213">
        <f>表1_8612182224267275[[#This Row],[补偿Coin]]*(表1_8612182224267275[[#This Row],[活跃高战玩家数]]+表1_8612182224267275[[#This Row],[活跃中坚玩家数]])</f>
        <v>33000</v>
      </c>
      <c r="G9" s="260">
        <f>(VLOOKUP(表1_8612182224267275[[#This Row],[目标区服]],$R$41:$S$45,2,FALSE)-表1_8612182224267275[[#This Row],[开服天数]])*配置!$B$2</f>
        <v>10</v>
      </c>
      <c r="H9" s="212" t="s">
        <v>26</v>
      </c>
      <c r="I9" s="268">
        <f>IF(表1_8612182224267275[[#This Row],[原国家]]="魏",0,IF(表1_8612182224267275[[#This Row],[原国家]]="蜀",1,2))</f>
        <v>1</v>
      </c>
      <c r="J9" s="213">
        <v>7</v>
      </c>
      <c r="K9" s="213">
        <v>228</v>
      </c>
      <c r="L9" s="213">
        <v>6</v>
      </c>
      <c r="M9" s="213">
        <v>27</v>
      </c>
      <c r="N9" s="213">
        <v>183783</v>
      </c>
      <c r="O9" s="419">
        <v>3455366</v>
      </c>
      <c r="P9" s="420">
        <v>36455341</v>
      </c>
      <c r="Q9" s="31" t="s">
        <v>25</v>
      </c>
      <c r="R9" s="212">
        <f>IF(表1_8612182224267275[[#This Row],[目标国家]]="魏",0,IF(表1_8612182224267275[[#This Row],[目标国家]]="蜀",1,2))</f>
        <v>0</v>
      </c>
      <c r="S9" s="213">
        <v>169494</v>
      </c>
      <c r="T9" s="213">
        <v>0</v>
      </c>
      <c r="U9" s="213">
        <v>673648</v>
      </c>
      <c r="V9" s="213">
        <v>16421</v>
      </c>
      <c r="W9" s="213">
        <v>894960</v>
      </c>
      <c r="X9" s="278" t="str">
        <f>"{"&amp;"'coin':"&amp;表1_8612182224267275[[#This Row],[补偿Coin]]&amp;",'"&amp;配置!$A$2&amp;"':"&amp;表1_8612182224267275[[#This Row],[补偿辎重]]&amp;"},"</f>
        <v>{'coin':1000,'item036':10},</v>
      </c>
      <c r="Y9" s="278" t="str">
        <f>"            'to_zone':'"&amp;表1_8612182224267275[[#This Row],[目标区服]]&amp;"',
            'reward':"&amp;表1_8612182224267275[[#This Row],[辅助导出]]&amp;"
            'country':["&amp;R8&amp;","&amp;R9&amp;","&amp;R10&amp;"],"</f>
        <v>            'to_zone':'h1_66',
            'reward':{'coin':1000,'item036':10},
            'country':[2,0,2],</v>
      </c>
    </row>
    <row r="10" s="354" customFormat="1" ht="14.25" customHeight="1" spans="1:25">
      <c r="A10" s="259">
        <v>152</v>
      </c>
      <c r="B10" s="210">
        <f>VLOOKUP(表1_8612182224267275[[#This Row],[区服]],$P$41:$Q$52,2,FALSE)</f>
        <v>55</v>
      </c>
      <c r="C10" s="296" t="s">
        <v>139</v>
      </c>
      <c r="D10" s="212" t="str">
        <f>表1_8612182224267275[[#This Row],[目标国家]]</f>
        <v>吴</v>
      </c>
      <c r="E10" s="213">
        <f>(VLOOKUP(表1_8612182224267275[[#This Row],[目标区服]],$R$41:$S$45,2,FALSE)-表1_8612182224267275[[#This Row],[开服天数]])*配置!$B$1</f>
        <v>1000</v>
      </c>
      <c r="F10" s="213">
        <f>表1_8612182224267275[[#This Row],[补偿Coin]]*(表1_8612182224267275[[#This Row],[活跃高战玩家数]]+表1_8612182224267275[[#This Row],[活跃中坚玩家数]])</f>
        <v>15000</v>
      </c>
      <c r="G10" s="260">
        <f>(VLOOKUP(表1_8612182224267275[[#This Row],[目标区服]],$R$41:$S$45,2,FALSE)-表1_8612182224267275[[#This Row],[开服天数]])*配置!$B$2</f>
        <v>10</v>
      </c>
      <c r="H10" s="212" t="s">
        <v>27</v>
      </c>
      <c r="I10" s="268">
        <f>IF(表1_8612182224267275[[#This Row],[原国家]]="魏",0,IF(表1_8612182224267275[[#This Row],[原国家]]="蜀",1,2))</f>
        <v>2</v>
      </c>
      <c r="J10" s="213">
        <v>2</v>
      </c>
      <c r="K10" s="213">
        <v>108</v>
      </c>
      <c r="L10" s="213">
        <v>3</v>
      </c>
      <c r="M10" s="213">
        <v>12</v>
      </c>
      <c r="N10" s="213">
        <v>70443</v>
      </c>
      <c r="O10" s="419">
        <v>2074681</v>
      </c>
      <c r="P10" s="420">
        <v>13564900</v>
      </c>
      <c r="Q10" s="31" t="s">
        <v>27</v>
      </c>
      <c r="R10" s="212">
        <f>IF(表1_8612182224267275[[#This Row],[目标国家]]="魏",0,IF(表1_8612182224267275[[#This Row],[目标国家]]="蜀",1,2))</f>
        <v>2</v>
      </c>
      <c r="S10" s="213">
        <v>39974</v>
      </c>
      <c r="T10" s="213">
        <v>0</v>
      </c>
      <c r="U10" s="213">
        <v>107432</v>
      </c>
      <c r="V10" s="213">
        <v>6316</v>
      </c>
      <c r="W10" s="213">
        <v>625561</v>
      </c>
      <c r="X10" s="278" t="str">
        <f>"{"&amp;"'coin':"&amp;表1_8612182224267275[[#This Row],[补偿Coin]]&amp;",'"&amp;配置!$A$2&amp;"':"&amp;表1_8612182224267275[[#This Row],[补偿辎重]]&amp;"},"</f>
        <v>{'coin':1000,'item036':10},</v>
      </c>
      <c r="Y10" s="278" t="str">
        <f>"      },"</f>
        <v>      },</v>
      </c>
    </row>
    <row r="11" s="354" customFormat="1" ht="14.25" customHeight="1" spans="1:25">
      <c r="A11" s="259">
        <v>153</v>
      </c>
      <c r="B11" s="210">
        <f>VLOOKUP(表1_8612182224267275[[#This Row],[区服]],$P$41:$Q$52,2,FALSE)</f>
        <v>54</v>
      </c>
      <c r="C11" s="296" t="s">
        <v>139</v>
      </c>
      <c r="D11" s="212" t="str">
        <f>表1_8612182224267275[[#This Row],[目标国家]]</f>
        <v>蜀</v>
      </c>
      <c r="E11" s="213">
        <f>(VLOOKUP(表1_8612182224267275[[#This Row],[目标区服]],$R$41:$S$45,2,FALSE)-表1_8612182224267275[[#This Row],[开服天数]])*配置!$B$1</f>
        <v>1500</v>
      </c>
      <c r="F11" s="213">
        <f>表1_8612182224267275[[#This Row],[补偿Coin]]*(表1_8612182224267275[[#This Row],[活跃高战玩家数]]+表1_8612182224267275[[#This Row],[活跃中坚玩家数]])</f>
        <v>15000</v>
      </c>
      <c r="G11" s="260">
        <f>(VLOOKUP(表1_8612182224267275[[#This Row],[目标区服]],$R$41:$S$45,2,FALSE)-表1_8612182224267275[[#This Row],[开服天数]])*配置!$B$2</f>
        <v>15</v>
      </c>
      <c r="H11" s="212" t="s">
        <v>25</v>
      </c>
      <c r="I11" s="268">
        <f>IF(表1_8612182224267275[[#This Row],[原国家]]="魏",0,IF(表1_8612182224267275[[#This Row],[原国家]]="蜀",1,2))</f>
        <v>0</v>
      </c>
      <c r="J11" s="213">
        <v>0</v>
      </c>
      <c r="K11" s="213">
        <v>37</v>
      </c>
      <c r="L11" s="213">
        <v>0</v>
      </c>
      <c r="M11" s="213">
        <v>10</v>
      </c>
      <c r="N11" s="213">
        <v>31672</v>
      </c>
      <c r="O11" s="419">
        <v>1280168</v>
      </c>
      <c r="P11" s="420">
        <v>6554747</v>
      </c>
      <c r="Q11" s="31" t="s">
        <v>26</v>
      </c>
      <c r="R11" s="212">
        <f>IF(表1_8612182224267275[[#This Row],[目标国家]]="魏",0,IF(表1_8612182224267275[[#This Row],[目标国家]]="蜀",1,2))</f>
        <v>1</v>
      </c>
      <c r="S11" s="213">
        <v>4828</v>
      </c>
      <c r="T11" s="213">
        <v>0</v>
      </c>
      <c r="U11" s="213">
        <v>70242</v>
      </c>
      <c r="V11" s="213">
        <v>2643</v>
      </c>
      <c r="W11" s="213">
        <v>429240</v>
      </c>
      <c r="X11" s="278" t="str">
        <f>"{"&amp;"'coin':"&amp;表1_8612182224267275[[#This Row],[补偿Coin]]&amp;",'"&amp;配置!$A$2&amp;"':"&amp;表1_8612182224267275[[#This Row],[补偿辎重]]&amp;"},"</f>
        <v>{'coin':1500,'item036':15},</v>
      </c>
      <c r="Y11" s="278" t="str">
        <f>"      '"&amp;表1_8612182224267275[[#This Row],[区服]]&amp;"':{"</f>
        <v>      '153':{</v>
      </c>
    </row>
    <row r="12" s="354" customFormat="1" ht="14.25" customHeight="1" spans="1:25">
      <c r="A12" s="259">
        <v>153</v>
      </c>
      <c r="B12" s="210">
        <f>VLOOKUP(表1_8612182224267275[[#This Row],[区服]],$P$41:$Q$52,2,FALSE)</f>
        <v>54</v>
      </c>
      <c r="C12" s="296" t="s">
        <v>139</v>
      </c>
      <c r="D12" s="212" t="str">
        <f>表1_8612182224267275[[#This Row],[目标国家]]</f>
        <v>蜀</v>
      </c>
      <c r="E12" s="213">
        <f>(VLOOKUP(表1_8612182224267275[[#This Row],[目标区服]],$R$41:$S$45,2,FALSE)-表1_8612182224267275[[#This Row],[开服天数]])*配置!$B$1</f>
        <v>1500</v>
      </c>
      <c r="F12" s="213">
        <f>表1_8612182224267275[[#This Row],[补偿Coin]]*(表1_8612182224267275[[#This Row],[活跃高战玩家数]]+表1_8612182224267275[[#This Row],[活跃中坚玩家数]])</f>
        <v>46500</v>
      </c>
      <c r="G12" s="260">
        <f>(VLOOKUP(表1_8612182224267275[[#This Row],[目标区服]],$R$41:$S$45,2,FALSE)-表1_8612182224267275[[#This Row],[开服天数]])*配置!$B$2</f>
        <v>15</v>
      </c>
      <c r="H12" s="212" t="s">
        <v>26</v>
      </c>
      <c r="I12" s="268">
        <f>IF(表1_8612182224267275[[#This Row],[原国家]]="魏",0,IF(表1_8612182224267275[[#This Row],[原国家]]="蜀",1,2))</f>
        <v>1</v>
      </c>
      <c r="J12" s="213">
        <v>6</v>
      </c>
      <c r="K12" s="213">
        <v>265</v>
      </c>
      <c r="L12" s="213">
        <v>6</v>
      </c>
      <c r="M12" s="213">
        <v>25</v>
      </c>
      <c r="N12" s="213">
        <v>149528</v>
      </c>
      <c r="O12" s="419">
        <v>3552947</v>
      </c>
      <c r="P12" s="420">
        <v>31587396</v>
      </c>
      <c r="Q12" s="31" t="s">
        <v>26</v>
      </c>
      <c r="R12" s="212">
        <f>IF(表1_8612182224267275[[#This Row],[目标国家]]="魏",0,IF(表1_8612182224267275[[#This Row],[目标国家]]="蜀",1,2))</f>
        <v>1</v>
      </c>
      <c r="S12" s="213">
        <v>102538</v>
      </c>
      <c r="T12" s="213">
        <v>0</v>
      </c>
      <c r="U12" s="213">
        <v>847667</v>
      </c>
      <c r="V12" s="213">
        <v>14209</v>
      </c>
      <c r="W12" s="213">
        <v>1066515</v>
      </c>
      <c r="X12" s="278" t="str">
        <f>"{"&amp;"'coin':"&amp;表1_8612182224267275[[#This Row],[补偿Coin]]&amp;",'"&amp;配置!$A$2&amp;"':"&amp;表1_8612182224267275[[#This Row],[补偿辎重]]&amp;"},"</f>
        <v>{'coin':1500,'item036':15},</v>
      </c>
      <c r="Y12" s="278" t="str">
        <f>"            'to_zone':'"&amp;表1_8612182224267275[[#This Row],[目标区服]]&amp;"',
            'reward':"&amp;表1_8612182224267275[[#This Row],[辅助导出]]&amp;"
            'country':["&amp;R11&amp;","&amp;R12&amp;","&amp;R13&amp;"],"</f>
        <v>            'to_zone':'h1_66',
            'reward':{'coin':1500,'item036':15},
            'country':[1,1,2],</v>
      </c>
    </row>
    <row r="13" s="354" customFormat="1" ht="14.25" customHeight="1" spans="1:25">
      <c r="A13" s="259">
        <v>153</v>
      </c>
      <c r="B13" s="210">
        <f>VLOOKUP(表1_8612182224267275[[#This Row],[区服]],$P$41:$Q$52,2,FALSE)</f>
        <v>54</v>
      </c>
      <c r="C13" s="296" t="s">
        <v>139</v>
      </c>
      <c r="D13" s="212" t="str">
        <f>表1_8612182224267275[[#This Row],[目标国家]]</f>
        <v>吴</v>
      </c>
      <c r="E13" s="213">
        <f>(VLOOKUP(表1_8612182224267275[[#This Row],[目标区服]],$R$41:$S$45,2,FALSE)-表1_8612182224267275[[#This Row],[开服天数]])*配置!$B$1</f>
        <v>1500</v>
      </c>
      <c r="F13" s="213">
        <f>表1_8612182224267275[[#This Row],[补偿Coin]]*(表1_8612182224267275[[#This Row],[活跃高战玩家数]]+表1_8612182224267275[[#This Row],[活跃中坚玩家数]])</f>
        <v>19500</v>
      </c>
      <c r="G13" s="260">
        <f>(VLOOKUP(表1_8612182224267275[[#This Row],[目标区服]],$R$41:$S$45,2,FALSE)-表1_8612182224267275[[#This Row],[开服天数]])*配置!$B$2</f>
        <v>15</v>
      </c>
      <c r="H13" s="212" t="s">
        <v>27</v>
      </c>
      <c r="I13" s="268">
        <f>IF(表1_8612182224267275[[#This Row],[原国家]]="魏",0,IF(表1_8612182224267275[[#This Row],[原国家]]="蜀",1,2))</f>
        <v>2</v>
      </c>
      <c r="J13" s="213">
        <v>3</v>
      </c>
      <c r="K13" s="213">
        <v>93</v>
      </c>
      <c r="L13" s="213">
        <v>4</v>
      </c>
      <c r="M13" s="213">
        <v>9</v>
      </c>
      <c r="N13" s="213">
        <v>74077</v>
      </c>
      <c r="O13" s="419">
        <v>3206465</v>
      </c>
      <c r="P13" s="420">
        <v>16177155</v>
      </c>
      <c r="Q13" s="31" t="s">
        <v>27</v>
      </c>
      <c r="R13" s="212">
        <f>IF(表1_8612182224267275[[#This Row],[目标国家]]="魏",0,IF(表1_8612182224267275[[#This Row],[目标国家]]="蜀",1,2))</f>
        <v>2</v>
      </c>
      <c r="S13" s="213">
        <v>57412</v>
      </c>
      <c r="T13" s="213">
        <v>0</v>
      </c>
      <c r="U13" s="213">
        <v>195112</v>
      </c>
      <c r="V13" s="213">
        <v>8244</v>
      </c>
      <c r="W13" s="213">
        <v>920922</v>
      </c>
      <c r="X13" s="278" t="str">
        <f>"{"&amp;"'coin':"&amp;表1_8612182224267275[[#This Row],[补偿Coin]]&amp;",'"&amp;配置!$A$2&amp;"':"&amp;表1_8612182224267275[[#This Row],[补偿辎重]]&amp;"},"</f>
        <v>{'coin':1500,'item036':15},</v>
      </c>
      <c r="Y13" s="278" t="str">
        <f t="shared" ref="Y13" si="1">"      },"</f>
        <v>      },</v>
      </c>
    </row>
    <row r="14" ht="14.25" customHeight="1" spans="1:25">
      <c r="A14" s="17">
        <v>154</v>
      </c>
      <c r="B14" s="17">
        <f>VLOOKUP(表1_8612182224267275[[#This Row],[区服]],$P$41:$Q$52,2,FALSE)</f>
        <v>54</v>
      </c>
      <c r="C14" s="18" t="s">
        <v>140</v>
      </c>
      <c r="D14" s="19" t="str">
        <f>表1_8612182224267275[[#This Row],[目标国家]]</f>
        <v>魏</v>
      </c>
      <c r="E14" s="20">
        <f>(VLOOKUP(表1_8612182224267275[[#This Row],[目标区服]],$R$41:$S$45,2,FALSE)-表1_8612182224267275[[#This Row],[开服天数]])*配置!$B$1</f>
        <v>1000</v>
      </c>
      <c r="F14" s="20">
        <f>表1_8612182224267275[[#This Row],[补偿Coin]]*(表1_8612182224267275[[#This Row],[活跃高战玩家数]]+表1_8612182224267275[[#This Row],[活跃中坚玩家数]])</f>
        <v>24000</v>
      </c>
      <c r="G14" s="20">
        <f>(VLOOKUP(表1_8612182224267275[[#This Row],[目标区服]],$R$41:$S$45,2,FALSE)-表1_8612182224267275[[#This Row],[开服天数]])*配置!$B$2</f>
        <v>10</v>
      </c>
      <c r="H14" s="19" t="s">
        <v>25</v>
      </c>
      <c r="I14" s="19">
        <f>IF(表1_8612182224267275[[#This Row],[原国家]]="魏",0,IF(表1_8612182224267275[[#This Row],[原国家]]="蜀",1,2))</f>
        <v>0</v>
      </c>
      <c r="J14" s="20">
        <v>9</v>
      </c>
      <c r="K14" s="20">
        <v>345</v>
      </c>
      <c r="L14" s="20">
        <v>6</v>
      </c>
      <c r="M14" s="20">
        <v>18</v>
      </c>
      <c r="N14" s="20">
        <v>151885</v>
      </c>
      <c r="O14" s="20">
        <v>4005874</v>
      </c>
      <c r="P14" s="26">
        <v>27897317</v>
      </c>
      <c r="Q14" s="31" t="s">
        <v>25</v>
      </c>
      <c r="R14" s="19">
        <f>IF(表1_8612182224267275[[#This Row],[目标国家]]="魏",0,IF(表1_8612182224267275[[#This Row],[目标国家]]="蜀",1,2))</f>
        <v>0</v>
      </c>
      <c r="S14" s="20">
        <v>222582</v>
      </c>
      <c r="T14" s="20">
        <v>0</v>
      </c>
      <c r="U14" s="20">
        <v>962585</v>
      </c>
      <c r="V14" s="20">
        <v>19063</v>
      </c>
      <c r="W14" s="32">
        <v>1226455</v>
      </c>
      <c r="X14" s="33" t="str">
        <f>"{"&amp;"'coin':"&amp;表1_8612182224267275[[#This Row],[补偿Coin]]&amp;",'"&amp;配置!$A$2&amp;"':"&amp;表1_8612182224267275[[#This Row],[补偿辎重]]&amp;"},"</f>
        <v>{'coin':1000,'item036':10},</v>
      </c>
      <c r="Y14" s="34" t="str">
        <f>"      '"&amp;表1_8612182224267275[[#This Row],[区服]]&amp;"':{"</f>
        <v>      '154':{</v>
      </c>
    </row>
    <row r="15" ht="14.25" customHeight="1" spans="1:25">
      <c r="A15" s="17">
        <v>154</v>
      </c>
      <c r="B15" s="17">
        <f>VLOOKUP(表1_8612182224267275[[#This Row],[区服]],$P$41:$Q$52,2,FALSE)</f>
        <v>54</v>
      </c>
      <c r="C15" s="18" t="s">
        <v>140</v>
      </c>
      <c r="D15" s="19" t="str">
        <f>表1_8612182224267275[[#This Row],[目标国家]]</f>
        <v>蜀</v>
      </c>
      <c r="E15" s="20">
        <f>(VLOOKUP(表1_8612182224267275[[#This Row],[目标区服]],$R$41:$S$45,2,FALSE)-表1_8612182224267275[[#This Row],[开服天数]])*配置!$B$1</f>
        <v>1000</v>
      </c>
      <c r="F15" s="20">
        <f>表1_8612182224267275[[#This Row],[补偿Coin]]*(表1_8612182224267275[[#This Row],[活跃高战玩家数]]+表1_8612182224267275[[#This Row],[活跃中坚玩家数]])</f>
        <v>10000</v>
      </c>
      <c r="G15" s="20">
        <f>(VLOOKUP(表1_8612182224267275[[#This Row],[目标区服]],$R$41:$S$45,2,FALSE)-表1_8612182224267275[[#This Row],[开服天数]])*配置!$B$2</f>
        <v>10</v>
      </c>
      <c r="H15" s="19" t="s">
        <v>26</v>
      </c>
      <c r="I15" s="19">
        <f>IF(表1_8612182224267275[[#This Row],[原国家]]="魏",0,IF(表1_8612182224267275[[#This Row],[原国家]]="蜀",1,2))</f>
        <v>1</v>
      </c>
      <c r="J15" s="20">
        <v>0</v>
      </c>
      <c r="K15" s="20">
        <v>28</v>
      </c>
      <c r="L15" s="20">
        <v>1</v>
      </c>
      <c r="M15" s="20">
        <v>9</v>
      </c>
      <c r="N15" s="20">
        <v>44486</v>
      </c>
      <c r="O15" s="20">
        <v>1417503</v>
      </c>
      <c r="P15" s="26">
        <v>6600290</v>
      </c>
      <c r="Q15" s="31" t="s">
        <v>26</v>
      </c>
      <c r="R15" s="19">
        <f>IF(表1_8612182224267275[[#This Row],[目标国家]]="魏",0,IF(表1_8612182224267275[[#This Row],[目标国家]]="蜀",1,2))</f>
        <v>1</v>
      </c>
      <c r="S15" s="20">
        <v>5528</v>
      </c>
      <c r="T15" s="20">
        <v>0</v>
      </c>
      <c r="U15" s="20">
        <v>256424</v>
      </c>
      <c r="V15" s="20">
        <v>2874</v>
      </c>
      <c r="W15" s="32">
        <v>445358</v>
      </c>
      <c r="X15" s="33" t="str">
        <f>"{"&amp;"'coin':"&amp;表1_8612182224267275[[#This Row],[补偿Coin]]&amp;",'"&amp;配置!$A$2&amp;"':"&amp;表1_8612182224267275[[#This Row],[补偿辎重]]&amp;"},"</f>
        <v>{'coin':1000,'item036':10},</v>
      </c>
      <c r="Y15" s="34" t="str">
        <f>"            'to_zone':'"&amp;表1_8612182224267275[[#This Row],[目标区服]]&amp;"',
            'reward':"&amp;表1_8612182224267275[[#This Row],[辅助导出]]&amp;"
            'country':["&amp;R14&amp;","&amp;R15&amp;","&amp;R16&amp;"],"</f>
        <v>            'to_zone':'h1_67',
            'reward':{'coin':1000,'item036':10},
            'country':[0,1,2],</v>
      </c>
    </row>
    <row r="16" ht="14.25" customHeight="1" spans="1:25">
      <c r="A16" s="17">
        <v>154</v>
      </c>
      <c r="B16" s="17">
        <f>VLOOKUP(表1_8612182224267275[[#This Row],[区服]],$P$41:$Q$52,2,FALSE)</f>
        <v>54</v>
      </c>
      <c r="C16" s="18" t="s">
        <v>140</v>
      </c>
      <c r="D16" s="19" t="str">
        <f>表1_8612182224267275[[#This Row],[目标国家]]</f>
        <v>吴</v>
      </c>
      <c r="E16" s="20">
        <f>(VLOOKUP(表1_8612182224267275[[#This Row],[目标区服]],$R$41:$S$45,2,FALSE)-表1_8612182224267275[[#This Row],[开服天数]])*配置!$B$1</f>
        <v>1000</v>
      </c>
      <c r="F16" s="20">
        <f>表1_8612182224267275[[#This Row],[补偿Coin]]*(表1_8612182224267275[[#This Row],[活跃高战玩家数]]+表1_8612182224267275[[#This Row],[活跃中坚玩家数]])</f>
        <v>7000</v>
      </c>
      <c r="G16" s="20">
        <f>(VLOOKUP(表1_8612182224267275[[#This Row],[目标区服]],$R$41:$S$45,2,FALSE)-表1_8612182224267275[[#This Row],[开服天数]])*配置!$B$2</f>
        <v>10</v>
      </c>
      <c r="H16" s="19" t="s">
        <v>27</v>
      </c>
      <c r="I16" s="19">
        <f>IF(表1_8612182224267275[[#This Row],[原国家]]="魏",0,IF(表1_8612182224267275[[#This Row],[原国家]]="蜀",1,2))</f>
        <v>2</v>
      </c>
      <c r="J16" s="20">
        <v>0</v>
      </c>
      <c r="K16" s="20">
        <v>22</v>
      </c>
      <c r="L16" s="20">
        <v>0</v>
      </c>
      <c r="M16" s="20">
        <v>7</v>
      </c>
      <c r="N16" s="20">
        <v>30898</v>
      </c>
      <c r="O16" s="20">
        <v>1200467</v>
      </c>
      <c r="P16" s="26">
        <v>4500643</v>
      </c>
      <c r="Q16" s="31" t="s">
        <v>27</v>
      </c>
      <c r="R16" s="19">
        <f>IF(表1_8612182224267275[[#This Row],[目标国家]]="魏",0,IF(表1_8612182224267275[[#This Row],[目标国家]]="蜀",1,2))</f>
        <v>2</v>
      </c>
      <c r="S16" s="20">
        <v>8690</v>
      </c>
      <c r="T16" s="20">
        <v>0</v>
      </c>
      <c r="U16" s="20">
        <v>79933</v>
      </c>
      <c r="V16" s="20">
        <v>2325</v>
      </c>
      <c r="W16" s="32">
        <v>577218</v>
      </c>
      <c r="X16" s="33" t="str">
        <f>"{"&amp;"'coin':"&amp;表1_8612182224267275[[#This Row],[补偿Coin]]&amp;",'"&amp;配置!$A$2&amp;"':"&amp;表1_8612182224267275[[#This Row],[补偿辎重]]&amp;"},"</f>
        <v>{'coin':1000,'item036':10},</v>
      </c>
      <c r="Y16" s="34" t="str">
        <f t="shared" ref="Y16" si="2">"      },"</f>
        <v>      },</v>
      </c>
    </row>
    <row r="17" ht="14.25" customHeight="1" spans="1:25">
      <c r="A17" s="17">
        <v>155</v>
      </c>
      <c r="B17" s="17">
        <f>VLOOKUP(表1_8612182224267275[[#This Row],[区服]],$P$41:$Q$52,2,FALSE)</f>
        <v>53</v>
      </c>
      <c r="C17" s="18" t="s">
        <v>140</v>
      </c>
      <c r="D17" s="19" t="str">
        <f>表1_8612182224267275[[#This Row],[目标国家]]</f>
        <v>蜀</v>
      </c>
      <c r="E17" s="20">
        <f>(VLOOKUP(表1_8612182224267275[[#This Row],[目标区服]],$R$41:$S$45,2,FALSE)-表1_8612182224267275[[#This Row],[开服天数]])*配置!$B$1</f>
        <v>1500</v>
      </c>
      <c r="F17" s="20">
        <f>表1_8612182224267275[[#This Row],[补偿Coin]]*(表1_8612182224267275[[#This Row],[活跃高战玩家数]]+表1_8612182224267275[[#This Row],[活跃中坚玩家数]])</f>
        <v>33000</v>
      </c>
      <c r="G17" s="20">
        <f>(VLOOKUP(表1_8612182224267275[[#This Row],[目标区服]],$R$41:$S$45,2,FALSE)-表1_8612182224267275[[#This Row],[开服天数]])*配置!$B$2</f>
        <v>15</v>
      </c>
      <c r="H17" s="19" t="s">
        <v>25</v>
      </c>
      <c r="I17" s="19">
        <f>IF(表1_8612182224267275[[#This Row],[原国家]]="魏",0,IF(表1_8612182224267275[[#This Row],[原国家]]="蜀",1,2))</f>
        <v>0</v>
      </c>
      <c r="J17" s="20">
        <v>5</v>
      </c>
      <c r="K17" s="20">
        <v>198</v>
      </c>
      <c r="L17" s="20">
        <v>6</v>
      </c>
      <c r="M17" s="20">
        <v>16</v>
      </c>
      <c r="N17" s="20">
        <v>119243</v>
      </c>
      <c r="O17" s="20">
        <v>3143202</v>
      </c>
      <c r="P17" s="26">
        <v>25409335</v>
      </c>
      <c r="Q17" s="31" t="s">
        <v>26</v>
      </c>
      <c r="R17" s="19">
        <f>IF(表1_8612182224267275[[#This Row],[目标国家]]="魏",0,IF(表1_8612182224267275[[#This Row],[目标国家]]="蜀",1,2))</f>
        <v>1</v>
      </c>
      <c r="S17" s="20">
        <v>98378</v>
      </c>
      <c r="T17" s="20">
        <v>0</v>
      </c>
      <c r="U17" s="20">
        <v>681550</v>
      </c>
      <c r="V17" s="20">
        <v>12052</v>
      </c>
      <c r="W17" s="32">
        <v>805627</v>
      </c>
      <c r="X17" s="33" t="str">
        <f>"{"&amp;"'coin':"&amp;表1_8612182224267275[[#This Row],[补偿Coin]]&amp;",'"&amp;配置!$A$2&amp;"':"&amp;表1_8612182224267275[[#This Row],[补偿辎重]]&amp;"},"</f>
        <v>{'coin':1500,'item036':15},</v>
      </c>
      <c r="Y17" s="34" t="str">
        <f>"      '"&amp;表1_8612182224267275[[#This Row],[区服]]&amp;"':{"</f>
        <v>      '155':{</v>
      </c>
    </row>
    <row r="18" ht="14.25" customHeight="1" spans="1:25">
      <c r="A18" s="17">
        <v>155</v>
      </c>
      <c r="B18" s="17">
        <f>VLOOKUP(表1_8612182224267275[[#This Row],[区服]],$P$41:$Q$52,2,FALSE)</f>
        <v>53</v>
      </c>
      <c r="C18" s="18" t="s">
        <v>140</v>
      </c>
      <c r="D18" s="19" t="str">
        <f>表1_8612182224267275[[#This Row],[目标国家]]</f>
        <v>蜀</v>
      </c>
      <c r="E18" s="20">
        <f>(VLOOKUP(表1_8612182224267275[[#This Row],[目标区服]],$R$41:$S$45,2,FALSE)-表1_8612182224267275[[#This Row],[开服天数]])*配置!$B$1</f>
        <v>1500</v>
      </c>
      <c r="F18" s="20">
        <f>表1_8612182224267275[[#This Row],[补偿Coin]]*(表1_8612182224267275[[#This Row],[活跃高战玩家数]]+表1_8612182224267275[[#This Row],[活跃中坚玩家数]])</f>
        <v>21000</v>
      </c>
      <c r="G18" s="20">
        <f>(VLOOKUP(表1_8612182224267275[[#This Row],[目标区服]],$R$41:$S$45,2,FALSE)-表1_8612182224267275[[#This Row],[开服天数]])*配置!$B$2</f>
        <v>15</v>
      </c>
      <c r="H18" s="19" t="s">
        <v>26</v>
      </c>
      <c r="I18" s="19">
        <f>IF(表1_8612182224267275[[#This Row],[原国家]]="魏",0,IF(表1_8612182224267275[[#This Row],[原国家]]="蜀",1,2))</f>
        <v>1</v>
      </c>
      <c r="J18" s="20">
        <v>2</v>
      </c>
      <c r="K18" s="20">
        <v>90</v>
      </c>
      <c r="L18" s="20">
        <v>2</v>
      </c>
      <c r="M18" s="20">
        <v>12</v>
      </c>
      <c r="N18" s="20">
        <v>53207</v>
      </c>
      <c r="O18" s="20">
        <v>2280738</v>
      </c>
      <c r="P18" s="26">
        <v>11027284</v>
      </c>
      <c r="Q18" s="31" t="s">
        <v>26</v>
      </c>
      <c r="R18" s="19">
        <f>IF(表1_8612182224267275[[#This Row],[目标国家]]="魏",0,IF(表1_8612182224267275[[#This Row],[目标国家]]="蜀",1,2))</f>
        <v>1</v>
      </c>
      <c r="S18" s="20">
        <v>14860</v>
      </c>
      <c r="T18" s="20">
        <v>0</v>
      </c>
      <c r="U18" s="20">
        <v>239241</v>
      </c>
      <c r="V18" s="20">
        <v>5314</v>
      </c>
      <c r="W18" s="32">
        <v>680966</v>
      </c>
      <c r="X18" s="33" t="str">
        <f>"{"&amp;"'coin':"&amp;表1_8612182224267275[[#This Row],[补偿Coin]]&amp;",'"&amp;配置!$A$2&amp;"':"&amp;表1_8612182224267275[[#This Row],[补偿辎重]]&amp;"},"</f>
        <v>{'coin':1500,'item036':15},</v>
      </c>
      <c r="Y18" s="34" t="str">
        <f>"            'to_zone':'"&amp;表1_8612182224267275[[#This Row],[目标区服]]&amp;"',
            'reward':"&amp;表1_8612182224267275[[#This Row],[辅助导出]]&amp;"
            'country':["&amp;R17&amp;","&amp;R18&amp;","&amp;R19&amp;"],"</f>
        <v>            'to_zone':'h1_67',
            'reward':{'coin':1500,'item036':15},
            'country':[1,1,2],</v>
      </c>
    </row>
    <row r="19" ht="14.25" customHeight="1" spans="1:25">
      <c r="A19" s="17">
        <v>155</v>
      </c>
      <c r="B19" s="17">
        <f>VLOOKUP(表1_8612182224267275[[#This Row],[区服]],$P$41:$Q$52,2,FALSE)</f>
        <v>53</v>
      </c>
      <c r="C19" s="18" t="s">
        <v>140</v>
      </c>
      <c r="D19" s="19" t="str">
        <f>表1_8612182224267275[[#This Row],[目标国家]]</f>
        <v>吴</v>
      </c>
      <c r="E19" s="20">
        <f>(VLOOKUP(表1_8612182224267275[[#This Row],[目标区服]],$R$41:$S$45,2,FALSE)-表1_8612182224267275[[#This Row],[开服天数]])*配置!$B$1</f>
        <v>1500</v>
      </c>
      <c r="F19" s="20">
        <f>表1_8612182224267275[[#This Row],[补偿Coin]]*(表1_8612182224267275[[#This Row],[活跃高战玩家数]]+表1_8612182224267275[[#This Row],[活跃中坚玩家数]])</f>
        <v>31500</v>
      </c>
      <c r="G19" s="20">
        <f>(VLOOKUP(表1_8612182224267275[[#This Row],[目标区服]],$R$41:$S$45,2,FALSE)-表1_8612182224267275[[#This Row],[开服天数]])*配置!$B$2</f>
        <v>15</v>
      </c>
      <c r="H19" s="19" t="s">
        <v>27</v>
      </c>
      <c r="I19" s="19">
        <f>IF(表1_8612182224267275[[#This Row],[原国家]]="魏",0,IF(表1_8612182224267275[[#This Row],[原国家]]="蜀",1,2))</f>
        <v>2</v>
      </c>
      <c r="J19" s="20">
        <v>2</v>
      </c>
      <c r="K19" s="20">
        <v>107</v>
      </c>
      <c r="L19" s="20">
        <v>1</v>
      </c>
      <c r="M19" s="20">
        <v>20</v>
      </c>
      <c r="N19" s="20">
        <v>96798</v>
      </c>
      <c r="O19" s="20">
        <v>2173176</v>
      </c>
      <c r="P19" s="26">
        <v>18578829</v>
      </c>
      <c r="Q19" s="31" t="s">
        <v>27</v>
      </c>
      <c r="R19" s="19">
        <f>IF(表1_8612182224267275[[#This Row],[目标国家]]="魏",0,IF(表1_8612182224267275[[#This Row],[目标国家]]="蜀",1,2))</f>
        <v>2</v>
      </c>
      <c r="S19" s="20">
        <v>28216</v>
      </c>
      <c r="T19" s="20">
        <v>0</v>
      </c>
      <c r="U19" s="20">
        <v>245901</v>
      </c>
      <c r="V19" s="20">
        <v>6754</v>
      </c>
      <c r="W19" s="32">
        <v>589897</v>
      </c>
      <c r="X19" s="33" t="str">
        <f>"{"&amp;"'coin':"&amp;表1_8612182224267275[[#This Row],[补偿Coin]]&amp;",'"&amp;配置!$A$2&amp;"':"&amp;表1_8612182224267275[[#This Row],[补偿辎重]]&amp;"},"</f>
        <v>{'coin':1500,'item036':15},</v>
      </c>
      <c r="Y19" s="34" t="str">
        <f t="shared" ref="Y19" si="3">"      },"</f>
        <v>      },</v>
      </c>
    </row>
    <row r="20" ht="14.25" customHeight="1" spans="1:25">
      <c r="A20" s="17">
        <v>156</v>
      </c>
      <c r="B20" s="17">
        <f>VLOOKUP(表1_8612182224267275[[#This Row],[区服]],$P$41:$Q$52,2,FALSE)</f>
        <v>53</v>
      </c>
      <c r="C20" s="18" t="s">
        <v>140</v>
      </c>
      <c r="D20" s="19" t="str">
        <f>表1_8612182224267275[[#This Row],[目标国家]]</f>
        <v>蜀</v>
      </c>
      <c r="E20" s="20">
        <f>(VLOOKUP(表1_8612182224267275[[#This Row],[目标区服]],$R$41:$S$45,2,FALSE)-表1_8612182224267275[[#This Row],[开服天数]])*配置!$B$1</f>
        <v>1500</v>
      </c>
      <c r="F20" s="20">
        <f>表1_8612182224267275[[#This Row],[补偿Coin]]*(表1_8612182224267275[[#This Row],[活跃高战玩家数]]+表1_8612182224267275[[#This Row],[活跃中坚玩家数]])</f>
        <v>19500</v>
      </c>
      <c r="G20" s="20">
        <f>(VLOOKUP(表1_8612182224267275[[#This Row],[目标区服]],$R$41:$S$45,2,FALSE)-表1_8612182224267275[[#This Row],[开服天数]])*配置!$B$2</f>
        <v>15</v>
      </c>
      <c r="H20" s="19" t="s">
        <v>25</v>
      </c>
      <c r="I20" s="19">
        <f>IF(表1_8612182224267275[[#This Row],[原国家]]="魏",0,IF(表1_8612182224267275[[#This Row],[原国家]]="蜀",1,2))</f>
        <v>0</v>
      </c>
      <c r="J20" s="20">
        <v>0</v>
      </c>
      <c r="K20" s="20">
        <v>56</v>
      </c>
      <c r="L20" s="20">
        <v>1</v>
      </c>
      <c r="M20" s="20">
        <v>12</v>
      </c>
      <c r="N20" s="20">
        <v>53955</v>
      </c>
      <c r="O20" s="20">
        <v>1499199</v>
      </c>
      <c r="P20" s="26">
        <v>7831773</v>
      </c>
      <c r="Q20" s="31" t="s">
        <v>26</v>
      </c>
      <c r="R20" s="19">
        <f>IF(表1_8612182224267275[[#This Row],[目标国家]]="魏",0,IF(表1_8612182224267275[[#This Row],[目标国家]]="蜀",1,2))</f>
        <v>1</v>
      </c>
      <c r="S20" s="20">
        <v>10772</v>
      </c>
      <c r="T20" s="20">
        <v>0</v>
      </c>
      <c r="U20" s="20">
        <v>252054</v>
      </c>
      <c r="V20" s="20">
        <v>3561</v>
      </c>
      <c r="W20" s="32">
        <v>575041</v>
      </c>
      <c r="X20" s="33" t="str">
        <f>"{"&amp;"'coin':"&amp;表1_8612182224267275[[#This Row],[补偿Coin]]&amp;",'"&amp;配置!$A$2&amp;"':"&amp;表1_8612182224267275[[#This Row],[补偿辎重]]&amp;"},"</f>
        <v>{'coin':1500,'item036':15},</v>
      </c>
      <c r="Y20" s="34" t="str">
        <f>"      '"&amp;表1_8612182224267275[[#This Row],[区服]]&amp;"':{"</f>
        <v>      '156':{</v>
      </c>
    </row>
    <row r="21" ht="14.25" customHeight="1" spans="1:25">
      <c r="A21" s="17">
        <v>156</v>
      </c>
      <c r="B21" s="17">
        <f>VLOOKUP(表1_8612182224267275[[#This Row],[区服]],$P$41:$Q$52,2,FALSE)</f>
        <v>53</v>
      </c>
      <c r="C21" s="18" t="s">
        <v>140</v>
      </c>
      <c r="D21" s="19" t="str">
        <f>表1_8612182224267275[[#This Row],[目标国家]]</f>
        <v>吴</v>
      </c>
      <c r="E21" s="20">
        <f>(VLOOKUP(表1_8612182224267275[[#This Row],[目标区服]],$R$41:$S$45,2,FALSE)-表1_8612182224267275[[#This Row],[开服天数]])*配置!$B$1</f>
        <v>1500</v>
      </c>
      <c r="F21" s="20">
        <f>表1_8612182224267275[[#This Row],[补偿Coin]]*(表1_8612182224267275[[#This Row],[活跃高战玩家数]]+表1_8612182224267275[[#This Row],[活跃中坚玩家数]])</f>
        <v>43500</v>
      </c>
      <c r="G21" s="20">
        <f>(VLOOKUP(表1_8612182224267275[[#This Row],[目标区服]],$R$41:$S$45,2,FALSE)-表1_8612182224267275[[#This Row],[开服天数]])*配置!$B$2</f>
        <v>15</v>
      </c>
      <c r="H21" s="19" t="s">
        <v>26</v>
      </c>
      <c r="I21" s="19">
        <f>IF(表1_8612182224267275[[#This Row],[原国家]]="魏",0,IF(表1_8612182224267275[[#This Row],[原国家]]="蜀",1,2))</f>
        <v>1</v>
      </c>
      <c r="J21" s="20">
        <v>9</v>
      </c>
      <c r="K21" s="20">
        <v>304</v>
      </c>
      <c r="L21" s="20">
        <v>9</v>
      </c>
      <c r="M21" s="20">
        <v>20</v>
      </c>
      <c r="N21" s="20">
        <v>183949</v>
      </c>
      <c r="O21" s="20">
        <v>3133235</v>
      </c>
      <c r="P21" s="26">
        <v>30191802</v>
      </c>
      <c r="Q21" s="31" t="s">
        <v>27</v>
      </c>
      <c r="R21" s="19">
        <f>IF(表1_8612182224267275[[#This Row],[目标国家]]="魏",0,IF(表1_8612182224267275[[#This Row],[目标国家]]="蜀",1,2))</f>
        <v>2</v>
      </c>
      <c r="S21" s="20">
        <v>80750</v>
      </c>
      <c r="T21" s="20">
        <v>0</v>
      </c>
      <c r="U21" s="20">
        <v>1276946</v>
      </c>
      <c r="V21" s="20">
        <v>14073</v>
      </c>
      <c r="W21" s="32">
        <v>802698</v>
      </c>
      <c r="X21" s="33" t="str">
        <f>"{"&amp;"'coin':"&amp;表1_8612182224267275[[#This Row],[补偿Coin]]&amp;",'"&amp;配置!$A$2&amp;"':"&amp;表1_8612182224267275[[#This Row],[补偿辎重]]&amp;"},"</f>
        <v>{'coin':1500,'item036':15},</v>
      </c>
      <c r="Y21" s="34" t="str">
        <f>"            'to_zone':'"&amp;表1_8612182224267275[[#This Row],[目标区服]]&amp;"',
            'reward':"&amp;表1_8612182224267275[[#This Row],[辅助导出]]&amp;"
            'country':["&amp;R20&amp;","&amp;R21&amp;","&amp;R22&amp;"],"</f>
        <v>            'to_zone':'h1_67',
            'reward':{'coin':1500,'item036':15},
            'country':[1,2,0],</v>
      </c>
    </row>
    <row r="22" ht="14.25" customHeight="1" spans="1:25">
      <c r="A22" s="17">
        <v>156</v>
      </c>
      <c r="B22" s="17">
        <f>VLOOKUP(表1_8612182224267275[[#This Row],[区服]],$P$41:$Q$52,2,FALSE)</f>
        <v>53</v>
      </c>
      <c r="C22" s="18" t="s">
        <v>140</v>
      </c>
      <c r="D22" s="19" t="str">
        <f>表1_8612182224267275[[#This Row],[目标国家]]</f>
        <v>魏</v>
      </c>
      <c r="E22" s="20">
        <f>(VLOOKUP(表1_8612182224267275[[#This Row],[目标区服]],$R$41:$S$45,2,FALSE)-表1_8612182224267275[[#This Row],[开服天数]])*配置!$B$1</f>
        <v>1500</v>
      </c>
      <c r="F22" s="20">
        <f>表1_8612182224267275[[#This Row],[补偿Coin]]*(表1_8612182224267275[[#This Row],[活跃高战玩家数]]+表1_8612182224267275[[#This Row],[活跃中坚玩家数]])</f>
        <v>15000</v>
      </c>
      <c r="G22" s="20">
        <f>(VLOOKUP(表1_8612182224267275[[#This Row],[目标区服]],$R$41:$S$45,2,FALSE)-表1_8612182224267275[[#This Row],[开服天数]])*配置!$B$2</f>
        <v>15</v>
      </c>
      <c r="H22" s="19" t="s">
        <v>27</v>
      </c>
      <c r="I22" s="19">
        <f>IF(表1_8612182224267275[[#This Row],[原国家]]="魏",0,IF(表1_8612182224267275[[#This Row],[原国家]]="蜀",1,2))</f>
        <v>2</v>
      </c>
      <c r="J22" s="20">
        <v>0</v>
      </c>
      <c r="K22" s="20">
        <v>35</v>
      </c>
      <c r="L22" s="20">
        <v>0</v>
      </c>
      <c r="M22" s="20">
        <v>10</v>
      </c>
      <c r="N22" s="20">
        <v>36388</v>
      </c>
      <c r="O22" s="20">
        <v>1085403</v>
      </c>
      <c r="P22" s="26">
        <v>5133786</v>
      </c>
      <c r="Q22" s="31" t="s">
        <v>25</v>
      </c>
      <c r="R22" s="19">
        <f>IF(表1_8612182224267275[[#This Row],[目标国家]]="魏",0,IF(表1_8612182224267275[[#This Row],[目标国家]]="蜀",1,2))</f>
        <v>0</v>
      </c>
      <c r="S22" s="20">
        <v>2660</v>
      </c>
      <c r="T22" s="20">
        <v>0</v>
      </c>
      <c r="U22" s="20">
        <v>88601</v>
      </c>
      <c r="V22" s="20">
        <v>2254</v>
      </c>
      <c r="W22" s="32">
        <v>316862</v>
      </c>
      <c r="X22" s="33" t="str">
        <f>"{"&amp;"'coin':"&amp;表1_8612182224267275[[#This Row],[补偿Coin]]&amp;",'"&amp;配置!$A$2&amp;"':"&amp;表1_8612182224267275[[#This Row],[补偿辎重]]&amp;"},"</f>
        <v>{'coin':1500,'item036':15},</v>
      </c>
      <c r="Y22" s="34" t="str">
        <f t="shared" ref="Y22" si="4">"      },"</f>
        <v>      },</v>
      </c>
    </row>
    <row r="23" ht="14.25" customHeight="1" spans="1:25">
      <c r="A23" s="367">
        <v>157</v>
      </c>
      <c r="B23" s="214">
        <f>VLOOKUP(表1_8612182224267275[[#This Row],[区服]],$P$41:$Q$52,2,FALSE)</f>
        <v>52</v>
      </c>
      <c r="C23" s="293" t="s">
        <v>141</v>
      </c>
      <c r="D23" s="216" t="str">
        <f>表1_8612182224267275[[#This Row],[目标国家]]</f>
        <v>吴</v>
      </c>
      <c r="E23" s="413">
        <f>(VLOOKUP(表1_8612182224267275[[#This Row],[目标区服]],$R$41:$S$45,2,FALSE)-表1_8612182224267275[[#This Row],[开服天数]])*配置!$B$1</f>
        <v>1000</v>
      </c>
      <c r="F23" s="217">
        <f>表1_8612182224267275[[#This Row],[补偿Coin]]*(表1_8612182224267275[[#This Row],[活跃高战玩家数]]+表1_8612182224267275[[#This Row],[活跃中坚玩家数]])</f>
        <v>13000</v>
      </c>
      <c r="G23" s="368">
        <f>(VLOOKUP(表1_8612182224267275[[#This Row],[目标区服]],$R$41:$S$45,2,FALSE)-表1_8612182224267275[[#This Row],[开服天数]])*配置!$B$2</f>
        <v>10</v>
      </c>
      <c r="H23" s="216" t="s">
        <v>25</v>
      </c>
      <c r="I23" s="216">
        <f>IF(表1_8612182224267275[[#This Row],[原国家]]="魏",0,IF(表1_8612182224267275[[#This Row],[原国家]]="蜀",1,2))</f>
        <v>0</v>
      </c>
      <c r="J23" s="217">
        <v>0</v>
      </c>
      <c r="K23" s="217">
        <v>23</v>
      </c>
      <c r="L23" s="217">
        <v>0</v>
      </c>
      <c r="M23" s="217">
        <v>13</v>
      </c>
      <c r="N23" s="217">
        <v>25707</v>
      </c>
      <c r="O23" s="378">
        <v>1140887</v>
      </c>
      <c r="P23" s="334">
        <v>7377018</v>
      </c>
      <c r="Q23" s="247" t="s">
        <v>27</v>
      </c>
      <c r="R23" s="216">
        <f>IF(表1_8612182224267275[[#This Row],[目标国家]]="魏",0,IF(表1_8612182224267275[[#This Row],[目标国家]]="蜀",1,2))</f>
        <v>2</v>
      </c>
      <c r="S23" s="217">
        <v>1292</v>
      </c>
      <c r="T23" s="217">
        <v>0</v>
      </c>
      <c r="U23" s="217">
        <v>127962</v>
      </c>
      <c r="V23" s="217">
        <v>2339</v>
      </c>
      <c r="W23" s="488">
        <v>313647</v>
      </c>
      <c r="X23" s="382" t="str">
        <f>"{"&amp;"'coin':"&amp;表1_8612182224267275[[#This Row],[补偿Coin]]&amp;",'"&amp;配置!$A$2&amp;"':"&amp;表1_8612182224267275[[#This Row],[补偿辎重]]&amp;"},"</f>
        <v>{'coin':1000,'item036':10},</v>
      </c>
      <c r="Y23" s="382" t="str">
        <f>"      '"&amp;表1_8612182224267275[[#This Row],[区服]]&amp;"':{"</f>
        <v>      '157':{</v>
      </c>
    </row>
    <row r="24" ht="14.25" customHeight="1" spans="1:25">
      <c r="A24" s="367">
        <v>157</v>
      </c>
      <c r="B24" s="214">
        <f>VLOOKUP(表1_8612182224267275[[#This Row],[区服]],$P$41:$Q$52,2,FALSE)</f>
        <v>52</v>
      </c>
      <c r="C24" s="293" t="s">
        <v>141</v>
      </c>
      <c r="D24" s="216" t="str">
        <f>表1_8612182224267275[[#This Row],[目标国家]]</f>
        <v>蜀</v>
      </c>
      <c r="E24" s="413">
        <f>(VLOOKUP(表1_8612182224267275[[#This Row],[目标区服]],$R$41:$S$45,2,FALSE)-表1_8612182224267275[[#This Row],[开服天数]])*配置!$B$1</f>
        <v>1000</v>
      </c>
      <c r="F24" s="217">
        <f>表1_8612182224267275[[#This Row],[补偿Coin]]*(表1_8612182224267275[[#This Row],[活跃高战玩家数]]+表1_8612182224267275[[#This Row],[活跃中坚玩家数]])</f>
        <v>41000</v>
      </c>
      <c r="G24" s="368">
        <f>(VLOOKUP(表1_8612182224267275[[#This Row],[目标区服]],$R$41:$S$45,2,FALSE)-表1_8612182224267275[[#This Row],[开服天数]])*配置!$B$2</f>
        <v>10</v>
      </c>
      <c r="H24" s="216" t="s">
        <v>26</v>
      </c>
      <c r="I24" s="216">
        <f>IF(表1_8612182224267275[[#This Row],[原国家]]="魏",0,IF(表1_8612182224267275[[#This Row],[原国家]]="蜀",1,2))</f>
        <v>1</v>
      </c>
      <c r="J24" s="217">
        <v>9</v>
      </c>
      <c r="K24" s="217">
        <v>342</v>
      </c>
      <c r="L24" s="217">
        <v>10</v>
      </c>
      <c r="M24" s="217">
        <v>31</v>
      </c>
      <c r="N24" s="217">
        <v>232633</v>
      </c>
      <c r="O24" s="378">
        <v>4481277</v>
      </c>
      <c r="P24" s="334">
        <v>52505734</v>
      </c>
      <c r="Q24" s="247" t="s">
        <v>26</v>
      </c>
      <c r="R24" s="216">
        <f>IF(表1_8612182224267275[[#This Row],[目标国家]]="魏",0,IF(表1_8612182224267275[[#This Row],[目标国家]]="蜀",1,2))</f>
        <v>1</v>
      </c>
      <c r="S24" s="217">
        <v>253810</v>
      </c>
      <c r="T24" s="217">
        <v>68</v>
      </c>
      <c r="U24" s="217">
        <v>2014686</v>
      </c>
      <c r="V24" s="217">
        <v>23837</v>
      </c>
      <c r="W24" s="294">
        <v>1135447</v>
      </c>
      <c r="X24" s="382" t="str">
        <f>"{"&amp;"'coin':"&amp;表1_8612182224267275[[#This Row],[补偿Coin]]&amp;",'"&amp;配置!$A$2&amp;"':"&amp;表1_8612182224267275[[#This Row],[补偿辎重]]&amp;"},"</f>
        <v>{'coin':1000,'item036':10},</v>
      </c>
      <c r="Y24" s="382" t="str">
        <f>"            'to_zone':'"&amp;表1_8612182224267275[[#This Row],[目标区服]]&amp;"',
            'reward':"&amp;表1_8612182224267275[[#This Row],[辅助导出]]&amp;"
            'country':["&amp;R23&amp;","&amp;R24&amp;","&amp;R25&amp;"],"</f>
        <v>            'to_zone':'h1_68',
            'reward':{'coin':1000,'item036':10},
            'country':[2,1,2],</v>
      </c>
    </row>
    <row r="25" ht="14.25" customHeight="1" spans="1:25">
      <c r="A25" s="367">
        <v>157</v>
      </c>
      <c r="B25" s="214">
        <f>VLOOKUP(表1_8612182224267275[[#This Row],[区服]],$P$41:$Q$52,2,FALSE)</f>
        <v>52</v>
      </c>
      <c r="C25" s="293" t="s">
        <v>141</v>
      </c>
      <c r="D25" s="216" t="str">
        <f>表1_8612182224267275[[#This Row],[目标国家]]</f>
        <v>吴</v>
      </c>
      <c r="E25" s="413">
        <f>(VLOOKUP(表1_8612182224267275[[#This Row],[目标区服]],$R$41:$S$45,2,FALSE)-表1_8612182224267275[[#This Row],[开服天数]])*配置!$B$1</f>
        <v>1000</v>
      </c>
      <c r="F25" s="217">
        <f>表1_8612182224267275[[#This Row],[补偿Coin]]*(表1_8612182224267275[[#This Row],[活跃高战玩家数]]+表1_8612182224267275[[#This Row],[活跃中坚玩家数]])</f>
        <v>11000</v>
      </c>
      <c r="G25" s="368">
        <f>(VLOOKUP(表1_8612182224267275[[#This Row],[目标区服]],$R$41:$S$45,2,FALSE)-表1_8612182224267275[[#This Row],[开服天数]])*配置!$B$2</f>
        <v>10</v>
      </c>
      <c r="H25" s="216" t="s">
        <v>27</v>
      </c>
      <c r="I25" s="216">
        <f>IF(表1_8612182224267275[[#This Row],[原国家]]="魏",0,IF(表1_8612182224267275[[#This Row],[原国家]]="蜀",1,2))</f>
        <v>2</v>
      </c>
      <c r="J25" s="217">
        <v>0</v>
      </c>
      <c r="K25" s="217">
        <v>30</v>
      </c>
      <c r="L25" s="217">
        <v>0</v>
      </c>
      <c r="M25" s="217">
        <v>11</v>
      </c>
      <c r="N25" s="217">
        <v>20748</v>
      </c>
      <c r="O25" s="378">
        <v>1003362</v>
      </c>
      <c r="P25" s="334">
        <v>6235739</v>
      </c>
      <c r="Q25" s="247" t="s">
        <v>27</v>
      </c>
      <c r="R25" s="216">
        <f>IF(表1_8612182224267275[[#This Row],[目标国家]]="魏",0,IF(表1_8612182224267275[[#This Row],[目标国家]]="蜀",1,2))</f>
        <v>2</v>
      </c>
      <c r="S25" s="217">
        <v>2712</v>
      </c>
      <c r="T25" s="217">
        <v>0</v>
      </c>
      <c r="U25" s="217">
        <v>129781</v>
      </c>
      <c r="V25" s="217">
        <v>2176</v>
      </c>
      <c r="W25" s="294">
        <v>374401</v>
      </c>
      <c r="X25" s="382" t="str">
        <f>"{"&amp;"'coin':"&amp;表1_8612182224267275[[#This Row],[补偿Coin]]&amp;",'"&amp;配置!$A$2&amp;"':"&amp;表1_8612182224267275[[#This Row],[补偿辎重]]&amp;"},"</f>
        <v>{'coin':1000,'item036':10},</v>
      </c>
      <c r="Y25" s="382" t="str">
        <f t="shared" ref="Y25" si="5">"      },"</f>
        <v>      },</v>
      </c>
    </row>
    <row r="26" ht="14.25" customHeight="1" spans="1:25">
      <c r="A26" s="367">
        <v>158</v>
      </c>
      <c r="B26" s="214">
        <f>VLOOKUP(表1_8612182224267275[[#This Row],[区服]],$P$41:$Q$52,2,FALSE)</f>
        <v>51</v>
      </c>
      <c r="C26" s="544" t="s">
        <v>141</v>
      </c>
      <c r="D26" s="216" t="str">
        <f>表1_8612182224267275[[#This Row],[目标国家]]</f>
        <v>魏</v>
      </c>
      <c r="E26" s="413">
        <f>(VLOOKUP(表1_8612182224267275[[#This Row],[目标区服]],$R$41:$S$45,2,FALSE)-表1_8612182224267275[[#This Row],[开服天数]])*配置!$B$1</f>
        <v>1500</v>
      </c>
      <c r="F26" s="217">
        <f>表1_8612182224267275[[#This Row],[补偿Coin]]*(表1_8612182224267275[[#This Row],[活跃高战玩家数]]+表1_8612182224267275[[#This Row],[活跃中坚玩家数]])</f>
        <v>51000</v>
      </c>
      <c r="G26" s="368">
        <f>(VLOOKUP(表1_8612182224267275[[#This Row],[目标区服]],$R$41:$S$45,2,FALSE)-表1_8612182224267275[[#This Row],[开服天数]])*配置!$B$2</f>
        <v>15</v>
      </c>
      <c r="H26" s="216" t="s">
        <v>25</v>
      </c>
      <c r="I26" s="377">
        <f>IF(表1_8612182224267275[[#This Row],[原国家]]="魏",0,IF(表1_8612182224267275[[#This Row],[原国家]]="蜀",1,2))</f>
        <v>0</v>
      </c>
      <c r="J26" s="217">
        <v>3</v>
      </c>
      <c r="K26" s="217">
        <v>140</v>
      </c>
      <c r="L26" s="217">
        <v>4</v>
      </c>
      <c r="M26" s="217">
        <v>30</v>
      </c>
      <c r="N26" s="217">
        <v>117106</v>
      </c>
      <c r="O26" s="378">
        <v>3834263</v>
      </c>
      <c r="P26" s="334">
        <v>39845824</v>
      </c>
      <c r="Q26" s="247" t="s">
        <v>25</v>
      </c>
      <c r="R26" s="216">
        <f>IF(表1_8612182224267275[[#This Row],[目标国家]]="魏",0,IF(表1_8612182224267275[[#This Row],[目标国家]]="蜀",1,2))</f>
        <v>0</v>
      </c>
      <c r="S26" s="217">
        <v>178622</v>
      </c>
      <c r="T26" s="217">
        <v>0</v>
      </c>
      <c r="U26" s="217">
        <v>899013</v>
      </c>
      <c r="V26" s="217">
        <v>15912</v>
      </c>
      <c r="W26" s="488">
        <v>1136718</v>
      </c>
      <c r="X26" s="382" t="str">
        <f>"{"&amp;"'coin':"&amp;表1_8612182224267275[[#This Row],[补偿Coin]]&amp;",'"&amp;配置!$A$2&amp;"':"&amp;表1_8612182224267275[[#This Row],[补偿辎重]]&amp;"},"</f>
        <v>{'coin':1500,'item036':15},</v>
      </c>
      <c r="Y26" s="382" t="str">
        <f>"      '"&amp;表1_8612182224267275[[#This Row],[区服]]&amp;"':{"</f>
        <v>      '158':{</v>
      </c>
    </row>
    <row r="27" ht="14.25" customHeight="1" spans="1:25">
      <c r="A27" s="367">
        <v>158</v>
      </c>
      <c r="B27" s="214">
        <f>VLOOKUP(表1_8612182224267275[[#This Row],[区服]],$P$41:$Q$52,2,FALSE)</f>
        <v>51</v>
      </c>
      <c r="C27" s="544" t="s">
        <v>141</v>
      </c>
      <c r="D27" s="216" t="str">
        <f>表1_8612182224267275[[#This Row],[目标国家]]</f>
        <v>吴</v>
      </c>
      <c r="E27" s="413">
        <f>(VLOOKUP(表1_8612182224267275[[#This Row],[目标区服]],$R$41:$S$45,2,FALSE)-表1_8612182224267275[[#This Row],[开服天数]])*配置!$B$1</f>
        <v>1500</v>
      </c>
      <c r="F27" s="217">
        <f>表1_8612182224267275[[#This Row],[补偿Coin]]*(表1_8612182224267275[[#This Row],[活跃高战玩家数]]+表1_8612182224267275[[#This Row],[活跃中坚玩家数]])</f>
        <v>51000</v>
      </c>
      <c r="G27" s="368">
        <f>(VLOOKUP(表1_8612182224267275[[#This Row],[目标区服]],$R$41:$S$45,2,FALSE)-表1_8612182224267275[[#This Row],[开服天数]])*配置!$B$2</f>
        <v>15</v>
      </c>
      <c r="H27" s="216" t="s">
        <v>26</v>
      </c>
      <c r="I27" s="377">
        <f>IF(表1_8612182224267275[[#This Row],[原国家]]="魏",0,IF(表1_8612182224267275[[#This Row],[原国家]]="蜀",1,2))</f>
        <v>1</v>
      </c>
      <c r="J27" s="217">
        <v>4</v>
      </c>
      <c r="K27" s="217">
        <v>182</v>
      </c>
      <c r="L27" s="217">
        <v>4</v>
      </c>
      <c r="M27" s="217">
        <v>30</v>
      </c>
      <c r="N27" s="217">
        <v>126362</v>
      </c>
      <c r="O27" s="378">
        <v>4248157</v>
      </c>
      <c r="P27" s="334">
        <v>43176595</v>
      </c>
      <c r="Q27" s="247" t="s">
        <v>27</v>
      </c>
      <c r="R27" s="216">
        <f>IF(表1_8612182224267275[[#This Row],[目标国家]]="魏",0,IF(表1_8612182224267275[[#This Row],[目标国家]]="蜀",1,2))</f>
        <v>2</v>
      </c>
      <c r="S27" s="217">
        <v>202282</v>
      </c>
      <c r="T27" s="217">
        <v>328</v>
      </c>
      <c r="U27" s="217">
        <v>676172</v>
      </c>
      <c r="V27" s="217">
        <v>17827</v>
      </c>
      <c r="W27" s="294">
        <v>1120667</v>
      </c>
      <c r="X27" s="382" t="str">
        <f>"{"&amp;"'coin':"&amp;表1_8612182224267275[[#This Row],[补偿Coin]]&amp;",'"&amp;配置!$A$2&amp;"':"&amp;表1_8612182224267275[[#This Row],[补偿辎重]]&amp;"},"</f>
        <v>{'coin':1500,'item036':15},</v>
      </c>
      <c r="Y27" s="382" t="str">
        <f>"            'to_zone':'"&amp;表1_8612182224267275[[#This Row],[目标区服]]&amp;"',
            'reward':"&amp;表1_8612182224267275[[#This Row],[辅助导出]]&amp;"
            'country':["&amp;R26&amp;","&amp;R27&amp;","&amp;R28&amp;"],"</f>
        <v>            'to_zone':'h1_68',
            'reward':{'coin':1500,'item036':15},
            'country':[0,2,0],</v>
      </c>
    </row>
    <row r="28" ht="14.25" customHeight="1" spans="1:25">
      <c r="A28" s="571">
        <v>158</v>
      </c>
      <c r="B28" s="572">
        <f>VLOOKUP(表1_8612182224267275[[#This Row],[区服]],$P$41:$Q$52,2,FALSE)</f>
        <v>51</v>
      </c>
      <c r="C28" s="573" t="s">
        <v>141</v>
      </c>
      <c r="D28" s="574" t="str">
        <f>表1_8612182224267275[[#This Row],[目标国家]]</f>
        <v>魏</v>
      </c>
      <c r="E28" s="575">
        <f>(VLOOKUP(表1_8612182224267275[[#This Row],[目标区服]],$R$41:$S$45,2,FALSE)-表1_8612182224267275[[#This Row],[开服天数]])*配置!$B$1</f>
        <v>1500</v>
      </c>
      <c r="F28" s="576">
        <f>表1_8612182224267275[[#This Row],[补偿Coin]]*(表1_8612182224267275[[#This Row],[活跃高战玩家数]]+表1_8612182224267275[[#This Row],[活跃中坚玩家数]])</f>
        <v>21000</v>
      </c>
      <c r="G28" s="577">
        <f>(VLOOKUP(表1_8612182224267275[[#This Row],[目标区服]],$R$41:$S$45,2,FALSE)-表1_8612182224267275[[#This Row],[开服天数]])*配置!$B$2</f>
        <v>15</v>
      </c>
      <c r="H28" s="574" t="s">
        <v>27</v>
      </c>
      <c r="I28" s="581">
        <f>IF(表1_8612182224267275[[#This Row],[原国家]]="魏",0,IF(表1_8612182224267275[[#This Row],[原国家]]="蜀",1,2))</f>
        <v>2</v>
      </c>
      <c r="J28" s="576">
        <v>2</v>
      </c>
      <c r="K28" s="576">
        <v>73</v>
      </c>
      <c r="L28" s="576">
        <v>2</v>
      </c>
      <c r="M28" s="576">
        <v>12</v>
      </c>
      <c r="N28" s="576">
        <v>58653</v>
      </c>
      <c r="O28" s="582">
        <v>2825863</v>
      </c>
      <c r="P28" s="583">
        <v>16494894</v>
      </c>
      <c r="Q28" s="585" t="s">
        <v>25</v>
      </c>
      <c r="R28" s="216">
        <f>IF(表1_8612182224267275[[#This Row],[目标国家]]="魏",0,IF(表1_8612182224267275[[#This Row],[目标国家]]="蜀",1,2))</f>
        <v>0</v>
      </c>
      <c r="S28" s="576">
        <v>71298</v>
      </c>
      <c r="T28" s="576">
        <v>0</v>
      </c>
      <c r="U28" s="576">
        <v>229800</v>
      </c>
      <c r="V28" s="576">
        <v>7952</v>
      </c>
      <c r="W28" s="488">
        <v>794398</v>
      </c>
      <c r="X28" s="586" t="str">
        <f>"{"&amp;"'coin':"&amp;表1_8612182224267275[[#This Row],[补偿Coin]]&amp;",'"&amp;配置!$A$2&amp;"':"&amp;表1_8612182224267275[[#This Row],[补偿辎重]]&amp;"},"</f>
        <v>{'coin':1500,'item036':15},</v>
      </c>
      <c r="Y28" s="382" t="str">
        <f t="shared" ref="Y28" si="6">"      },"</f>
        <v>      },</v>
      </c>
    </row>
    <row r="29" ht="15.75" customHeight="1" spans="1:25">
      <c r="A29" s="375">
        <v>159</v>
      </c>
      <c r="B29" s="578">
        <f>VLOOKUP(表1_8612182224267275[[#This Row],[区服]],$P$41:$Q$52,2,FALSE)</f>
        <v>50</v>
      </c>
      <c r="C29" s="579" t="s">
        <v>142</v>
      </c>
      <c r="D29" s="376" t="str">
        <f>表1_8612182224267275[[#This Row],[目标国家]]</f>
        <v>魏</v>
      </c>
      <c r="E29" s="499">
        <f>(VLOOKUP(表1_8612182224267275[[#This Row],[目标区服]],$R$41:$S$45,2,FALSE)-表1_8612182224267275[[#This Row],[开服天数]])*配置!$B$1</f>
        <v>1000</v>
      </c>
      <c r="F29" s="380">
        <f>表1_8612182224267275[[#This Row],[补偿Coin]]*(表1_8612182224267275[[#This Row],[活跃高战玩家数]]+表1_8612182224267275[[#This Row],[活跃中坚玩家数]])</f>
        <v>24000</v>
      </c>
      <c r="G29" s="490">
        <f>(VLOOKUP(表1_8612182224267275[[#This Row],[目标区服]],$R$41:$S$45,2,FALSE)-表1_8612182224267275[[#This Row],[开服天数]])*配置!$B$2</f>
        <v>10</v>
      </c>
      <c r="H29" s="376" t="s">
        <v>25</v>
      </c>
      <c r="I29" s="491">
        <f>IF(表1_8612182224267275[[#This Row],[原国家]]="魏",0,IF(表1_8612182224267275[[#This Row],[原国家]]="蜀",1,2))</f>
        <v>0</v>
      </c>
      <c r="J29" s="380">
        <v>7</v>
      </c>
      <c r="K29" s="380">
        <v>267</v>
      </c>
      <c r="L29" s="380">
        <v>8</v>
      </c>
      <c r="M29" s="380">
        <v>16</v>
      </c>
      <c r="N29" s="380">
        <v>146308</v>
      </c>
      <c r="O29" s="492">
        <v>3341843</v>
      </c>
      <c r="P29" s="381">
        <v>27540589</v>
      </c>
      <c r="Q29" s="493" t="s">
        <v>25</v>
      </c>
      <c r="R29" s="587">
        <f>IF(表1_8612182224267275[[#This Row],[目标国家]]="魏",0,IF(表1_8612182224267275[[#This Row],[目标国家]]="蜀",1,2))</f>
        <v>0</v>
      </c>
      <c r="S29" s="380">
        <v>70296</v>
      </c>
      <c r="T29" s="380">
        <v>0</v>
      </c>
      <c r="U29" s="380">
        <v>799926</v>
      </c>
      <c r="V29" s="380">
        <v>12706</v>
      </c>
      <c r="W29" s="505">
        <v>915405</v>
      </c>
      <c r="X29" s="494" t="str">
        <f>"{"&amp;"'coin':"&amp;表1_8612182224267275[[#This Row],[补偿Coin]]&amp;",'"&amp;配置!$A$2&amp;"':"&amp;表1_8612182224267275[[#This Row],[补偿辎重]]&amp;"},"</f>
        <v>{'coin':1000,'item036':10},</v>
      </c>
      <c r="Y29" s="494" t="str">
        <f>"      '"&amp;表1_8612182224267275[[#This Row],[区服]]&amp;"':{"</f>
        <v>      '159':{</v>
      </c>
    </row>
    <row r="30" ht="14.25" customHeight="1" spans="1:25">
      <c r="A30" s="375">
        <v>159</v>
      </c>
      <c r="B30" s="578">
        <f>VLOOKUP(表1_8612182224267275[[#This Row],[区服]],$P$41:$Q$52,2,FALSE)</f>
        <v>50</v>
      </c>
      <c r="C30" s="579" t="s">
        <v>142</v>
      </c>
      <c r="D30" s="376" t="str">
        <f>表1_8612182224267275[[#This Row],[目标国家]]</f>
        <v>魏</v>
      </c>
      <c r="E30" s="499">
        <f>(VLOOKUP(表1_8612182224267275[[#This Row],[目标区服]],$R$41:$S$45,2,FALSE)-表1_8612182224267275[[#This Row],[开服天数]])*配置!$B$1</f>
        <v>1000</v>
      </c>
      <c r="F30" s="380">
        <f>表1_8612182224267275[[#This Row],[补偿Coin]]*(表1_8612182224267275[[#This Row],[活跃高战玩家数]]+表1_8612182224267275[[#This Row],[活跃中坚玩家数]])</f>
        <v>9000</v>
      </c>
      <c r="G30" s="490">
        <f>(VLOOKUP(表1_8612182224267275[[#This Row],[目标区服]],$R$41:$S$45,2,FALSE)-表1_8612182224267275[[#This Row],[开服天数]])*配置!$B$2</f>
        <v>10</v>
      </c>
      <c r="H30" s="376" t="s">
        <v>26</v>
      </c>
      <c r="I30" s="491">
        <f>IF(表1_8612182224267275[[#This Row],[原国家]]="魏",0,IF(表1_8612182224267275[[#This Row],[原国家]]="蜀",1,2))</f>
        <v>1</v>
      </c>
      <c r="J30" s="380">
        <v>0</v>
      </c>
      <c r="K30" s="380">
        <v>38</v>
      </c>
      <c r="L30" s="380">
        <v>0</v>
      </c>
      <c r="M30" s="380">
        <v>9</v>
      </c>
      <c r="N30" s="380">
        <v>33085</v>
      </c>
      <c r="O30" s="492">
        <v>1060343</v>
      </c>
      <c r="P30" s="381">
        <v>5705722</v>
      </c>
      <c r="Q30" s="493" t="s">
        <v>25</v>
      </c>
      <c r="R30" s="587">
        <f>IF(表1_8612182224267275[[#This Row],[目标国家]]="魏",0,IF(表1_8612182224267275[[#This Row],[目标国家]]="蜀",1,2))</f>
        <v>0</v>
      </c>
      <c r="S30" s="380">
        <v>5660</v>
      </c>
      <c r="T30" s="380">
        <v>0</v>
      </c>
      <c r="U30" s="380">
        <v>41274</v>
      </c>
      <c r="V30" s="380">
        <v>2366</v>
      </c>
      <c r="W30" s="505">
        <v>329156</v>
      </c>
      <c r="X30" s="494" t="str">
        <f>"{"&amp;"'coin':"&amp;表1_8612182224267275[[#This Row],[补偿Coin]]&amp;",'"&amp;配置!$A$2&amp;"':"&amp;表1_8612182224267275[[#This Row],[补偿辎重]]&amp;"},"</f>
        <v>{'coin':1000,'item036':10},</v>
      </c>
      <c r="Y30" s="494" t="str">
        <f>"            'to_zone':'"&amp;表1_8612182224267275[[#This Row],[目标区服]]&amp;"',
            'reward':"&amp;表1_8612182224267275[[#This Row],[辅助导出]]&amp;"
            'country':["&amp;R29&amp;","&amp;R30&amp;","&amp;R31&amp;"],"</f>
        <v>            'to_zone':'h1_69',
            'reward':{'coin':1000,'item036':10},
            'country':[0,0,0],</v>
      </c>
    </row>
    <row r="31" ht="14.25" customHeight="1" spans="1:25">
      <c r="A31" s="375">
        <v>159</v>
      </c>
      <c r="B31" s="578">
        <f>VLOOKUP(表1_8612182224267275[[#This Row],[区服]],$P$41:$Q$52,2,FALSE)</f>
        <v>50</v>
      </c>
      <c r="C31" s="579" t="s">
        <v>142</v>
      </c>
      <c r="D31" s="376" t="str">
        <f>表1_8612182224267275[[#This Row],[目标国家]]</f>
        <v>魏</v>
      </c>
      <c r="E31" s="499">
        <f>(VLOOKUP(表1_8612182224267275[[#This Row],[目标区服]],$R$41:$S$45,2,FALSE)-表1_8612182224267275[[#This Row],[开服天数]])*配置!$B$1</f>
        <v>1000</v>
      </c>
      <c r="F31" s="380">
        <f>表1_8612182224267275[[#This Row],[补偿Coin]]*(表1_8612182224267275[[#This Row],[活跃高战玩家数]]+表1_8612182224267275[[#This Row],[活跃中坚玩家数]])</f>
        <v>16000</v>
      </c>
      <c r="G31" s="490">
        <f>(VLOOKUP(表1_8612182224267275[[#This Row],[目标区服]],$R$41:$S$45,2,FALSE)-表1_8612182224267275[[#This Row],[开服天数]])*配置!$B$2</f>
        <v>10</v>
      </c>
      <c r="H31" s="376" t="s">
        <v>27</v>
      </c>
      <c r="I31" s="491">
        <f>IF(表1_8612182224267275[[#This Row],[原国家]]="魏",0,IF(表1_8612182224267275[[#This Row],[原国家]]="蜀",1,2))</f>
        <v>2</v>
      </c>
      <c r="J31" s="380">
        <v>2</v>
      </c>
      <c r="K31" s="380">
        <v>90</v>
      </c>
      <c r="L31" s="380">
        <v>2</v>
      </c>
      <c r="M31" s="380">
        <v>14</v>
      </c>
      <c r="N31" s="380">
        <v>86960</v>
      </c>
      <c r="O31" s="492">
        <v>2326636</v>
      </c>
      <c r="P31" s="381">
        <v>14804375</v>
      </c>
      <c r="Q31" s="493" t="s">
        <v>25</v>
      </c>
      <c r="R31" s="587">
        <f>IF(表1_8612182224267275[[#This Row],[目标国家]]="魏",0,IF(表1_8612182224267275[[#This Row],[目标国家]]="蜀",1,2))</f>
        <v>0</v>
      </c>
      <c r="S31" s="380">
        <v>22276</v>
      </c>
      <c r="T31" s="380">
        <v>0</v>
      </c>
      <c r="U31" s="380">
        <v>206624</v>
      </c>
      <c r="V31" s="380">
        <v>6113</v>
      </c>
      <c r="W31" s="505">
        <v>787216</v>
      </c>
      <c r="X31" s="494" t="str">
        <f>"{"&amp;"'coin':"&amp;表1_8612182224267275[[#This Row],[补偿Coin]]&amp;",'"&amp;配置!$A$2&amp;"':"&amp;表1_8612182224267275[[#This Row],[补偿辎重]]&amp;"},"</f>
        <v>{'coin':1000,'item036':10},</v>
      </c>
      <c r="Y31" s="494" t="str">
        <f t="shared" ref="Y31" si="7">"      },"</f>
        <v>      },</v>
      </c>
    </row>
    <row r="32" ht="14.25" customHeight="1" spans="1:25">
      <c r="A32" s="375">
        <v>160</v>
      </c>
      <c r="B32" s="578">
        <f>VLOOKUP(表1_8612182224267275[[#This Row],[区服]],$P$41:$Q$52,2,FALSE)</f>
        <v>50</v>
      </c>
      <c r="C32" s="579" t="s">
        <v>142</v>
      </c>
      <c r="D32" s="376" t="str">
        <f>表1_8612182224267275[[#This Row],[目标国家]]</f>
        <v>吴</v>
      </c>
      <c r="E32" s="499">
        <f>(VLOOKUP(表1_8612182224267275[[#This Row],[目标区服]],$R$41:$S$45,2,FALSE)-表1_8612182224267275[[#This Row],[开服天数]])*配置!$B$1</f>
        <v>1000</v>
      </c>
      <c r="F32" s="380">
        <f>表1_8612182224267275[[#This Row],[补偿Coin]]*(表1_8612182224267275[[#This Row],[活跃高战玩家数]]+表1_8612182224267275[[#This Row],[活跃中坚玩家数]])</f>
        <v>16000</v>
      </c>
      <c r="G32" s="490">
        <f>(VLOOKUP(表1_8612182224267275[[#This Row],[目标区服]],$R$41:$S$45,2,FALSE)-表1_8612182224267275[[#This Row],[开服天数]])*配置!$B$2</f>
        <v>10</v>
      </c>
      <c r="H32" s="376" t="s">
        <v>25</v>
      </c>
      <c r="I32" s="491">
        <f>IF(表1_8612182224267275[[#This Row],[原国家]]="魏",0,IF(表1_8612182224267275[[#This Row],[原国家]]="蜀",1,2))</f>
        <v>0</v>
      </c>
      <c r="J32" s="380">
        <v>1</v>
      </c>
      <c r="K32" s="380">
        <v>69</v>
      </c>
      <c r="L32" s="380">
        <v>1</v>
      </c>
      <c r="M32" s="380">
        <v>15</v>
      </c>
      <c r="N32" s="380">
        <v>66697</v>
      </c>
      <c r="O32" s="492">
        <v>1227126</v>
      </c>
      <c r="P32" s="381">
        <v>10103989</v>
      </c>
      <c r="Q32" s="493" t="s">
        <v>27</v>
      </c>
      <c r="R32" s="587">
        <f>IF(表1_8612182224267275[[#This Row],[目标国家]]="魏",0,IF(表1_8612182224267275[[#This Row],[目标国家]]="蜀",1,2))</f>
        <v>2</v>
      </c>
      <c r="S32" s="380">
        <v>9010</v>
      </c>
      <c r="T32" s="380">
        <v>0</v>
      </c>
      <c r="U32" s="380">
        <v>64916</v>
      </c>
      <c r="V32" s="380">
        <v>3663</v>
      </c>
      <c r="W32" s="505">
        <v>777862</v>
      </c>
      <c r="X32" s="494" t="str">
        <f>"{"&amp;"'coin':"&amp;表1_8612182224267275[[#This Row],[补偿Coin]]&amp;",'"&amp;配置!$A$2&amp;"':"&amp;表1_8612182224267275[[#This Row],[补偿辎重]]&amp;"},"</f>
        <v>{'coin':1000,'item036':10},</v>
      </c>
      <c r="Y32" s="494" t="str">
        <f>"      '"&amp;表1_8612182224267275[[#This Row],[区服]]&amp;"':{"</f>
        <v>      '160':{</v>
      </c>
    </row>
    <row r="33" ht="14.25" customHeight="1" spans="1:25">
      <c r="A33" s="375">
        <v>160</v>
      </c>
      <c r="B33" s="578">
        <f>VLOOKUP(表1_8612182224267275[[#This Row],[区服]],$P$41:$Q$52,2,FALSE)</f>
        <v>50</v>
      </c>
      <c r="C33" s="579" t="s">
        <v>142</v>
      </c>
      <c r="D33" s="376" t="str">
        <f>表1_8612182224267275[[#This Row],[目标国家]]</f>
        <v>吴</v>
      </c>
      <c r="E33" s="499">
        <f>(VLOOKUP(表1_8612182224267275[[#This Row],[目标区服]],$R$41:$S$45,2,FALSE)-表1_8612182224267275[[#This Row],[开服天数]])*配置!$B$1</f>
        <v>1000</v>
      </c>
      <c r="F33" s="380">
        <f>表1_8612182224267275[[#This Row],[补偿Coin]]*(表1_8612182224267275[[#This Row],[活跃高战玩家数]]+表1_8612182224267275[[#This Row],[活跃中坚玩家数]])</f>
        <v>17000</v>
      </c>
      <c r="G33" s="490">
        <f>(VLOOKUP(表1_8612182224267275[[#This Row],[目标区服]],$R$41:$S$45,2,FALSE)-表1_8612182224267275[[#This Row],[开服天数]])*配置!$B$2</f>
        <v>10</v>
      </c>
      <c r="H33" s="376" t="s">
        <v>26</v>
      </c>
      <c r="I33" s="491">
        <f>IF(表1_8612182224267275[[#This Row],[原国家]]="魏",0,IF(表1_8612182224267275[[#This Row],[原国家]]="蜀",1,2))</f>
        <v>1</v>
      </c>
      <c r="J33" s="380">
        <v>6</v>
      </c>
      <c r="K33" s="380">
        <v>233</v>
      </c>
      <c r="L33" s="380">
        <v>6</v>
      </c>
      <c r="M33" s="380">
        <v>11</v>
      </c>
      <c r="N33" s="380">
        <v>105162</v>
      </c>
      <c r="O33" s="492">
        <v>2482310</v>
      </c>
      <c r="P33" s="381">
        <v>17361014</v>
      </c>
      <c r="Q33" s="493" t="s">
        <v>27</v>
      </c>
      <c r="R33" s="587">
        <f>IF(表1_8612182224267275[[#This Row],[目标国家]]="魏",0,IF(表1_8612182224267275[[#This Row],[目标国家]]="蜀",1,2))</f>
        <v>2</v>
      </c>
      <c r="S33" s="380">
        <v>70660</v>
      </c>
      <c r="T33" s="380">
        <v>0</v>
      </c>
      <c r="U33" s="380">
        <v>179056</v>
      </c>
      <c r="V33" s="380">
        <v>9883</v>
      </c>
      <c r="W33" s="505">
        <v>736512</v>
      </c>
      <c r="X33" s="494" t="str">
        <f>"{"&amp;"'coin':"&amp;表1_8612182224267275[[#This Row],[补偿Coin]]&amp;",'"&amp;配置!$A$2&amp;"':"&amp;表1_8612182224267275[[#This Row],[补偿辎重]]&amp;"},"</f>
        <v>{'coin':1000,'item036':10},</v>
      </c>
      <c r="Y33" s="494" t="str">
        <f>"            'to_zone':'"&amp;表1_8612182224267275[[#This Row],[目标区服]]&amp;"',
            'reward':"&amp;表1_8612182224267275[[#This Row],[辅助导出]]&amp;"
            'country':["&amp;R32&amp;","&amp;R33&amp;","&amp;R34&amp;"],"</f>
        <v>            'to_zone':'h1_69',
            'reward':{'coin':1000,'item036':10},
            'country':[2,2,2],</v>
      </c>
    </row>
    <row r="34" ht="14.25" customHeight="1" spans="1:25">
      <c r="A34" s="375">
        <v>160</v>
      </c>
      <c r="B34" s="578">
        <f>VLOOKUP(表1_8612182224267275[[#This Row],[区服]],$P$41:$Q$52,2,FALSE)</f>
        <v>50</v>
      </c>
      <c r="C34" s="579" t="s">
        <v>142</v>
      </c>
      <c r="D34" s="376" t="str">
        <f>表1_8612182224267275[[#This Row],[目标国家]]</f>
        <v>吴</v>
      </c>
      <c r="E34" s="499">
        <f>(VLOOKUP(表1_8612182224267275[[#This Row],[目标区服]],$R$41:$S$45,2,FALSE)-表1_8612182224267275[[#This Row],[开服天数]])*配置!$B$1</f>
        <v>1000</v>
      </c>
      <c r="F34" s="380">
        <f>表1_8612182224267275[[#This Row],[补偿Coin]]*(表1_8612182224267275[[#This Row],[活跃高战玩家数]]+表1_8612182224267275[[#This Row],[活跃中坚玩家数]])</f>
        <v>14000</v>
      </c>
      <c r="G34" s="490">
        <f>(VLOOKUP(表1_8612182224267275[[#This Row],[目标区服]],$R$41:$S$45,2,FALSE)-表1_8612182224267275[[#This Row],[开服天数]])*配置!$B$2</f>
        <v>10</v>
      </c>
      <c r="H34" s="376" t="s">
        <v>27</v>
      </c>
      <c r="I34" s="491">
        <f>IF(表1_8612182224267275[[#This Row],[原国家]]="魏",0,IF(表1_8612182224267275[[#This Row],[原国家]]="蜀",1,2))</f>
        <v>2</v>
      </c>
      <c r="J34" s="380">
        <v>2</v>
      </c>
      <c r="K34" s="380">
        <v>93</v>
      </c>
      <c r="L34" s="380">
        <v>1</v>
      </c>
      <c r="M34" s="380">
        <v>13</v>
      </c>
      <c r="N34" s="380">
        <v>66015</v>
      </c>
      <c r="O34" s="492">
        <v>1384024</v>
      </c>
      <c r="P34" s="381">
        <v>9922633</v>
      </c>
      <c r="Q34" s="588" t="s">
        <v>27</v>
      </c>
      <c r="R34" s="587">
        <f>IF(表1_8612182224267275[[#This Row],[目标国家]]="魏",0,IF(表1_8612182224267275[[#This Row],[目标国家]]="蜀",1,2))</f>
        <v>2</v>
      </c>
      <c r="S34" s="380">
        <v>9834</v>
      </c>
      <c r="T34" s="380">
        <v>0</v>
      </c>
      <c r="U34" s="380">
        <v>73019</v>
      </c>
      <c r="V34" s="380">
        <v>4167</v>
      </c>
      <c r="W34" s="374">
        <v>441346</v>
      </c>
      <c r="X34" s="494" t="str">
        <f>"{"&amp;"'coin':"&amp;表1_8612182224267275[[#This Row],[补偿Coin]]&amp;",'"&amp;配置!$A$2&amp;"':"&amp;表1_8612182224267275[[#This Row],[补偿辎重]]&amp;"},"</f>
        <v>{'coin':1000,'item036':10},</v>
      </c>
      <c r="Y34" s="494" t="str">
        <f t="shared" ref="Y34" si="8">"      },"</f>
        <v>      },</v>
      </c>
    </row>
    <row r="35" ht="14.25" customHeight="1" spans="1:25">
      <c r="A35" s="375">
        <v>161</v>
      </c>
      <c r="B35" s="578">
        <f>VLOOKUP(表1_8612182224267275[[#This Row],[区服]],$P$41:$Q$52,2,FALSE)</f>
        <v>49</v>
      </c>
      <c r="C35" s="579" t="s">
        <v>142</v>
      </c>
      <c r="D35" s="376" t="str">
        <f>表1_8612182224267275[[#This Row],[目标国家]]</f>
        <v>蜀</v>
      </c>
      <c r="E35" s="499">
        <f>(VLOOKUP(表1_8612182224267275[[#This Row],[目标区服]],$R$41:$S$45,2,FALSE)-表1_8612182224267275[[#This Row],[开服天数]])*配置!$B$1</f>
        <v>1500</v>
      </c>
      <c r="F35" s="380">
        <f>表1_8612182224267275[[#This Row],[补偿Coin]]*(表1_8612182224267275[[#This Row],[活跃高战玩家数]]+表1_8612182224267275[[#This Row],[活跃中坚玩家数]])</f>
        <v>15000</v>
      </c>
      <c r="G35" s="490">
        <f>(VLOOKUP(表1_8612182224267275[[#This Row],[目标区服]],$R$41:$S$45,2,FALSE)-表1_8612182224267275[[#This Row],[开服天数]])*配置!$B$2</f>
        <v>15</v>
      </c>
      <c r="H35" s="376" t="s">
        <v>25</v>
      </c>
      <c r="I35" s="491">
        <f>IF(表1_8612182224267275[[#This Row],[原国家]]="魏",0,IF(表1_8612182224267275[[#This Row],[原国家]]="蜀",1,2))</f>
        <v>0</v>
      </c>
      <c r="J35" s="380">
        <v>0</v>
      </c>
      <c r="K35" s="380">
        <v>17</v>
      </c>
      <c r="L35" s="380">
        <v>1</v>
      </c>
      <c r="M35" s="380">
        <v>9</v>
      </c>
      <c r="N35" s="380">
        <v>30730</v>
      </c>
      <c r="O35" s="492">
        <v>1476705</v>
      </c>
      <c r="P35" s="381">
        <v>5183134</v>
      </c>
      <c r="Q35" s="493" t="s">
        <v>26</v>
      </c>
      <c r="R35" s="587">
        <f>IF(表1_8612182224267275[[#This Row],[目标国家]]="魏",0,IF(表1_8612182224267275[[#This Row],[目标国家]]="蜀",1,2))</f>
        <v>1</v>
      </c>
      <c r="S35" s="380">
        <v>2118</v>
      </c>
      <c r="T35" s="380">
        <v>0</v>
      </c>
      <c r="U35" s="380">
        <v>153085</v>
      </c>
      <c r="V35" s="380">
        <v>2458</v>
      </c>
      <c r="W35" s="505">
        <v>636312</v>
      </c>
      <c r="X35" s="494" t="str">
        <f>"{"&amp;"'coin':"&amp;表1_8612182224267275[[#This Row],[补偿Coin]]&amp;",'"&amp;配置!$A$2&amp;"':"&amp;表1_8612182224267275[[#This Row],[补偿辎重]]&amp;"},"</f>
        <v>{'coin':1500,'item036':15},</v>
      </c>
      <c r="Y35" s="494" t="str">
        <f>"      '"&amp;表1_8612182224267275[[#This Row],[区服]]&amp;"':{"</f>
        <v>      '161':{</v>
      </c>
    </row>
    <row r="36" ht="14.25" customHeight="1" spans="1:25">
      <c r="A36" s="375">
        <v>161</v>
      </c>
      <c r="B36" s="578">
        <f>VLOOKUP(表1_8612182224267275[[#This Row],[区服]],$P$41:$Q$52,2,FALSE)</f>
        <v>49</v>
      </c>
      <c r="C36" s="579" t="s">
        <v>142</v>
      </c>
      <c r="D36" s="376" t="str">
        <f>表1_8612182224267275[[#This Row],[目标国家]]</f>
        <v>蜀</v>
      </c>
      <c r="E36" s="499">
        <f>(VLOOKUP(表1_8612182224267275[[#This Row],[目标区服]],$R$41:$S$45,2,FALSE)-表1_8612182224267275[[#This Row],[开服天数]])*配置!$B$1</f>
        <v>1500</v>
      </c>
      <c r="F36" s="380">
        <f>表1_8612182224267275[[#This Row],[补偿Coin]]*(表1_8612182224267275[[#This Row],[活跃高战玩家数]]+表1_8612182224267275[[#This Row],[活跃中坚玩家数]])</f>
        <v>43500</v>
      </c>
      <c r="G36" s="490">
        <f>(VLOOKUP(表1_8612182224267275[[#This Row],[目标区服]],$R$41:$S$45,2,FALSE)-表1_8612182224267275[[#This Row],[开服天数]])*配置!$B$2</f>
        <v>15</v>
      </c>
      <c r="H36" s="376" t="s">
        <v>26</v>
      </c>
      <c r="I36" s="491">
        <f>IF(表1_8612182224267275[[#This Row],[原国家]]="魏",0,IF(表1_8612182224267275[[#This Row],[原国家]]="蜀",1,2))</f>
        <v>1</v>
      </c>
      <c r="J36" s="380">
        <v>9</v>
      </c>
      <c r="K36" s="380">
        <v>357</v>
      </c>
      <c r="L36" s="380">
        <v>8</v>
      </c>
      <c r="M36" s="380">
        <v>21</v>
      </c>
      <c r="N36" s="380">
        <v>167435</v>
      </c>
      <c r="O36" s="492">
        <v>3601906</v>
      </c>
      <c r="P36" s="381">
        <v>28424814</v>
      </c>
      <c r="Q36" s="493" t="s">
        <v>26</v>
      </c>
      <c r="R36" s="587">
        <f>IF(表1_8612182224267275[[#This Row],[目标国家]]="魏",0,IF(表1_8612182224267275[[#This Row],[目标国家]]="蜀",1,2))</f>
        <v>1</v>
      </c>
      <c r="S36" s="380">
        <v>132770</v>
      </c>
      <c r="T36" s="380">
        <v>0</v>
      </c>
      <c r="U36" s="380">
        <v>765703</v>
      </c>
      <c r="V36" s="380">
        <v>16117</v>
      </c>
      <c r="W36" s="505">
        <v>1081827</v>
      </c>
      <c r="X36" s="494" t="str">
        <f>"{"&amp;"'coin':"&amp;表1_8612182224267275[[#This Row],[补偿Coin]]&amp;",'"&amp;配置!$A$2&amp;"':"&amp;表1_8612182224267275[[#This Row],[补偿辎重]]&amp;"},"</f>
        <v>{'coin':1500,'item036':15},</v>
      </c>
      <c r="Y36" s="494" t="str">
        <f>"            'to_zone':'"&amp;表1_8612182224267275[[#This Row],[目标区服]]&amp;"',
            'reward':"&amp;表1_8612182224267275[[#This Row],[辅助导出]]&amp;"
            'country':["&amp;R35&amp;","&amp;R36&amp;","&amp;R37&amp;"],"</f>
        <v>            'to_zone':'h1_69',
            'reward':{'coin':1500,'item036':15},
            'country':[1,1,2],</v>
      </c>
    </row>
    <row r="37" ht="14.25" customHeight="1" spans="1:25">
      <c r="A37" s="375">
        <v>161</v>
      </c>
      <c r="B37" s="578">
        <f>VLOOKUP(表1_8612182224267275[[#This Row],[区服]],$P$41:$Q$52,2,FALSE)</f>
        <v>49</v>
      </c>
      <c r="C37" s="579" t="s">
        <v>142</v>
      </c>
      <c r="D37" s="376" t="str">
        <f>表1_8612182224267275[[#This Row],[目标国家]]</f>
        <v>吴</v>
      </c>
      <c r="E37" s="499">
        <f>(VLOOKUP(表1_8612182224267275[[#This Row],[目标区服]],$R$41:$S$45,2,FALSE)-表1_8612182224267275[[#This Row],[开服天数]])*配置!$B$1</f>
        <v>1500</v>
      </c>
      <c r="F37" s="380">
        <f>表1_8612182224267275[[#This Row],[补偿Coin]]*(表1_8612182224267275[[#This Row],[活跃高战玩家数]]+表1_8612182224267275[[#This Row],[活跃中坚玩家数]])</f>
        <v>10500</v>
      </c>
      <c r="G37" s="490">
        <f>(VLOOKUP(表1_8612182224267275[[#This Row],[目标区服]],$R$41:$S$45,2,FALSE)-表1_8612182224267275[[#This Row],[开服天数]])*配置!$B$2</f>
        <v>15</v>
      </c>
      <c r="H37" s="376" t="s">
        <v>27</v>
      </c>
      <c r="I37" s="491">
        <f>IF(表1_8612182224267275[[#This Row],[原国家]]="魏",0,IF(表1_8612182224267275[[#This Row],[原国家]]="蜀",1,2))</f>
        <v>2</v>
      </c>
      <c r="J37" s="380">
        <v>0</v>
      </c>
      <c r="K37" s="380">
        <v>21</v>
      </c>
      <c r="L37" s="380">
        <v>0</v>
      </c>
      <c r="M37" s="380">
        <v>7</v>
      </c>
      <c r="N37" s="380">
        <v>33784</v>
      </c>
      <c r="O37" s="492">
        <v>1198441</v>
      </c>
      <c r="P37" s="381">
        <v>5032277</v>
      </c>
      <c r="Q37" s="588" t="s">
        <v>27</v>
      </c>
      <c r="R37" s="587">
        <f>IF(表1_8612182224267275[[#This Row],[目标国家]]="魏",0,IF(表1_8612182224267275[[#This Row],[目标国家]]="蜀",1,2))</f>
        <v>2</v>
      </c>
      <c r="S37" s="380">
        <v>5588</v>
      </c>
      <c r="T37" s="380">
        <v>0</v>
      </c>
      <c r="U37" s="380">
        <v>118198</v>
      </c>
      <c r="V37" s="380">
        <v>2307</v>
      </c>
      <c r="W37" s="374">
        <v>464402</v>
      </c>
      <c r="X37" s="494" t="str">
        <f>"{"&amp;"'coin':"&amp;表1_8612182224267275[[#This Row],[补偿Coin]]&amp;",'"&amp;配置!$A$2&amp;"':"&amp;表1_8612182224267275[[#This Row],[补偿辎重]]&amp;"},"</f>
        <v>{'coin':1500,'item036':15},</v>
      </c>
      <c r="Y37" s="494" t="str">
        <f t="shared" ref="Y37" si="9">"      },"</f>
        <v>      },</v>
      </c>
    </row>
    <row r="40" ht="27" spans="1:19">
      <c r="A40" s="36" t="s">
        <v>28</v>
      </c>
      <c r="B40" s="37" t="s">
        <v>29</v>
      </c>
      <c r="C40" s="38" t="s">
        <v>30</v>
      </c>
      <c r="D40" s="38" t="s">
        <v>31</v>
      </c>
      <c r="E40" s="38" t="s">
        <v>32</v>
      </c>
      <c r="F40" s="38" t="s">
        <v>33</v>
      </c>
      <c r="G40" s="38" t="s">
        <v>15</v>
      </c>
      <c r="H40" s="37" t="s">
        <v>18</v>
      </c>
      <c r="I40" s="37" t="s">
        <v>19</v>
      </c>
      <c r="J40" s="37" t="s">
        <v>34</v>
      </c>
      <c r="K40" s="38" t="s">
        <v>35</v>
      </c>
      <c r="L40" s="38" t="s">
        <v>36</v>
      </c>
      <c r="M40" s="38" t="s">
        <v>37</v>
      </c>
      <c r="N40" s="38" t="s">
        <v>88</v>
      </c>
      <c r="P40" s="51" t="s">
        <v>0</v>
      </c>
      <c r="Q40" s="51" t="s">
        <v>1</v>
      </c>
      <c r="R40" s="51"/>
      <c r="S40" s="51" t="s">
        <v>38</v>
      </c>
    </row>
    <row r="41" ht="15" spans="1:19">
      <c r="A41" s="372" t="s">
        <v>138</v>
      </c>
      <c r="B41" s="39" t="s">
        <v>25</v>
      </c>
      <c r="C41" s="39">
        <f>COUNTIFS(表1_8612182224267275[目标区服],表2_9713192325277376[[#This Row],[合区区服]],表1_8612182224267275[目标国家（映射）],表2_9713192325277376[[#This Row],[国家]])</f>
        <v>2</v>
      </c>
      <c r="D41" s="39">
        <f>SUMIFS(表1_8612182224267275[活跃高战玩家数],表1_8612182224267275[目标区服],表2_9713192325277376[[#This Row],[合区区服]],表1_8612182224267275[目标国家（映射）],表2_9713192325277376[[#This Row],[国家]])</f>
        <v>8</v>
      </c>
      <c r="E41" s="39">
        <f>SUMIFS(表1_8612182224267275[活跃中坚玩家数],表1_8612182224267275[目标区服],表2_9713192325277376[[#This Row],[合区区服]],表1_8612182224267275[目标国家（映射）],表2_9713192325277376[[#This Row],[国家]])</f>
        <v>57</v>
      </c>
      <c r="F41" s="39">
        <f t="array" ref="F41">MAX((表1_8612182224267275[目标区服]=表2_9713192325277376[[#This Row],[合区区服]])*(表1_8612182224267275[目标国家（映射）]=表2_9713192325277376[[#This Row],[国家]])*表1_8612182224267275[活跃尖端战力])</f>
        <v>3309713</v>
      </c>
      <c r="G41" s="40">
        <f>SUMIFS(表1_8612182224267275[活跃总战力],表1_8612182224267275[目标区服],表2_9713192325277376[[#This Row],[合区区服]],表1_8612182224267275[目标国家（映射）],表2_9713192325277376[[#This Row],[国家]])</f>
        <v>67096012</v>
      </c>
      <c r="H41" s="39">
        <f>SUMIFS(表1_8612182224267275[活跃实际充值],表1_8612182224267275[目标区服],表2_9713192325277376[[#This Row],[合区区服]],表1_8612182224267275[目标国家（映射）],表2_9713192325277376[[#This Row],[国家]])</f>
        <v>126984</v>
      </c>
      <c r="I41" s="39">
        <f>SUMIFS(表1_8612182224267275[活跃虚拟充值],表1_8612182224267275[目标区服],表2_9713192325277376[[#This Row],[合区区服]],表1_8612182224267275[目标国家（映射）],表2_9713192325277376[[#This Row],[国家]])</f>
        <v>0</v>
      </c>
      <c r="J41" s="39">
        <f>SUMIFS(表1_8612182224267275[活跃Coin],表1_8612182224267275[目标区服],表2_9713192325277376[[#This Row],[合区区服]],表1_8612182224267275[目标国家（映射）],表2_9713192325277376[[#This Row],[国家]])</f>
        <v>1319835</v>
      </c>
      <c r="K41" s="39">
        <f>SUMIFS(表1_8612182224267275[共计补偿Coin],表1_8612182224267275[目标区服],表2_9713192325277376[[#This Row],[合区区服]],表1_8612182224267275[目标国家（映射）],表2_9713192325277376[[#This Row],[国家]])</f>
        <v>97500</v>
      </c>
      <c r="L41" s="39">
        <f>表2_9713192325277376[[#This Row],[活跃Coin]]+表2_9713192325277376[[#This Row],[共计补偿Coin]]</f>
        <v>1417335</v>
      </c>
      <c r="M41" s="39">
        <f>SUMIFS(表1_8612182224267275[综合国力],表1_8612182224267275[目标区服],表2_9713192325277376[[#This Row],[合区区服]],表1_8612182224267275[目标国家（映射）],表2_9713192325277376[[#This Row],[国家]])</f>
        <v>22128</v>
      </c>
      <c r="N41" s="39">
        <f t="array" ref="N41">MAX((表1_8612182224267275[目标区服]=表2_9713192325277376[[#This Row],[合区区服]])*(表1_8612182224267275[目标国家（映射）]=表2_9713192325277376[[#This Row],[国家]])*表1_8612182224267275[单将最高战力])</f>
        <v>1235446</v>
      </c>
      <c r="P41" s="51">
        <v>150</v>
      </c>
      <c r="Q41" s="51">
        <v>56</v>
      </c>
      <c r="R41" s="51" t="s">
        <v>138</v>
      </c>
      <c r="S41" s="51">
        <v>58</v>
      </c>
    </row>
    <row r="42" ht="15" spans="1:19">
      <c r="A42" s="372" t="s">
        <v>138</v>
      </c>
      <c r="B42" s="39" t="s">
        <v>26</v>
      </c>
      <c r="C42" s="39">
        <f>COUNTIFS(表1_8612182224267275[目标区服],表2_9713192325277376[[#This Row],[合区区服]],表1_8612182224267275[目标国家（映射）],表2_9713192325277376[[#This Row],[国家]])</f>
        <v>1</v>
      </c>
      <c r="D42" s="39">
        <f>SUMIFS(表1_8612182224267275[活跃高战玩家数],表1_8612182224267275[目标区服],表2_9713192325277376[[#This Row],[合区区服]],表1_8612182224267275[目标国家（映射）],表2_9713192325277376[[#This Row],[国家]])</f>
        <v>8</v>
      </c>
      <c r="E42" s="39">
        <f>SUMIFS(表1_8612182224267275[活跃中坚玩家数],表1_8612182224267275[目标区服],表2_9713192325277376[[#This Row],[合区区服]],表1_8612182224267275[目标国家（映射）],表2_9713192325277376[[#This Row],[国家]])</f>
        <v>42</v>
      </c>
      <c r="F42" s="39">
        <f t="array" ref="F42">MAX((表1_8612182224267275[目标区服]=表2_9713192325277376[[#This Row],[合区区服]])*(表1_8612182224267275[目标国家（映射）]=表2_9713192325277376[[#This Row],[国家]])*表1_8612182224267275[活跃尖端战力])</f>
        <v>4359133</v>
      </c>
      <c r="G42" s="40">
        <f>SUMIFS(表1_8612182224267275[活跃总战力],表1_8612182224267275[目标区服],表2_9713192325277376[[#This Row],[合区区服]],表1_8612182224267275[目标国家（映射）],表2_9713192325277376[[#This Row],[国家]])</f>
        <v>66187017</v>
      </c>
      <c r="H42" s="39">
        <f>SUMIFS(表1_8612182224267275[活跃实际充值],表1_8612182224267275[目标区服],表2_9713192325277376[[#This Row],[合区区服]],表1_8612182224267275[目标国家（映射）],表2_9713192325277376[[#This Row],[国家]])</f>
        <v>299186</v>
      </c>
      <c r="I42" s="39">
        <f>SUMIFS(表1_8612182224267275[活跃虚拟充值],表1_8612182224267275[目标区服],表2_9713192325277376[[#This Row],[合区区服]],表1_8612182224267275[目标国家（映射）],表2_9713192325277376[[#This Row],[国家]])</f>
        <v>0</v>
      </c>
      <c r="J42" s="39">
        <f>SUMIFS(表1_8612182224267275[活跃Coin],表1_8612182224267275[目标区服],表2_9713192325277376[[#This Row],[合区区服]],表1_8612182224267275[目标国家（映射）],表2_9713192325277376[[#This Row],[国家]])</f>
        <v>1303855</v>
      </c>
      <c r="K42" s="39">
        <f>SUMIFS(表1_8612182224267275[共计补偿Coin],表1_8612182224267275[目标区服],表2_9713192325277376[[#This Row],[合区区服]],表1_8612182224267275[目标国家（映射）],表2_9713192325277376[[#This Row],[国家]])</f>
        <v>50000</v>
      </c>
      <c r="L42" s="39">
        <f>表2_9713192325277376[[#This Row],[活跃Coin]]+表2_9713192325277376[[#This Row],[共计补偿Coin]]</f>
        <v>1353855</v>
      </c>
      <c r="M42" s="39">
        <f>SUMIFS(表1_8612182224267275[综合国力],表1_8612182224267275[目标区服],表2_9713192325277376[[#This Row],[合区区服]],表1_8612182224267275[目标国家（映射）],表2_9713192325277376[[#This Row],[国家]])</f>
        <v>23986</v>
      </c>
      <c r="N42" s="39">
        <f t="array" ref="N42">MAX((表1_8612182224267275[目标区服]=表2_9713192325277376[[#This Row],[合区区服]])*(表1_8612182224267275[目标国家（映射）]=表2_9713192325277376[[#This Row],[国家]])*表1_8612182224267275[单将最高战力])</f>
        <v>1203856</v>
      </c>
      <c r="P42" s="51">
        <v>151</v>
      </c>
      <c r="Q42" s="51">
        <v>55</v>
      </c>
      <c r="R42" s="51" t="s">
        <v>139</v>
      </c>
      <c r="S42" s="51">
        <v>57</v>
      </c>
    </row>
    <row r="43" ht="15" spans="1:19">
      <c r="A43" s="372" t="s">
        <v>138</v>
      </c>
      <c r="B43" s="39" t="s">
        <v>27</v>
      </c>
      <c r="C43" s="39">
        <f>COUNTIFS(表1_8612182224267275[目标区服],表2_9713192325277376[[#This Row],[合区区服]],表1_8612182224267275[目标国家（映射）],表2_9713192325277376[[#This Row],[国家]])</f>
        <v>3</v>
      </c>
      <c r="D43" s="39">
        <f>SUMIFS(表1_8612182224267275[活跃高战玩家数],表1_8612182224267275[目标区服],表2_9713192325277376[[#This Row],[合区区服]],表1_8612182224267275[目标国家（映射）],表2_9713192325277376[[#This Row],[国家]])</f>
        <v>3</v>
      </c>
      <c r="E43" s="39">
        <f>SUMIFS(表1_8612182224267275[活跃中坚玩家数],表1_8612182224267275[目标区服],表2_9713192325277376[[#This Row],[合区区服]],表1_8612182224267275[目标国家（映射）],表2_9713192325277376[[#This Row],[国家]])</f>
        <v>43</v>
      </c>
      <c r="F43" s="39">
        <f t="array" ref="F43">MAX((表1_8612182224267275[目标区服]=表2_9713192325277376[[#This Row],[合区区服]])*(表1_8612182224267275[目标国家（映射）]=表2_9713192325277376[[#This Row],[国家]])*表1_8612182224267275[活跃尖端战力])</f>
        <v>2890975</v>
      </c>
      <c r="G43" s="40">
        <f>SUMIFS(表1_8612182224267275[活跃总战力],表1_8612182224267275[目标区服],表2_9713192325277376[[#This Row],[合区区服]],表1_8612182224267275[目标国家（映射）],表2_9713192325277376[[#This Row],[国家]])</f>
        <v>45448254</v>
      </c>
      <c r="H43" s="39">
        <f>SUMIFS(表1_8612182224267275[活跃实际充值],表1_8612182224267275[目标区服],表2_9713192325277376[[#This Row],[合区区服]],表1_8612182224267275[目标国家（映射）],表2_9713192325277376[[#This Row],[国家]])</f>
        <v>123520</v>
      </c>
      <c r="I43" s="39">
        <f>SUMIFS(表1_8612182224267275[活跃虚拟充值],表1_8612182224267275[目标区服],表2_9713192325277376[[#This Row],[合区区服]],表1_8612182224267275[目标国家（映射）],表2_9713192325277376[[#This Row],[国家]])</f>
        <v>0</v>
      </c>
      <c r="J43" s="39">
        <f>SUMIFS(表1_8612182224267275[活跃Coin],表1_8612182224267275[目标区服],表2_9713192325277376[[#This Row],[合区区服]],表1_8612182224267275[目标国家（映射）],表2_9713192325277376[[#This Row],[国家]])</f>
        <v>437792</v>
      </c>
      <c r="K43" s="39">
        <f>SUMIFS(表1_8612182224267275[共计补偿Coin],表1_8612182224267275[目标区服],表2_9713192325277376[[#This Row],[合区区服]],表1_8612182224267275[目标国家（映射）],表2_9713192325277376[[#This Row],[国家]])</f>
        <v>52500</v>
      </c>
      <c r="L43" s="39">
        <f>表2_9713192325277376[[#This Row],[活跃Coin]]+表2_9713192325277376[[#This Row],[共计补偿Coin]]</f>
        <v>490292</v>
      </c>
      <c r="M43" s="39">
        <f>SUMIFS(表1_8612182224267275[综合国力],表1_8612182224267275[目标区服],表2_9713192325277376[[#This Row],[合区区服]],表1_8612182224267275[目标国家（映射）],表2_9713192325277376[[#This Row],[国家]])</f>
        <v>19831</v>
      </c>
      <c r="N43" s="39">
        <f t="array" ref="N43">MAX((表1_8612182224267275[目标区服]=表2_9713192325277376[[#This Row],[合区区服]])*(表1_8612182224267275[目标国家（映射）]=表2_9713192325277376[[#This Row],[国家]])*表1_8612182224267275[单将最高战力])</f>
        <v>1095665</v>
      </c>
      <c r="P43" s="51">
        <v>152</v>
      </c>
      <c r="Q43" s="51">
        <v>55</v>
      </c>
      <c r="R43" s="51" t="s">
        <v>140</v>
      </c>
      <c r="S43" s="51">
        <v>56</v>
      </c>
    </row>
    <row r="44" ht="15" spans="1:19">
      <c r="A44" s="296" t="s">
        <v>139</v>
      </c>
      <c r="B44" s="41" t="s">
        <v>25</v>
      </c>
      <c r="C44" s="41">
        <f>COUNTIFS(表1_8612182224267275[目标区服],表2_9713192325277376[[#This Row],[合区区服]],表1_8612182224267275[目标国家（映射）],表2_9713192325277376[[#This Row],[国家]])</f>
        <v>1</v>
      </c>
      <c r="D44" s="41">
        <f>SUMIFS(表1_8612182224267275[活跃高战玩家数],表1_8612182224267275[目标区服],表2_9713192325277376[[#This Row],[合区区服]],表1_8612182224267275[目标国家（映射）],表2_9713192325277376[[#This Row],[国家]])</f>
        <v>6</v>
      </c>
      <c r="E44" s="41">
        <f>SUMIFS(表1_8612182224267275[活跃中坚玩家数],表1_8612182224267275[目标区服],表2_9713192325277376[[#This Row],[合区区服]],表1_8612182224267275[目标国家（映射）],表2_9713192325277376[[#This Row],[国家]])</f>
        <v>27</v>
      </c>
      <c r="F44" s="41">
        <f t="array" ref="F44">MAX((表1_8612182224267275[目标区服]=表2_9713192325277376[[#This Row],[合区区服]])*(表1_8612182224267275[目标国家（映射）]=表2_9713192325277376[[#This Row],[国家]])*表1_8612182224267275[活跃尖端战力])</f>
        <v>3455366</v>
      </c>
      <c r="G44" s="42">
        <f>SUMIFS(表1_8612182224267275[活跃总战力],表1_8612182224267275[目标区服],表2_9713192325277376[[#This Row],[合区区服]],表1_8612182224267275[目标国家（映射）],表2_9713192325277376[[#This Row],[国家]])</f>
        <v>36455341</v>
      </c>
      <c r="H44" s="41">
        <f>SUMIFS(表1_8612182224267275[活跃实际充值],表1_8612182224267275[目标区服],表2_9713192325277376[[#This Row],[合区区服]],表1_8612182224267275[目标国家（映射）],表2_9713192325277376[[#This Row],[国家]])</f>
        <v>169494</v>
      </c>
      <c r="I44" s="41">
        <f>SUMIFS(表1_8612182224267275[活跃虚拟充值],表1_8612182224267275[目标区服],表2_9713192325277376[[#This Row],[合区区服]],表1_8612182224267275[目标国家（映射）],表2_9713192325277376[[#This Row],[国家]])</f>
        <v>0</v>
      </c>
      <c r="J44" s="41">
        <f>SUMIFS(表1_8612182224267275[活跃Coin],表1_8612182224267275[目标区服],表2_9713192325277376[[#This Row],[合区区服]],表1_8612182224267275[目标国家（映射）],表2_9713192325277376[[#This Row],[国家]])</f>
        <v>673648</v>
      </c>
      <c r="K44" s="41">
        <f>SUMIFS(表1_8612182224267275[共计补偿Coin],表1_8612182224267275[目标区服],表2_9713192325277376[[#This Row],[合区区服]],表1_8612182224267275[目标国家（映射）],表2_9713192325277376[[#This Row],[国家]])</f>
        <v>33000</v>
      </c>
      <c r="L44" s="41">
        <f>表2_9713192325277376[[#This Row],[活跃Coin]]+表2_9713192325277376[[#This Row],[共计补偿Coin]]</f>
        <v>706648</v>
      </c>
      <c r="M44" s="41">
        <f>SUMIFS(表1_8612182224267275[综合国力],表1_8612182224267275[目标区服],表2_9713192325277376[[#This Row],[合区区服]],表1_8612182224267275[目标国家（映射）],表2_9713192325277376[[#This Row],[国家]])</f>
        <v>16421</v>
      </c>
      <c r="N44" s="41">
        <f t="array" ref="N44">MAX((表1_8612182224267275[目标区服]=表2_9713192325277376[[#This Row],[合区区服]])*(表1_8612182224267275[目标国家（映射）]=表2_9713192325277376[[#This Row],[国家]])*表1_8612182224267275[单将最高战力])</f>
        <v>894960</v>
      </c>
      <c r="P44" s="51">
        <v>153</v>
      </c>
      <c r="Q44" s="51">
        <v>54</v>
      </c>
      <c r="R44" s="51" t="s">
        <v>141</v>
      </c>
      <c r="S44" s="51">
        <v>54</v>
      </c>
    </row>
    <row r="45" ht="15" spans="1:19">
      <c r="A45" s="296" t="s">
        <v>139</v>
      </c>
      <c r="B45" s="41" t="s">
        <v>26</v>
      </c>
      <c r="C45" s="41">
        <f>COUNTIFS(表1_8612182224267275[目标区服],表2_9713192325277376[[#This Row],[合区区服]],表1_8612182224267275[目标国家（映射）],表2_9713192325277376[[#This Row],[国家]])</f>
        <v>2</v>
      </c>
      <c r="D45" s="41">
        <f>SUMIFS(表1_8612182224267275[活跃高战玩家数],表1_8612182224267275[目标区服],表2_9713192325277376[[#This Row],[合区区服]],表1_8612182224267275[目标国家（映射）],表2_9713192325277376[[#This Row],[国家]])</f>
        <v>6</v>
      </c>
      <c r="E45" s="41">
        <f>SUMIFS(表1_8612182224267275[活跃中坚玩家数],表1_8612182224267275[目标区服],表2_9713192325277376[[#This Row],[合区区服]],表1_8612182224267275[目标国家（映射）],表2_9713192325277376[[#This Row],[国家]])</f>
        <v>35</v>
      </c>
      <c r="F45" s="41">
        <f t="array" ref="F45">MAX((表1_8612182224267275[目标区服]=表2_9713192325277376[[#This Row],[合区区服]])*(表1_8612182224267275[目标国家（映射）]=表2_9713192325277376[[#This Row],[国家]])*表1_8612182224267275[活跃尖端战力])</f>
        <v>3552947</v>
      </c>
      <c r="G45" s="42">
        <f>SUMIFS(表1_8612182224267275[活跃总战力],表1_8612182224267275[目标区服],表2_9713192325277376[[#This Row],[合区区服]],表1_8612182224267275[目标国家（映射）],表2_9713192325277376[[#This Row],[国家]])</f>
        <v>38142143</v>
      </c>
      <c r="H45" s="41">
        <f>SUMIFS(表1_8612182224267275[活跃实际充值],表1_8612182224267275[目标区服],表2_9713192325277376[[#This Row],[合区区服]],表1_8612182224267275[目标国家（映射）],表2_9713192325277376[[#This Row],[国家]])</f>
        <v>107366</v>
      </c>
      <c r="I45" s="41">
        <f>SUMIFS(表1_8612182224267275[活跃虚拟充值],表1_8612182224267275[目标区服],表2_9713192325277376[[#This Row],[合区区服]],表1_8612182224267275[目标国家（映射）],表2_9713192325277376[[#This Row],[国家]])</f>
        <v>0</v>
      </c>
      <c r="J45" s="41">
        <f>SUMIFS(表1_8612182224267275[活跃Coin],表1_8612182224267275[目标区服],表2_9713192325277376[[#This Row],[合区区服]],表1_8612182224267275[目标国家（映射）],表2_9713192325277376[[#This Row],[国家]])</f>
        <v>917909</v>
      </c>
      <c r="K45" s="41">
        <f>SUMIFS(表1_8612182224267275[共计补偿Coin],表1_8612182224267275[目标区服],表2_9713192325277376[[#This Row],[合区区服]],表1_8612182224267275[目标国家（映射）],表2_9713192325277376[[#This Row],[国家]])</f>
        <v>61500</v>
      </c>
      <c r="L45" s="41">
        <f>表2_9713192325277376[[#This Row],[活跃Coin]]+表2_9713192325277376[[#This Row],[共计补偿Coin]]</f>
        <v>979409</v>
      </c>
      <c r="M45" s="41">
        <f>SUMIFS(表1_8612182224267275[综合国力],表1_8612182224267275[目标区服],表2_9713192325277376[[#This Row],[合区区服]],表1_8612182224267275[目标国家（映射）],表2_9713192325277376[[#This Row],[国家]])</f>
        <v>16852</v>
      </c>
      <c r="N45" s="41">
        <f t="array" ref="N45">MAX((表1_8612182224267275[目标区服]=表2_9713192325277376[[#This Row],[合区区服]])*(表1_8612182224267275[目标国家（映射）]=表2_9713192325277376[[#This Row],[国家]])*表1_8612182224267275[单将最高战力])</f>
        <v>1066515</v>
      </c>
      <c r="P45" s="51">
        <v>154</v>
      </c>
      <c r="Q45" s="51">
        <v>54</v>
      </c>
      <c r="R45" s="51" t="s">
        <v>142</v>
      </c>
      <c r="S45" s="51">
        <v>52</v>
      </c>
    </row>
    <row r="46" ht="15" spans="1:17">
      <c r="A46" s="296" t="s">
        <v>139</v>
      </c>
      <c r="B46" s="43" t="s">
        <v>27</v>
      </c>
      <c r="C46" s="43">
        <f>COUNTIFS(表1_8612182224267275[目标区服],表2_9713192325277376[[#This Row],[合区区服]],表1_8612182224267275[目标国家（映射）],表2_9713192325277376[[#This Row],[国家]])</f>
        <v>3</v>
      </c>
      <c r="D46" s="43">
        <f>SUMIFS(表1_8612182224267275[活跃高战玩家数],表1_8612182224267275[目标区服],表2_9713192325277376[[#This Row],[合区区服]],表1_8612182224267275[目标国家（映射）],表2_9713192325277376[[#This Row],[国家]])</f>
        <v>7</v>
      </c>
      <c r="E46" s="43">
        <f>SUMIFS(表1_8612182224267275[活跃中坚玩家数],表1_8612182224267275[目标区服],表2_9713192325277376[[#This Row],[合区区服]],表1_8612182224267275[目标国家（映射）],表2_9713192325277376[[#This Row],[国家]])</f>
        <v>41</v>
      </c>
      <c r="F46" s="43">
        <f t="array" ref="F46">MAX((表1_8612182224267275[目标区服]=表2_9713192325277376[[#This Row],[合区区服]])*(表1_8612182224267275[目标国家（映射）]=表2_9713192325277376[[#This Row],[国家]])*表1_8612182224267275[活跃尖端战力])</f>
        <v>3206465</v>
      </c>
      <c r="G46" s="44">
        <f>SUMIFS(表1_8612182224267275[活跃总战力],表1_8612182224267275[目标区服],表2_9713192325277376[[#This Row],[合区区服]],表1_8612182224267275[目标国家（映射）],表2_9713192325277376[[#This Row],[国家]])</f>
        <v>41387142</v>
      </c>
      <c r="H46" s="43">
        <f>SUMIFS(表1_8612182224267275[活跃实际充值],表1_8612182224267275[目标区服],表2_9713192325277376[[#This Row],[合区区服]],表1_8612182224267275[目标国家（映射）],表2_9713192325277376[[#This Row],[国家]])</f>
        <v>101554</v>
      </c>
      <c r="I46" s="43">
        <f>SUMIFS(表1_8612182224267275[活跃虚拟充值],表1_8612182224267275[目标区服],表2_9713192325277376[[#This Row],[合区区服]],表1_8612182224267275[目标国家（映射）],表2_9713192325277376[[#This Row],[国家]])</f>
        <v>0</v>
      </c>
      <c r="J46" s="43">
        <f>SUMIFS(表1_8612182224267275[活跃Coin],表1_8612182224267275[目标区服],表2_9713192325277376[[#This Row],[合区区服]],表1_8612182224267275[目标国家（映射）],表2_9713192325277376[[#This Row],[国家]])</f>
        <v>478715</v>
      </c>
      <c r="K46" s="43">
        <f>SUMIFS(表1_8612182224267275[共计补偿Coin],表1_8612182224267275[目标区服],表2_9713192325277376[[#This Row],[合区区服]],表1_8612182224267275[目标国家（映射）],表2_9713192325277376[[#This Row],[国家]])</f>
        <v>54500</v>
      </c>
      <c r="L46" s="43">
        <f>表2_9713192325277376[[#This Row],[活跃Coin]]+表2_9713192325277376[[#This Row],[共计补偿Coin]]</f>
        <v>533215</v>
      </c>
      <c r="M46" s="43">
        <f>SUMIFS(表1_8612182224267275[综合国力],表1_8612182224267275[目标区服],表2_9713192325277376[[#This Row],[合区区服]],表1_8612182224267275[目标国家（映射）],表2_9713192325277376[[#This Row],[国家]])</f>
        <v>18086</v>
      </c>
      <c r="N46" s="41">
        <f t="array" ref="N46">MAX((表1_8612182224267275[目标区服]=表2_9713192325277376[[#This Row],[合区区服]])*(表1_8612182224267275[目标国家（映射）]=表2_9713192325277376[[#This Row],[国家]])*表1_8612182224267275[单将最高战力])</f>
        <v>920922</v>
      </c>
      <c r="P46" s="51">
        <v>155</v>
      </c>
      <c r="Q46" s="51">
        <v>53</v>
      </c>
    </row>
    <row r="47" ht="15" spans="1:17">
      <c r="A47" s="18" t="s">
        <v>140</v>
      </c>
      <c r="B47" s="46" t="s">
        <v>25</v>
      </c>
      <c r="C47" s="46">
        <f>COUNTIFS(表1_8612182224267275[目标区服],表2_9713192325277376[[#This Row],[合区区服]],表1_8612182224267275[目标国家（映射）],表2_9713192325277376[[#This Row],[国家]])</f>
        <v>2</v>
      </c>
      <c r="D47" s="46">
        <f>SUMIFS(表1_8612182224267275[活跃高战玩家数],表1_8612182224267275[目标区服],表2_9713192325277376[[#This Row],[合区区服]],表1_8612182224267275[目标国家（映射）],表2_9713192325277376[[#This Row],[国家]])</f>
        <v>6</v>
      </c>
      <c r="E47" s="46">
        <f>SUMIFS(表1_8612182224267275[活跃中坚玩家数],表1_8612182224267275[目标区服],表2_9713192325277376[[#This Row],[合区区服]],表1_8612182224267275[目标国家（映射）],表2_9713192325277376[[#This Row],[国家]])</f>
        <v>28</v>
      </c>
      <c r="F47" s="46">
        <f t="array" ref="F47">MAX((表1_8612182224267275[目标区服]=表2_9713192325277376[[#This Row],[合区区服]])*(表1_8612182224267275[目标国家（映射）]=表2_9713192325277376[[#This Row],[国家]])*表1_8612182224267275[活跃尖端战力])</f>
        <v>4005874</v>
      </c>
      <c r="G47" s="47">
        <f>SUMIFS(表1_8612182224267275[活跃总战力],表1_8612182224267275[目标区服],表2_9713192325277376[[#This Row],[合区区服]],表1_8612182224267275[目标国家（映射）],表2_9713192325277376[[#This Row],[国家]])</f>
        <v>33031103</v>
      </c>
      <c r="H47" s="46">
        <f>SUMIFS(表1_8612182224267275[活跃实际充值],表1_8612182224267275[目标区服],表2_9713192325277376[[#This Row],[合区区服]],表1_8612182224267275[目标国家（映射）],表2_9713192325277376[[#This Row],[国家]])</f>
        <v>225242</v>
      </c>
      <c r="I47" s="46">
        <f>SUMIFS(表1_8612182224267275[活跃虚拟充值],表1_8612182224267275[目标区服],表2_9713192325277376[[#This Row],[合区区服]],表1_8612182224267275[目标国家（映射）],表2_9713192325277376[[#This Row],[国家]])</f>
        <v>0</v>
      </c>
      <c r="J47" s="46">
        <f>SUMIFS(表1_8612182224267275[活跃Coin],表1_8612182224267275[目标区服],表2_9713192325277376[[#This Row],[合区区服]],表1_8612182224267275[目标国家（映射）],表2_9713192325277376[[#This Row],[国家]])</f>
        <v>1051186</v>
      </c>
      <c r="K47" s="46">
        <f>SUMIFS(表1_8612182224267275[共计补偿Coin],表1_8612182224267275[目标区服],表2_9713192325277376[[#This Row],[合区区服]],表1_8612182224267275[目标国家（映射）],表2_9713192325277376[[#This Row],[国家]])</f>
        <v>39000</v>
      </c>
      <c r="L47" s="46">
        <f>表2_9713192325277376[[#This Row],[活跃Coin]]+表2_9713192325277376[[#This Row],[共计补偿Coin]]</f>
        <v>1090186</v>
      </c>
      <c r="M47" s="46">
        <f>SUMIFS(表1_8612182224267275[综合国力],表1_8612182224267275[目标区服],表2_9713192325277376[[#This Row],[合区区服]],表1_8612182224267275[目标国家（映射）],表2_9713192325277376[[#This Row],[国家]])</f>
        <v>21317</v>
      </c>
      <c r="N47" s="46">
        <f t="array" ref="N47">MAX((表1_8612182224267275[目标区服]=表2_9713192325277376[[#This Row],[合区区服]])*(表1_8612182224267275[目标国家（映射）]=表2_9713192325277376[[#This Row],[国家]])*表1_8612182224267275[单将最高战力])</f>
        <v>1226455</v>
      </c>
      <c r="P47" s="51">
        <v>156</v>
      </c>
      <c r="Q47" s="51">
        <v>53</v>
      </c>
    </row>
    <row r="48" ht="15" spans="1:17">
      <c r="A48" s="18" t="s">
        <v>140</v>
      </c>
      <c r="B48" s="46" t="s">
        <v>26</v>
      </c>
      <c r="C48" s="46">
        <f>COUNTIFS(表1_8612182224267275[目标区服],表2_9713192325277376[[#This Row],[合区区服]],表1_8612182224267275[目标国家（映射）],表2_9713192325277376[[#This Row],[国家]])</f>
        <v>4</v>
      </c>
      <c r="D48" s="46">
        <f>SUMIFS(表1_8612182224267275[活跃高战玩家数],表1_8612182224267275[目标区服],表2_9713192325277376[[#This Row],[合区区服]],表1_8612182224267275[目标国家（映射）],表2_9713192325277376[[#This Row],[国家]])</f>
        <v>10</v>
      </c>
      <c r="E48" s="46">
        <f>SUMIFS(表1_8612182224267275[活跃中坚玩家数],表1_8612182224267275[目标区服],表2_9713192325277376[[#This Row],[合区区服]],表1_8612182224267275[目标国家（映射）],表2_9713192325277376[[#This Row],[国家]])</f>
        <v>49</v>
      </c>
      <c r="F48" s="46">
        <f t="array" ref="F48">MAX((表1_8612182224267275[目标区服]=表2_9713192325277376[[#This Row],[合区区服]])*(表1_8612182224267275[目标国家（映射）]=表2_9713192325277376[[#This Row],[国家]])*表1_8612182224267275[活跃尖端战力])</f>
        <v>3143202</v>
      </c>
      <c r="G48" s="47">
        <f>SUMIFS(表1_8612182224267275[活跃总战力],表1_8612182224267275[目标区服],表2_9713192325277376[[#This Row],[合区区服]],表1_8612182224267275[目标国家（映射）],表2_9713192325277376[[#This Row],[国家]])</f>
        <v>50868682</v>
      </c>
      <c r="H48" s="46">
        <f>SUMIFS(表1_8612182224267275[活跃实际充值],表1_8612182224267275[目标区服],表2_9713192325277376[[#This Row],[合区区服]],表1_8612182224267275[目标国家（映射）],表2_9713192325277376[[#This Row],[国家]])</f>
        <v>129538</v>
      </c>
      <c r="I48" s="46">
        <f>SUMIFS(表1_8612182224267275[活跃虚拟充值],表1_8612182224267275[目标区服],表2_9713192325277376[[#This Row],[合区区服]],表1_8612182224267275[目标国家（映射）],表2_9713192325277376[[#This Row],[国家]])</f>
        <v>0</v>
      </c>
      <c r="J48" s="46">
        <f>SUMIFS(表1_8612182224267275[活跃Coin],表1_8612182224267275[目标区服],表2_9713192325277376[[#This Row],[合区区服]],表1_8612182224267275[目标国家（映射）],表2_9713192325277376[[#This Row],[国家]])</f>
        <v>1429269</v>
      </c>
      <c r="K48" s="46">
        <f>SUMIFS(表1_8612182224267275[共计补偿Coin],表1_8612182224267275[目标区服],表2_9713192325277376[[#This Row],[合区区服]],表1_8612182224267275[目标国家（映射）],表2_9713192325277376[[#This Row],[国家]])</f>
        <v>83500</v>
      </c>
      <c r="L48" s="46">
        <f>表2_9713192325277376[[#This Row],[活跃Coin]]+表2_9713192325277376[[#This Row],[共计补偿Coin]]</f>
        <v>1512769</v>
      </c>
      <c r="M48" s="46">
        <f>SUMIFS(表1_8612182224267275[综合国力],表1_8612182224267275[目标区服],表2_9713192325277376[[#This Row],[合区区服]],表1_8612182224267275[目标国家（映射）],表2_9713192325277376[[#This Row],[国家]])</f>
        <v>23801</v>
      </c>
      <c r="N48" s="46">
        <f t="array" ref="N48">MAX((表1_8612182224267275[目标区服]=表2_9713192325277376[[#This Row],[合区区服]])*(表1_8612182224267275[目标国家（映射）]=表2_9713192325277376[[#This Row],[国家]])*表1_8612182224267275[单将最高战力])</f>
        <v>805627</v>
      </c>
      <c r="P48" s="51">
        <v>157</v>
      </c>
      <c r="Q48" s="51">
        <v>52</v>
      </c>
    </row>
    <row r="49" ht="15" spans="1:17">
      <c r="A49" s="18" t="s">
        <v>140</v>
      </c>
      <c r="B49" s="48" t="s">
        <v>27</v>
      </c>
      <c r="C49" s="48">
        <f>COUNTIFS(表1_8612182224267275[目标区服],表2_9713192325277376[[#This Row],[合区区服]],表1_8612182224267275[目标国家（映射）],表2_9713192325277376[[#This Row],[国家]])</f>
        <v>3</v>
      </c>
      <c r="D49" s="48">
        <f>SUMIFS(表1_8612182224267275[活跃高战玩家数],表1_8612182224267275[目标区服],表2_9713192325277376[[#This Row],[合区区服]],表1_8612182224267275[目标国家（映射）],表2_9713192325277376[[#This Row],[国家]])</f>
        <v>10</v>
      </c>
      <c r="E49" s="48">
        <f>SUMIFS(表1_8612182224267275[活跃中坚玩家数],表1_8612182224267275[目标区服],表2_9713192325277376[[#This Row],[合区区服]],表1_8612182224267275[目标国家（映射）],表2_9713192325277376[[#This Row],[国家]])</f>
        <v>47</v>
      </c>
      <c r="F49" s="48">
        <f t="array" ref="F49">MAX((表1_8612182224267275[目标区服]=表2_9713192325277376[[#This Row],[合区区服]])*(表1_8612182224267275[目标国家（映射）]=表2_9713192325277376[[#This Row],[国家]])*表1_8612182224267275[活跃尖端战力])</f>
        <v>3133235</v>
      </c>
      <c r="G49" s="458">
        <f>SUMIFS(表1_8612182224267275[活跃总战力],表1_8612182224267275[目标区服],表2_9713192325277376[[#This Row],[合区区服]],表1_8612182224267275[目标国家（映射）],表2_9713192325277376[[#This Row],[国家]])</f>
        <v>53271274</v>
      </c>
      <c r="H49" s="48">
        <f>SUMIFS(表1_8612182224267275[活跃实际充值],表1_8612182224267275[目标区服],表2_9713192325277376[[#This Row],[合区区服]],表1_8612182224267275[目标国家（映射）],表2_9713192325277376[[#This Row],[国家]])</f>
        <v>117656</v>
      </c>
      <c r="I49" s="48">
        <f>SUMIFS(表1_8612182224267275[活跃虚拟充值],表1_8612182224267275[目标区服],表2_9713192325277376[[#This Row],[合区区服]],表1_8612182224267275[目标国家（映射）],表2_9713192325277376[[#This Row],[国家]])</f>
        <v>0</v>
      </c>
      <c r="J49" s="48">
        <f>SUMIFS(表1_8612182224267275[活跃Coin],表1_8612182224267275[目标区服],表2_9713192325277376[[#This Row],[合区区服]],表1_8612182224267275[目标国家（映射）],表2_9713192325277376[[#This Row],[国家]])</f>
        <v>1602780</v>
      </c>
      <c r="K49" s="48">
        <f>SUMIFS(表1_8612182224267275[共计补偿Coin],表1_8612182224267275[目标区服],表2_9713192325277376[[#This Row],[合区区服]],表1_8612182224267275[目标国家（映射）],表2_9713192325277376[[#This Row],[国家]])</f>
        <v>82000</v>
      </c>
      <c r="L49" s="48">
        <f>表2_9713192325277376[[#This Row],[活跃Coin]]+表2_9713192325277376[[#This Row],[共计补偿Coin]]</f>
        <v>1684780</v>
      </c>
      <c r="M49" s="48">
        <f>SUMIFS(表1_8612182224267275[综合国力],表1_8612182224267275[目标区服],表2_9713192325277376[[#This Row],[合区区服]],表1_8612182224267275[目标国家（映射）],表2_9713192325277376[[#This Row],[国家]])</f>
        <v>23152</v>
      </c>
      <c r="N49" s="46">
        <f t="array" ref="N49">MAX((表1_8612182224267275[目标区服]=表2_9713192325277376[[#This Row],[合区区服]])*(表1_8612182224267275[目标国家（映射）]=表2_9713192325277376[[#This Row],[国家]])*表1_8612182224267275[单将最高战力])</f>
        <v>802698</v>
      </c>
      <c r="P49" s="51">
        <v>158</v>
      </c>
      <c r="Q49" s="51">
        <v>51</v>
      </c>
    </row>
    <row r="50" ht="15" spans="1:17">
      <c r="A50" s="293" t="s">
        <v>141</v>
      </c>
      <c r="B50" s="224" t="s">
        <v>25</v>
      </c>
      <c r="C50" s="224">
        <f>COUNTIFS(表1_8612182224267275[目标区服],表2_9713192325277376[[#This Row],[合区区服]],表1_8612182224267275[目标国家（映射）],表2_9713192325277376[[#This Row],[国家]])</f>
        <v>2</v>
      </c>
      <c r="D50" s="224">
        <f>SUMIFS(表1_8612182224267275[活跃高战玩家数],表1_8612182224267275[目标区服],表2_9713192325277376[[#This Row],[合区区服]],表1_8612182224267275[目标国家（映射）],表2_9713192325277376[[#This Row],[国家]])</f>
        <v>6</v>
      </c>
      <c r="E50" s="224">
        <f>SUMIFS(表1_8612182224267275[活跃中坚玩家数],表1_8612182224267275[目标区服],表2_9713192325277376[[#This Row],[合区区服]],表1_8612182224267275[目标国家（映射）],表2_9713192325277376[[#This Row],[国家]])</f>
        <v>42</v>
      </c>
      <c r="F50" s="224">
        <f t="array" ref="F50">MAX((表1_8612182224267275[目标区服]=表2_9713192325277376[[#This Row],[合区区服]])*(表1_8612182224267275[目标国家（映射）]=表2_9713192325277376[[#This Row],[国家]])*表1_8612182224267275[活跃尖端战力])</f>
        <v>3834263</v>
      </c>
      <c r="G50" s="225">
        <f>SUMIFS(表1_8612182224267275[活跃总战力],表1_8612182224267275[目标区服],表2_9713192325277376[[#This Row],[合区区服]],表1_8612182224267275[目标国家（映射）],表2_9713192325277376[[#This Row],[国家]])</f>
        <v>56340718</v>
      </c>
      <c r="H50" s="224">
        <f>SUMIFS(表1_8612182224267275[活跃实际充值],表1_8612182224267275[目标区服],表2_9713192325277376[[#This Row],[合区区服]],表1_8612182224267275[目标国家（映射）],表2_9713192325277376[[#This Row],[国家]])</f>
        <v>249920</v>
      </c>
      <c r="I50" s="224">
        <f>SUMIFS(表1_8612182224267275[活跃虚拟充值],表1_8612182224267275[目标区服],表2_9713192325277376[[#This Row],[合区区服]],表1_8612182224267275[目标国家（映射）],表2_9713192325277376[[#This Row],[国家]])</f>
        <v>0</v>
      </c>
      <c r="J50" s="224">
        <f>SUMIFS(表1_8612182224267275[活跃Coin],表1_8612182224267275[目标区服],表2_9713192325277376[[#This Row],[合区区服]],表1_8612182224267275[目标国家（映射）],表2_9713192325277376[[#This Row],[国家]])</f>
        <v>1128813</v>
      </c>
      <c r="K50" s="224">
        <f>SUMIFS(表1_8612182224267275[共计补偿Coin],表1_8612182224267275[目标区服],表2_9713192325277376[[#This Row],[合区区服]],表1_8612182224267275[目标国家（映射）],表2_9713192325277376[[#This Row],[国家]])</f>
        <v>72000</v>
      </c>
      <c r="L50" s="224">
        <f>表2_9713192325277376[[#This Row],[活跃Coin]]+表2_9713192325277376[[#This Row],[共计补偿Coin]]</f>
        <v>1200813</v>
      </c>
      <c r="M50" s="224">
        <f>SUMIFS(表1_8612182224267275[综合国力],表1_8612182224267275[目标区服],表2_9713192325277376[[#This Row],[合区区服]],表1_8612182224267275[目标国家（映射）],表2_9713192325277376[[#This Row],[国家]])</f>
        <v>23864</v>
      </c>
      <c r="N50" s="471">
        <f t="array" ref="N50">MAX((表1_8612182224267275[目标区服]=表2_9713192325277376[[#This Row],[合区区服]])*(表1_8612182224267275[目标国家（映射）]=表2_9713192325277376[[#This Row],[国家]])*表1_8612182224267275[单将最高战力])</f>
        <v>1136718</v>
      </c>
      <c r="P50" s="51">
        <v>159</v>
      </c>
      <c r="Q50" s="51">
        <v>50</v>
      </c>
    </row>
    <row r="51" ht="15" spans="1:17">
      <c r="A51" s="293" t="s">
        <v>141</v>
      </c>
      <c r="B51" s="224" t="s">
        <v>26</v>
      </c>
      <c r="C51" s="224">
        <f>COUNTIFS(表1_8612182224267275[目标区服],表2_9713192325277376[[#This Row],[合区区服]],表1_8612182224267275[目标国家（映射）],表2_9713192325277376[[#This Row],[国家]])</f>
        <v>1</v>
      </c>
      <c r="D51" s="224">
        <f>SUMIFS(表1_8612182224267275[活跃高战玩家数],表1_8612182224267275[目标区服],表2_9713192325277376[[#This Row],[合区区服]],表1_8612182224267275[目标国家（映射）],表2_9713192325277376[[#This Row],[国家]])</f>
        <v>10</v>
      </c>
      <c r="E51" s="224">
        <f>SUMIFS(表1_8612182224267275[活跃中坚玩家数],表1_8612182224267275[目标区服],表2_9713192325277376[[#This Row],[合区区服]],表1_8612182224267275[目标国家（映射）],表2_9713192325277376[[#This Row],[国家]])</f>
        <v>31</v>
      </c>
      <c r="F51" s="224">
        <f t="array" ref="F51">MAX((表1_8612182224267275[目标区服]=表2_9713192325277376[[#This Row],[合区区服]])*(表1_8612182224267275[目标国家（映射）]=表2_9713192325277376[[#This Row],[国家]])*表1_8612182224267275[活跃尖端战力])</f>
        <v>4481277</v>
      </c>
      <c r="G51" s="225">
        <f>SUMIFS(表1_8612182224267275[活跃总战力],表1_8612182224267275[目标区服],表2_9713192325277376[[#This Row],[合区区服]],表1_8612182224267275[目标国家（映射）],表2_9713192325277376[[#This Row],[国家]])</f>
        <v>52505734</v>
      </c>
      <c r="H51" s="224">
        <f>SUMIFS(表1_8612182224267275[活跃实际充值],表1_8612182224267275[目标区服],表2_9713192325277376[[#This Row],[合区区服]],表1_8612182224267275[目标国家（映射）],表2_9713192325277376[[#This Row],[国家]])</f>
        <v>253810</v>
      </c>
      <c r="I51" s="224">
        <f>SUMIFS(表1_8612182224267275[活跃虚拟充值],表1_8612182224267275[目标区服],表2_9713192325277376[[#This Row],[合区区服]],表1_8612182224267275[目标国家（映射）],表2_9713192325277376[[#This Row],[国家]])</f>
        <v>68</v>
      </c>
      <c r="J51" s="224">
        <f>SUMIFS(表1_8612182224267275[活跃Coin],表1_8612182224267275[目标区服],表2_9713192325277376[[#This Row],[合区区服]],表1_8612182224267275[目标国家（映射）],表2_9713192325277376[[#This Row],[国家]])</f>
        <v>2014686</v>
      </c>
      <c r="K51" s="224">
        <f>SUMIFS(表1_8612182224267275[共计补偿Coin],表1_8612182224267275[目标区服],表2_9713192325277376[[#This Row],[合区区服]],表1_8612182224267275[目标国家（映射）],表2_9713192325277376[[#This Row],[国家]])</f>
        <v>41000</v>
      </c>
      <c r="L51" s="224">
        <f>表2_9713192325277376[[#This Row],[活跃Coin]]+表2_9713192325277376[[#This Row],[共计补偿Coin]]</f>
        <v>2055686</v>
      </c>
      <c r="M51" s="224">
        <f>SUMIFS(表1_8612182224267275[综合国力],表1_8612182224267275[目标区服],表2_9713192325277376[[#This Row],[合区区服]],表1_8612182224267275[目标国家（映射）],表2_9713192325277376[[#This Row],[国家]])</f>
        <v>23837</v>
      </c>
      <c r="N51" s="471">
        <f t="array" ref="N51">MAX((表1_8612182224267275[目标区服]=表2_9713192325277376[[#This Row],[合区区服]])*(表1_8612182224267275[目标国家（映射）]=表2_9713192325277376[[#This Row],[国家]])*表1_8612182224267275[单将最高战力])</f>
        <v>1135447</v>
      </c>
      <c r="P51" s="51">
        <v>160</v>
      </c>
      <c r="Q51" s="51">
        <v>50</v>
      </c>
    </row>
    <row r="52" ht="15" spans="1:17">
      <c r="A52" s="293" t="s">
        <v>141</v>
      </c>
      <c r="B52" s="226" t="s">
        <v>27</v>
      </c>
      <c r="C52" s="226">
        <f>COUNTIFS(表1_8612182224267275[目标区服],表2_9713192325277376[[#This Row],[合区区服]],表1_8612182224267275[目标国家（映射）],表2_9713192325277376[[#This Row],[国家]])</f>
        <v>3</v>
      </c>
      <c r="D52" s="226">
        <f>SUMIFS(表1_8612182224267275[活跃高战玩家数],表1_8612182224267275[目标区服],表2_9713192325277376[[#This Row],[合区区服]],表1_8612182224267275[目标国家（映射）],表2_9713192325277376[[#This Row],[国家]])</f>
        <v>4</v>
      </c>
      <c r="E52" s="226">
        <f>SUMIFS(表1_8612182224267275[活跃中坚玩家数],表1_8612182224267275[目标区服],表2_9713192325277376[[#This Row],[合区区服]],表1_8612182224267275[目标国家（映射）],表2_9713192325277376[[#This Row],[国家]])</f>
        <v>54</v>
      </c>
      <c r="F52" s="226">
        <f t="array" ref="F52">MAX((表1_8612182224267275[目标区服]=表2_9713192325277376[[#This Row],[合区区服]])*(表1_8612182224267275[目标国家（映射）]=表2_9713192325277376[[#This Row],[国家]])*表1_8612182224267275[活跃尖端战力])</f>
        <v>4248157</v>
      </c>
      <c r="G52" s="227">
        <f>SUMIFS(表1_8612182224267275[活跃总战力],表1_8612182224267275[目标区服],表2_9713192325277376[[#This Row],[合区区服]],表1_8612182224267275[目标国家（映射）],表2_9713192325277376[[#This Row],[国家]])</f>
        <v>56789352</v>
      </c>
      <c r="H52" s="226">
        <f>SUMIFS(表1_8612182224267275[活跃实际充值],表1_8612182224267275[目标区服],表2_9713192325277376[[#This Row],[合区区服]],表1_8612182224267275[目标国家（映射）],表2_9713192325277376[[#This Row],[国家]])</f>
        <v>206286</v>
      </c>
      <c r="I52" s="226">
        <f>SUMIFS(表1_8612182224267275[活跃虚拟充值],表1_8612182224267275[目标区服],表2_9713192325277376[[#This Row],[合区区服]],表1_8612182224267275[目标国家（映射）],表2_9713192325277376[[#This Row],[国家]])</f>
        <v>328</v>
      </c>
      <c r="J52" s="226">
        <f>SUMIFS(表1_8612182224267275[活跃Coin],表1_8612182224267275[目标区服],表2_9713192325277376[[#This Row],[合区区服]],表1_8612182224267275[目标国家（映射）],表2_9713192325277376[[#This Row],[国家]])</f>
        <v>933915</v>
      </c>
      <c r="K52" s="226">
        <f>SUMIFS(表1_8612182224267275[共计补偿Coin],表1_8612182224267275[目标区服],表2_9713192325277376[[#This Row],[合区区服]],表1_8612182224267275[目标国家（映射）],表2_9713192325277376[[#This Row],[国家]])</f>
        <v>75000</v>
      </c>
      <c r="L52" s="226">
        <f>表2_9713192325277376[[#This Row],[活跃Coin]]+表2_9713192325277376[[#This Row],[共计补偿Coin]]</f>
        <v>1008915</v>
      </c>
      <c r="M52" s="226">
        <f>SUMIFS(表1_8612182224267275[综合国力],表1_8612182224267275[目标区服],表2_9713192325277376[[#This Row],[合区区服]],表1_8612182224267275[目标国家（映射）],表2_9713192325277376[[#This Row],[国家]])</f>
        <v>22342</v>
      </c>
      <c r="N52" s="563">
        <f t="array" ref="N52">MAX((表1_8612182224267275[目标区服]=表2_9713192325277376[[#This Row],[合区区服]])*(表1_8612182224267275[目标国家（映射）]=表2_9713192325277376[[#This Row],[国家]])*表1_8612182224267275[单将最高战力])</f>
        <v>1120667</v>
      </c>
      <c r="P52" s="51">
        <v>161</v>
      </c>
      <c r="Q52" s="51">
        <v>49</v>
      </c>
    </row>
    <row r="53" ht="15" spans="1:14">
      <c r="A53" s="580" t="s">
        <v>142</v>
      </c>
      <c r="B53" s="39" t="s">
        <v>25</v>
      </c>
      <c r="C53" s="39">
        <f>COUNTIFS(表1_8612182224267275[目标区服],表2_9713192325277376[[#This Row],[合区区服]],表1_8612182224267275[目标国家（映射）],表2_9713192325277376[[#This Row],[国家]])</f>
        <v>3</v>
      </c>
      <c r="D53" s="39">
        <f>SUMIFS(表1_8612182224267275[活跃高战玩家数],表1_8612182224267275[目标区服],表2_9713192325277376[[#This Row],[合区区服]],表1_8612182224267275[目标国家（映射）],表2_9713192325277376[[#This Row],[国家]])</f>
        <v>10</v>
      </c>
      <c r="E53" s="39">
        <f>SUMIFS(表1_8612182224267275[活跃中坚玩家数],表1_8612182224267275[目标区服],表2_9713192325277376[[#This Row],[合区区服]],表1_8612182224267275[目标国家（映射）],表2_9713192325277376[[#This Row],[国家]])</f>
        <v>39</v>
      </c>
      <c r="F53" s="39">
        <f t="array" ref="F53">MAX((表1_8612182224267275[目标区服]=表2_9713192325277376[[#This Row],[合区区服]])*(表1_8612182224267275[目标国家（映射）]=表2_9713192325277376[[#This Row],[国家]])*表1_8612182224267275[活跃尖端战力])</f>
        <v>3341843</v>
      </c>
      <c r="G53" s="40">
        <f>SUMIFS(表1_8612182224267275[活跃总战力],表1_8612182224267275[目标区服],表2_9713192325277376[[#This Row],[合区区服]],表1_8612182224267275[目标国家（映射）],表2_9713192325277376[[#This Row],[国家]])</f>
        <v>48050686</v>
      </c>
      <c r="H53" s="39">
        <f>SUMIFS(表1_8612182224267275[活跃实际充值],表1_8612182224267275[目标区服],表2_9713192325277376[[#This Row],[合区区服]],表1_8612182224267275[目标国家（映射）],表2_9713192325277376[[#This Row],[国家]])</f>
        <v>98232</v>
      </c>
      <c r="I53" s="39">
        <f>SUMIFS(表1_8612182224267275[活跃虚拟充值],表1_8612182224267275[目标区服],表2_9713192325277376[[#This Row],[合区区服]],表1_8612182224267275[目标国家（映射）],表2_9713192325277376[[#This Row],[国家]])</f>
        <v>0</v>
      </c>
      <c r="J53" s="39">
        <f>SUMIFS(表1_8612182224267275[活跃Coin],表1_8612182224267275[目标区服],表2_9713192325277376[[#This Row],[合区区服]],表1_8612182224267275[目标国家（映射）],表2_9713192325277376[[#This Row],[国家]])</f>
        <v>1047824</v>
      </c>
      <c r="K53" s="39">
        <f>SUMIFS(表1_8612182224267275[共计补偿Coin],表1_8612182224267275[目标区服],表2_9713192325277376[[#This Row],[合区区服]],表1_8612182224267275[目标国家（映射）],表2_9713192325277376[[#This Row],[国家]])</f>
        <v>49000</v>
      </c>
      <c r="L53" s="39">
        <f>表2_9713192325277376[[#This Row],[活跃Coin]]+表2_9713192325277376[[#This Row],[共计补偿Coin]]</f>
        <v>1096824</v>
      </c>
      <c r="M53" s="39">
        <f>SUMIFS(表1_8612182224267275[综合国力],表1_8612182224267275[目标区服],表2_9713192325277376[[#This Row],[合区区服]],表1_8612182224267275[目标国家（映射）],表2_9713192325277376[[#This Row],[国家]])</f>
        <v>21185</v>
      </c>
      <c r="N53" s="512">
        <f t="array" ref="N53">MAX((表1_8612182224267275[目标区服]=表2_9713192325277376[[#This Row],[合区区服]])*(表1_8612182224267275[目标国家（映射）]=表2_9713192325277376[[#This Row],[国家]])*表1_8612182224267275[单将最高战力])</f>
        <v>915405</v>
      </c>
    </row>
    <row r="54" ht="15" spans="1:14">
      <c r="A54" s="580" t="s">
        <v>142</v>
      </c>
      <c r="B54" s="39" t="s">
        <v>26</v>
      </c>
      <c r="C54" s="39">
        <f>COUNTIFS(表1_8612182224267275[目标区服],表2_9713192325277376[[#This Row],[合区区服]],表1_8612182224267275[目标国家（映射）],表2_9713192325277376[[#This Row],[国家]])</f>
        <v>2</v>
      </c>
      <c r="D54" s="39">
        <f>SUMIFS(表1_8612182224267275[活跃高战玩家数],表1_8612182224267275[目标区服],表2_9713192325277376[[#This Row],[合区区服]],表1_8612182224267275[目标国家（映射）],表2_9713192325277376[[#This Row],[国家]])</f>
        <v>9</v>
      </c>
      <c r="E54" s="39">
        <f>SUMIFS(表1_8612182224267275[活跃中坚玩家数],表1_8612182224267275[目标区服],表2_9713192325277376[[#This Row],[合区区服]],表1_8612182224267275[目标国家（映射）],表2_9713192325277376[[#This Row],[国家]])</f>
        <v>30</v>
      </c>
      <c r="F54" s="39">
        <f t="array" ref="F54">MAX((表1_8612182224267275[目标区服]=表2_9713192325277376[[#This Row],[合区区服]])*(表1_8612182224267275[目标国家（映射）]=表2_9713192325277376[[#This Row],[国家]])*表1_8612182224267275[活跃尖端战力])</f>
        <v>3601906</v>
      </c>
      <c r="G54" s="40">
        <f>SUMIFS(表1_8612182224267275[活跃总战力],表1_8612182224267275[目标区服],表2_9713192325277376[[#This Row],[合区区服]],表1_8612182224267275[目标国家（映射）],表2_9713192325277376[[#This Row],[国家]])</f>
        <v>33607948</v>
      </c>
      <c r="H54" s="39">
        <f>SUMIFS(表1_8612182224267275[活跃实际充值],表1_8612182224267275[目标区服],表2_9713192325277376[[#This Row],[合区区服]],表1_8612182224267275[目标国家（映射）],表2_9713192325277376[[#This Row],[国家]])</f>
        <v>134888</v>
      </c>
      <c r="I54" s="39">
        <f>SUMIFS(表1_8612182224267275[活跃虚拟充值],表1_8612182224267275[目标区服],表2_9713192325277376[[#This Row],[合区区服]],表1_8612182224267275[目标国家（映射）],表2_9713192325277376[[#This Row],[国家]])</f>
        <v>0</v>
      </c>
      <c r="J54" s="39">
        <f>SUMIFS(表1_8612182224267275[活跃Coin],表1_8612182224267275[目标区服],表2_9713192325277376[[#This Row],[合区区服]],表1_8612182224267275[目标国家（映射）],表2_9713192325277376[[#This Row],[国家]])</f>
        <v>918788</v>
      </c>
      <c r="K54" s="39">
        <f>SUMIFS(表1_8612182224267275[共计补偿Coin],表1_8612182224267275[目标区服],表2_9713192325277376[[#This Row],[合区区服]],表1_8612182224267275[目标国家（映射）],表2_9713192325277376[[#This Row],[国家]])</f>
        <v>58500</v>
      </c>
      <c r="L54" s="39">
        <f>表2_9713192325277376[[#This Row],[活跃Coin]]+表2_9713192325277376[[#This Row],[共计补偿Coin]]</f>
        <v>977288</v>
      </c>
      <c r="M54" s="39">
        <f>SUMIFS(表1_8612182224267275[综合国力],表1_8612182224267275[目标区服],表2_9713192325277376[[#This Row],[合区区服]],表1_8612182224267275[目标国家（映射）],表2_9713192325277376[[#This Row],[国家]])</f>
        <v>18575</v>
      </c>
      <c r="N54" s="512">
        <f t="array" ref="N54">MAX((表1_8612182224267275[目标区服]=表2_9713192325277376[[#This Row],[合区区服]])*(表1_8612182224267275[目标国家（映射）]=表2_9713192325277376[[#This Row],[国家]])*表1_8612182224267275[单将最高战力])</f>
        <v>1081827</v>
      </c>
    </row>
    <row r="55" ht="15" spans="1:14">
      <c r="A55" s="580" t="s">
        <v>142</v>
      </c>
      <c r="B55" s="510" t="s">
        <v>27</v>
      </c>
      <c r="C55" s="510">
        <f>COUNTIFS(表1_8612182224267275[目标区服],表2_9713192325277376[[#This Row],[合区区服]],表1_8612182224267275[目标国家（映射）],表2_9713192325277376[[#This Row],[国家]])</f>
        <v>4</v>
      </c>
      <c r="D55" s="510">
        <f>SUMIFS(表1_8612182224267275[活跃高战玩家数],表1_8612182224267275[目标区服],表2_9713192325277376[[#This Row],[合区区服]],表1_8612182224267275[目标国家（映射）],表2_9713192325277376[[#This Row],[国家]])</f>
        <v>8</v>
      </c>
      <c r="E55" s="510">
        <f>SUMIFS(表1_8612182224267275[活跃中坚玩家数],表1_8612182224267275[目标区服],表2_9713192325277376[[#This Row],[合区区服]],表1_8612182224267275[目标国家（映射）],表2_9713192325277376[[#This Row],[国家]])</f>
        <v>46</v>
      </c>
      <c r="F55" s="510">
        <f t="array" ref="F55">MAX((表1_8612182224267275[目标区服]=表2_9713192325277376[[#This Row],[合区区服]])*(表1_8612182224267275[目标国家（映射）]=表2_9713192325277376[[#This Row],[国家]])*表1_8612182224267275[活跃尖端战力])</f>
        <v>2482310</v>
      </c>
      <c r="G55" s="511">
        <f>SUMIFS(表1_8612182224267275[活跃总战力],表1_8612182224267275[目标区服],表2_9713192325277376[[#This Row],[合区区服]],表1_8612182224267275[目标国家（映射）],表2_9713192325277376[[#This Row],[国家]])</f>
        <v>42419913</v>
      </c>
      <c r="H55" s="510">
        <f>SUMIFS(表1_8612182224267275[活跃实际充值],表1_8612182224267275[目标区服],表2_9713192325277376[[#This Row],[合区区服]],表1_8612182224267275[目标国家（映射）],表2_9713192325277376[[#This Row],[国家]])</f>
        <v>95092</v>
      </c>
      <c r="I55" s="510">
        <f>SUMIFS(表1_8612182224267275[活跃虚拟充值],表1_8612182224267275[目标区服],表2_9713192325277376[[#This Row],[合区区服]],表1_8612182224267275[目标国家（映射）],表2_9713192325277376[[#This Row],[国家]])</f>
        <v>0</v>
      </c>
      <c r="J55" s="510">
        <f>SUMIFS(表1_8612182224267275[活跃Coin],表1_8612182224267275[目标区服],表2_9713192325277376[[#This Row],[合区区服]],表1_8612182224267275[目标国家（映射）],表2_9713192325277376[[#This Row],[国家]])</f>
        <v>435189</v>
      </c>
      <c r="K55" s="510">
        <f>SUMIFS(表1_8612182224267275[共计补偿Coin],表1_8612182224267275[目标区服],表2_9713192325277376[[#This Row],[合区区服]],表1_8612182224267275[目标国家（映射）],表2_9713192325277376[[#This Row],[国家]])</f>
        <v>57500</v>
      </c>
      <c r="L55" s="510">
        <f>表2_9713192325277376[[#This Row],[活跃Coin]]+表2_9713192325277376[[#This Row],[共计补偿Coin]]</f>
        <v>492689</v>
      </c>
      <c r="M55" s="510">
        <f>SUMIFS(表1_8612182224267275[综合国力],表1_8612182224267275[目标区服],表2_9713192325277376[[#This Row],[合区区服]],表1_8612182224267275[目标国家（映射）],表2_9713192325277376[[#This Row],[国家]])</f>
        <v>20020</v>
      </c>
      <c r="N55" s="513">
        <f t="array" ref="N55">MAX((表1_8612182224267275[目标区服]=表2_9713192325277376[[#This Row],[合区区服]])*(表1_8612182224267275[目标国家（映射）]=表2_9713192325277376[[#This Row],[国家]])*表1_8612182224267275[单将最高战力])</f>
        <v>777862</v>
      </c>
    </row>
    <row r="59" spans="16:16">
      <c r="P59" s="584"/>
    </row>
    <row r="61" ht="27" spans="2:14">
      <c r="B61" s="49"/>
      <c r="C61" s="50" t="s">
        <v>9</v>
      </c>
      <c r="D61" s="50" t="s">
        <v>10</v>
      </c>
      <c r="E61" s="50" t="s">
        <v>11</v>
      </c>
      <c r="F61" s="50" t="s">
        <v>12</v>
      </c>
      <c r="G61" s="50" t="s">
        <v>13</v>
      </c>
      <c r="H61" s="50" t="s">
        <v>14</v>
      </c>
      <c r="I61" s="50" t="s">
        <v>15</v>
      </c>
      <c r="J61" s="50" t="s">
        <v>18</v>
      </c>
      <c r="K61" s="50" t="s">
        <v>19</v>
      </c>
      <c r="L61" s="50" t="s">
        <v>20</v>
      </c>
      <c r="M61" s="50" t="s">
        <v>21</v>
      </c>
      <c r="N61" s="50" t="s">
        <v>82</v>
      </c>
    </row>
    <row r="62" spans="1:14">
      <c r="A62">
        <v>150</v>
      </c>
      <c r="B62" s="50" t="s">
        <v>25</v>
      </c>
      <c r="C62" s="50">
        <v>2</v>
      </c>
      <c r="D62" s="50">
        <v>72</v>
      </c>
      <c r="E62" s="50">
        <v>0</v>
      </c>
      <c r="F62" s="50">
        <v>11</v>
      </c>
      <c r="G62" s="50">
        <v>23148</v>
      </c>
      <c r="H62" s="50">
        <v>1658846</v>
      </c>
      <c r="I62" s="50">
        <v>9856944</v>
      </c>
      <c r="J62" s="50">
        <v>6540</v>
      </c>
      <c r="K62" s="50">
        <v>0</v>
      </c>
      <c r="L62" s="50">
        <v>119736</v>
      </c>
      <c r="M62" s="50">
        <v>3936</v>
      </c>
      <c r="N62" s="50">
        <v>542863</v>
      </c>
    </row>
    <row r="63" spans="2:14">
      <c r="B63" s="50" t="s">
        <v>26</v>
      </c>
      <c r="C63" s="50">
        <v>4</v>
      </c>
      <c r="D63" s="50">
        <v>188</v>
      </c>
      <c r="E63" s="50">
        <v>8</v>
      </c>
      <c r="F63" s="50">
        <v>42</v>
      </c>
      <c r="G63" s="50">
        <v>220135</v>
      </c>
      <c r="H63" s="50">
        <v>4359133</v>
      </c>
      <c r="I63" s="50">
        <v>66187017</v>
      </c>
      <c r="J63" s="50">
        <v>299186</v>
      </c>
      <c r="K63" s="50">
        <v>0</v>
      </c>
      <c r="L63" s="50">
        <v>1303855</v>
      </c>
      <c r="M63" s="50">
        <v>23986</v>
      </c>
      <c r="N63" s="50">
        <v>1203856</v>
      </c>
    </row>
    <row r="64" spans="2:14">
      <c r="B64" s="50" t="s">
        <v>27</v>
      </c>
      <c r="C64" s="50">
        <v>3</v>
      </c>
      <c r="D64" s="50">
        <v>135</v>
      </c>
      <c r="E64" s="50">
        <v>2</v>
      </c>
      <c r="F64" s="50">
        <v>20</v>
      </c>
      <c r="G64" s="50">
        <v>69086</v>
      </c>
      <c r="H64" s="50">
        <v>2890975</v>
      </c>
      <c r="I64" s="50">
        <v>23145850</v>
      </c>
      <c r="J64" s="50">
        <v>47966</v>
      </c>
      <c r="K64" s="50">
        <v>0</v>
      </c>
      <c r="L64" s="50">
        <v>175485</v>
      </c>
      <c r="M64" s="50">
        <v>8727</v>
      </c>
      <c r="N64" s="50">
        <v>971746</v>
      </c>
    </row>
    <row r="65" spans="1:14">
      <c r="A65">
        <v>151</v>
      </c>
      <c r="B65" s="50" t="s">
        <v>25</v>
      </c>
      <c r="C65" s="50">
        <v>6</v>
      </c>
      <c r="D65" s="50">
        <v>210</v>
      </c>
      <c r="E65" s="50">
        <v>6</v>
      </c>
      <c r="F65" s="50">
        <v>34</v>
      </c>
      <c r="G65" s="50">
        <v>185553</v>
      </c>
      <c r="H65" s="50">
        <v>3309713</v>
      </c>
      <c r="I65" s="50">
        <v>43935050</v>
      </c>
      <c r="J65" s="50">
        <v>78850</v>
      </c>
      <c r="K65" s="50">
        <v>0</v>
      </c>
      <c r="L65" s="50">
        <v>850781</v>
      </c>
      <c r="M65" s="50">
        <v>14121</v>
      </c>
      <c r="N65" s="50">
        <v>1235446</v>
      </c>
    </row>
    <row r="66" spans="2:14">
      <c r="B66" s="50" t="s">
        <v>26</v>
      </c>
      <c r="C66" s="50">
        <v>1</v>
      </c>
      <c r="D66" s="50">
        <v>104</v>
      </c>
      <c r="E66" s="50">
        <v>2</v>
      </c>
      <c r="F66" s="50">
        <v>23</v>
      </c>
      <c r="G66" s="50">
        <v>79368</v>
      </c>
      <c r="H66" s="50">
        <v>2475848</v>
      </c>
      <c r="I66" s="50">
        <v>23160962</v>
      </c>
      <c r="J66" s="50">
        <v>48134</v>
      </c>
      <c r="K66" s="50">
        <v>0</v>
      </c>
      <c r="L66" s="50">
        <v>469054</v>
      </c>
      <c r="M66" s="50">
        <v>8007</v>
      </c>
      <c r="N66" s="50">
        <v>749895</v>
      </c>
    </row>
    <row r="67" spans="2:14">
      <c r="B67" s="50" t="s">
        <v>27</v>
      </c>
      <c r="C67" s="50">
        <v>2</v>
      </c>
      <c r="D67" s="50">
        <v>81</v>
      </c>
      <c r="E67" s="50">
        <v>1</v>
      </c>
      <c r="F67" s="50">
        <v>12</v>
      </c>
      <c r="G67" s="50">
        <v>32678</v>
      </c>
      <c r="H67" s="50">
        <v>2608507</v>
      </c>
      <c r="I67" s="50">
        <v>12445460</v>
      </c>
      <c r="J67" s="50">
        <v>69014</v>
      </c>
      <c r="K67" s="50">
        <v>0</v>
      </c>
      <c r="L67" s="50">
        <v>142571</v>
      </c>
      <c r="M67" s="50">
        <v>7168</v>
      </c>
      <c r="N67" s="50">
        <v>1095665</v>
      </c>
    </row>
    <row r="68" spans="1:14">
      <c r="A68">
        <v>152</v>
      </c>
      <c r="B68" s="50" t="s">
        <v>25</v>
      </c>
      <c r="C68" s="50">
        <v>0</v>
      </c>
      <c r="D68" s="50">
        <v>59</v>
      </c>
      <c r="E68" s="50">
        <v>0</v>
      </c>
      <c r="F68" s="50">
        <v>20</v>
      </c>
      <c r="G68" s="50">
        <v>48393</v>
      </c>
      <c r="H68" s="50">
        <v>1317082</v>
      </c>
      <c r="I68" s="50">
        <v>11645087</v>
      </c>
      <c r="J68" s="50">
        <v>4168</v>
      </c>
      <c r="K68" s="50">
        <v>0</v>
      </c>
      <c r="L68" s="50">
        <v>176171</v>
      </c>
      <c r="M68" s="50">
        <v>3526</v>
      </c>
      <c r="N68" s="50">
        <v>413647</v>
      </c>
    </row>
    <row r="69" spans="2:14">
      <c r="B69" s="50" t="s">
        <v>26</v>
      </c>
      <c r="C69" s="50">
        <v>7</v>
      </c>
      <c r="D69" s="50">
        <v>228</v>
      </c>
      <c r="E69" s="50">
        <v>6</v>
      </c>
      <c r="F69" s="50">
        <v>27</v>
      </c>
      <c r="G69" s="50">
        <v>183783</v>
      </c>
      <c r="H69" s="50">
        <v>3455366</v>
      </c>
      <c r="I69" s="50">
        <v>36455341</v>
      </c>
      <c r="J69" s="50">
        <v>169494</v>
      </c>
      <c r="K69" s="50">
        <v>0</v>
      </c>
      <c r="L69" s="50">
        <v>673648</v>
      </c>
      <c r="M69" s="50">
        <v>16421</v>
      </c>
      <c r="N69" s="50">
        <v>894960</v>
      </c>
    </row>
    <row r="70" spans="2:14">
      <c r="B70" s="50" t="s">
        <v>27</v>
      </c>
      <c r="C70" s="50">
        <v>2</v>
      </c>
      <c r="D70" s="50">
        <v>108</v>
      </c>
      <c r="E70" s="50">
        <v>3</v>
      </c>
      <c r="F70" s="50">
        <v>12</v>
      </c>
      <c r="G70" s="50">
        <v>70443</v>
      </c>
      <c r="H70" s="50">
        <v>2074681</v>
      </c>
      <c r="I70" s="50">
        <v>13564900</v>
      </c>
      <c r="J70" s="50">
        <v>39974</v>
      </c>
      <c r="K70" s="50">
        <v>0</v>
      </c>
      <c r="L70" s="50">
        <v>107432</v>
      </c>
      <c r="M70" s="50">
        <v>6316</v>
      </c>
      <c r="N70" s="50">
        <v>625561</v>
      </c>
    </row>
    <row r="71" spans="1:14">
      <c r="A71">
        <v>153</v>
      </c>
      <c r="B71" s="50" t="s">
        <v>25</v>
      </c>
      <c r="C71" s="50">
        <v>0</v>
      </c>
      <c r="D71" s="50">
        <v>37</v>
      </c>
      <c r="E71" s="50">
        <v>0</v>
      </c>
      <c r="F71" s="50">
        <v>10</v>
      </c>
      <c r="G71" s="50">
        <v>31672</v>
      </c>
      <c r="H71" s="50">
        <v>1280168</v>
      </c>
      <c r="I71" s="50">
        <v>6554747</v>
      </c>
      <c r="J71" s="50">
        <v>4828</v>
      </c>
      <c r="K71" s="50">
        <v>0</v>
      </c>
      <c r="L71" s="50">
        <v>70242</v>
      </c>
      <c r="M71" s="50">
        <v>2643</v>
      </c>
      <c r="N71" s="50">
        <v>429240</v>
      </c>
    </row>
    <row r="72" spans="2:14">
      <c r="B72" s="50" t="s">
        <v>26</v>
      </c>
      <c r="C72" s="50">
        <v>6</v>
      </c>
      <c r="D72" s="50">
        <v>265</v>
      </c>
      <c r="E72" s="50">
        <v>6</v>
      </c>
      <c r="F72" s="50">
        <v>25</v>
      </c>
      <c r="G72" s="50">
        <v>149528</v>
      </c>
      <c r="H72" s="50">
        <v>3552947</v>
      </c>
      <c r="I72" s="50">
        <v>31587396</v>
      </c>
      <c r="J72" s="50">
        <v>102538</v>
      </c>
      <c r="K72" s="50">
        <v>0</v>
      </c>
      <c r="L72" s="50">
        <v>847667</v>
      </c>
      <c r="M72" s="50">
        <v>14209</v>
      </c>
      <c r="N72" s="50">
        <v>1066515</v>
      </c>
    </row>
    <row r="73" spans="2:14">
      <c r="B73" s="50" t="s">
        <v>27</v>
      </c>
      <c r="C73" s="50">
        <v>3</v>
      </c>
      <c r="D73" s="50">
        <v>93</v>
      </c>
      <c r="E73" s="50">
        <v>4</v>
      </c>
      <c r="F73" s="50">
        <v>9</v>
      </c>
      <c r="G73" s="50">
        <v>74077</v>
      </c>
      <c r="H73" s="50">
        <v>3206465</v>
      </c>
      <c r="I73" s="50">
        <v>16177155</v>
      </c>
      <c r="J73" s="50">
        <v>57412</v>
      </c>
      <c r="K73" s="50">
        <v>0</v>
      </c>
      <c r="L73" s="50">
        <v>195112</v>
      </c>
      <c r="M73" s="50">
        <v>8244</v>
      </c>
      <c r="N73" s="50">
        <v>920922</v>
      </c>
    </row>
    <row r="74" spans="1:14">
      <c r="A74">
        <v>154</v>
      </c>
      <c r="B74" s="50" t="s">
        <v>25</v>
      </c>
      <c r="C74" s="50">
        <v>9</v>
      </c>
      <c r="D74" s="50">
        <v>345</v>
      </c>
      <c r="E74" s="50">
        <v>6</v>
      </c>
      <c r="F74" s="50">
        <v>18</v>
      </c>
      <c r="G74" s="50">
        <v>151885</v>
      </c>
      <c r="H74" s="50">
        <v>4005874</v>
      </c>
      <c r="I74" s="50">
        <v>27897317</v>
      </c>
      <c r="J74" s="50">
        <v>222582</v>
      </c>
      <c r="K74" s="50">
        <v>0</v>
      </c>
      <c r="L74" s="50">
        <v>962585</v>
      </c>
      <c r="M74" s="50">
        <v>19063</v>
      </c>
      <c r="N74" s="50">
        <v>1226455</v>
      </c>
    </row>
    <row r="75" spans="2:14">
      <c r="B75" s="50" t="s">
        <v>26</v>
      </c>
      <c r="C75" s="50">
        <v>0</v>
      </c>
      <c r="D75" s="50">
        <v>28</v>
      </c>
      <c r="E75" s="50">
        <v>1</v>
      </c>
      <c r="F75" s="50">
        <v>9</v>
      </c>
      <c r="G75" s="50">
        <v>44486</v>
      </c>
      <c r="H75" s="50">
        <v>1417503</v>
      </c>
      <c r="I75" s="50">
        <v>6600290</v>
      </c>
      <c r="J75" s="50">
        <v>5528</v>
      </c>
      <c r="K75" s="50">
        <v>0</v>
      </c>
      <c r="L75" s="50">
        <v>256424</v>
      </c>
      <c r="M75" s="50">
        <v>2874</v>
      </c>
      <c r="N75" s="50">
        <v>445358</v>
      </c>
    </row>
    <row r="76" spans="2:14">
      <c r="B76" s="50" t="s">
        <v>27</v>
      </c>
      <c r="C76" s="50">
        <v>0</v>
      </c>
      <c r="D76" s="50">
        <v>22</v>
      </c>
      <c r="E76" s="50">
        <v>0</v>
      </c>
      <c r="F76" s="50">
        <v>7</v>
      </c>
      <c r="G76" s="50">
        <v>30898</v>
      </c>
      <c r="H76" s="50">
        <v>1200467</v>
      </c>
      <c r="I76" s="50">
        <v>4500643</v>
      </c>
      <c r="J76" s="50">
        <v>8690</v>
      </c>
      <c r="K76" s="50">
        <v>0</v>
      </c>
      <c r="L76" s="50">
        <v>79933</v>
      </c>
      <c r="M76" s="50">
        <v>2325</v>
      </c>
      <c r="N76" s="50">
        <v>577218</v>
      </c>
    </row>
    <row r="77" spans="1:14">
      <c r="A77">
        <v>155</v>
      </c>
      <c r="B77" s="50" t="s">
        <v>25</v>
      </c>
      <c r="C77" s="50">
        <v>5</v>
      </c>
      <c r="D77" s="50">
        <v>198</v>
      </c>
      <c r="E77" s="50">
        <v>6</v>
      </c>
      <c r="F77" s="50">
        <v>16</v>
      </c>
      <c r="G77" s="50">
        <v>119243</v>
      </c>
      <c r="H77" s="50">
        <v>3143202</v>
      </c>
      <c r="I77" s="50">
        <v>25409335</v>
      </c>
      <c r="J77" s="50">
        <v>98378</v>
      </c>
      <c r="K77" s="50">
        <v>0</v>
      </c>
      <c r="L77" s="50">
        <v>681550</v>
      </c>
      <c r="M77" s="50">
        <v>12052</v>
      </c>
      <c r="N77" s="50">
        <v>805627</v>
      </c>
    </row>
    <row r="78" spans="2:14">
      <c r="B78" s="50" t="s">
        <v>26</v>
      </c>
      <c r="C78" s="50">
        <v>2</v>
      </c>
      <c r="D78" s="50">
        <v>90</v>
      </c>
      <c r="E78" s="50">
        <v>2</v>
      </c>
      <c r="F78" s="50">
        <v>12</v>
      </c>
      <c r="G78" s="50">
        <v>53207</v>
      </c>
      <c r="H78" s="50">
        <v>2280738</v>
      </c>
      <c r="I78" s="50">
        <v>11027284</v>
      </c>
      <c r="J78" s="50">
        <v>14860</v>
      </c>
      <c r="K78" s="50">
        <v>0</v>
      </c>
      <c r="L78" s="50">
        <v>239241</v>
      </c>
      <c r="M78" s="50">
        <v>5314</v>
      </c>
      <c r="N78" s="50">
        <v>680966</v>
      </c>
    </row>
    <row r="79" spans="2:14">
      <c r="B79" s="50" t="s">
        <v>27</v>
      </c>
      <c r="C79" s="50">
        <v>2</v>
      </c>
      <c r="D79" s="50">
        <v>107</v>
      </c>
      <c r="E79" s="50">
        <v>1</v>
      </c>
      <c r="F79" s="50">
        <v>20</v>
      </c>
      <c r="G79" s="50">
        <v>96798</v>
      </c>
      <c r="H79" s="50">
        <v>2173176</v>
      </c>
      <c r="I79" s="50">
        <v>18578829</v>
      </c>
      <c r="J79" s="50">
        <v>28216</v>
      </c>
      <c r="K79" s="50">
        <v>0</v>
      </c>
      <c r="L79" s="50">
        <v>245901</v>
      </c>
      <c r="M79" s="50">
        <v>6754</v>
      </c>
      <c r="N79" s="50">
        <v>589897</v>
      </c>
    </row>
    <row r="80" spans="1:14">
      <c r="A80">
        <v>156</v>
      </c>
      <c r="B80" s="50" t="s">
        <v>25</v>
      </c>
      <c r="C80" s="50">
        <v>0</v>
      </c>
      <c r="D80" s="50">
        <v>56</v>
      </c>
      <c r="E80" s="50">
        <v>1</v>
      </c>
      <c r="F80" s="50">
        <v>12</v>
      </c>
      <c r="G80" s="50">
        <v>53955</v>
      </c>
      <c r="H80" s="50">
        <v>1499199</v>
      </c>
      <c r="I80" s="50">
        <v>7831773</v>
      </c>
      <c r="J80" s="50">
        <v>10772</v>
      </c>
      <c r="K80" s="50">
        <v>0</v>
      </c>
      <c r="L80" s="50">
        <v>252054</v>
      </c>
      <c r="M80" s="50">
        <v>3561</v>
      </c>
      <c r="N80" s="50">
        <v>575041</v>
      </c>
    </row>
    <row r="81" spans="2:14">
      <c r="B81" s="50" t="s">
        <v>26</v>
      </c>
      <c r="C81" s="50">
        <v>9</v>
      </c>
      <c r="D81" s="50">
        <v>304</v>
      </c>
      <c r="E81" s="50">
        <v>9</v>
      </c>
      <c r="F81" s="50">
        <v>20</v>
      </c>
      <c r="G81" s="50">
        <v>183949</v>
      </c>
      <c r="H81" s="50">
        <v>3133235</v>
      </c>
      <c r="I81" s="50">
        <v>30191802</v>
      </c>
      <c r="J81" s="50">
        <v>80750</v>
      </c>
      <c r="K81" s="50">
        <v>0</v>
      </c>
      <c r="L81" s="50">
        <v>1276946</v>
      </c>
      <c r="M81" s="50">
        <v>14073</v>
      </c>
      <c r="N81" s="50">
        <v>802698</v>
      </c>
    </row>
    <row r="82" spans="2:14">
      <c r="B82" s="50" t="s">
        <v>27</v>
      </c>
      <c r="C82" s="50">
        <v>0</v>
      </c>
      <c r="D82" s="50">
        <v>35</v>
      </c>
      <c r="E82" s="50">
        <v>0</v>
      </c>
      <c r="F82" s="50">
        <v>10</v>
      </c>
      <c r="G82" s="50">
        <v>36388</v>
      </c>
      <c r="H82" s="50">
        <v>1085403</v>
      </c>
      <c r="I82" s="50">
        <v>5133786</v>
      </c>
      <c r="J82" s="50">
        <v>2660</v>
      </c>
      <c r="K82" s="50">
        <v>0</v>
      </c>
      <c r="L82" s="50">
        <v>88601</v>
      </c>
      <c r="M82" s="50">
        <v>2254</v>
      </c>
      <c r="N82" s="50">
        <v>316862</v>
      </c>
    </row>
    <row r="83" spans="1:14">
      <c r="A83">
        <v>157</v>
      </c>
      <c r="B83" s="50" t="s">
        <v>25</v>
      </c>
      <c r="C83" s="50">
        <v>0</v>
      </c>
      <c r="D83" s="50">
        <v>23</v>
      </c>
      <c r="E83" s="50">
        <v>0</v>
      </c>
      <c r="F83" s="50">
        <v>13</v>
      </c>
      <c r="G83" s="50">
        <v>25707</v>
      </c>
      <c r="H83" s="50">
        <v>1140887</v>
      </c>
      <c r="I83" s="50">
        <v>7377018</v>
      </c>
      <c r="J83" s="50">
        <v>1292</v>
      </c>
      <c r="K83" s="50">
        <v>0</v>
      </c>
      <c r="L83" s="50">
        <v>127962</v>
      </c>
      <c r="M83" s="50">
        <v>2339</v>
      </c>
      <c r="N83" s="50">
        <v>313647</v>
      </c>
    </row>
    <row r="84" spans="2:14">
      <c r="B84" s="50" t="s">
        <v>26</v>
      </c>
      <c r="C84" s="50">
        <v>9</v>
      </c>
      <c r="D84" s="50">
        <v>342</v>
      </c>
      <c r="E84" s="50">
        <v>10</v>
      </c>
      <c r="F84" s="50">
        <v>31</v>
      </c>
      <c r="G84" s="50">
        <v>232633</v>
      </c>
      <c r="H84" s="50">
        <v>4481277</v>
      </c>
      <c r="I84" s="50">
        <v>52505734</v>
      </c>
      <c r="J84" s="50">
        <v>253810</v>
      </c>
      <c r="K84" s="50">
        <v>68</v>
      </c>
      <c r="L84" s="50">
        <v>2014686</v>
      </c>
      <c r="M84" s="50">
        <v>23837</v>
      </c>
      <c r="N84" s="50">
        <v>1135447</v>
      </c>
    </row>
    <row r="85" spans="2:14">
      <c r="B85" s="50" t="s">
        <v>27</v>
      </c>
      <c r="C85" s="50">
        <v>0</v>
      </c>
      <c r="D85" s="50">
        <v>30</v>
      </c>
      <c r="E85" s="50">
        <v>0</v>
      </c>
      <c r="F85" s="50">
        <v>11</v>
      </c>
      <c r="G85" s="50">
        <v>20748</v>
      </c>
      <c r="H85" s="50">
        <v>1003362</v>
      </c>
      <c r="I85" s="50">
        <v>6235739</v>
      </c>
      <c r="J85" s="50">
        <v>2712</v>
      </c>
      <c r="K85" s="50">
        <v>0</v>
      </c>
      <c r="L85" s="50">
        <v>129781</v>
      </c>
      <c r="M85" s="50">
        <v>2176</v>
      </c>
      <c r="N85" s="50">
        <v>374401</v>
      </c>
    </row>
    <row r="86" spans="1:14">
      <c r="A86">
        <v>158</v>
      </c>
      <c r="B86" s="50" t="s">
        <v>25</v>
      </c>
      <c r="C86" s="50">
        <v>3</v>
      </c>
      <c r="D86" s="50">
        <v>140</v>
      </c>
      <c r="E86" s="50">
        <v>4</v>
      </c>
      <c r="F86" s="50">
        <v>30</v>
      </c>
      <c r="G86" s="50">
        <v>117106</v>
      </c>
      <c r="H86" s="50">
        <v>3834263</v>
      </c>
      <c r="I86" s="50">
        <v>39845824</v>
      </c>
      <c r="J86" s="50">
        <v>178622</v>
      </c>
      <c r="K86" s="50">
        <v>0</v>
      </c>
      <c r="L86" s="50">
        <v>899013</v>
      </c>
      <c r="M86" s="50">
        <v>15912</v>
      </c>
      <c r="N86" s="50">
        <v>1136718</v>
      </c>
    </row>
    <row r="87" spans="2:14">
      <c r="B87" s="50" t="s">
        <v>26</v>
      </c>
      <c r="C87" s="50">
        <v>4</v>
      </c>
      <c r="D87" s="50">
        <v>182</v>
      </c>
      <c r="E87" s="50">
        <v>4</v>
      </c>
      <c r="F87" s="50">
        <v>30</v>
      </c>
      <c r="G87" s="50">
        <v>126362</v>
      </c>
      <c r="H87" s="50">
        <v>4248157</v>
      </c>
      <c r="I87" s="50">
        <v>43176595</v>
      </c>
      <c r="J87" s="50">
        <v>202282</v>
      </c>
      <c r="K87" s="50">
        <v>328</v>
      </c>
      <c r="L87" s="50">
        <v>676172</v>
      </c>
      <c r="M87" s="50">
        <v>17827</v>
      </c>
      <c r="N87" s="50">
        <v>1120667</v>
      </c>
    </row>
    <row r="88" spans="2:14">
      <c r="B88" s="50" t="s">
        <v>27</v>
      </c>
      <c r="C88" s="50">
        <v>2</v>
      </c>
      <c r="D88" s="50">
        <v>73</v>
      </c>
      <c r="E88" s="50">
        <v>2</v>
      </c>
      <c r="F88" s="50">
        <v>12</v>
      </c>
      <c r="G88" s="50">
        <v>58653</v>
      </c>
      <c r="H88" s="50">
        <v>2825863</v>
      </c>
      <c r="I88" s="50">
        <v>16494894</v>
      </c>
      <c r="J88" s="50">
        <v>71298</v>
      </c>
      <c r="K88" s="50">
        <v>0</v>
      </c>
      <c r="L88" s="50">
        <v>229800</v>
      </c>
      <c r="M88" s="50">
        <v>7952</v>
      </c>
      <c r="N88" s="50">
        <v>794398</v>
      </c>
    </row>
    <row r="89" spans="1:14">
      <c r="A89">
        <v>159</v>
      </c>
      <c r="B89" s="50" t="s">
        <v>25</v>
      </c>
      <c r="C89" s="50">
        <v>7</v>
      </c>
      <c r="D89" s="50">
        <v>267</v>
      </c>
      <c r="E89" s="50">
        <v>8</v>
      </c>
      <c r="F89" s="50">
        <v>16</v>
      </c>
      <c r="G89" s="50">
        <v>146308</v>
      </c>
      <c r="H89" s="50">
        <v>3341843</v>
      </c>
      <c r="I89" s="50">
        <v>27540589</v>
      </c>
      <c r="J89" s="50">
        <v>70296</v>
      </c>
      <c r="K89" s="50">
        <v>0</v>
      </c>
      <c r="L89" s="50">
        <v>799926</v>
      </c>
      <c r="M89" s="50">
        <v>12706</v>
      </c>
      <c r="N89" s="50">
        <v>915405</v>
      </c>
    </row>
    <row r="90" spans="2:14">
      <c r="B90" s="50" t="s">
        <v>26</v>
      </c>
      <c r="C90" s="50">
        <v>0</v>
      </c>
      <c r="D90" s="50">
        <v>38</v>
      </c>
      <c r="E90" s="50">
        <v>0</v>
      </c>
      <c r="F90" s="50">
        <v>9</v>
      </c>
      <c r="G90" s="50">
        <v>33085</v>
      </c>
      <c r="H90" s="50">
        <v>1060343</v>
      </c>
      <c r="I90" s="50">
        <v>5705722</v>
      </c>
      <c r="J90" s="50">
        <v>5660</v>
      </c>
      <c r="K90" s="50">
        <v>0</v>
      </c>
      <c r="L90" s="50">
        <v>41274</v>
      </c>
      <c r="M90" s="50">
        <v>2366</v>
      </c>
      <c r="N90" s="50">
        <v>329156</v>
      </c>
    </row>
    <row r="91" spans="2:14">
      <c r="B91" s="50" t="s">
        <v>27</v>
      </c>
      <c r="C91" s="50">
        <v>2</v>
      </c>
      <c r="D91" s="50">
        <v>90</v>
      </c>
      <c r="E91" s="50">
        <v>2</v>
      </c>
      <c r="F91" s="50">
        <v>14</v>
      </c>
      <c r="G91" s="50">
        <v>86960</v>
      </c>
      <c r="H91" s="50">
        <v>2326636</v>
      </c>
      <c r="I91" s="50">
        <v>14804375</v>
      </c>
      <c r="J91" s="50">
        <v>22276</v>
      </c>
      <c r="K91" s="50">
        <v>0</v>
      </c>
      <c r="L91" s="50">
        <v>206624</v>
      </c>
      <c r="M91" s="50">
        <v>6113</v>
      </c>
      <c r="N91" s="50">
        <v>787216</v>
      </c>
    </row>
    <row r="92" spans="1:14">
      <c r="A92">
        <v>160</v>
      </c>
      <c r="B92" s="50" t="s">
        <v>25</v>
      </c>
      <c r="C92" s="50">
        <v>1</v>
      </c>
      <c r="D92" s="50">
        <v>69</v>
      </c>
      <c r="E92" s="50">
        <v>1</v>
      </c>
      <c r="F92" s="50">
        <v>15</v>
      </c>
      <c r="G92" s="50">
        <v>66697</v>
      </c>
      <c r="H92" s="50">
        <v>1227126</v>
      </c>
      <c r="I92" s="50">
        <v>10103989</v>
      </c>
      <c r="J92" s="50">
        <v>9010</v>
      </c>
      <c r="K92" s="50">
        <v>0</v>
      </c>
      <c r="L92" s="50">
        <v>64916</v>
      </c>
      <c r="M92" s="50">
        <v>3663</v>
      </c>
      <c r="N92" s="50">
        <v>777862</v>
      </c>
    </row>
    <row r="93" spans="2:14">
      <c r="B93" s="50" t="s">
        <v>26</v>
      </c>
      <c r="C93" s="50">
        <v>6</v>
      </c>
      <c r="D93" s="50">
        <v>233</v>
      </c>
      <c r="E93" s="50">
        <v>6</v>
      </c>
      <c r="F93" s="50">
        <v>11</v>
      </c>
      <c r="G93" s="50">
        <v>105162</v>
      </c>
      <c r="H93" s="50">
        <v>2482310</v>
      </c>
      <c r="I93" s="50">
        <v>17361014</v>
      </c>
      <c r="J93" s="50">
        <v>70660</v>
      </c>
      <c r="K93" s="50">
        <v>0</v>
      </c>
      <c r="L93" s="50">
        <v>179056</v>
      </c>
      <c r="M93" s="50">
        <v>9883</v>
      </c>
      <c r="N93" s="50">
        <v>736512</v>
      </c>
    </row>
    <row r="94" spans="2:14">
      <c r="B94" s="50" t="s">
        <v>27</v>
      </c>
      <c r="C94" s="50">
        <v>2</v>
      </c>
      <c r="D94" s="50">
        <v>93</v>
      </c>
      <c r="E94" s="50">
        <v>1</v>
      </c>
      <c r="F94" s="50">
        <v>13</v>
      </c>
      <c r="G94" s="50">
        <v>66015</v>
      </c>
      <c r="H94" s="50">
        <v>1384024</v>
      </c>
      <c r="I94" s="50">
        <v>9922633</v>
      </c>
      <c r="J94" s="50">
        <v>9834</v>
      </c>
      <c r="K94" s="50">
        <v>0</v>
      </c>
      <c r="L94" s="50">
        <v>73019</v>
      </c>
      <c r="M94" s="50">
        <v>4167</v>
      </c>
      <c r="N94" s="50">
        <v>441346</v>
      </c>
    </row>
    <row r="95" spans="1:14">
      <c r="A95">
        <v>161</v>
      </c>
      <c r="B95" s="50" t="s">
        <v>25</v>
      </c>
      <c r="C95" s="50">
        <v>0</v>
      </c>
      <c r="D95" s="50">
        <v>17</v>
      </c>
      <c r="E95" s="50">
        <v>1</v>
      </c>
      <c r="F95" s="50">
        <v>9</v>
      </c>
      <c r="G95" s="50">
        <v>30730</v>
      </c>
      <c r="H95" s="50">
        <v>1476705</v>
      </c>
      <c r="I95" s="50">
        <v>5183134</v>
      </c>
      <c r="J95" s="50">
        <v>2118</v>
      </c>
      <c r="K95" s="50">
        <v>0</v>
      </c>
      <c r="L95" s="50">
        <v>153085</v>
      </c>
      <c r="M95" s="50">
        <v>2458</v>
      </c>
      <c r="N95" s="50">
        <v>636312</v>
      </c>
    </row>
    <row r="96" spans="2:14">
      <c r="B96" s="50" t="s">
        <v>26</v>
      </c>
      <c r="C96" s="50">
        <v>9</v>
      </c>
      <c r="D96" s="50">
        <v>357</v>
      </c>
      <c r="E96" s="50">
        <v>8</v>
      </c>
      <c r="F96" s="50">
        <v>21</v>
      </c>
      <c r="G96" s="50">
        <v>167435</v>
      </c>
      <c r="H96" s="50">
        <v>3601906</v>
      </c>
      <c r="I96" s="50">
        <v>28424814</v>
      </c>
      <c r="J96" s="50">
        <v>132770</v>
      </c>
      <c r="K96" s="50">
        <v>0</v>
      </c>
      <c r="L96" s="50">
        <v>765703</v>
      </c>
      <c r="M96" s="50">
        <v>16117</v>
      </c>
      <c r="N96" s="50">
        <v>1081827</v>
      </c>
    </row>
    <row r="97" spans="2:14">
      <c r="B97" s="50" t="s">
        <v>27</v>
      </c>
      <c r="C97" s="50">
        <v>0</v>
      </c>
      <c r="D97" s="50">
        <v>21</v>
      </c>
      <c r="E97" s="50">
        <v>0</v>
      </c>
      <c r="F97" s="50">
        <v>7</v>
      </c>
      <c r="G97" s="50">
        <v>33784</v>
      </c>
      <c r="H97" s="50">
        <v>1198441</v>
      </c>
      <c r="I97" s="50">
        <v>5032277</v>
      </c>
      <c r="J97" s="50">
        <v>5588</v>
      </c>
      <c r="K97" s="50">
        <v>0</v>
      </c>
      <c r="L97" s="50">
        <v>118198</v>
      </c>
      <c r="M97" s="50">
        <v>2307</v>
      </c>
      <c r="N97" s="50">
        <v>464402</v>
      </c>
    </row>
  </sheetData>
  <conditionalFormatting sqref="F41:F43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{6411fe5c-d2cf-496f-8037-914052d8dd58}</x14:id>
        </ext>
      </extLst>
    </cfRule>
  </conditionalFormatting>
  <conditionalFormatting sqref="F44:F46">
    <cfRule type="dataBar" priority="5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{dbc4ee81-776e-4551-9c82-4dfd2db56719}</x14:id>
        </ext>
      </extLst>
    </cfRule>
  </conditionalFormatting>
  <conditionalFormatting sqref="F47:F49">
    <cfRule type="dataBar" priority="4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{1dd3eb92-aff6-40db-bf25-eba90d744675}</x14:id>
        </ext>
      </extLst>
    </cfRule>
  </conditionalFormatting>
  <conditionalFormatting sqref="F50:F52">
    <cfRule type="dataBar" priority="3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{705637db-5ac6-4fb2-b874-642b79f9c515}</x14:id>
        </ext>
      </extLst>
    </cfRule>
  </conditionalFormatting>
  <conditionalFormatting sqref="F53:F55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{75902e01-e2ca-4449-a86b-de026d998c05}</x14:id>
        </ext>
      </extLst>
    </cfRule>
  </conditionalFormatting>
  <conditionalFormatting sqref="G41:G43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{a9678d78-5c03-45d0-b2e7-42ab151ec4b0}</x14:id>
        </ext>
      </extLst>
    </cfRule>
  </conditionalFormatting>
  <conditionalFormatting sqref="G44:G46">
    <cfRule type="dataBar" priority="5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{9294debd-dfc4-4261-aa03-ba3ae4e24473}</x14:id>
        </ext>
      </extLst>
    </cfRule>
  </conditionalFormatting>
  <conditionalFormatting sqref="G47:G49">
    <cfRule type="dataBar" priority="4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{d13d9a27-3dec-4450-af81-27b159b07583}</x14:id>
        </ext>
      </extLst>
    </cfRule>
  </conditionalFormatting>
  <conditionalFormatting sqref="G50:G52">
    <cfRule type="dataBar" priority="4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{6bc0972c-6d48-4aeb-9fb5-de1f4e19fa29}</x14:id>
        </ext>
      </extLst>
    </cfRule>
  </conditionalFormatting>
  <conditionalFormatting sqref="G53:G55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{a48de3da-18fa-4b76-a0e1-b4c1731daeb5}</x14:id>
        </ext>
      </extLst>
    </cfRule>
  </conditionalFormatting>
  <conditionalFormatting sqref="N41:N55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{425bfd12-aa0b-4cb2-953e-d82c019453de}</x14:id>
        </ext>
      </extLst>
    </cfRule>
  </conditionalFormatting>
  <conditionalFormatting sqref="N50:N52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{b21a7ebc-5be3-4d29-8109-019a33097df3}</x14:id>
        </ext>
      </extLst>
    </cfRule>
  </conditionalFormatting>
  <conditionalFormatting sqref="N53:N55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{a67b4f2b-03b8-4a6c-aefa-f619dbeb4039}</x14:id>
        </ext>
      </extLst>
    </cfRule>
  </conditionalFormatting>
  <conditionalFormatting sqref="O2:O19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{0defd03c-eb48-45c1-b95e-ef3cc14d9e98}</x14:id>
        </ext>
      </extLst>
    </cfRule>
  </conditionalFormatting>
  <conditionalFormatting sqref="O20:O22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{7e723489-1af6-4a6c-9c87-e20baf14c1c4}</x14:id>
        </ext>
      </extLst>
    </cfRule>
  </conditionalFormatting>
  <conditionalFormatting sqref="O23:O25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{07e54f1e-be28-412c-8a71-0534606779a2}</x14:id>
        </ext>
      </extLst>
    </cfRule>
  </conditionalFormatting>
  <conditionalFormatting sqref="O26:O37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{6ef829be-a4cf-417c-934f-7fd6072f6f00}</x14:id>
        </ext>
      </extLst>
    </cfRule>
  </conditionalFormatting>
  <conditionalFormatting sqref="P2:P19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{904587f4-f6af-428d-9c51-ae5b83ffa79f}</x14:id>
        </ext>
      </extLst>
    </cfRule>
  </conditionalFormatting>
  <conditionalFormatting sqref="P20:P22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{681f2eec-283e-4526-85d6-9a19b5c9aee4}</x14:id>
        </ext>
      </extLst>
    </cfRule>
  </conditionalFormatting>
  <conditionalFormatting sqref="P23:P25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{8e031509-669a-41a4-a733-b2223d339e5f}</x14:id>
        </ext>
      </extLst>
    </cfRule>
  </conditionalFormatting>
  <conditionalFormatting sqref="P26:P37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{a67c55ac-d597-4f6f-a998-ca09b547ba8e}</x14:id>
        </ext>
      </extLst>
    </cfRule>
  </conditionalFormatting>
  <conditionalFormatting sqref="P41:P52">
    <cfRule type="cellIs" dxfId="37" priority="58" operator="equal">
      <formula>$S$41</formula>
    </cfRule>
  </conditionalFormatting>
  <conditionalFormatting sqref="Q2:Q19">
    <cfRule type="cellIs" dxfId="38" priority="48" operator="equal">
      <formula>配置!$D$4</formula>
    </cfRule>
    <cfRule type="cellIs" dxfId="39" priority="49" operator="equal">
      <formula>配置!$D$3</formula>
    </cfRule>
    <cfRule type="cellIs" dxfId="37" priority="50" operator="equal">
      <formula>配置!$D$2</formula>
    </cfRule>
  </conditionalFormatting>
  <conditionalFormatting sqref="Q20:Q22">
    <cfRule type="cellIs" dxfId="38" priority="26" operator="equal">
      <formula>配置!$D$4</formula>
    </cfRule>
    <cfRule type="cellIs" dxfId="39" priority="27" operator="equal">
      <formula>配置!$D$3</formula>
    </cfRule>
    <cfRule type="cellIs" dxfId="37" priority="28" operator="equal">
      <formula>配置!$D$2</formula>
    </cfRule>
  </conditionalFormatting>
  <conditionalFormatting sqref="Q23:Q25">
    <cfRule type="cellIs" dxfId="38" priority="33" operator="equal">
      <formula>配置!$D$4</formula>
    </cfRule>
    <cfRule type="cellIs" dxfId="39" priority="34" operator="equal">
      <formula>配置!$D$3</formula>
    </cfRule>
    <cfRule type="cellIs" dxfId="37" priority="35" operator="equal">
      <formula>配置!$D$2</formula>
    </cfRule>
  </conditionalFormatting>
  <conditionalFormatting sqref="Q26:Q28">
    <cfRule type="cellIs" dxfId="38" priority="19" operator="equal">
      <formula>配置!$D$4</formula>
    </cfRule>
    <cfRule type="cellIs" dxfId="39" priority="20" operator="equal">
      <formula>配置!$D$3</formula>
    </cfRule>
    <cfRule type="cellIs" dxfId="37" priority="21" operator="equal">
      <formula>配置!$D$2</formula>
    </cfRule>
  </conditionalFormatting>
  <conditionalFormatting sqref="Q29:Q31">
    <cfRule type="cellIs" dxfId="38" priority="11" operator="equal">
      <formula>配置!$D$4</formula>
    </cfRule>
    <cfRule type="cellIs" dxfId="39" priority="12" operator="equal">
      <formula>配置!$D$3</formula>
    </cfRule>
    <cfRule type="cellIs" dxfId="37" priority="13" operator="equal">
      <formula>配置!$D$2</formula>
    </cfRule>
  </conditionalFormatting>
  <conditionalFormatting sqref="Q32:Q34">
    <cfRule type="cellIs" dxfId="38" priority="6" operator="equal">
      <formula>配置!$D$4</formula>
    </cfRule>
    <cfRule type="cellIs" dxfId="39" priority="7" operator="equal">
      <formula>配置!$D$3</formula>
    </cfRule>
    <cfRule type="cellIs" dxfId="37" priority="8" operator="equal">
      <formula>配置!$D$2</formula>
    </cfRule>
  </conditionalFormatting>
  <conditionalFormatting sqref="Q35:Q37">
    <cfRule type="cellIs" dxfId="38" priority="1" operator="equal">
      <formula>配置!$D$4</formula>
    </cfRule>
    <cfRule type="cellIs" dxfId="39" priority="2" operator="equal">
      <formula>配置!$D$3</formula>
    </cfRule>
    <cfRule type="cellIs" dxfId="37" priority="3" operator="equal">
      <formula>配置!$D$2</formula>
    </cfRule>
  </conditionalFormatting>
  <conditionalFormatting sqref="R41:R45">
    <cfRule type="cellIs" dxfId="37" priority="57" operator="equal">
      <formula>$S$41</formula>
    </cfRule>
  </conditionalFormatting>
  <conditionalFormatting sqref="O38:O39 Q1:R1 Q2 Q4:Q5 Q7:Q8 Q10:Q11 Q13:Q14 Q16:Q17 Q19">
    <cfRule type="cellIs" dxfId="37" priority="60" operator="equal">
      <formula>配置!$D$2</formula>
    </cfRule>
  </conditionalFormatting>
  <conditionalFormatting sqref="Q2 Q4:Q5 Q7:Q8 Q10:Q11 Q13:Q14 Q16:Q17 Q19">
    <cfRule type="cellIs" dxfId="38" priority="59" operator="equal">
      <formula>配置!$D$4</formula>
    </cfRule>
  </conditionalFormatting>
  <conditionalFormatting sqref="Q20 Q22">
    <cfRule type="cellIs" dxfId="38" priority="31" operator="equal">
      <formula>配置!$D$4</formula>
    </cfRule>
    <cfRule type="cellIs" dxfId="37" priority="32" operator="equal">
      <formula>配置!$D$2</formula>
    </cfRule>
  </conditionalFormatting>
  <conditionalFormatting sqref="Q23 Q25">
    <cfRule type="cellIs" dxfId="38" priority="36" operator="equal">
      <formula>配置!$D$4</formula>
    </cfRule>
    <cfRule type="cellIs" dxfId="37" priority="37" operator="equal">
      <formula>配置!$D$2</formula>
    </cfRule>
  </conditionalFormatting>
  <conditionalFormatting sqref="Q26 Q28">
    <cfRule type="cellIs" dxfId="38" priority="22" operator="equal">
      <formula>配置!$D$4</formula>
    </cfRule>
    <cfRule type="cellIs" dxfId="37" priority="23" operator="equal">
      <formula>配置!$D$2</formula>
    </cfRule>
  </conditionalFormatting>
  <conditionalFormatting sqref="Q29 Q31">
    <cfRule type="cellIs" dxfId="38" priority="14" operator="equal">
      <formula>配置!$D$4</formula>
    </cfRule>
    <cfRule type="cellIs" dxfId="37" priority="15" operator="equal">
      <formula>配置!$D$2</formula>
    </cfRule>
  </conditionalFormatting>
  <conditionalFormatting sqref="Q32 Q34">
    <cfRule type="cellIs" dxfId="38" priority="9" operator="equal">
      <formula>配置!$D$4</formula>
    </cfRule>
    <cfRule type="cellIs" dxfId="37" priority="10" operator="equal">
      <formula>配置!$D$2</formula>
    </cfRule>
  </conditionalFormatting>
  <conditionalFormatting sqref="Q35 Q37">
    <cfRule type="cellIs" dxfId="38" priority="4" operator="equal">
      <formula>配置!$D$4</formula>
    </cfRule>
    <cfRule type="cellIs" dxfId="37" priority="5" operator="equal">
      <formula>配置!$D$2</formula>
    </cfRule>
  </conditionalFormatting>
  <dataValidations count="1">
    <dataValidation type="list" allowBlank="1" showInputMessage="1" showErrorMessage="1" sqref="Q2:Q37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411fe5c-d2cf-496f-8037-914052d8dd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F41:F43</xm:sqref>
        </x14:conditionalFormatting>
        <x14:conditionalFormatting xmlns:xm="http://schemas.microsoft.com/office/excel/2006/main">
          <x14:cfRule type="dataBar" id="{dbc4ee81-776e-4551-9c82-4dfd2db567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F44:F46</xm:sqref>
        </x14:conditionalFormatting>
        <x14:conditionalFormatting xmlns:xm="http://schemas.microsoft.com/office/excel/2006/main">
          <x14:cfRule type="dataBar" id="{1dd3eb92-aff6-40db-bf25-eba90d7446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F47:F49</xm:sqref>
        </x14:conditionalFormatting>
        <x14:conditionalFormatting xmlns:xm="http://schemas.microsoft.com/office/excel/2006/main">
          <x14:cfRule type="dataBar" id="{705637db-5ac6-4fb2-b874-642b79f9c5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F50:F52</xm:sqref>
        </x14:conditionalFormatting>
        <x14:conditionalFormatting xmlns:xm="http://schemas.microsoft.com/office/excel/2006/main">
          <x14:cfRule type="dataBar" id="{75902e01-e2ca-4449-a86b-de026d998c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F53:F55</xm:sqref>
        </x14:conditionalFormatting>
        <x14:conditionalFormatting xmlns:xm="http://schemas.microsoft.com/office/excel/2006/main">
          <x14:cfRule type="dataBar" id="{a9678d78-5c03-45d0-b2e7-42ab151ec4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G41:G43</xm:sqref>
        </x14:conditionalFormatting>
        <x14:conditionalFormatting xmlns:xm="http://schemas.microsoft.com/office/excel/2006/main">
          <x14:cfRule type="dataBar" id="{9294debd-dfc4-4261-aa03-ba3ae4e244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G44:G46</xm:sqref>
        </x14:conditionalFormatting>
        <x14:conditionalFormatting xmlns:xm="http://schemas.microsoft.com/office/excel/2006/main">
          <x14:cfRule type="dataBar" id="{d13d9a27-3dec-4450-af81-27b159b075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G47:G49</xm:sqref>
        </x14:conditionalFormatting>
        <x14:conditionalFormatting xmlns:xm="http://schemas.microsoft.com/office/excel/2006/main">
          <x14:cfRule type="dataBar" id="{6bc0972c-6d48-4aeb-9fb5-de1f4e19fa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G50:G52</xm:sqref>
        </x14:conditionalFormatting>
        <x14:conditionalFormatting xmlns:xm="http://schemas.microsoft.com/office/excel/2006/main">
          <x14:cfRule type="dataBar" id="{a48de3da-18fa-4b76-a0e1-b4c1731dae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G53:G55</xm:sqref>
        </x14:conditionalFormatting>
        <x14:conditionalFormatting xmlns:xm="http://schemas.microsoft.com/office/excel/2006/main">
          <x14:cfRule type="dataBar" id="{425bfd12-aa0b-4cb2-953e-d82c019453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N41:N55</xm:sqref>
        </x14:conditionalFormatting>
        <x14:conditionalFormatting xmlns:xm="http://schemas.microsoft.com/office/excel/2006/main">
          <x14:cfRule type="dataBar" id="{b21a7ebc-5be3-4d29-8109-019a33097d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N50:N52</xm:sqref>
        </x14:conditionalFormatting>
        <x14:conditionalFormatting xmlns:xm="http://schemas.microsoft.com/office/excel/2006/main">
          <x14:cfRule type="dataBar" id="{a67b4f2b-03b8-4a6c-aefa-f619dbeb40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N53:N55</xm:sqref>
        </x14:conditionalFormatting>
        <x14:conditionalFormatting xmlns:xm="http://schemas.microsoft.com/office/excel/2006/main">
          <x14:cfRule type="dataBar" id="{0defd03c-eb48-45c1-b95e-ef3cc14d9e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7e723489-1af6-4a6c-9c87-e20baf14c1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07e54f1e-be28-412c-8a71-0534606779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O23:O25</xm:sqref>
        </x14:conditionalFormatting>
        <x14:conditionalFormatting xmlns:xm="http://schemas.microsoft.com/office/excel/2006/main">
          <x14:cfRule type="dataBar" id="{6ef829be-a4cf-417c-934f-7fd6072f6f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O26:O37</xm:sqref>
        </x14:conditionalFormatting>
        <x14:conditionalFormatting xmlns:xm="http://schemas.microsoft.com/office/excel/2006/main">
          <x14:cfRule type="dataBar" id="{904587f4-f6af-428d-9c51-ae5b83ffa79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681f2eec-283e-4526-85d6-9a19b5c9ae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  <x14:conditionalFormatting xmlns:xm="http://schemas.microsoft.com/office/excel/2006/main">
          <x14:cfRule type="dataBar" id="{8e031509-669a-41a4-a733-b2223d339e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P23:P25</xm:sqref>
        </x14:conditionalFormatting>
        <x14:conditionalFormatting xmlns:xm="http://schemas.microsoft.com/office/excel/2006/main">
          <x14:cfRule type="dataBar" id="{a67c55ac-d597-4f6f-a998-ca09b547ba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P26:P37</xm:sqref>
        </x14:conditionalFormatting>
      </x14:conditionalFormatting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06"/>
  <sheetViews>
    <sheetView topLeftCell="A16" workbookViewId="0">
      <selection activeCell="Y2" sqref="Y2:Y40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1">
        <v>5070</v>
      </c>
      <c r="B2" s="371">
        <f>VLOOKUP(表1_8612182224267277[[#This Row],[区服]],$P$44:$Q$59,2,FALSE)</f>
        <v>47</v>
      </c>
      <c r="C2" s="372" t="s">
        <v>143</v>
      </c>
      <c r="D2" s="373" t="str">
        <f>表1_8612182224267277[[#This Row],[目标国家]]</f>
        <v>魏</v>
      </c>
      <c r="E2" s="374">
        <f>(VLOOKUP(表1_8612182224267277[[#This Row],[目标区服]],$R$44:$S$49,2,FALSE)-表1_8612182224267277[[#This Row],[开服天数]])*配置!$B$1</f>
        <v>1000</v>
      </c>
      <c r="F2" s="374">
        <f>表1_8612182224267277[[#This Row],[补偿Coin]]*(表1_8612182224267277[[#This Row],[活跃高战玩家数]]+表1_8612182224267277[[#This Row],[活跃中坚玩家数]])</f>
        <v>17000</v>
      </c>
      <c r="G2" s="374">
        <f>(VLOOKUP(表1_8612182224267277[[#This Row],[目标区服]],$R$44:$S$49,2,FALSE)-表1_8612182224267277[[#This Row],[开服天数]])*配置!$B$2</f>
        <v>10</v>
      </c>
      <c r="H2" s="376" t="s">
        <v>25</v>
      </c>
      <c r="I2" s="376">
        <f>IF(表1_8612182224267277[[#This Row],[原国家]]="魏",0,IF(表1_8612182224267277[[#This Row],[原国家]]="蜀",1,2))</f>
        <v>0</v>
      </c>
      <c r="J2" s="380">
        <v>4</v>
      </c>
      <c r="K2" s="380">
        <v>154</v>
      </c>
      <c r="L2" s="380">
        <v>4</v>
      </c>
      <c r="M2" s="380">
        <v>13</v>
      </c>
      <c r="N2" s="380">
        <v>93115</v>
      </c>
      <c r="O2" s="380">
        <v>3138217</v>
      </c>
      <c r="P2" s="381">
        <v>17337964</v>
      </c>
      <c r="Q2" s="493" t="s">
        <v>25</v>
      </c>
      <c r="R2" s="376">
        <f>IF(表1_8612182224267277[[#This Row],[目标国家]]="魏",0,IF(表1_8612182224267277[[#This Row],[目标国家]]="蜀",1,2))</f>
        <v>0</v>
      </c>
      <c r="S2" s="380">
        <v>98164</v>
      </c>
      <c r="T2" s="380">
        <v>0</v>
      </c>
      <c r="U2" s="380">
        <v>400864</v>
      </c>
      <c r="V2" s="380">
        <v>10422</v>
      </c>
      <c r="W2" s="374">
        <v>1035110</v>
      </c>
      <c r="X2" s="387" t="str">
        <f>"{"&amp;"'coin':"&amp;表1_8612182224267277[[#This Row],[补偿Coin]]&amp;",'"&amp;配置!$A$2&amp;"':"&amp;表1_8612182224267277[[#This Row],[补偿辎重]]&amp;"},"</f>
        <v>{'coin':1000,'item036':10},</v>
      </c>
      <c r="Y2" s="388" t="str">
        <f>"      '"&amp;表1_8612182224267277[[#This Row],[区服]]&amp;"':{"</f>
        <v>      '5070':{</v>
      </c>
    </row>
    <row r="3" s="354" customFormat="1" ht="14.25" customHeight="1" spans="1:25">
      <c r="A3" s="371">
        <v>5070</v>
      </c>
      <c r="B3" s="371">
        <f>VLOOKUP(表1_8612182224267277[[#This Row],[区服]],$P$44:$Q$59,2,FALSE)</f>
        <v>47</v>
      </c>
      <c r="C3" s="372" t="s">
        <v>143</v>
      </c>
      <c r="D3" s="376" t="str">
        <f>表1_8612182224267277[[#This Row],[目标国家]]</f>
        <v>蜀</v>
      </c>
      <c r="E3" s="380">
        <f>(VLOOKUP(表1_8612182224267277[[#This Row],[目标区服]],$R$44:$S$49,2,FALSE)-表1_8612182224267277[[#This Row],[开服天数]])*配置!$B$1</f>
        <v>1000</v>
      </c>
      <c r="F3" s="380">
        <f>表1_8612182224267277[[#This Row],[补偿Coin]]*(表1_8612182224267277[[#This Row],[活跃高战玩家数]]+表1_8612182224267277[[#This Row],[活跃中坚玩家数]])</f>
        <v>31000</v>
      </c>
      <c r="G3" s="380">
        <f>(VLOOKUP(表1_8612182224267277[[#This Row],[目标区服]],$R$44:$S$49,2,FALSE)-表1_8612182224267277[[#This Row],[开服天数]])*配置!$B$2</f>
        <v>10</v>
      </c>
      <c r="H3" s="376" t="s">
        <v>26</v>
      </c>
      <c r="I3" s="376">
        <f>IF(表1_8612182224267277[[#This Row],[原国家]]="魏",0,IF(表1_8612182224267277[[#This Row],[原国家]]="蜀",1,2))</f>
        <v>1</v>
      </c>
      <c r="J3" s="380">
        <v>4</v>
      </c>
      <c r="K3" s="380">
        <v>176</v>
      </c>
      <c r="L3" s="380">
        <v>6</v>
      </c>
      <c r="M3" s="380">
        <v>25</v>
      </c>
      <c r="N3" s="380">
        <v>155595</v>
      </c>
      <c r="O3" s="380">
        <v>3438388</v>
      </c>
      <c r="P3" s="381">
        <v>27999695</v>
      </c>
      <c r="Q3" s="493" t="s">
        <v>26</v>
      </c>
      <c r="R3" s="376">
        <f>IF(表1_8612182224267277[[#This Row],[目标国家]]="魏",0,IF(表1_8612182224267277[[#This Row],[目标国家]]="蜀",1,2))</f>
        <v>1</v>
      </c>
      <c r="S3" s="380">
        <v>77128</v>
      </c>
      <c r="T3" s="380">
        <v>0</v>
      </c>
      <c r="U3" s="380">
        <v>461944</v>
      </c>
      <c r="V3" s="380">
        <v>11721</v>
      </c>
      <c r="W3" s="374">
        <v>1085219</v>
      </c>
      <c r="X3" s="387" t="str">
        <f>"{"&amp;"'coin':"&amp;表1_8612182224267277[[#This Row],[补偿Coin]]&amp;",'"&amp;配置!$A$2&amp;"':"&amp;表1_8612182224267277[[#This Row],[补偿辎重]]&amp;"},"</f>
        <v>{'coin':1000,'item036':10},</v>
      </c>
      <c r="Y3" s="388" t="str">
        <f>"            'to_zone':'"&amp;表1_8612182224267277[[#This Row],[目标区服]]&amp;"',
            'reward':"&amp;表1_8612182224267277[[#This Row],[辅助导出]]&amp;"
            'country':["&amp;R2&amp;","&amp;R3&amp;","&amp;R4&amp;"],"</f>
        <v>            'to_zone':'h1_532',
            'reward':{'coin':1000,'item036':10},
            'country':[0,1,2],</v>
      </c>
    </row>
    <row r="4" s="354" customFormat="1" ht="14.25" customHeight="1" spans="1:25">
      <c r="A4" s="371">
        <v>5070</v>
      </c>
      <c r="B4" s="371">
        <f>VLOOKUP(表1_8612182224267277[[#This Row],[区服]],$P$44:$Q$59,2,FALSE)</f>
        <v>47</v>
      </c>
      <c r="C4" s="372" t="s">
        <v>143</v>
      </c>
      <c r="D4" s="376" t="str">
        <f>表1_8612182224267277[[#This Row],[目标国家]]</f>
        <v>吴</v>
      </c>
      <c r="E4" s="380">
        <f>(VLOOKUP(表1_8612182224267277[[#This Row],[目标区服]],$R$44:$S$49,2,FALSE)-表1_8612182224267277[[#This Row],[开服天数]])*配置!$B$1</f>
        <v>1000</v>
      </c>
      <c r="F4" s="380">
        <f>表1_8612182224267277[[#This Row],[补偿Coin]]*(表1_8612182224267277[[#This Row],[活跃高战玩家数]]+表1_8612182224267277[[#This Row],[活跃中坚玩家数]])</f>
        <v>9000</v>
      </c>
      <c r="G4" s="380">
        <f>(VLOOKUP(表1_8612182224267277[[#This Row],[目标区服]],$R$44:$S$49,2,FALSE)-表1_8612182224267277[[#This Row],[开服天数]])*配置!$B$2</f>
        <v>10</v>
      </c>
      <c r="H4" s="376" t="s">
        <v>27</v>
      </c>
      <c r="I4" s="376">
        <f>IF(表1_8612182224267277[[#This Row],[原国家]]="魏",0,IF(表1_8612182224267277[[#This Row],[原国家]]="蜀",1,2))</f>
        <v>2</v>
      </c>
      <c r="J4" s="380">
        <v>1</v>
      </c>
      <c r="K4" s="380">
        <v>65</v>
      </c>
      <c r="L4" s="380">
        <v>0</v>
      </c>
      <c r="M4" s="380">
        <v>9</v>
      </c>
      <c r="N4" s="380">
        <v>35648</v>
      </c>
      <c r="O4" s="380">
        <v>1191264</v>
      </c>
      <c r="P4" s="381">
        <v>5696618</v>
      </c>
      <c r="Q4" s="493" t="s">
        <v>27</v>
      </c>
      <c r="R4" s="376">
        <f>IF(表1_8612182224267277[[#This Row],[目标国家]]="魏",0,IF(表1_8612182224267277[[#This Row],[目标国家]]="蜀",1,2))</f>
        <v>2</v>
      </c>
      <c r="S4" s="380">
        <v>2534</v>
      </c>
      <c r="T4" s="380">
        <v>0</v>
      </c>
      <c r="U4" s="380">
        <v>23115</v>
      </c>
      <c r="V4" s="380">
        <v>2776</v>
      </c>
      <c r="W4" s="374">
        <v>320334</v>
      </c>
      <c r="X4" s="387" t="str">
        <f>"{"&amp;"'coin':"&amp;表1_8612182224267277[[#This Row],[补偿Coin]]&amp;",'"&amp;配置!$A$2&amp;"':"&amp;表1_8612182224267277[[#This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5">
        <v>5071</v>
      </c>
      <c r="B5" s="371">
        <f>VLOOKUP(表1_8612182224267277[[#This Row],[区服]],$P$44:$Q$59,2,FALSE)</f>
        <v>46</v>
      </c>
      <c r="C5" s="372" t="s">
        <v>143</v>
      </c>
      <c r="D5" s="376" t="str">
        <f>表1_8612182224267277[[#This Row],[目标国家]]</f>
        <v>魏</v>
      </c>
      <c r="E5" s="380">
        <f>(VLOOKUP(表1_8612182224267277[[#This Row],[目标区服]],$R$44:$S$49,2,FALSE)-表1_8612182224267277[[#This Row],[开服天数]])*配置!$B$1</f>
        <v>1500</v>
      </c>
      <c r="F5" s="380">
        <f>表1_8612182224267277[[#This Row],[补偿Coin]]*(表1_8612182224267277[[#This Row],[活跃高战玩家数]]+表1_8612182224267277[[#This Row],[活跃中坚玩家数]])</f>
        <v>34500</v>
      </c>
      <c r="G5" s="380">
        <f>(VLOOKUP(表1_8612182224267277[[#This Row],[目标区服]],$R$44:$S$49,2,FALSE)-表1_8612182224267277[[#This Row],[开服天数]])*配置!$B$2</f>
        <v>15</v>
      </c>
      <c r="H5" s="376" t="s">
        <v>25</v>
      </c>
      <c r="I5" s="376">
        <f>IF(表1_8612182224267277[[#This Row],[原国家]]="魏",0,IF(表1_8612182224267277[[#This Row],[原国家]]="蜀",1,2))</f>
        <v>0</v>
      </c>
      <c r="J5" s="380">
        <v>9</v>
      </c>
      <c r="K5" s="380">
        <v>306</v>
      </c>
      <c r="L5" s="380">
        <v>8</v>
      </c>
      <c r="M5" s="380">
        <v>15</v>
      </c>
      <c r="N5" s="380">
        <v>154924</v>
      </c>
      <c r="O5" s="380">
        <v>2234618</v>
      </c>
      <c r="P5" s="381">
        <v>21977293</v>
      </c>
      <c r="Q5" s="493" t="s">
        <v>25</v>
      </c>
      <c r="R5" s="376">
        <f>IF(表1_8612182224267277[[#This Row],[目标国家]]="魏",0,IF(表1_8612182224267277[[#This Row],[目标国家]]="蜀",1,2))</f>
        <v>0</v>
      </c>
      <c r="S5" s="380">
        <v>42144</v>
      </c>
      <c r="T5" s="380">
        <v>0</v>
      </c>
      <c r="U5" s="380">
        <v>412009</v>
      </c>
      <c r="V5" s="380">
        <v>10637</v>
      </c>
      <c r="W5" s="374">
        <v>599092</v>
      </c>
      <c r="X5" s="387" t="str">
        <f>"{"&amp;"'coin':"&amp;表1_8612182224267277[[#This Row],[补偿Coin]]&amp;",'"&amp;配置!$A$2&amp;"':"&amp;表1_8612182224267277[[#This Row],[补偿辎重]]&amp;"},"</f>
        <v>{'coin':1500,'item036':15},</v>
      </c>
      <c r="Y5" s="388" t="str">
        <f>"      '"&amp;表1_8612182224267277[[#This Row],[区服]]&amp;"':{"</f>
        <v>      '5071':{</v>
      </c>
    </row>
    <row r="6" s="354" customFormat="1" ht="14.25" customHeight="1" spans="1:25">
      <c r="A6" s="375">
        <v>5071</v>
      </c>
      <c r="B6" s="371">
        <f>VLOOKUP(表1_8612182224267277[[#This Row],[区服]],$P$44:$Q$59,2,FALSE)</f>
        <v>46</v>
      </c>
      <c r="C6" s="372" t="s">
        <v>143</v>
      </c>
      <c r="D6" s="376" t="str">
        <f>表1_8612182224267277[[#This Row],[目标国家]]</f>
        <v>蜀</v>
      </c>
      <c r="E6" s="380">
        <f>(VLOOKUP(表1_8612182224267277[[#This Row],[目标区服]],$R$44:$S$49,2,FALSE)-表1_8612182224267277[[#This Row],[开服天数]])*配置!$B$1</f>
        <v>1500</v>
      </c>
      <c r="F6" s="380">
        <f>表1_8612182224267277[[#This Row],[补偿Coin]]*(表1_8612182224267277[[#This Row],[活跃高战玩家数]]+表1_8612182224267277[[#This Row],[活跃中坚玩家数]])</f>
        <v>24000</v>
      </c>
      <c r="G6" s="380">
        <f>(VLOOKUP(表1_8612182224267277[[#This Row],[目标区服]],$R$44:$S$49,2,FALSE)-表1_8612182224267277[[#This Row],[开服天数]])*配置!$B$2</f>
        <v>15</v>
      </c>
      <c r="H6" s="376" t="s">
        <v>26</v>
      </c>
      <c r="I6" s="376">
        <f>IF(表1_8612182224267277[[#This Row],[原国家]]="魏",0,IF(表1_8612182224267277[[#This Row],[原国家]]="蜀",1,2))</f>
        <v>1</v>
      </c>
      <c r="J6" s="380">
        <v>0</v>
      </c>
      <c r="K6" s="380">
        <v>49</v>
      </c>
      <c r="L6" s="380">
        <v>0</v>
      </c>
      <c r="M6" s="380">
        <v>16</v>
      </c>
      <c r="N6" s="380">
        <v>56591</v>
      </c>
      <c r="O6" s="380">
        <v>1131793</v>
      </c>
      <c r="P6" s="381">
        <v>7009324</v>
      </c>
      <c r="Q6" s="493" t="s">
        <v>26</v>
      </c>
      <c r="R6" s="376">
        <f>IF(表1_8612182224267277[[#This Row],[目标国家]]="魏",0,IF(表1_8612182224267277[[#This Row],[目标国家]]="蜀",1,2))</f>
        <v>1</v>
      </c>
      <c r="S6" s="380">
        <v>8124</v>
      </c>
      <c r="T6" s="380">
        <v>0</v>
      </c>
      <c r="U6" s="380">
        <v>274193</v>
      </c>
      <c r="V6" s="380">
        <v>2986</v>
      </c>
      <c r="W6" s="374">
        <v>418623</v>
      </c>
      <c r="X6" s="387" t="str">
        <f>"{"&amp;"'coin':"&amp;表1_8612182224267277[[#This Row],[补偿Coin]]&amp;",'"&amp;配置!$A$2&amp;"':"&amp;表1_8612182224267277[[#This Row],[补偿辎重]]&amp;"},"</f>
        <v>{'coin':1500,'item036':15},</v>
      </c>
      <c r="Y6" s="388" t="str">
        <f>"            'to_zone':'"&amp;表1_8612182224267277[[#This Row],[目标区服]]&amp;"',
            'reward':"&amp;表1_8612182224267277[[#This Row],[辅助导出]]&amp;"
            'country':["&amp;R5&amp;","&amp;R6&amp;","&amp;R7&amp;"],"</f>
        <v>            'to_zone':'h1_532',
            'reward':{'coin':1500,'item036':15},
            'country':[0,1,2],</v>
      </c>
    </row>
    <row r="7" s="354" customFormat="1" ht="14.25" customHeight="1" spans="1:25">
      <c r="A7" s="375">
        <v>5071</v>
      </c>
      <c r="B7" s="371">
        <f>VLOOKUP(表1_8612182224267277[[#This Row],[区服]],$P$44:$Q$59,2,FALSE)</f>
        <v>46</v>
      </c>
      <c r="C7" s="372" t="s">
        <v>143</v>
      </c>
      <c r="D7" s="376" t="str">
        <f>表1_8612182224267277[[#This Row],[目标国家]]</f>
        <v>吴</v>
      </c>
      <c r="E7" s="380">
        <f>(VLOOKUP(表1_8612182224267277[[#This Row],[目标区服]],$R$44:$S$49,2,FALSE)-表1_8612182224267277[[#This Row],[开服天数]])*配置!$B$1</f>
        <v>1500</v>
      </c>
      <c r="F7" s="380">
        <f>表1_8612182224267277[[#This Row],[补偿Coin]]*(表1_8612182224267277[[#This Row],[活跃高战玩家数]]+表1_8612182224267277[[#This Row],[活跃中坚玩家数]])</f>
        <v>19500</v>
      </c>
      <c r="G7" s="380">
        <f>(VLOOKUP(表1_8612182224267277[[#This Row],[目标区服]],$R$44:$S$49,2,FALSE)-表1_8612182224267277[[#This Row],[开服天数]])*配置!$B$2</f>
        <v>15</v>
      </c>
      <c r="H7" s="376" t="s">
        <v>27</v>
      </c>
      <c r="I7" s="376">
        <f>IF(表1_8612182224267277[[#This Row],[原国家]]="魏",0,IF(表1_8612182224267277[[#This Row],[原国家]]="蜀",1,2))</f>
        <v>2</v>
      </c>
      <c r="J7" s="380">
        <v>0</v>
      </c>
      <c r="K7" s="380">
        <v>40</v>
      </c>
      <c r="L7" s="380">
        <v>1</v>
      </c>
      <c r="M7" s="380">
        <v>12</v>
      </c>
      <c r="N7" s="380">
        <v>52416</v>
      </c>
      <c r="O7" s="380">
        <v>1818154</v>
      </c>
      <c r="P7" s="381">
        <v>7633881</v>
      </c>
      <c r="Q7" s="493" t="s">
        <v>27</v>
      </c>
      <c r="R7" s="376">
        <f>IF(表1_8612182224267277[[#This Row],[目标国家]]="魏",0,IF(表1_8612182224267277[[#This Row],[目标国家]]="蜀",1,2))</f>
        <v>2</v>
      </c>
      <c r="S7" s="380">
        <v>67372</v>
      </c>
      <c r="T7" s="380">
        <v>0</v>
      </c>
      <c r="U7" s="380">
        <v>70526</v>
      </c>
      <c r="V7" s="380">
        <v>5300</v>
      </c>
      <c r="W7" s="374">
        <v>607751</v>
      </c>
      <c r="X7" s="387" t="str">
        <f>"{"&amp;"'coin':"&amp;表1_8612182224267277[[#This Row],[补偿Coin]]&amp;",'"&amp;配置!$A$2&amp;"':"&amp;表1_8612182224267277[[#This Row],[补偿辎重]]&amp;"},"</f>
        <v>{'coin':1500,'item036':15},</v>
      </c>
      <c r="Y7" s="388" t="str">
        <f t="shared" ref="Y7" si="0">"      },"</f>
        <v>      },</v>
      </c>
    </row>
    <row r="8" s="354" customFormat="1" ht="14.25" customHeight="1" spans="1:25">
      <c r="A8" s="375">
        <v>5072</v>
      </c>
      <c r="B8" s="371">
        <f>VLOOKUP(表1_8612182224267277[[#This Row],[区服]],$P$44:$Q$59,2,FALSE)</f>
        <v>46</v>
      </c>
      <c r="C8" s="372" t="s">
        <v>143</v>
      </c>
      <c r="D8" s="376" t="str">
        <f>表1_8612182224267277[[#This Row],[目标国家]]</f>
        <v>魏</v>
      </c>
      <c r="E8" s="380">
        <f>(VLOOKUP(表1_8612182224267277[[#This Row],[目标区服]],$R$44:$S$49,2,FALSE)-表1_8612182224267277[[#This Row],[开服天数]])*配置!$B$1</f>
        <v>1500</v>
      </c>
      <c r="F8" s="380">
        <f>表1_8612182224267277[[#This Row],[补偿Coin]]*(表1_8612182224267277[[#This Row],[活跃高战玩家数]]+表1_8612182224267277[[#This Row],[活跃中坚玩家数]])</f>
        <v>15000</v>
      </c>
      <c r="G8" s="490">
        <f>(VLOOKUP(表1_8612182224267277[[#This Row],[目标区服]],$R$44:$S$49,2,FALSE)-表1_8612182224267277[[#This Row],[开服天数]])*配置!$B$2</f>
        <v>15</v>
      </c>
      <c r="H8" s="376" t="s">
        <v>25</v>
      </c>
      <c r="I8" s="491">
        <f>IF(表1_8612182224267277[[#This Row],[原国家]]="魏",0,IF(表1_8612182224267277[[#This Row],[原国家]]="蜀",1,2))</f>
        <v>0</v>
      </c>
      <c r="J8" s="380">
        <v>0</v>
      </c>
      <c r="K8" s="380">
        <v>48</v>
      </c>
      <c r="L8" s="380">
        <v>1</v>
      </c>
      <c r="M8" s="380">
        <v>9</v>
      </c>
      <c r="N8" s="380">
        <v>45710</v>
      </c>
      <c r="O8" s="492">
        <v>1426481</v>
      </c>
      <c r="P8" s="381">
        <v>6256057</v>
      </c>
      <c r="Q8" s="493" t="s">
        <v>25</v>
      </c>
      <c r="R8" s="376">
        <f>IF(表1_8612182224267277[[#This Row],[目标国家]]="魏",0,IF(表1_8612182224267277[[#This Row],[目标国家]]="蜀",1,2))</f>
        <v>0</v>
      </c>
      <c r="S8" s="380">
        <v>3372</v>
      </c>
      <c r="T8" s="380">
        <v>0</v>
      </c>
      <c r="U8" s="380">
        <v>109608</v>
      </c>
      <c r="V8" s="380">
        <v>2916</v>
      </c>
      <c r="W8" s="380">
        <v>448987</v>
      </c>
      <c r="X8" s="494" t="str">
        <f>"{"&amp;"'coin':"&amp;表1_8612182224267277[[#This Row],[补偿Coin]]&amp;",'"&amp;配置!$A$2&amp;"':"&amp;表1_8612182224267277[[#This Row],[补偿辎重]]&amp;"},"</f>
        <v>{'coin':1500,'item036':15},</v>
      </c>
      <c r="Y8" s="494" t="str">
        <f>"      '"&amp;表1_8612182224267277[[#This Row],[区服]]&amp;"':{"</f>
        <v>      '5072':{</v>
      </c>
    </row>
    <row r="9" s="354" customFormat="1" ht="14.25" customHeight="1" spans="1:25">
      <c r="A9" s="375">
        <v>5072</v>
      </c>
      <c r="B9" s="371">
        <f>VLOOKUP(表1_8612182224267277[[#This Row],[区服]],$P$44:$Q$59,2,FALSE)</f>
        <v>46</v>
      </c>
      <c r="C9" s="372" t="s">
        <v>143</v>
      </c>
      <c r="D9" s="376" t="str">
        <f>表1_8612182224267277[[#This Row],[目标国家]]</f>
        <v>蜀</v>
      </c>
      <c r="E9" s="380">
        <f>(VLOOKUP(表1_8612182224267277[[#This Row],[目标区服]],$R$44:$S$49,2,FALSE)-表1_8612182224267277[[#This Row],[开服天数]])*配置!$B$1</f>
        <v>1500</v>
      </c>
      <c r="F9" s="380">
        <f>表1_8612182224267277[[#This Row],[补偿Coin]]*(表1_8612182224267277[[#This Row],[活跃高战玩家数]]+表1_8612182224267277[[#This Row],[活跃中坚玩家数]])</f>
        <v>18000</v>
      </c>
      <c r="G9" s="490">
        <f>(VLOOKUP(表1_8612182224267277[[#This Row],[目标区服]],$R$44:$S$49,2,FALSE)-表1_8612182224267277[[#This Row],[开服天数]])*配置!$B$2</f>
        <v>15</v>
      </c>
      <c r="H9" s="376" t="s">
        <v>26</v>
      </c>
      <c r="I9" s="491">
        <f>IF(表1_8612182224267277[[#This Row],[原国家]]="魏",0,IF(表1_8612182224267277[[#This Row],[原国家]]="蜀",1,2))</f>
        <v>1</v>
      </c>
      <c r="J9" s="380">
        <v>1</v>
      </c>
      <c r="K9" s="380">
        <v>104</v>
      </c>
      <c r="L9" s="380">
        <v>2</v>
      </c>
      <c r="M9" s="380">
        <v>10</v>
      </c>
      <c r="N9" s="380">
        <v>49071</v>
      </c>
      <c r="O9" s="492">
        <v>1982468</v>
      </c>
      <c r="P9" s="381">
        <v>8187907</v>
      </c>
      <c r="Q9" s="493" t="s">
        <v>26</v>
      </c>
      <c r="R9" s="376">
        <f>IF(表1_8612182224267277[[#This Row],[目标国家]]="魏",0,IF(表1_8612182224267277[[#This Row],[目标国家]]="蜀",1,2))</f>
        <v>1</v>
      </c>
      <c r="S9" s="380">
        <v>28708</v>
      </c>
      <c r="T9" s="380">
        <v>0</v>
      </c>
      <c r="U9" s="380">
        <v>120031</v>
      </c>
      <c r="V9" s="380">
        <v>5107</v>
      </c>
      <c r="W9" s="380">
        <v>619183</v>
      </c>
      <c r="X9" s="494" t="str">
        <f>"{"&amp;"'coin':"&amp;表1_8612182224267277[[#This Row],[补偿Coin]]&amp;",'"&amp;配置!$A$2&amp;"':"&amp;表1_8612182224267277[[#This Row],[补偿辎重]]&amp;"},"</f>
        <v>{'coin':1500,'item036':15},</v>
      </c>
      <c r="Y9" s="494" t="str">
        <f>"            'to_zone':'"&amp;表1_8612182224267277[[#This Row],[目标区服]]&amp;"',
            'reward':"&amp;表1_8612182224267277[[#This Row],[辅助导出]]&amp;"
            'country':["&amp;R8&amp;","&amp;R9&amp;","&amp;R10&amp;"],"</f>
        <v>            'to_zone':'h1_532',
            'reward':{'coin':1500,'item036':15},
            'country':[0,1,2],</v>
      </c>
    </row>
    <row r="10" s="354" customFormat="1" ht="14.25" customHeight="1" spans="1:25">
      <c r="A10" s="375">
        <v>5072</v>
      </c>
      <c r="B10" s="371">
        <f>VLOOKUP(表1_8612182224267277[[#This Row],[区服]],$P$44:$Q$59,2,FALSE)</f>
        <v>46</v>
      </c>
      <c r="C10" s="372" t="s">
        <v>143</v>
      </c>
      <c r="D10" s="376" t="str">
        <f>表1_8612182224267277[[#This Row],[目标国家]]</f>
        <v>吴</v>
      </c>
      <c r="E10" s="380">
        <f>(VLOOKUP(表1_8612182224267277[[#This Row],[目标区服]],$R$44:$S$49,2,FALSE)-表1_8612182224267277[[#This Row],[开服天数]])*配置!$B$1</f>
        <v>1500</v>
      </c>
      <c r="F10" s="380">
        <f>表1_8612182224267277[[#This Row],[补偿Coin]]*(表1_8612182224267277[[#This Row],[活跃高战玩家数]]+表1_8612182224267277[[#This Row],[活跃中坚玩家数]])</f>
        <v>40500</v>
      </c>
      <c r="G10" s="490">
        <f>(VLOOKUP(表1_8612182224267277[[#This Row],[目标区服]],$R$44:$S$49,2,FALSE)-表1_8612182224267277[[#This Row],[开服天数]])*配置!$B$2</f>
        <v>15</v>
      </c>
      <c r="H10" s="376" t="s">
        <v>27</v>
      </c>
      <c r="I10" s="491">
        <f>IF(表1_8612182224267277[[#This Row],[原国家]]="魏",0,IF(表1_8612182224267277[[#This Row],[原国家]]="蜀",1,2))</f>
        <v>2</v>
      </c>
      <c r="J10" s="380">
        <v>8</v>
      </c>
      <c r="K10" s="380">
        <v>243</v>
      </c>
      <c r="L10" s="380">
        <v>7</v>
      </c>
      <c r="M10" s="380">
        <v>20</v>
      </c>
      <c r="N10" s="380">
        <v>163613</v>
      </c>
      <c r="O10" s="492">
        <v>3081146</v>
      </c>
      <c r="P10" s="381">
        <v>27578920</v>
      </c>
      <c r="Q10" s="493" t="s">
        <v>27</v>
      </c>
      <c r="R10" s="376">
        <f>IF(表1_8612182224267277[[#This Row],[目标国家]]="魏",0,IF(表1_8612182224267277[[#This Row],[目标国家]]="蜀",1,2))</f>
        <v>2</v>
      </c>
      <c r="S10" s="380">
        <v>95860</v>
      </c>
      <c r="T10" s="380">
        <v>0</v>
      </c>
      <c r="U10" s="380">
        <v>542384</v>
      </c>
      <c r="V10" s="380">
        <v>13034</v>
      </c>
      <c r="W10" s="380">
        <v>871832</v>
      </c>
      <c r="X10" s="494" t="str">
        <f>"{"&amp;"'coin':"&amp;表1_8612182224267277[[#This Row],[补偿Coin]]&amp;",'"&amp;配置!$A$2&amp;"':"&amp;表1_8612182224267277[[#This Row],[补偿辎重]]&amp;"},"</f>
        <v>{'coin':1500,'item036':15},</v>
      </c>
      <c r="Y10" s="494" t="str">
        <f>"      },"</f>
        <v>      },</v>
      </c>
    </row>
    <row r="11" s="354" customFormat="1" ht="14.25" customHeight="1" spans="1:25">
      <c r="A11" s="210">
        <v>5073</v>
      </c>
      <c r="B11" s="210">
        <f>VLOOKUP(表1_8612182224267277[[#This Row],[区服]],$P$44:$Q$59,2,FALSE)</f>
        <v>45</v>
      </c>
      <c r="C11" s="296" t="s">
        <v>144</v>
      </c>
      <c r="D11" s="212" t="str">
        <f>表1_8612182224267277[[#This Row],[目标国家]]</f>
        <v>魏</v>
      </c>
      <c r="E11" s="213">
        <f>(VLOOKUP(表1_8612182224267277[[#This Row],[目标区服]],$R$44:$S$49,2,FALSE)-表1_8612182224267277[[#This Row],[开服天数]])*配置!$B$1</f>
        <v>1500</v>
      </c>
      <c r="F11" s="213">
        <f>表1_8612182224267277[[#This Row],[补偿Coin]]*(表1_8612182224267277[[#This Row],[活跃高战玩家数]]+表1_8612182224267277[[#This Row],[活跃中坚玩家数]])</f>
        <v>52500</v>
      </c>
      <c r="G11" s="260">
        <f>(VLOOKUP(表1_8612182224267277[[#This Row],[目标区服]],$R$44:$S$49,2,FALSE)-表1_8612182224267277[[#This Row],[开服天数]])*配置!$B$2</f>
        <v>15</v>
      </c>
      <c r="H11" s="212" t="s">
        <v>25</v>
      </c>
      <c r="I11" s="268">
        <f>IF(表1_8612182224267277[[#This Row],[原国家]]="魏",0,IF(表1_8612182224267277[[#This Row],[原国家]]="蜀",1,2))</f>
        <v>0</v>
      </c>
      <c r="J11" s="213">
        <v>4</v>
      </c>
      <c r="K11" s="213">
        <v>159</v>
      </c>
      <c r="L11" s="213">
        <v>6</v>
      </c>
      <c r="M11" s="213">
        <v>29</v>
      </c>
      <c r="N11" s="213">
        <v>176913</v>
      </c>
      <c r="O11" s="419">
        <v>1942732</v>
      </c>
      <c r="P11" s="420">
        <v>27457295</v>
      </c>
      <c r="Q11" s="243" t="s">
        <v>25</v>
      </c>
      <c r="R11" s="212">
        <f>IF(表1_8612182224267277[[#This Row],[目标国家]]="魏",0,IF(表1_8612182224267277[[#This Row],[目标国家]]="蜀",1,2))</f>
        <v>0</v>
      </c>
      <c r="S11" s="213">
        <v>67638</v>
      </c>
      <c r="T11" s="213">
        <v>0</v>
      </c>
      <c r="U11" s="213">
        <v>598003</v>
      </c>
      <c r="V11" s="213">
        <v>9891</v>
      </c>
      <c r="W11" s="213">
        <v>631694</v>
      </c>
      <c r="X11" s="278" t="str">
        <f>"{"&amp;"'coin':"&amp;表1_8612182224267277[[#This Row],[补偿Coin]]&amp;",'"&amp;配置!$A$2&amp;"':"&amp;表1_8612182224267277[[#This Row],[补偿辎重]]&amp;"},"</f>
        <v>{'coin':1500,'item036':15},</v>
      </c>
      <c r="Y11" s="278" t="str">
        <f>"      '"&amp;表1_8612182224267277[[#This Row],[区服]]&amp;"':{"</f>
        <v>      '5073':{</v>
      </c>
    </row>
    <row r="12" s="354" customFormat="1" ht="14.25" customHeight="1" spans="1:25">
      <c r="A12" s="259">
        <v>5073</v>
      </c>
      <c r="B12" s="210">
        <f>VLOOKUP(表1_8612182224267277[[#This Row],[区服]],$P$44:$Q$59,2,FALSE)</f>
        <v>45</v>
      </c>
      <c r="C12" s="296" t="s">
        <v>144</v>
      </c>
      <c r="D12" s="212" t="str">
        <f>表1_8612182224267277[[#This Row],[目标国家]]</f>
        <v>蜀</v>
      </c>
      <c r="E12" s="213">
        <f>(VLOOKUP(表1_8612182224267277[[#This Row],[目标区服]],$R$44:$S$49,2,FALSE)-表1_8612182224267277[[#This Row],[开服天数]])*配置!$B$1</f>
        <v>1500</v>
      </c>
      <c r="F12" s="213">
        <f>表1_8612182224267277[[#This Row],[补偿Coin]]*(表1_8612182224267277[[#This Row],[活跃高战玩家数]]+表1_8612182224267277[[#This Row],[活跃中坚玩家数]])</f>
        <v>30000</v>
      </c>
      <c r="G12" s="260">
        <f>(VLOOKUP(表1_8612182224267277[[#This Row],[目标区服]],$R$44:$S$49,2,FALSE)-表1_8612182224267277[[#This Row],[开服天数]])*配置!$B$2</f>
        <v>15</v>
      </c>
      <c r="H12" s="212" t="s">
        <v>26</v>
      </c>
      <c r="I12" s="268">
        <f>IF(表1_8612182224267277[[#This Row],[原国家]]="魏",0,IF(表1_8612182224267277[[#This Row],[原国家]]="蜀",1,2))</f>
        <v>1</v>
      </c>
      <c r="J12" s="213">
        <v>1</v>
      </c>
      <c r="K12" s="213">
        <v>57</v>
      </c>
      <c r="L12" s="213">
        <v>0</v>
      </c>
      <c r="M12" s="213">
        <v>20</v>
      </c>
      <c r="N12" s="213">
        <v>43763</v>
      </c>
      <c r="O12" s="419">
        <v>1180405</v>
      </c>
      <c r="P12" s="420">
        <v>9656861</v>
      </c>
      <c r="Q12" s="243" t="s">
        <v>26</v>
      </c>
      <c r="R12" s="212">
        <f>IF(表1_8612182224267277[[#This Row],[目标国家]]="魏",0,IF(表1_8612182224267277[[#This Row],[目标国家]]="蜀",1,2))</f>
        <v>1</v>
      </c>
      <c r="S12" s="213">
        <v>5174</v>
      </c>
      <c r="T12" s="213">
        <v>0</v>
      </c>
      <c r="U12" s="213">
        <v>193386</v>
      </c>
      <c r="V12" s="213">
        <v>3286</v>
      </c>
      <c r="W12" s="213">
        <v>369792</v>
      </c>
      <c r="X12" s="278" t="str">
        <f>"{"&amp;"'coin':"&amp;表1_8612182224267277[[#This Row],[补偿Coin]]&amp;",'"&amp;配置!$A$2&amp;"':"&amp;表1_8612182224267277[[#This Row],[补偿辎重]]&amp;"},"</f>
        <v>{'coin':1500,'item036':15},</v>
      </c>
      <c r="Y12" s="278" t="str">
        <f>"            'to_zone':'"&amp;表1_8612182224267277[[#This Row],[目标区服]]&amp;"',
            'reward':"&amp;表1_8612182224267277[[#This Row],[辅助导出]]&amp;"
            'country':["&amp;R11&amp;","&amp;R12&amp;","&amp;R13&amp;"],"</f>
        <v>            'to_zone':'h1_533',
            'reward':{'coin':1500,'item036':15},
            'country':[0,1,2],</v>
      </c>
    </row>
    <row r="13" s="354" customFormat="1" ht="14.25" customHeight="1" spans="1:25">
      <c r="A13" s="259">
        <v>5073</v>
      </c>
      <c r="B13" s="210">
        <f>VLOOKUP(表1_8612182224267277[[#This Row],[区服]],$P$44:$Q$59,2,FALSE)</f>
        <v>45</v>
      </c>
      <c r="C13" s="296" t="s">
        <v>144</v>
      </c>
      <c r="D13" s="212" t="str">
        <f>表1_8612182224267277[[#This Row],[目标国家]]</f>
        <v>吴</v>
      </c>
      <c r="E13" s="213">
        <f>(VLOOKUP(表1_8612182224267277[[#This Row],[目标区服]],$R$44:$S$49,2,FALSE)-表1_8612182224267277[[#This Row],[开服天数]])*配置!$B$1</f>
        <v>1500</v>
      </c>
      <c r="F13" s="213">
        <f>表1_8612182224267277[[#This Row],[补偿Coin]]*(表1_8612182224267277[[#This Row],[活跃高战玩家数]]+表1_8612182224267277[[#This Row],[活跃中坚玩家数]])</f>
        <v>39000</v>
      </c>
      <c r="G13" s="260">
        <f>(VLOOKUP(表1_8612182224267277[[#This Row],[目标区服]],$R$44:$S$49,2,FALSE)-表1_8612182224267277[[#This Row],[开服天数]])*配置!$B$2</f>
        <v>15</v>
      </c>
      <c r="H13" s="212" t="s">
        <v>27</v>
      </c>
      <c r="I13" s="268">
        <f>IF(表1_8612182224267277[[#This Row],[原国家]]="魏",0,IF(表1_8612182224267277[[#This Row],[原国家]]="蜀",1,2))</f>
        <v>2</v>
      </c>
      <c r="J13" s="213">
        <v>4</v>
      </c>
      <c r="K13" s="213">
        <v>179</v>
      </c>
      <c r="L13" s="213">
        <v>3</v>
      </c>
      <c r="M13" s="213">
        <v>23</v>
      </c>
      <c r="N13" s="213">
        <v>84030</v>
      </c>
      <c r="O13" s="419">
        <v>2475164</v>
      </c>
      <c r="P13" s="420">
        <v>17555019</v>
      </c>
      <c r="Q13" s="243" t="s">
        <v>27</v>
      </c>
      <c r="R13" s="212">
        <f>IF(表1_8612182224267277[[#This Row],[目标国家]]="魏",0,IF(表1_8612182224267277[[#This Row],[目标国家]]="蜀",1,2))</f>
        <v>2</v>
      </c>
      <c r="S13" s="213">
        <v>71400</v>
      </c>
      <c r="T13" s="213">
        <v>0</v>
      </c>
      <c r="U13" s="213">
        <v>423029</v>
      </c>
      <c r="V13" s="213">
        <v>9194</v>
      </c>
      <c r="W13" s="213">
        <v>832384</v>
      </c>
      <c r="X13" s="278" t="str">
        <f>"{"&amp;"'coin':"&amp;表1_8612182224267277[[#This Row],[补偿Coin]]&amp;",'"&amp;配置!$A$2&amp;"':"&amp;表1_8612182224267277[[#This Row],[补偿辎重]]&amp;"},"</f>
        <v>{'coin':1500,'item036':15},</v>
      </c>
      <c r="Y13" s="278" t="str">
        <f t="shared" ref="Y13" si="1">"      },"</f>
        <v>      },</v>
      </c>
    </row>
    <row r="14" ht="14.25" customHeight="1" spans="1:25">
      <c r="A14" s="259">
        <v>5074</v>
      </c>
      <c r="B14" s="210">
        <f>VLOOKUP(表1_8612182224267277[[#This Row],[区服]],$P$44:$Q$59,2,FALSE)</f>
        <v>45</v>
      </c>
      <c r="C14" s="296" t="s">
        <v>144</v>
      </c>
      <c r="D14" s="212" t="str">
        <f>表1_8612182224267277[[#This Row],[目标国家]]</f>
        <v>魏</v>
      </c>
      <c r="E14" s="213">
        <f>(VLOOKUP(表1_8612182224267277[[#This Row],[目标区服]],$R$44:$S$49,2,FALSE)-表1_8612182224267277[[#This Row],[开服天数]])*配置!$B$1</f>
        <v>1500</v>
      </c>
      <c r="F14" s="213">
        <f>表1_8612182224267277[[#This Row],[补偿Coin]]*(表1_8612182224267277[[#This Row],[活跃高战玩家数]]+表1_8612182224267277[[#This Row],[活跃中坚玩家数]])</f>
        <v>25500</v>
      </c>
      <c r="G14" s="213">
        <f>(VLOOKUP(表1_8612182224267277[[#This Row],[目标区服]],$R$44:$S$49,2,FALSE)-表1_8612182224267277[[#This Row],[开服天数]])*配置!$B$2</f>
        <v>15</v>
      </c>
      <c r="H14" s="212" t="s">
        <v>25</v>
      </c>
      <c r="I14" s="212">
        <f>IF(表1_8612182224267277[[#This Row],[原国家]]="魏",0,IF(表1_8612182224267277[[#This Row],[原国家]]="蜀",1,2))</f>
        <v>0</v>
      </c>
      <c r="J14" s="213">
        <v>2</v>
      </c>
      <c r="K14" s="213">
        <v>60</v>
      </c>
      <c r="L14" s="213">
        <v>1</v>
      </c>
      <c r="M14" s="213">
        <v>16</v>
      </c>
      <c r="N14" s="213">
        <v>62287</v>
      </c>
      <c r="O14" s="213">
        <v>1412451</v>
      </c>
      <c r="P14" s="420">
        <v>10516850</v>
      </c>
      <c r="Q14" s="243" t="s">
        <v>25</v>
      </c>
      <c r="R14" s="212">
        <f>IF(表1_8612182224267277[[#This Row],[目标国家]]="魏",0,IF(表1_8612182224267277[[#This Row],[目标国家]]="蜀",1,2))</f>
        <v>0</v>
      </c>
      <c r="S14" s="213">
        <v>24534</v>
      </c>
      <c r="T14" s="213">
        <v>0</v>
      </c>
      <c r="U14" s="213">
        <v>170163</v>
      </c>
      <c r="V14" s="213">
        <v>4396</v>
      </c>
      <c r="W14" s="68">
        <v>471256</v>
      </c>
      <c r="X14" s="245" t="str">
        <f>"{"&amp;"'coin':"&amp;表1_8612182224267277[[#This Row],[补偿Coin]]&amp;",'"&amp;配置!$A$2&amp;"':"&amp;表1_8612182224267277[[#This Row],[补偿辎重]]&amp;"},"</f>
        <v>{'coin':1500,'item036':15},</v>
      </c>
      <c r="Y14" s="254" t="str">
        <f>"      '"&amp;表1_8612182224267277[[#This Row],[区服]]&amp;"':{"</f>
        <v>      '5074':{</v>
      </c>
    </row>
    <row r="15" ht="14.25" customHeight="1" spans="1:25">
      <c r="A15" s="259">
        <v>5074</v>
      </c>
      <c r="B15" s="210">
        <f>VLOOKUP(表1_8612182224267277[[#This Row],[区服]],$P$44:$Q$59,2,FALSE)</f>
        <v>45</v>
      </c>
      <c r="C15" s="296" t="s">
        <v>144</v>
      </c>
      <c r="D15" s="212" t="str">
        <f>表1_8612182224267277[[#This Row],[目标国家]]</f>
        <v>蜀</v>
      </c>
      <c r="E15" s="213">
        <f>(VLOOKUP(表1_8612182224267277[[#This Row],[目标区服]],$R$44:$S$49,2,FALSE)-表1_8612182224267277[[#This Row],[开服天数]])*配置!$B$1</f>
        <v>1500</v>
      </c>
      <c r="F15" s="213">
        <f>表1_8612182224267277[[#This Row],[补偿Coin]]*(表1_8612182224267277[[#This Row],[活跃高战玩家数]]+表1_8612182224267277[[#This Row],[活跃中坚玩家数]])</f>
        <v>28500</v>
      </c>
      <c r="G15" s="213">
        <f>(VLOOKUP(表1_8612182224267277[[#This Row],[目标区服]],$R$44:$S$49,2,FALSE)-表1_8612182224267277[[#This Row],[开服天数]])*配置!$B$2</f>
        <v>15</v>
      </c>
      <c r="H15" s="212" t="s">
        <v>26</v>
      </c>
      <c r="I15" s="212">
        <f>IF(表1_8612182224267277[[#This Row],[原国家]]="魏",0,IF(表1_8612182224267277[[#This Row],[原国家]]="蜀",1,2))</f>
        <v>1</v>
      </c>
      <c r="J15" s="213">
        <v>4</v>
      </c>
      <c r="K15" s="213">
        <v>233</v>
      </c>
      <c r="L15" s="213">
        <v>4</v>
      </c>
      <c r="M15" s="213">
        <v>15</v>
      </c>
      <c r="N15" s="213">
        <v>86509</v>
      </c>
      <c r="O15" s="213">
        <v>2873036</v>
      </c>
      <c r="P15" s="420">
        <v>16593077</v>
      </c>
      <c r="Q15" s="243" t="s">
        <v>26</v>
      </c>
      <c r="R15" s="212">
        <f>IF(表1_8612182224267277[[#This Row],[目标国家]]="魏",0,IF(表1_8612182224267277[[#This Row],[目标国家]]="蜀",1,2))</f>
        <v>1</v>
      </c>
      <c r="S15" s="213">
        <v>90028</v>
      </c>
      <c r="T15" s="213">
        <v>0</v>
      </c>
      <c r="U15" s="213">
        <v>606675</v>
      </c>
      <c r="V15" s="213">
        <v>10699</v>
      </c>
      <c r="W15" s="68">
        <v>844465</v>
      </c>
      <c r="X15" s="245" t="str">
        <f>"{"&amp;"'coin':"&amp;表1_8612182224267277[[#This Row],[补偿Coin]]&amp;",'"&amp;配置!$A$2&amp;"':"&amp;表1_8612182224267277[[#This Row],[补偿辎重]]&amp;"},"</f>
        <v>{'coin':1500,'item036':15},</v>
      </c>
      <c r="Y15" s="254" t="str">
        <f>"            'to_zone':'"&amp;表1_8612182224267277[[#This Row],[目标区服]]&amp;"',
            'reward':"&amp;表1_8612182224267277[[#This Row],[辅助导出]]&amp;"
            'country':["&amp;R14&amp;","&amp;R15&amp;","&amp;R16&amp;"],"</f>
        <v>            'to_zone':'h1_533',
            'reward':{'coin':1500,'item036':15},
            'country':[0,1,2],</v>
      </c>
    </row>
    <row r="16" ht="14.25" customHeight="1" spans="1:25">
      <c r="A16" s="259">
        <v>5074</v>
      </c>
      <c r="B16" s="210">
        <f>VLOOKUP(表1_8612182224267277[[#This Row],[区服]],$P$44:$Q$59,2,FALSE)</f>
        <v>45</v>
      </c>
      <c r="C16" s="296" t="s">
        <v>144</v>
      </c>
      <c r="D16" s="212" t="str">
        <f>表1_8612182224267277[[#This Row],[目标国家]]</f>
        <v>吴</v>
      </c>
      <c r="E16" s="213">
        <f>(VLOOKUP(表1_8612182224267277[[#This Row],[目标区服]],$R$44:$S$49,2,FALSE)-表1_8612182224267277[[#This Row],[开服天数]])*配置!$B$1</f>
        <v>1500</v>
      </c>
      <c r="F16" s="213">
        <f>表1_8612182224267277[[#This Row],[补偿Coin]]*(表1_8612182224267277[[#This Row],[活跃高战玩家数]]+表1_8612182224267277[[#This Row],[活跃中坚玩家数]])</f>
        <v>27000</v>
      </c>
      <c r="G16" s="213">
        <f>(VLOOKUP(表1_8612182224267277[[#This Row],[目标区服]],$R$44:$S$49,2,FALSE)-表1_8612182224267277[[#This Row],[开服天数]])*配置!$B$2</f>
        <v>15</v>
      </c>
      <c r="H16" s="212" t="s">
        <v>27</v>
      </c>
      <c r="I16" s="212">
        <f>IF(表1_8612182224267277[[#This Row],[原国家]]="魏",0,IF(表1_8612182224267277[[#This Row],[原国家]]="蜀",1,2))</f>
        <v>2</v>
      </c>
      <c r="J16" s="213">
        <v>3</v>
      </c>
      <c r="K16" s="213">
        <v>102</v>
      </c>
      <c r="L16" s="213">
        <v>3</v>
      </c>
      <c r="M16" s="213">
        <v>15</v>
      </c>
      <c r="N16" s="213">
        <v>91674</v>
      </c>
      <c r="O16" s="213">
        <v>2320308</v>
      </c>
      <c r="P16" s="420">
        <v>14788515</v>
      </c>
      <c r="Q16" s="243" t="s">
        <v>27</v>
      </c>
      <c r="R16" s="212">
        <f>IF(表1_8612182224267277[[#This Row],[目标国家]]="魏",0,IF(表1_8612182224267277[[#This Row],[目标国家]]="蜀",1,2))</f>
        <v>2</v>
      </c>
      <c r="S16" s="213">
        <v>26502</v>
      </c>
      <c r="T16" s="213">
        <v>0</v>
      </c>
      <c r="U16" s="213">
        <v>328531</v>
      </c>
      <c r="V16" s="213">
        <v>6536</v>
      </c>
      <c r="W16" s="68">
        <v>669819</v>
      </c>
      <c r="X16" s="245" t="str">
        <f>"{"&amp;"'coin':"&amp;表1_8612182224267277[[#This Row],[补偿Coin]]&amp;",'"&amp;配置!$A$2&amp;"':"&amp;表1_8612182224267277[[#This Row],[补偿辎重]]&amp;"},"</f>
        <v>{'coin':1500,'item036':15},</v>
      </c>
      <c r="Y16" s="254" t="str">
        <f t="shared" ref="Y16" si="2">"      },"</f>
        <v>      },</v>
      </c>
    </row>
    <row r="17" ht="14.25" customHeight="1" spans="1:25">
      <c r="A17" s="500">
        <v>5075</v>
      </c>
      <c r="B17" s="17">
        <f>VLOOKUP(表1_8612182224267277[[#This Row],[区服]],$P$44:$Q$59,2,FALSE)</f>
        <v>44</v>
      </c>
      <c r="C17" s="18" t="s">
        <v>145</v>
      </c>
      <c r="D17" s="19" t="str">
        <f>表1_8612182224267277[[#This Row],[目标国家]]</f>
        <v>蜀</v>
      </c>
      <c r="E17" s="20">
        <f>(VLOOKUP(表1_8612182224267277[[#This Row],[目标区服]],$R$44:$S$49,2,FALSE)-表1_8612182224267277[[#This Row],[开服天数]])*配置!$B$1</f>
        <v>1500</v>
      </c>
      <c r="F17" s="20">
        <f>表1_8612182224267277[[#This Row],[补偿Coin]]*(表1_8612182224267277[[#This Row],[活跃高战玩家数]]+表1_8612182224267277[[#This Row],[活跃中坚玩家数]])</f>
        <v>43500</v>
      </c>
      <c r="G17" s="20">
        <f>(VLOOKUP(表1_8612182224267277[[#This Row],[目标区服]],$R$44:$S$49,2,FALSE)-表1_8612182224267277[[#This Row],[开服天数]])*配置!$B$2</f>
        <v>15</v>
      </c>
      <c r="H17" s="19" t="s">
        <v>25</v>
      </c>
      <c r="I17" s="19">
        <f>IF(表1_8612182224267277[[#This Row],[原国家]]="魏",0,IF(表1_8612182224267277[[#This Row],[原国家]]="蜀",1,2))</f>
        <v>0</v>
      </c>
      <c r="J17" s="20">
        <v>6</v>
      </c>
      <c r="K17" s="20">
        <v>229</v>
      </c>
      <c r="L17" s="20">
        <v>9</v>
      </c>
      <c r="M17" s="20">
        <v>20</v>
      </c>
      <c r="N17" s="20">
        <v>146156</v>
      </c>
      <c r="O17" s="20">
        <v>2587957</v>
      </c>
      <c r="P17" s="26">
        <v>25308408</v>
      </c>
      <c r="Q17" s="496" t="s">
        <v>26</v>
      </c>
      <c r="R17" s="19">
        <f>IF(表1_8612182224267277[[#This Row],[目标国家]]="魏",0,IF(表1_8612182224267277[[#This Row],[目标国家]]="蜀",1,2))</f>
        <v>1</v>
      </c>
      <c r="S17" s="20">
        <v>78016</v>
      </c>
      <c r="T17" s="20">
        <v>0</v>
      </c>
      <c r="U17" s="20">
        <v>616532</v>
      </c>
      <c r="V17" s="20">
        <v>11388</v>
      </c>
      <c r="W17" s="32">
        <v>645215</v>
      </c>
      <c r="X17" s="33" t="str">
        <f>"{"&amp;"'coin':"&amp;表1_8612182224267277[[#This Row],[补偿Coin]]&amp;",'"&amp;配置!$A$2&amp;"':"&amp;表1_8612182224267277[[#This Row],[补偿辎重]]&amp;"},"</f>
        <v>{'coin':1500,'item036':15},</v>
      </c>
      <c r="Y17" s="34" t="str">
        <f>"      '"&amp;表1_8612182224267277[[#This Row],[区服]]&amp;"':{"</f>
        <v>      '5075':{</v>
      </c>
    </row>
    <row r="18" ht="14.25" customHeight="1" spans="1:25">
      <c r="A18" s="17">
        <v>5075</v>
      </c>
      <c r="B18" s="17">
        <f>VLOOKUP(表1_8612182224267277[[#This Row],[区服]],$P$44:$Q$59,2,FALSE)</f>
        <v>44</v>
      </c>
      <c r="C18" s="18" t="s">
        <v>145</v>
      </c>
      <c r="D18" s="19" t="str">
        <f>表1_8612182224267277[[#This Row],[目标国家]]</f>
        <v>魏</v>
      </c>
      <c r="E18" s="20">
        <f>(VLOOKUP(表1_8612182224267277[[#This Row],[目标区服]],$R$44:$S$49,2,FALSE)-表1_8612182224267277[[#This Row],[开服天数]])*配置!$B$1</f>
        <v>1500</v>
      </c>
      <c r="F18" s="20">
        <f>表1_8612182224267277[[#This Row],[补偿Coin]]*(表1_8612182224267277[[#This Row],[活跃高战玩家数]]+表1_8612182224267277[[#This Row],[活跃中坚玩家数]])</f>
        <v>37500</v>
      </c>
      <c r="G18" s="20">
        <f>(VLOOKUP(表1_8612182224267277[[#This Row],[目标区服]],$R$44:$S$49,2,FALSE)-表1_8612182224267277[[#This Row],[开服天数]])*配置!$B$2</f>
        <v>15</v>
      </c>
      <c r="H18" s="19" t="s">
        <v>26</v>
      </c>
      <c r="I18" s="19">
        <f>IF(表1_8612182224267277[[#This Row],[原国家]]="魏",0,IF(表1_8612182224267277[[#This Row],[原国家]]="蜀",1,2))</f>
        <v>1</v>
      </c>
      <c r="J18" s="20">
        <v>1</v>
      </c>
      <c r="K18" s="20">
        <v>87</v>
      </c>
      <c r="L18" s="20">
        <v>0</v>
      </c>
      <c r="M18" s="20">
        <v>25</v>
      </c>
      <c r="N18" s="20">
        <v>71105</v>
      </c>
      <c r="O18" s="20">
        <v>1424870</v>
      </c>
      <c r="P18" s="26">
        <v>13100685</v>
      </c>
      <c r="Q18" s="496" t="s">
        <v>25</v>
      </c>
      <c r="R18" s="19">
        <f>IF(表1_8612182224267277[[#This Row],[目标国家]]="魏",0,IF(表1_8612182224267277[[#This Row],[目标国家]]="蜀",1,2))</f>
        <v>0</v>
      </c>
      <c r="S18" s="20">
        <v>18890</v>
      </c>
      <c r="T18" s="20">
        <v>0</v>
      </c>
      <c r="U18" s="20">
        <v>294179</v>
      </c>
      <c r="V18" s="20">
        <v>4774</v>
      </c>
      <c r="W18" s="32">
        <v>455091</v>
      </c>
      <c r="X18" s="33" t="str">
        <f>"{"&amp;"'coin':"&amp;表1_8612182224267277[[#This Row],[补偿Coin]]&amp;",'"&amp;配置!$A$2&amp;"':"&amp;表1_8612182224267277[[#This Row],[补偿辎重]]&amp;"},"</f>
        <v>{'coin':1500,'item036':15},</v>
      </c>
      <c r="Y18" s="34" t="str">
        <f>"            'to_zone':'"&amp;表1_8612182224267277[[#This Row],[目标区服]]&amp;"',
            'reward':"&amp;表1_8612182224267277[[#This Row],[辅助导出]]&amp;"
            'country':["&amp;R17&amp;","&amp;R18&amp;","&amp;R19&amp;"],"</f>
        <v>            'to_zone':'h1_534',
            'reward':{'coin':1500,'item036':15},
            'country':[1,0,1],</v>
      </c>
    </row>
    <row r="19" ht="14.25" customHeight="1" spans="1:25">
      <c r="A19" s="17">
        <v>5075</v>
      </c>
      <c r="B19" s="17">
        <f>VLOOKUP(表1_8612182224267277[[#This Row],[区服]],$P$44:$Q$59,2,FALSE)</f>
        <v>44</v>
      </c>
      <c r="C19" s="18" t="s">
        <v>145</v>
      </c>
      <c r="D19" s="19" t="str">
        <f>表1_8612182224267277[[#This Row],[目标国家]]</f>
        <v>蜀</v>
      </c>
      <c r="E19" s="20">
        <f>(VLOOKUP(表1_8612182224267277[[#This Row],[目标区服]],$R$44:$S$49,2,FALSE)-表1_8612182224267277[[#This Row],[开服天数]])*配置!$B$1</f>
        <v>1500</v>
      </c>
      <c r="F19" s="20">
        <f>表1_8612182224267277[[#This Row],[补偿Coin]]*(表1_8612182224267277[[#This Row],[活跃高战玩家数]]+表1_8612182224267277[[#This Row],[活跃中坚玩家数]])</f>
        <v>28500</v>
      </c>
      <c r="G19" s="20">
        <f>(VLOOKUP(表1_8612182224267277[[#This Row],[目标区服]],$R$44:$S$49,2,FALSE)-表1_8612182224267277[[#This Row],[开服天数]])*配置!$B$2</f>
        <v>15</v>
      </c>
      <c r="H19" s="19" t="s">
        <v>27</v>
      </c>
      <c r="I19" s="19">
        <f>IF(表1_8612182224267277[[#This Row],[原国家]]="魏",0,IF(表1_8612182224267277[[#This Row],[原国家]]="蜀",1,2))</f>
        <v>2</v>
      </c>
      <c r="J19" s="20">
        <v>2</v>
      </c>
      <c r="K19" s="20">
        <v>79</v>
      </c>
      <c r="L19" s="20">
        <v>0</v>
      </c>
      <c r="M19" s="20">
        <v>19</v>
      </c>
      <c r="N19" s="20">
        <v>63772</v>
      </c>
      <c r="O19" s="20">
        <v>1184461</v>
      </c>
      <c r="P19" s="26">
        <v>10823503</v>
      </c>
      <c r="Q19" s="496" t="s">
        <v>26</v>
      </c>
      <c r="R19" s="19">
        <f>IF(表1_8612182224267277[[#This Row],[目标国家]]="魏",0,IF(表1_8612182224267277[[#This Row],[目标国家]]="蜀",1,2))</f>
        <v>1</v>
      </c>
      <c r="S19" s="20">
        <v>14134</v>
      </c>
      <c r="T19" s="20">
        <v>0</v>
      </c>
      <c r="U19" s="20">
        <v>131036</v>
      </c>
      <c r="V19" s="20">
        <v>4065</v>
      </c>
      <c r="W19" s="32">
        <v>429978</v>
      </c>
      <c r="X19" s="33" t="str">
        <f>"{"&amp;"'coin':"&amp;表1_8612182224267277[[#This Row],[补偿Coin]]&amp;",'"&amp;配置!$A$2&amp;"':"&amp;表1_8612182224267277[[#This Row],[补偿辎重]]&amp;"},"</f>
        <v>{'coin':1500,'item036':15},</v>
      </c>
      <c r="Y19" s="34" t="str">
        <f t="shared" ref="Y19" si="3">"      },"</f>
        <v>      },</v>
      </c>
    </row>
    <row r="20" ht="14.25" customHeight="1" spans="1:25">
      <c r="A20" s="17">
        <v>5076</v>
      </c>
      <c r="B20" s="17">
        <f>VLOOKUP(表1_8612182224267277[[#This Row],[区服]],$P$44:$Q$59,2,FALSE)</f>
        <v>44</v>
      </c>
      <c r="C20" s="18" t="s">
        <v>145</v>
      </c>
      <c r="D20" s="19" t="str">
        <f>表1_8612182224267277[[#This Row],[目标国家]]</f>
        <v>魏</v>
      </c>
      <c r="E20" s="20">
        <f>(VLOOKUP(表1_8612182224267277[[#This Row],[目标区服]],$R$44:$S$49,2,FALSE)-表1_8612182224267277[[#This Row],[开服天数]])*配置!$B$1</f>
        <v>1500</v>
      </c>
      <c r="F20" s="20">
        <f>表1_8612182224267277[[#This Row],[补偿Coin]]*(表1_8612182224267277[[#This Row],[活跃高战玩家数]]+表1_8612182224267277[[#This Row],[活跃中坚玩家数]])</f>
        <v>22500</v>
      </c>
      <c r="G20" s="20">
        <f>(VLOOKUP(表1_8612182224267277[[#This Row],[目标区服]],$R$44:$S$49,2,FALSE)-表1_8612182224267277[[#This Row],[开服天数]])*配置!$B$2</f>
        <v>15</v>
      </c>
      <c r="H20" s="19" t="s">
        <v>25</v>
      </c>
      <c r="I20" s="19">
        <f>IF(表1_8612182224267277[[#This Row],[原国家]]="魏",0,IF(表1_8612182224267277[[#This Row],[原国家]]="蜀",1,2))</f>
        <v>0</v>
      </c>
      <c r="J20" s="20">
        <v>1</v>
      </c>
      <c r="K20" s="20">
        <v>85</v>
      </c>
      <c r="L20" s="20">
        <v>1</v>
      </c>
      <c r="M20" s="20">
        <v>14</v>
      </c>
      <c r="N20" s="20">
        <v>67757</v>
      </c>
      <c r="O20" s="20">
        <v>2549114</v>
      </c>
      <c r="P20" s="26">
        <v>12034503</v>
      </c>
      <c r="Q20" s="496" t="s">
        <v>25</v>
      </c>
      <c r="R20" s="19">
        <f>IF(表1_8612182224267277[[#This Row],[目标国家]]="魏",0,IF(表1_8612182224267277[[#This Row],[目标国家]]="蜀",1,2))</f>
        <v>0</v>
      </c>
      <c r="S20" s="20">
        <v>111188</v>
      </c>
      <c r="T20" s="20">
        <v>0</v>
      </c>
      <c r="U20" s="20">
        <v>264827</v>
      </c>
      <c r="V20" s="20">
        <v>8509</v>
      </c>
      <c r="W20" s="32">
        <v>1074833</v>
      </c>
      <c r="X20" s="33" t="str">
        <f>"{"&amp;"'coin':"&amp;表1_8612182224267277[[#This Row],[补偿Coin]]&amp;",'"&amp;配置!$A$2&amp;"':"&amp;表1_8612182224267277[[#This Row],[补偿辎重]]&amp;"},"</f>
        <v>{'coin':1500,'item036':15},</v>
      </c>
      <c r="Y20" s="34" t="str">
        <f>"      '"&amp;表1_8612182224267277[[#This Row],[区服]]&amp;"':{"</f>
        <v>      '5076':{</v>
      </c>
    </row>
    <row r="21" ht="14.25" customHeight="1" spans="1:25">
      <c r="A21" s="17">
        <v>5076</v>
      </c>
      <c r="B21" s="17">
        <f>VLOOKUP(表1_8612182224267277[[#This Row],[区服]],$P$44:$Q$59,2,FALSE)</f>
        <v>44</v>
      </c>
      <c r="C21" s="18" t="s">
        <v>145</v>
      </c>
      <c r="D21" s="19" t="str">
        <f>表1_8612182224267277[[#This Row],[目标国家]]</f>
        <v>吴</v>
      </c>
      <c r="E21" s="20">
        <f>(VLOOKUP(表1_8612182224267277[[#This Row],[目标区服]],$R$44:$S$49,2,FALSE)-表1_8612182224267277[[#This Row],[开服天数]])*配置!$B$1</f>
        <v>1500</v>
      </c>
      <c r="F21" s="20">
        <f>表1_8612182224267277[[#This Row],[补偿Coin]]*(表1_8612182224267277[[#This Row],[活跃高战玩家数]]+表1_8612182224267277[[#This Row],[活跃中坚玩家数]])</f>
        <v>21000</v>
      </c>
      <c r="G21" s="20">
        <f>(VLOOKUP(表1_8612182224267277[[#This Row],[目标区服]],$R$44:$S$49,2,FALSE)-表1_8612182224267277[[#This Row],[开服天数]])*配置!$B$2</f>
        <v>15</v>
      </c>
      <c r="H21" s="19" t="s">
        <v>26</v>
      </c>
      <c r="I21" s="19">
        <f>IF(表1_8612182224267277[[#This Row],[原国家]]="魏",0,IF(表1_8612182224267277[[#This Row],[原国家]]="蜀",1,2))</f>
        <v>1</v>
      </c>
      <c r="J21" s="20">
        <v>0</v>
      </c>
      <c r="K21" s="20">
        <v>31</v>
      </c>
      <c r="L21" s="20">
        <v>0</v>
      </c>
      <c r="M21" s="20">
        <v>14</v>
      </c>
      <c r="N21" s="20">
        <v>36752</v>
      </c>
      <c r="O21" s="20">
        <v>1138164</v>
      </c>
      <c r="P21" s="26">
        <v>6042212</v>
      </c>
      <c r="Q21" s="496" t="s">
        <v>27</v>
      </c>
      <c r="R21" s="19">
        <f>IF(表1_8612182224267277[[#This Row],[目标国家]]="魏",0,IF(表1_8612182224267277[[#This Row],[目标国家]]="蜀",1,2))</f>
        <v>2</v>
      </c>
      <c r="S21" s="20">
        <v>2424</v>
      </c>
      <c r="T21" s="20">
        <v>0</v>
      </c>
      <c r="U21" s="20">
        <v>94455</v>
      </c>
      <c r="V21" s="20">
        <v>2356</v>
      </c>
      <c r="W21" s="32">
        <v>394457</v>
      </c>
      <c r="X21" s="33" t="str">
        <f>"{"&amp;"'coin':"&amp;表1_8612182224267277[[#This Row],[补偿Coin]]&amp;",'"&amp;配置!$A$2&amp;"':"&amp;表1_8612182224267277[[#This Row],[补偿辎重]]&amp;"},"</f>
        <v>{'coin':1500,'item036':15},</v>
      </c>
      <c r="Y21" s="34" t="str">
        <f>"            'to_zone':'"&amp;表1_8612182224267277[[#This Row],[目标区服]]&amp;"',
            'reward':"&amp;表1_8612182224267277[[#This Row],[辅助导出]]&amp;"
            'country':["&amp;R20&amp;","&amp;R21&amp;","&amp;R22&amp;"],"</f>
        <v>            'to_zone':'h1_534',
            'reward':{'coin':1500,'item036':15},
            'country':[0,2,2],</v>
      </c>
    </row>
    <row r="22" ht="14.25" customHeight="1" spans="1:25">
      <c r="A22" s="17">
        <v>5076</v>
      </c>
      <c r="B22" s="17">
        <f>VLOOKUP(表1_8612182224267277[[#This Row],[区服]],$P$44:$Q$59,2,FALSE)</f>
        <v>44</v>
      </c>
      <c r="C22" s="18" t="s">
        <v>145</v>
      </c>
      <c r="D22" s="19" t="str">
        <f>表1_8612182224267277[[#This Row],[目标国家]]</f>
        <v>吴</v>
      </c>
      <c r="E22" s="20">
        <f>(VLOOKUP(表1_8612182224267277[[#This Row],[目标区服]],$R$44:$S$49,2,FALSE)-表1_8612182224267277[[#This Row],[开服天数]])*配置!$B$1</f>
        <v>1500</v>
      </c>
      <c r="F22" s="20">
        <f>表1_8612182224267277[[#This Row],[补偿Coin]]*(表1_8612182224267277[[#This Row],[活跃高战玩家数]]+表1_8612182224267277[[#This Row],[活跃中坚玩家数]])</f>
        <v>37500</v>
      </c>
      <c r="G22" s="20">
        <f>(VLOOKUP(表1_8612182224267277[[#This Row],[目标区服]],$R$44:$S$49,2,FALSE)-表1_8612182224267277[[#This Row],[开服天数]])*配置!$B$2</f>
        <v>15</v>
      </c>
      <c r="H22" s="19" t="s">
        <v>27</v>
      </c>
      <c r="I22" s="19">
        <f>IF(表1_8612182224267277[[#This Row],[原国家]]="魏",0,IF(表1_8612182224267277[[#This Row],[原国家]]="蜀",1,2))</f>
        <v>2</v>
      </c>
      <c r="J22" s="20">
        <v>8</v>
      </c>
      <c r="K22" s="20">
        <v>279</v>
      </c>
      <c r="L22" s="20">
        <v>9</v>
      </c>
      <c r="M22" s="20">
        <v>16</v>
      </c>
      <c r="N22" s="20">
        <v>163589</v>
      </c>
      <c r="O22" s="20">
        <v>3438079</v>
      </c>
      <c r="P22" s="26">
        <v>28820116</v>
      </c>
      <c r="Q22" s="496" t="s">
        <v>27</v>
      </c>
      <c r="R22" s="19">
        <f>IF(表1_8612182224267277[[#This Row],[目标国家]]="魏",0,IF(表1_8612182224267277[[#This Row],[目标国家]]="蜀",1,2))</f>
        <v>2</v>
      </c>
      <c r="S22" s="20">
        <v>148672</v>
      </c>
      <c r="T22" s="20">
        <v>0</v>
      </c>
      <c r="U22" s="20">
        <v>427167</v>
      </c>
      <c r="V22" s="20">
        <v>15401</v>
      </c>
      <c r="W22" s="32">
        <v>963087</v>
      </c>
      <c r="X22" s="33" t="str">
        <f>"{"&amp;"'coin':"&amp;表1_8612182224267277[[#This Row],[补偿Coin]]&amp;",'"&amp;配置!$A$2&amp;"':"&amp;表1_8612182224267277[[#This Row],[补偿辎重]]&amp;"},"</f>
        <v>{'coin':1500,'item036':15},</v>
      </c>
      <c r="Y22" s="34" t="str">
        <f t="shared" ref="Y22" si="4">"      },"</f>
        <v>      },</v>
      </c>
    </row>
    <row r="23" ht="14.25" customHeight="1" spans="1:25">
      <c r="A23" s="367">
        <v>5077</v>
      </c>
      <c r="B23" s="214">
        <f>VLOOKUP(表1_8612182224267277[[#This Row],[区服]],$P$44:$Q$59,2,FALSE)</f>
        <v>43</v>
      </c>
      <c r="C23" s="545" t="s">
        <v>146</v>
      </c>
      <c r="D23" s="216" t="str">
        <f>表1_8612182224267277[[#This Row],[目标国家]]</f>
        <v>魏</v>
      </c>
      <c r="E23" s="413">
        <f>(VLOOKUP(表1_8612182224267277[[#This Row],[目标区服]],$R$44:$S$49,2,FALSE)-表1_8612182224267277[[#This Row],[开服天数]])*配置!$B$1</f>
        <v>1500</v>
      </c>
      <c r="F23" s="217">
        <f>表1_8612182224267277[[#This Row],[补偿Coin]]*(表1_8612182224267277[[#This Row],[活跃高战玩家数]]+表1_8612182224267277[[#This Row],[活跃中坚玩家数]])</f>
        <v>30000</v>
      </c>
      <c r="G23" s="368">
        <f>(VLOOKUP(表1_8612182224267277[[#This Row],[目标区服]],$R$44:$S$49,2,FALSE)-表1_8612182224267277[[#This Row],[开服天数]])*配置!$B$2</f>
        <v>15</v>
      </c>
      <c r="H23" s="216" t="s">
        <v>25</v>
      </c>
      <c r="I23" s="377">
        <f>IF(表1_8612182224267277[[#This Row],[原国家]]="魏",0,IF(表1_8612182224267277[[#This Row],[原国家]]="蜀",1,2))</f>
        <v>0</v>
      </c>
      <c r="J23" s="217">
        <v>6</v>
      </c>
      <c r="K23" s="217">
        <v>212</v>
      </c>
      <c r="L23" s="217">
        <v>5</v>
      </c>
      <c r="M23" s="217">
        <v>15</v>
      </c>
      <c r="N23" s="217">
        <v>87886</v>
      </c>
      <c r="O23" s="378">
        <v>2987886</v>
      </c>
      <c r="P23" s="334">
        <v>16751237</v>
      </c>
      <c r="Q23" s="247" t="s">
        <v>25</v>
      </c>
      <c r="R23" s="216">
        <f>IF(表1_8612182224267277[[#This Row],[目标国家]]="魏",0,IF(表1_8612182224267277[[#This Row],[目标国家]]="蜀",1,2))</f>
        <v>0</v>
      </c>
      <c r="S23" s="217">
        <v>63608</v>
      </c>
      <c r="T23" s="217">
        <v>0</v>
      </c>
      <c r="U23" s="217">
        <v>597117</v>
      </c>
      <c r="V23" s="217">
        <v>10029</v>
      </c>
      <c r="W23" s="488">
        <v>786084</v>
      </c>
      <c r="X23" s="382" t="str">
        <f>"{"&amp;"'coin':"&amp;表1_8612182224267277[[#This Row],[补偿Coin]]&amp;",'"&amp;配置!$A$2&amp;"':"&amp;表1_8612182224267277[[#This Row],[补偿辎重]]&amp;"},"</f>
        <v>{'coin':1500,'item036':15},</v>
      </c>
      <c r="Y23" s="382" t="str">
        <f>"      '"&amp;表1_8612182224267277[[#This Row],[区服]]&amp;"':{"</f>
        <v>      '5077':{</v>
      </c>
    </row>
    <row r="24" ht="14.25" customHeight="1" spans="1:25">
      <c r="A24" s="367">
        <v>5077</v>
      </c>
      <c r="B24" s="214">
        <f>VLOOKUP(表1_8612182224267277[[#This Row],[区服]],$P$44:$Q$59,2,FALSE)</f>
        <v>43</v>
      </c>
      <c r="C24" s="545" t="s">
        <v>146</v>
      </c>
      <c r="D24" s="216" t="str">
        <f>表1_8612182224267277[[#This Row],[目标国家]]</f>
        <v>魏</v>
      </c>
      <c r="E24" s="413">
        <f>(VLOOKUP(表1_8612182224267277[[#This Row],[目标区服]],$R$44:$S$49,2,FALSE)-表1_8612182224267277[[#This Row],[开服天数]])*配置!$B$1</f>
        <v>1500</v>
      </c>
      <c r="F24" s="217">
        <f>表1_8612182224267277[[#This Row],[补偿Coin]]*(表1_8612182224267277[[#This Row],[活跃高战玩家数]]+表1_8612182224267277[[#This Row],[活跃中坚玩家数]])</f>
        <v>30000</v>
      </c>
      <c r="G24" s="368">
        <f>(VLOOKUP(表1_8612182224267277[[#This Row],[目标区服]],$R$44:$S$49,2,FALSE)-表1_8612182224267277[[#This Row],[开服天数]])*配置!$B$2</f>
        <v>15</v>
      </c>
      <c r="H24" s="216" t="s">
        <v>26</v>
      </c>
      <c r="I24" s="377">
        <f>IF(表1_8612182224267277[[#This Row],[原国家]]="魏",0,IF(表1_8612182224267277[[#This Row],[原国家]]="蜀",1,2))</f>
        <v>1</v>
      </c>
      <c r="J24" s="217">
        <v>1</v>
      </c>
      <c r="K24" s="217">
        <v>78</v>
      </c>
      <c r="L24" s="217">
        <v>1</v>
      </c>
      <c r="M24" s="217">
        <v>19</v>
      </c>
      <c r="N24" s="217">
        <v>86160</v>
      </c>
      <c r="O24" s="378">
        <v>1446353</v>
      </c>
      <c r="P24" s="334">
        <v>12726754</v>
      </c>
      <c r="Q24" s="247" t="s">
        <v>25</v>
      </c>
      <c r="R24" s="216">
        <f>IF(表1_8612182224267277[[#This Row],[目标国家]]="魏",0,IF(表1_8612182224267277[[#This Row],[目标国家]]="蜀",1,2))</f>
        <v>0</v>
      </c>
      <c r="S24" s="217">
        <v>22280</v>
      </c>
      <c r="T24" s="217">
        <v>0</v>
      </c>
      <c r="U24" s="217">
        <v>164998</v>
      </c>
      <c r="V24" s="217">
        <v>4780</v>
      </c>
      <c r="W24" s="488">
        <v>425577</v>
      </c>
      <c r="X24" s="382" t="str">
        <f>"{"&amp;"'coin':"&amp;表1_8612182224267277[[#This Row],[补偿Coin]]&amp;",'"&amp;配置!$A$2&amp;"':"&amp;表1_8612182224267277[[#This Row],[补偿辎重]]&amp;"},"</f>
        <v>{'coin':1500,'item036':15},</v>
      </c>
      <c r="Y24" s="382" t="str">
        <f>"            'to_zone':'"&amp;表1_8612182224267277[[#This Row],[目标区服]]&amp;"',
            'reward':"&amp;表1_8612182224267277[[#This Row],[辅助导出]]&amp;"
            'country':["&amp;R23&amp;","&amp;R24&amp;","&amp;R25&amp;"],"</f>
        <v>            'to_zone':'h1_535',
            'reward':{'coin':1500,'item036':15},
            'country':[0,0,2],</v>
      </c>
    </row>
    <row r="25" ht="14.25" customHeight="1" spans="1:25">
      <c r="A25" s="367">
        <v>5077</v>
      </c>
      <c r="B25" s="214">
        <f>VLOOKUP(表1_8612182224267277[[#This Row],[区服]],$P$44:$Q$59,2,FALSE)</f>
        <v>43</v>
      </c>
      <c r="C25" s="546" t="s">
        <v>146</v>
      </c>
      <c r="D25" s="216" t="str">
        <f>表1_8612182224267277[[#This Row],[目标国家]]</f>
        <v>吴</v>
      </c>
      <c r="E25" s="413">
        <f>(VLOOKUP(表1_8612182224267277[[#This Row],[目标区服]],$R$44:$S$49,2,FALSE)-表1_8612182224267277[[#This Row],[开服天数]])*配置!$B$1</f>
        <v>1500</v>
      </c>
      <c r="F25" s="217">
        <f>表1_8612182224267277[[#This Row],[补偿Coin]]*(表1_8612182224267277[[#This Row],[活跃高战玩家数]]+表1_8612182224267277[[#This Row],[活跃中坚玩家数]])</f>
        <v>28500</v>
      </c>
      <c r="G25" s="368">
        <f>(VLOOKUP(表1_8612182224267277[[#This Row],[目标区服]],$R$44:$S$49,2,FALSE)-表1_8612182224267277[[#This Row],[开服天数]])*配置!$B$2</f>
        <v>15</v>
      </c>
      <c r="H25" s="216" t="s">
        <v>27</v>
      </c>
      <c r="I25" s="377">
        <f>IF(表1_8612182224267277[[#This Row],[原国家]]="魏",0,IF(表1_8612182224267277[[#This Row],[原国家]]="蜀",1,2))</f>
        <v>2</v>
      </c>
      <c r="J25" s="217">
        <v>2</v>
      </c>
      <c r="K25" s="217">
        <v>105</v>
      </c>
      <c r="L25" s="217">
        <v>1</v>
      </c>
      <c r="M25" s="217">
        <v>18</v>
      </c>
      <c r="N25" s="217">
        <v>77802</v>
      </c>
      <c r="O25" s="378">
        <v>2014387</v>
      </c>
      <c r="P25" s="334">
        <v>12736063</v>
      </c>
      <c r="Q25" s="247" t="s">
        <v>27</v>
      </c>
      <c r="R25" s="216">
        <f>IF(表1_8612182224267277[[#This Row],[目标国家]]="魏",0,IF(表1_8612182224267277[[#This Row],[目标国家]]="蜀",1,2))</f>
        <v>2</v>
      </c>
      <c r="S25" s="217">
        <v>30974</v>
      </c>
      <c r="T25" s="217">
        <v>0</v>
      </c>
      <c r="U25" s="217">
        <v>343643</v>
      </c>
      <c r="V25" s="217">
        <v>6028</v>
      </c>
      <c r="W25" s="488">
        <v>764685</v>
      </c>
      <c r="X25" s="382" t="str">
        <f>"{"&amp;"'coin':"&amp;表1_8612182224267277[[#This Row],[补偿Coin]]&amp;",'"&amp;配置!$A$2&amp;"':"&amp;表1_8612182224267277[[#This Row],[补偿辎重]]&amp;"},"</f>
        <v>{'coin':1500,'item036':15},</v>
      </c>
      <c r="Y25" s="382" t="str">
        <f t="shared" ref="Y25" si="5">"      },"</f>
        <v>      },</v>
      </c>
    </row>
    <row r="26" ht="14.25" customHeight="1" spans="1:25">
      <c r="A26" s="367">
        <v>5078</v>
      </c>
      <c r="B26" s="214">
        <f>VLOOKUP(表1_8612182224267277[[#This Row],[区服]],$P$44:$Q$59,2,FALSE)</f>
        <v>43</v>
      </c>
      <c r="C26" s="545" t="s">
        <v>146</v>
      </c>
      <c r="D26" s="216" t="str">
        <f>表1_8612182224267277[[#This Row],[目标国家]]</f>
        <v>吴</v>
      </c>
      <c r="E26" s="413">
        <f>(VLOOKUP(表1_8612182224267277[[#This Row],[目标区服]],$R$44:$S$49,2,FALSE)-表1_8612182224267277[[#This Row],[开服天数]])*配置!$B$1</f>
        <v>1500</v>
      </c>
      <c r="F26" s="217">
        <f>表1_8612182224267277[[#This Row],[补偿Coin]]*(表1_8612182224267277[[#This Row],[活跃高战玩家数]]+表1_8612182224267277[[#This Row],[活跃中坚玩家数]])</f>
        <v>42000</v>
      </c>
      <c r="G26" s="368">
        <f>(VLOOKUP(表1_8612182224267277[[#This Row],[目标区服]],$R$44:$S$49,2,FALSE)-表1_8612182224267277[[#This Row],[开服天数]])*配置!$B$2</f>
        <v>15</v>
      </c>
      <c r="H26" s="216" t="s">
        <v>25</v>
      </c>
      <c r="I26" s="377">
        <f>IF(表1_8612182224267277[[#This Row],[原国家]]="魏",0,IF(表1_8612182224267277[[#This Row],[原国家]]="蜀",1,2))</f>
        <v>0</v>
      </c>
      <c r="J26" s="217">
        <v>5</v>
      </c>
      <c r="K26" s="217">
        <v>161</v>
      </c>
      <c r="L26" s="217">
        <v>6</v>
      </c>
      <c r="M26" s="217">
        <v>22</v>
      </c>
      <c r="N26" s="217">
        <v>139158</v>
      </c>
      <c r="O26" s="378">
        <v>2447918</v>
      </c>
      <c r="P26" s="334">
        <v>21103556</v>
      </c>
      <c r="Q26" s="247" t="s">
        <v>27</v>
      </c>
      <c r="R26" s="216">
        <f>IF(表1_8612182224267277[[#This Row],[目标国家]]="魏",0,IF(表1_8612182224267277[[#This Row],[目标国家]]="蜀",1,2))</f>
        <v>2</v>
      </c>
      <c r="S26" s="217">
        <v>31660</v>
      </c>
      <c r="T26" s="217">
        <v>0</v>
      </c>
      <c r="U26" s="217">
        <v>484688</v>
      </c>
      <c r="V26" s="217">
        <v>8556</v>
      </c>
      <c r="W26" s="488">
        <v>695776</v>
      </c>
      <c r="X26" s="382" t="str">
        <f>"{"&amp;"'coin':"&amp;表1_8612182224267277[[#This Row],[补偿Coin]]&amp;",'"&amp;配置!$A$2&amp;"':"&amp;表1_8612182224267277[[#This Row],[补偿辎重]]&amp;"},"</f>
        <v>{'coin':1500,'item036':15},</v>
      </c>
      <c r="Y26" s="382" t="str">
        <f>"      '"&amp;表1_8612182224267277[[#This Row],[区服]]&amp;"':{"</f>
        <v>      '5078':{</v>
      </c>
    </row>
    <row r="27" ht="14.25" customHeight="1" spans="1:25">
      <c r="A27" s="367">
        <v>5078</v>
      </c>
      <c r="B27" s="214">
        <f>VLOOKUP(表1_8612182224267277[[#This Row],[区服]],$P$44:$Q$59,2,FALSE)</f>
        <v>43</v>
      </c>
      <c r="C27" s="545" t="s">
        <v>146</v>
      </c>
      <c r="D27" s="216" t="str">
        <f>表1_8612182224267277[[#This Row],[目标国家]]</f>
        <v>蜀</v>
      </c>
      <c r="E27" s="413">
        <f>(VLOOKUP(表1_8612182224267277[[#This Row],[目标区服]],$R$44:$S$49,2,FALSE)-表1_8612182224267277[[#This Row],[开服天数]])*配置!$B$1</f>
        <v>1500</v>
      </c>
      <c r="F27" s="217">
        <f>表1_8612182224267277[[#This Row],[补偿Coin]]*(表1_8612182224267277[[#This Row],[活跃高战玩家数]]+表1_8612182224267277[[#This Row],[活跃中坚玩家数]])</f>
        <v>24000</v>
      </c>
      <c r="G27" s="368">
        <f>(VLOOKUP(表1_8612182224267277[[#This Row],[目标区服]],$R$44:$S$49,2,FALSE)-表1_8612182224267277[[#This Row],[开服天数]])*配置!$B$2</f>
        <v>15</v>
      </c>
      <c r="H27" s="216" t="s">
        <v>26</v>
      </c>
      <c r="I27" s="377">
        <f>IF(表1_8612182224267277[[#This Row],[原国家]]="魏",0,IF(表1_8612182224267277[[#This Row],[原国家]]="蜀",1,2))</f>
        <v>1</v>
      </c>
      <c r="J27" s="217">
        <v>1</v>
      </c>
      <c r="K27" s="217">
        <v>97</v>
      </c>
      <c r="L27" s="217">
        <v>2</v>
      </c>
      <c r="M27" s="217">
        <v>14</v>
      </c>
      <c r="N27" s="217">
        <v>69351</v>
      </c>
      <c r="O27" s="378">
        <v>1886701</v>
      </c>
      <c r="P27" s="334">
        <v>10794366</v>
      </c>
      <c r="Q27" s="247" t="s">
        <v>26</v>
      </c>
      <c r="R27" s="216">
        <f>IF(表1_8612182224267277[[#This Row],[目标国家]]="魏",0,IF(表1_8612182224267277[[#This Row],[目标国家]]="蜀",1,2))</f>
        <v>1</v>
      </c>
      <c r="S27" s="217">
        <v>24274</v>
      </c>
      <c r="T27" s="217">
        <v>0</v>
      </c>
      <c r="U27" s="217">
        <v>238868</v>
      </c>
      <c r="V27" s="217">
        <v>5230</v>
      </c>
      <c r="W27" s="488">
        <v>604006</v>
      </c>
      <c r="X27" s="382" t="str">
        <f>"{"&amp;"'coin':"&amp;表1_8612182224267277[[#This Row],[补偿Coin]]&amp;",'"&amp;配置!$A$2&amp;"':"&amp;表1_8612182224267277[[#This Row],[补偿辎重]]&amp;"},"</f>
        <v>{'coin':1500,'item036':15},</v>
      </c>
      <c r="Y27" s="382" t="str">
        <f>"            'to_zone':'"&amp;表1_8612182224267277[[#This Row],[目标区服]]&amp;"',
            'reward':"&amp;表1_8612182224267277[[#This Row],[辅助导出]]&amp;"
            'country':["&amp;R26&amp;","&amp;R27&amp;","&amp;R28&amp;"],"</f>
        <v>            'to_zone':'h1_535',
            'reward':{'coin':1500,'item036':15},
            'country':[2,1,1],</v>
      </c>
    </row>
    <row r="28" ht="14.25" customHeight="1" spans="1:25">
      <c r="A28" s="367">
        <v>5078</v>
      </c>
      <c r="B28" s="214">
        <f>VLOOKUP(表1_8612182224267277[[#This Row],[区服]],$P$44:$Q$59,2,FALSE)</f>
        <v>43</v>
      </c>
      <c r="C28" s="546" t="s">
        <v>146</v>
      </c>
      <c r="D28" s="216" t="str">
        <f>表1_8612182224267277[[#This Row],[目标国家]]</f>
        <v>蜀</v>
      </c>
      <c r="E28" s="413">
        <f>(VLOOKUP(表1_8612182224267277[[#This Row],[目标区服]],$R$44:$S$49,2,FALSE)-表1_8612182224267277[[#This Row],[开服天数]])*配置!$B$1</f>
        <v>1500</v>
      </c>
      <c r="F28" s="217">
        <f>表1_8612182224267277[[#This Row],[补偿Coin]]*(表1_8612182224267277[[#This Row],[活跃高战玩家数]]+表1_8612182224267277[[#This Row],[活跃中坚玩家数]])</f>
        <v>24000</v>
      </c>
      <c r="G28" s="368">
        <f>(VLOOKUP(表1_8612182224267277[[#This Row],[目标区服]],$R$44:$S$49,2,FALSE)-表1_8612182224267277[[#This Row],[开服天数]])*配置!$B$2</f>
        <v>15</v>
      </c>
      <c r="H28" s="216" t="s">
        <v>27</v>
      </c>
      <c r="I28" s="377">
        <f>IF(表1_8612182224267277[[#This Row],[原国家]]="魏",0,IF(表1_8612182224267277[[#This Row],[原国家]]="蜀",1,2))</f>
        <v>2</v>
      </c>
      <c r="J28" s="217">
        <v>3</v>
      </c>
      <c r="K28" s="217">
        <v>137</v>
      </c>
      <c r="L28" s="217">
        <v>2</v>
      </c>
      <c r="M28" s="217">
        <v>14</v>
      </c>
      <c r="N28" s="217">
        <v>76485</v>
      </c>
      <c r="O28" s="378">
        <v>2099216</v>
      </c>
      <c r="P28" s="334">
        <v>11323765</v>
      </c>
      <c r="Q28" s="247" t="s">
        <v>26</v>
      </c>
      <c r="R28" s="216">
        <f>IF(表1_8612182224267277[[#This Row],[目标国家]]="魏",0,IF(表1_8612182224267277[[#This Row],[目标国家]]="蜀",1,2))</f>
        <v>1</v>
      </c>
      <c r="S28" s="217">
        <v>34054</v>
      </c>
      <c r="T28" s="217">
        <v>0</v>
      </c>
      <c r="U28" s="217">
        <v>353434</v>
      </c>
      <c r="V28" s="217">
        <v>6482</v>
      </c>
      <c r="W28" s="488">
        <v>746852</v>
      </c>
      <c r="X28" s="382" t="str">
        <f>"{"&amp;"'coin':"&amp;表1_8612182224267277[[#This Row],[补偿Coin]]&amp;",'"&amp;配置!$A$2&amp;"':"&amp;表1_8612182224267277[[#This Row],[补偿辎重]]&amp;"},"</f>
        <v>{'coin':1500,'item036':15},</v>
      </c>
      <c r="Y28" s="382" t="str">
        <f t="shared" ref="Y28" si="6">"      },"</f>
        <v>      },</v>
      </c>
    </row>
    <row r="29" ht="14.25" customHeight="1" spans="1:25">
      <c r="A29" s="547">
        <v>5079</v>
      </c>
      <c r="B29" s="548">
        <f>VLOOKUP(表1_8612182224267277[[#This Row],[区服]],$P$44:$Q$59,2,FALSE)</f>
        <v>42</v>
      </c>
      <c r="C29" s="549" t="s">
        <v>147</v>
      </c>
      <c r="D29" s="550" t="str">
        <f>表1_8612182224267277[[#This Row],[目标国家]]</f>
        <v>魏</v>
      </c>
      <c r="E29" s="551">
        <f>(VLOOKUP(表1_8612182224267277[[#This Row],[目标区服]],$R$44:$S$49,2,FALSE)-表1_8612182224267277[[#This Row],[开服天数]])*配置!$B$1</f>
        <v>1500</v>
      </c>
      <c r="F29" s="552">
        <f>表1_8612182224267277[[#This Row],[补偿Coin]]*(表1_8612182224267277[[#This Row],[活跃高战玩家数]]+表1_8612182224267277[[#This Row],[活跃中坚玩家数]])</f>
        <v>46500</v>
      </c>
      <c r="G29" s="553">
        <f>(VLOOKUP(表1_8612182224267277[[#This Row],[目标区服]],$R$44:$S$49,2,FALSE)-表1_8612182224267277[[#This Row],[开服天数]])*配置!$B$2</f>
        <v>15</v>
      </c>
      <c r="H29" s="550" t="s">
        <v>25</v>
      </c>
      <c r="I29" s="560">
        <f>IF(表1_8612182224267277[[#This Row],[原国家]]="魏",0,IF(表1_8612182224267277[[#This Row],[原国家]]="蜀",1,2))</f>
        <v>0</v>
      </c>
      <c r="J29" s="552">
        <v>4</v>
      </c>
      <c r="K29" s="552">
        <v>152</v>
      </c>
      <c r="L29" s="552">
        <v>5</v>
      </c>
      <c r="M29" s="552">
        <v>26</v>
      </c>
      <c r="N29" s="552">
        <v>149967</v>
      </c>
      <c r="O29" s="561">
        <v>2518265</v>
      </c>
      <c r="P29" s="562">
        <v>24326290</v>
      </c>
      <c r="Q29" s="567" t="s">
        <v>25</v>
      </c>
      <c r="R29" s="550">
        <f>IF(表1_8612182224267277[[#This Row],[目标国家]]="魏",0,IF(表1_8612182224267277[[#This Row],[目标国家]]="蜀",1,2))</f>
        <v>0</v>
      </c>
      <c r="S29" s="552">
        <v>64644</v>
      </c>
      <c r="T29" s="552">
        <v>0</v>
      </c>
      <c r="U29" s="552">
        <v>386648</v>
      </c>
      <c r="V29" s="552">
        <v>9753</v>
      </c>
      <c r="W29" s="568">
        <v>782717</v>
      </c>
      <c r="X29" s="569" t="str">
        <f>"{"&amp;"'coin':"&amp;表1_8612182224267277[[#This Row],[补偿Coin]]&amp;",'"&amp;配置!$A$2&amp;"':"&amp;表1_8612182224267277[[#This Row],[补偿辎重]]&amp;"},"</f>
        <v>{'coin':1500,'item036':15},</v>
      </c>
      <c r="Y29" s="569" t="str">
        <f>"      '"&amp;表1_8612182224267277[[#This Row],[区服]]&amp;"':{"</f>
        <v>      '5079':{</v>
      </c>
    </row>
    <row r="30" ht="14.25" customHeight="1" spans="1:25">
      <c r="A30" s="547">
        <v>5079</v>
      </c>
      <c r="B30" s="548">
        <f>VLOOKUP(表1_8612182224267277[[#This Row],[区服]],$P$44:$Q$59,2,FALSE)</f>
        <v>42</v>
      </c>
      <c r="C30" s="549" t="s">
        <v>147</v>
      </c>
      <c r="D30" s="550" t="str">
        <f>表1_8612182224267277[[#This Row],[目标国家]]</f>
        <v>吴</v>
      </c>
      <c r="E30" s="551">
        <f>(VLOOKUP(表1_8612182224267277[[#This Row],[目标区服]],$R$44:$S$49,2,FALSE)-表1_8612182224267277[[#This Row],[开服天数]])*配置!$B$1</f>
        <v>1500</v>
      </c>
      <c r="F30" s="552">
        <f>表1_8612182224267277[[#This Row],[补偿Coin]]*(表1_8612182224267277[[#This Row],[活跃高战玩家数]]+表1_8612182224267277[[#This Row],[活跃中坚玩家数]])</f>
        <v>36000</v>
      </c>
      <c r="G30" s="553">
        <f>(VLOOKUP(表1_8612182224267277[[#This Row],[目标区服]],$R$44:$S$49,2,FALSE)-表1_8612182224267277[[#This Row],[开服天数]])*配置!$B$2</f>
        <v>15</v>
      </c>
      <c r="H30" s="550" t="s">
        <v>26</v>
      </c>
      <c r="I30" s="560">
        <f>IF(表1_8612182224267277[[#This Row],[原国家]]="魏",0,IF(表1_8612182224267277[[#This Row],[原国家]]="蜀",1,2))</f>
        <v>1</v>
      </c>
      <c r="J30" s="552">
        <v>3</v>
      </c>
      <c r="K30" s="552">
        <v>165</v>
      </c>
      <c r="L30" s="552">
        <v>4</v>
      </c>
      <c r="M30" s="552">
        <v>20</v>
      </c>
      <c r="N30" s="552">
        <v>116229</v>
      </c>
      <c r="O30" s="561">
        <v>2415946</v>
      </c>
      <c r="P30" s="562">
        <v>18605755</v>
      </c>
      <c r="Q30" s="567" t="s">
        <v>27</v>
      </c>
      <c r="R30" s="550">
        <f>IF(表1_8612182224267277[[#This Row],[目标国家]]="魏",0,IF(表1_8612182224267277[[#This Row],[目标国家]]="蜀",1,2))</f>
        <v>2</v>
      </c>
      <c r="S30" s="552">
        <v>35960</v>
      </c>
      <c r="T30" s="552">
        <v>0</v>
      </c>
      <c r="U30" s="552">
        <v>351005</v>
      </c>
      <c r="V30" s="552">
        <v>8061</v>
      </c>
      <c r="W30" s="568">
        <v>664295</v>
      </c>
      <c r="X30" s="569" t="str">
        <f>"{"&amp;"'coin':"&amp;表1_8612182224267277[[#This Row],[补偿Coin]]&amp;",'"&amp;配置!$A$2&amp;"':"&amp;表1_8612182224267277[[#This Row],[补偿辎重]]&amp;"},"</f>
        <v>{'coin':1500,'item036':15},</v>
      </c>
      <c r="Y30" s="569" t="str">
        <f>"            'to_zone':'"&amp;表1_8612182224267277[[#This Row],[目标区服]]&amp;"',
            'reward':"&amp;表1_8612182224267277[[#This Row],[辅助导出]]&amp;"
            'country':["&amp;R29&amp;","&amp;R30&amp;","&amp;R31&amp;"],"</f>
        <v>            'to_zone':'h1_536',
            'reward':{'coin':1500,'item036':15},
            'country':[0,2,2],</v>
      </c>
    </row>
    <row r="31" ht="14.25" customHeight="1" spans="1:25">
      <c r="A31" s="547">
        <v>5079</v>
      </c>
      <c r="B31" s="548">
        <f>VLOOKUP(表1_8612182224267277[[#This Row],[区服]],$P$44:$Q$59,2,FALSE)</f>
        <v>42</v>
      </c>
      <c r="C31" s="549" t="s">
        <v>147</v>
      </c>
      <c r="D31" s="550" t="str">
        <f>表1_8612182224267277[[#This Row],[目标国家]]</f>
        <v>吴</v>
      </c>
      <c r="E31" s="551">
        <f>(VLOOKUP(表1_8612182224267277[[#This Row],[目标区服]],$R$44:$S$49,2,FALSE)-表1_8612182224267277[[#This Row],[开服天数]])*配置!$B$1</f>
        <v>1500</v>
      </c>
      <c r="F31" s="552">
        <f>表1_8612182224267277[[#This Row],[补偿Coin]]*(表1_8612182224267277[[#This Row],[活跃高战玩家数]]+表1_8612182224267277[[#This Row],[活跃中坚玩家数]])</f>
        <v>19500</v>
      </c>
      <c r="G31" s="553">
        <f>(VLOOKUP(表1_8612182224267277[[#This Row],[目标区服]],$R$44:$S$49,2,FALSE)-表1_8612182224267277[[#This Row],[开服天数]])*配置!$B$2</f>
        <v>15</v>
      </c>
      <c r="H31" s="550" t="s">
        <v>27</v>
      </c>
      <c r="I31" s="560">
        <f>IF(表1_8612182224267277[[#This Row],[原国家]]="魏",0,IF(表1_8612182224267277[[#This Row],[原国家]]="蜀",1,2))</f>
        <v>2</v>
      </c>
      <c r="J31" s="552">
        <v>2</v>
      </c>
      <c r="K31" s="552">
        <v>78</v>
      </c>
      <c r="L31" s="552">
        <v>1</v>
      </c>
      <c r="M31" s="552">
        <v>12</v>
      </c>
      <c r="N31" s="552">
        <v>43179</v>
      </c>
      <c r="O31" s="561">
        <v>1288139</v>
      </c>
      <c r="P31" s="562">
        <v>7133174</v>
      </c>
      <c r="Q31" s="567" t="s">
        <v>27</v>
      </c>
      <c r="R31" s="550">
        <f>IF(表1_8612182224267277[[#This Row],[目标国家]]="魏",0,IF(表1_8612182224267277[[#This Row],[目标国家]]="蜀",1,2))</f>
        <v>2</v>
      </c>
      <c r="S31" s="552">
        <v>15808</v>
      </c>
      <c r="T31" s="552">
        <v>0</v>
      </c>
      <c r="U31" s="552">
        <v>156370</v>
      </c>
      <c r="V31" s="552">
        <v>3749</v>
      </c>
      <c r="W31" s="568">
        <v>431239</v>
      </c>
      <c r="X31" s="569" t="str">
        <f>"{"&amp;"'coin':"&amp;表1_8612182224267277[[#This Row],[补偿Coin]]&amp;",'"&amp;配置!$A$2&amp;"':"&amp;表1_8612182224267277[[#This Row],[补偿辎重]]&amp;"},"</f>
        <v>{'coin':1500,'item036':15},</v>
      </c>
      <c r="Y31" s="569" t="str">
        <f t="shared" ref="Y31" si="7">"      },"</f>
        <v>      },</v>
      </c>
    </row>
    <row r="32" ht="14.25" customHeight="1" spans="1:25">
      <c r="A32" s="547">
        <v>5080</v>
      </c>
      <c r="B32" s="548">
        <f>VLOOKUP(表1_8612182224267277[[#This Row],[区服]],$P$44:$Q$59,2,FALSE)</f>
        <v>42</v>
      </c>
      <c r="C32" s="549" t="s">
        <v>147</v>
      </c>
      <c r="D32" s="550" t="str">
        <f>表1_8612182224267277[[#This Row],[目标国家]]</f>
        <v>魏</v>
      </c>
      <c r="E32" s="551">
        <f>(VLOOKUP(表1_8612182224267277[[#This Row],[目标区服]],$R$44:$S$49,2,FALSE)-表1_8612182224267277[[#This Row],[开服天数]])*配置!$B$1</f>
        <v>1500</v>
      </c>
      <c r="F32" s="552">
        <f>表1_8612182224267277[[#This Row],[补偿Coin]]*(表1_8612182224267277[[#This Row],[活跃高战玩家数]]+表1_8612182224267277[[#This Row],[活跃中坚玩家数]])</f>
        <v>16500</v>
      </c>
      <c r="G32" s="553">
        <f>(VLOOKUP(表1_8612182224267277[[#This Row],[目标区服]],$R$44:$S$49,2,FALSE)-表1_8612182224267277[[#This Row],[开服天数]])*配置!$B$2</f>
        <v>15</v>
      </c>
      <c r="H32" s="550" t="s">
        <v>25</v>
      </c>
      <c r="I32" s="560">
        <f>IF(表1_8612182224267277[[#This Row],[原国家]]="魏",0,IF(表1_8612182224267277[[#This Row],[原国家]]="蜀",1,2))</f>
        <v>0</v>
      </c>
      <c r="J32" s="552">
        <v>0</v>
      </c>
      <c r="K32" s="552">
        <v>62</v>
      </c>
      <c r="L32" s="552">
        <v>0</v>
      </c>
      <c r="M32" s="552">
        <v>11</v>
      </c>
      <c r="N32" s="552">
        <v>44857</v>
      </c>
      <c r="O32" s="561">
        <v>1206863</v>
      </c>
      <c r="P32" s="562">
        <v>6352454</v>
      </c>
      <c r="Q32" s="567" t="s">
        <v>25</v>
      </c>
      <c r="R32" s="550">
        <f>IF(表1_8612182224267277[[#This Row],[目标国家]]="魏",0,IF(表1_8612182224267277[[#This Row],[目标国家]]="蜀",1,2))</f>
        <v>0</v>
      </c>
      <c r="S32" s="552">
        <v>4668</v>
      </c>
      <c r="T32" s="552">
        <v>0</v>
      </c>
      <c r="U32" s="552">
        <v>58679</v>
      </c>
      <c r="V32" s="552">
        <v>2855</v>
      </c>
      <c r="W32" s="568">
        <v>326212</v>
      </c>
      <c r="X32" s="569" t="str">
        <f>"{"&amp;"'coin':"&amp;表1_8612182224267277[[#This Row],[补偿Coin]]&amp;",'"&amp;配置!$A$2&amp;"':"&amp;表1_8612182224267277[[#This Row],[补偿辎重]]&amp;"},"</f>
        <v>{'coin':1500,'item036':15},</v>
      </c>
      <c r="Y32" s="569" t="str">
        <f>"      '"&amp;表1_8612182224267277[[#This Row],[区服]]&amp;"':{"</f>
        <v>      '5080':{</v>
      </c>
    </row>
    <row r="33" ht="14.25" customHeight="1" spans="1:25">
      <c r="A33" s="547">
        <v>5080</v>
      </c>
      <c r="B33" s="548">
        <f>VLOOKUP(表1_8612182224267277[[#This Row],[区服]],$P$44:$Q$59,2,FALSE)</f>
        <v>42</v>
      </c>
      <c r="C33" s="549" t="s">
        <v>147</v>
      </c>
      <c r="D33" s="550" t="str">
        <f>表1_8612182224267277[[#This Row],[目标国家]]</f>
        <v>蜀</v>
      </c>
      <c r="E33" s="551">
        <f>(VLOOKUP(表1_8612182224267277[[#This Row],[目标区服]],$R$44:$S$49,2,FALSE)-表1_8612182224267277[[#This Row],[开服天数]])*配置!$B$1</f>
        <v>1500</v>
      </c>
      <c r="F33" s="552">
        <f>表1_8612182224267277[[#This Row],[补偿Coin]]*(表1_8612182224267277[[#This Row],[活跃高战玩家数]]+表1_8612182224267277[[#This Row],[活跃中坚玩家数]])</f>
        <v>39000</v>
      </c>
      <c r="G33" s="553">
        <f>(VLOOKUP(表1_8612182224267277[[#This Row],[目标区服]],$R$44:$S$49,2,FALSE)-表1_8612182224267277[[#This Row],[开服天数]])*配置!$B$2</f>
        <v>15</v>
      </c>
      <c r="H33" s="550" t="s">
        <v>26</v>
      </c>
      <c r="I33" s="560">
        <f>IF(表1_8612182224267277[[#This Row],[原国家]]="魏",0,IF(表1_8612182224267277[[#This Row],[原国家]]="蜀",1,2))</f>
        <v>1</v>
      </c>
      <c r="J33" s="552">
        <v>7</v>
      </c>
      <c r="K33" s="552">
        <v>248</v>
      </c>
      <c r="L33" s="552">
        <v>9</v>
      </c>
      <c r="M33" s="552">
        <v>17</v>
      </c>
      <c r="N33" s="552">
        <v>166105</v>
      </c>
      <c r="O33" s="561">
        <v>4008155</v>
      </c>
      <c r="P33" s="562">
        <v>30196986</v>
      </c>
      <c r="Q33" s="567" t="s">
        <v>26</v>
      </c>
      <c r="R33" s="550">
        <f>IF(表1_8612182224267277[[#This Row],[目标国家]]="魏",0,IF(表1_8612182224267277[[#This Row],[目标国家]]="蜀",1,2))</f>
        <v>1</v>
      </c>
      <c r="S33" s="552">
        <v>244752</v>
      </c>
      <c r="T33" s="552">
        <v>0</v>
      </c>
      <c r="U33" s="552">
        <v>932500</v>
      </c>
      <c r="V33" s="552">
        <v>18847</v>
      </c>
      <c r="W33" s="568">
        <v>1168215</v>
      </c>
      <c r="X33" s="569" t="str">
        <f>"{"&amp;"'coin':"&amp;表1_8612182224267277[[#This Row],[补偿Coin]]&amp;",'"&amp;配置!$A$2&amp;"':"&amp;表1_8612182224267277[[#This Row],[补偿辎重]]&amp;"},"</f>
        <v>{'coin':1500,'item036':15},</v>
      </c>
      <c r="Y33" s="569" t="str">
        <f>"            'to_zone':'"&amp;表1_8612182224267277[[#This Row],[目标区服]]&amp;"',
            'reward':"&amp;表1_8612182224267277[[#This Row],[辅助导出]]&amp;"
            'country':["&amp;R32&amp;","&amp;R33&amp;","&amp;R34&amp;"],"</f>
        <v>            'to_zone':'h1_536',
            'reward':{'coin':1500,'item036':15},
            'country':[0,1,2],</v>
      </c>
    </row>
    <row r="34" ht="14.25" customHeight="1" spans="1:25">
      <c r="A34" s="547">
        <v>5080</v>
      </c>
      <c r="B34" s="548">
        <f>VLOOKUP(表1_8612182224267277[[#This Row],[区服]],$P$44:$Q$59,2,FALSE)</f>
        <v>42</v>
      </c>
      <c r="C34" s="549" t="s">
        <v>147</v>
      </c>
      <c r="D34" s="550" t="str">
        <f>表1_8612182224267277[[#This Row],[目标国家]]</f>
        <v>吴</v>
      </c>
      <c r="E34" s="551">
        <f>(VLOOKUP(表1_8612182224267277[[#This Row],[目标区服]],$R$44:$S$49,2,FALSE)-表1_8612182224267277[[#This Row],[开服天数]])*配置!$B$1</f>
        <v>1500</v>
      </c>
      <c r="F34" s="552">
        <f>表1_8612182224267277[[#This Row],[补偿Coin]]*(表1_8612182224267277[[#This Row],[活跃高战玩家数]]+表1_8612182224267277[[#This Row],[活跃中坚玩家数]])</f>
        <v>18000</v>
      </c>
      <c r="G34" s="553">
        <f>(VLOOKUP(表1_8612182224267277[[#This Row],[目标区服]],$R$44:$S$49,2,FALSE)-表1_8612182224267277[[#This Row],[开服天数]])*配置!$B$2</f>
        <v>15</v>
      </c>
      <c r="H34" s="550" t="s">
        <v>27</v>
      </c>
      <c r="I34" s="560">
        <f>IF(表1_8612182224267277[[#This Row],[原国家]]="魏",0,IF(表1_8612182224267277[[#This Row],[原国家]]="蜀",1,2))</f>
        <v>2</v>
      </c>
      <c r="J34" s="552">
        <v>2</v>
      </c>
      <c r="K34" s="552">
        <v>84</v>
      </c>
      <c r="L34" s="552">
        <v>1</v>
      </c>
      <c r="M34" s="552">
        <v>11</v>
      </c>
      <c r="N34" s="552">
        <v>47152</v>
      </c>
      <c r="O34" s="561">
        <v>1158433</v>
      </c>
      <c r="P34" s="562">
        <v>6833303</v>
      </c>
      <c r="Q34" s="567" t="s">
        <v>27</v>
      </c>
      <c r="R34" s="550">
        <f>IF(表1_8612182224267277[[#This Row],[目标国家]]="魏",0,IF(表1_8612182224267277[[#This Row],[目标国家]]="蜀",1,2))</f>
        <v>2</v>
      </c>
      <c r="S34" s="552">
        <v>7332</v>
      </c>
      <c r="T34" s="552">
        <v>0</v>
      </c>
      <c r="U34" s="552">
        <v>129067</v>
      </c>
      <c r="V34" s="552">
        <v>3402</v>
      </c>
      <c r="W34" s="568">
        <v>280427</v>
      </c>
      <c r="X34" s="569" t="str">
        <f>"{"&amp;"'coin':"&amp;表1_8612182224267277[[#This Row],[补偿Coin]]&amp;",'"&amp;配置!$A$2&amp;"':"&amp;表1_8612182224267277[[#This Row],[补偿辎重]]&amp;"},"</f>
        <v>{'coin':1500,'item036':15},</v>
      </c>
      <c r="Y34" s="569" t="str">
        <f t="shared" ref="Y34" si="8">"      },"</f>
        <v>      },</v>
      </c>
    </row>
    <row r="35" ht="14.25" customHeight="1" spans="1:25">
      <c r="A35" s="257">
        <v>5081</v>
      </c>
      <c r="B35" s="150">
        <f>VLOOKUP(表1_8612182224267277[[#This Row],[区服]],$P$44:$Q$59,2,FALSE)</f>
        <v>41</v>
      </c>
      <c r="C35" s="554" t="s">
        <v>148</v>
      </c>
      <c r="D35" s="152" t="str">
        <f>表1_8612182224267277[[#This Row],[目标国家]]</f>
        <v>吴</v>
      </c>
      <c r="E35" s="555">
        <f>(VLOOKUP(表1_8612182224267277[[#This Row],[目标区服]],$R$44:$S$49,2,FALSE)-表1_8612182224267277[[#This Row],[开服天数]])*配置!$B$1</f>
        <v>1000</v>
      </c>
      <c r="F35" s="154">
        <f>表1_8612182224267277[[#This Row],[补偿Coin]]*(表1_8612182224267277[[#This Row],[活跃高战玩家数]]+表1_8612182224267277[[#This Row],[活跃中坚玩家数]])</f>
        <v>19000</v>
      </c>
      <c r="G35" s="258">
        <f>(VLOOKUP(表1_8612182224267277[[#This Row],[目标区服]],$R$44:$S$49,2,FALSE)-表1_8612182224267277[[#This Row],[开服天数]])*配置!$B$2</f>
        <v>10</v>
      </c>
      <c r="H35" s="152" t="s">
        <v>25</v>
      </c>
      <c r="I35" s="267">
        <f>IF(表1_8612182224267277[[#This Row],[原国家]]="魏",0,IF(表1_8612182224267277[[#This Row],[原国家]]="蜀",1,2))</f>
        <v>0</v>
      </c>
      <c r="J35" s="154">
        <v>0</v>
      </c>
      <c r="K35" s="154">
        <v>29</v>
      </c>
      <c r="L35" s="154">
        <v>1</v>
      </c>
      <c r="M35" s="154">
        <v>18</v>
      </c>
      <c r="N35" s="154">
        <v>66671</v>
      </c>
      <c r="O35" s="359">
        <v>1978894</v>
      </c>
      <c r="P35" s="328">
        <v>11140105</v>
      </c>
      <c r="Q35" s="193" t="s">
        <v>27</v>
      </c>
      <c r="R35" s="152">
        <f>IF(表1_8612182224267277[[#This Row],[目标国家]]="魏",0,IF(表1_8612182224267277[[#This Row],[目标国家]]="蜀",1,2))</f>
        <v>2</v>
      </c>
      <c r="S35" s="154">
        <v>40712</v>
      </c>
      <c r="T35" s="154">
        <v>0</v>
      </c>
      <c r="U35" s="154">
        <v>435617</v>
      </c>
      <c r="V35" s="154">
        <v>5155</v>
      </c>
      <c r="W35" s="570">
        <v>701764</v>
      </c>
      <c r="X35" s="277" t="str">
        <f>"{"&amp;"'coin':"&amp;表1_8612182224267277[[#This Row],[补偿Coin]]&amp;",'"&amp;配置!$A$2&amp;"':"&amp;表1_8612182224267277[[#This Row],[补偿辎重]]&amp;"},"</f>
        <v>{'coin':1000,'item036':10},</v>
      </c>
      <c r="Y35" s="277" t="str">
        <f>"      '"&amp;表1_8612182224267277[[#This Row],[区服]]&amp;"':{"</f>
        <v>      '5081':{</v>
      </c>
    </row>
    <row r="36" ht="14.25" customHeight="1" spans="1:25">
      <c r="A36" s="257">
        <v>5081</v>
      </c>
      <c r="B36" s="150">
        <f>VLOOKUP(表1_8612182224267277[[#This Row],[区服]],$P$44:$Q$59,2,FALSE)</f>
        <v>41</v>
      </c>
      <c r="C36" s="554" t="s">
        <v>148</v>
      </c>
      <c r="D36" s="152" t="str">
        <f>表1_8612182224267277[[#This Row],[目标国家]]</f>
        <v>蜀</v>
      </c>
      <c r="E36" s="555">
        <f>(VLOOKUP(表1_8612182224267277[[#This Row],[目标区服]],$R$44:$S$49,2,FALSE)-表1_8612182224267277[[#This Row],[开服天数]])*配置!$B$1</f>
        <v>1000</v>
      </c>
      <c r="F36" s="154">
        <f>表1_8612182224267277[[#This Row],[补偿Coin]]*(表1_8612182224267277[[#This Row],[活跃高战玩家数]]+表1_8612182224267277[[#This Row],[活跃中坚玩家数]])</f>
        <v>29000</v>
      </c>
      <c r="G36" s="258">
        <f>(VLOOKUP(表1_8612182224267277[[#This Row],[目标区服]],$R$44:$S$49,2,FALSE)-表1_8612182224267277[[#This Row],[开服天数]])*配置!$B$2</f>
        <v>10</v>
      </c>
      <c r="H36" s="152" t="s">
        <v>26</v>
      </c>
      <c r="I36" s="267">
        <f>IF(表1_8612182224267277[[#This Row],[原国家]]="魏",0,IF(表1_8612182224267277[[#This Row],[原国家]]="蜀",1,2))</f>
        <v>1</v>
      </c>
      <c r="J36" s="154">
        <v>9</v>
      </c>
      <c r="K36" s="154">
        <v>323</v>
      </c>
      <c r="L36" s="154">
        <v>8</v>
      </c>
      <c r="M36" s="154">
        <v>21</v>
      </c>
      <c r="N36" s="154">
        <v>178779</v>
      </c>
      <c r="O36" s="359">
        <v>3592852</v>
      </c>
      <c r="P36" s="328">
        <v>30758673</v>
      </c>
      <c r="Q36" s="193" t="s">
        <v>26</v>
      </c>
      <c r="R36" s="152">
        <f>IF(表1_8612182224267277[[#This Row],[目标国家]]="魏",0,IF(表1_8612182224267277[[#This Row],[目标国家]]="蜀",1,2))</f>
        <v>1</v>
      </c>
      <c r="S36" s="154">
        <v>227702</v>
      </c>
      <c r="T36" s="154">
        <v>0</v>
      </c>
      <c r="U36" s="154">
        <v>1131990</v>
      </c>
      <c r="V36" s="154">
        <v>19089</v>
      </c>
      <c r="W36" s="570">
        <v>884453</v>
      </c>
      <c r="X36" s="277" t="str">
        <f>"{"&amp;"'coin':"&amp;表1_8612182224267277[[#This Row],[补偿Coin]]&amp;",'"&amp;配置!$A$2&amp;"':"&amp;表1_8612182224267277[[#This Row],[补偿辎重]]&amp;"},"</f>
        <v>{'coin':1000,'item036':10},</v>
      </c>
      <c r="Y36" s="277" t="str">
        <f>"            'to_zone':'"&amp;表1_8612182224267277[[#This Row],[目标区服]]&amp;"',
            'reward':"&amp;表1_8612182224267277[[#This Row],[辅助导出]]&amp;"
            'country':["&amp;R35&amp;","&amp;R36&amp;","&amp;R37&amp;"],"</f>
        <v>            'to_zone':'h1_537',
            'reward':{'coin':1000,'item036':10},
            'country':[2,1,2],</v>
      </c>
    </row>
    <row r="37" ht="14.25" customHeight="1" spans="1:25">
      <c r="A37" s="257">
        <v>5081</v>
      </c>
      <c r="B37" s="150">
        <f>VLOOKUP(表1_8612182224267277[[#This Row],[区服]],$P$44:$Q$59,2,FALSE)</f>
        <v>41</v>
      </c>
      <c r="C37" s="554" t="s">
        <v>148</v>
      </c>
      <c r="D37" s="152" t="str">
        <f>表1_8612182224267277[[#This Row],[目标国家]]</f>
        <v>吴</v>
      </c>
      <c r="E37" s="555">
        <f>(VLOOKUP(表1_8612182224267277[[#This Row],[目标区服]],$R$44:$S$49,2,FALSE)-表1_8612182224267277[[#This Row],[开服天数]])*配置!$B$1</f>
        <v>1000</v>
      </c>
      <c r="F37" s="154">
        <f>表1_8612182224267277[[#This Row],[补偿Coin]]*(表1_8612182224267277[[#This Row],[活跃高战玩家数]]+表1_8612182224267277[[#This Row],[活跃中坚玩家数]])</f>
        <v>13000</v>
      </c>
      <c r="G37" s="258">
        <f>(VLOOKUP(表1_8612182224267277[[#This Row],[目标区服]],$R$44:$S$49,2,FALSE)-表1_8612182224267277[[#This Row],[开服天数]])*配置!$B$2</f>
        <v>10</v>
      </c>
      <c r="H37" s="152" t="s">
        <v>27</v>
      </c>
      <c r="I37" s="267">
        <f>IF(表1_8612182224267277[[#This Row],[原国家]]="魏",0,IF(表1_8612182224267277[[#This Row],[原国家]]="蜀",1,2))</f>
        <v>2</v>
      </c>
      <c r="J37" s="154">
        <v>0</v>
      </c>
      <c r="K37" s="154">
        <v>43</v>
      </c>
      <c r="L37" s="154">
        <v>1</v>
      </c>
      <c r="M37" s="154">
        <v>12</v>
      </c>
      <c r="N37" s="154">
        <v>51222</v>
      </c>
      <c r="O37" s="359">
        <v>1318030</v>
      </c>
      <c r="P37" s="328">
        <v>7588353</v>
      </c>
      <c r="Q37" s="193" t="s">
        <v>27</v>
      </c>
      <c r="R37" s="152">
        <f>IF(表1_8612182224267277[[#This Row],[目标国家]]="魏",0,IF(表1_8612182224267277[[#This Row],[目标国家]]="蜀",1,2))</f>
        <v>2</v>
      </c>
      <c r="S37" s="154">
        <v>18772</v>
      </c>
      <c r="T37" s="154">
        <v>0</v>
      </c>
      <c r="U37" s="154">
        <v>229315</v>
      </c>
      <c r="V37" s="154">
        <v>3440</v>
      </c>
      <c r="W37" s="570">
        <v>374689</v>
      </c>
      <c r="X37" s="277" t="str">
        <f>"{"&amp;"'coin':"&amp;表1_8612182224267277[[#This Row],[补偿Coin]]&amp;",'"&amp;配置!$A$2&amp;"':"&amp;表1_8612182224267277[[#This Row],[补偿辎重]]&amp;"},"</f>
        <v>{'coin':1000,'item036':10},</v>
      </c>
      <c r="Y37" s="277" t="str">
        <f t="shared" ref="Y37" si="9">"      },"</f>
        <v>      },</v>
      </c>
    </row>
    <row r="38" ht="14.25" customHeight="1" spans="1:25">
      <c r="A38" s="257">
        <v>5082</v>
      </c>
      <c r="B38" s="150">
        <f>VLOOKUP(表1_8612182224267277[[#This Row],[区服]],$P$44:$Q$59,2,FALSE)</f>
        <v>41</v>
      </c>
      <c r="C38" s="554" t="s">
        <v>148</v>
      </c>
      <c r="D38" s="152" t="str">
        <f>表1_8612182224267277[[#This Row],[目标国家]]</f>
        <v>魏</v>
      </c>
      <c r="E38" s="555">
        <f>(VLOOKUP(表1_8612182224267277[[#This Row],[目标区服]],$R$44:$S$49,2,FALSE)-表1_8612182224267277[[#This Row],[开服天数]])*配置!$B$1</f>
        <v>1000</v>
      </c>
      <c r="F38" s="154">
        <f>表1_8612182224267277[[#This Row],[补偿Coin]]*(表1_8612182224267277[[#This Row],[活跃高战玩家数]]+表1_8612182224267277[[#This Row],[活跃中坚玩家数]])</f>
        <v>14000</v>
      </c>
      <c r="G38" s="258">
        <f>(VLOOKUP(表1_8612182224267277[[#This Row],[目标区服]],$R$44:$S$49,2,FALSE)-表1_8612182224267277[[#This Row],[开服天数]])*配置!$B$2</f>
        <v>10</v>
      </c>
      <c r="H38" s="152" t="s">
        <v>25</v>
      </c>
      <c r="I38" s="267">
        <f>IF(表1_8612182224267277[[#This Row],[原国家]]="魏",0,IF(表1_8612182224267277[[#This Row],[原国家]]="蜀",1,2))</f>
        <v>0</v>
      </c>
      <c r="J38" s="154">
        <v>5</v>
      </c>
      <c r="K38" s="154">
        <v>143</v>
      </c>
      <c r="L38" s="154">
        <v>4</v>
      </c>
      <c r="M38" s="154">
        <v>10</v>
      </c>
      <c r="N38" s="154">
        <v>84223</v>
      </c>
      <c r="O38" s="359">
        <v>2341449</v>
      </c>
      <c r="P38" s="328">
        <v>12648180</v>
      </c>
      <c r="Q38" s="193" t="s">
        <v>25</v>
      </c>
      <c r="R38" s="152">
        <f>IF(表1_8612182224267277[[#This Row],[目标国家]]="魏",0,IF(表1_8612182224267277[[#This Row],[目标国家]]="蜀",1,2))</f>
        <v>0</v>
      </c>
      <c r="S38" s="154">
        <v>71312</v>
      </c>
      <c r="T38" s="154">
        <v>0</v>
      </c>
      <c r="U38" s="154">
        <v>191428</v>
      </c>
      <c r="V38" s="154">
        <v>8192</v>
      </c>
      <c r="W38" s="570">
        <v>910011</v>
      </c>
      <c r="X38" s="277" t="str">
        <f>"{"&amp;"'coin':"&amp;表1_8612182224267277[[#This Row],[补偿Coin]]&amp;",'"&amp;配置!$A$2&amp;"':"&amp;表1_8612182224267277[[#This Row],[补偿辎重]]&amp;"},"</f>
        <v>{'coin':1000,'item036':10},</v>
      </c>
      <c r="Y38" s="277" t="str">
        <f>"      '"&amp;表1_8612182224267277[[#This Row],[区服]]&amp;"':{"</f>
        <v>      '5082':{</v>
      </c>
    </row>
    <row r="39" ht="14.25" customHeight="1" spans="1:25">
      <c r="A39" s="257">
        <v>5082</v>
      </c>
      <c r="B39" s="150">
        <f>VLOOKUP(表1_8612182224267277[[#This Row],[区服]],$P$44:$Q$59,2,FALSE)</f>
        <v>41</v>
      </c>
      <c r="C39" s="554" t="s">
        <v>148</v>
      </c>
      <c r="D39" s="152" t="str">
        <f>表1_8612182224267277[[#This Row],[目标国家]]</f>
        <v>魏</v>
      </c>
      <c r="E39" s="555">
        <f>(VLOOKUP(表1_8612182224267277[[#This Row],[目标区服]],$R$44:$S$49,2,FALSE)-表1_8612182224267277[[#This Row],[开服天数]])*配置!$B$1</f>
        <v>1000</v>
      </c>
      <c r="F39" s="154">
        <f>表1_8612182224267277[[#This Row],[补偿Coin]]*(表1_8612182224267277[[#This Row],[活跃高战玩家数]]+表1_8612182224267277[[#This Row],[活跃中坚玩家数]])</f>
        <v>21000</v>
      </c>
      <c r="G39" s="258">
        <f>(VLOOKUP(表1_8612182224267277[[#This Row],[目标区服]],$R$44:$S$49,2,FALSE)-表1_8612182224267277[[#This Row],[开服天数]])*配置!$B$2</f>
        <v>10</v>
      </c>
      <c r="H39" s="152" t="s">
        <v>26</v>
      </c>
      <c r="I39" s="267">
        <f>IF(表1_8612182224267277[[#This Row],[原国家]]="魏",0,IF(表1_8612182224267277[[#This Row],[原国家]]="蜀",1,2))</f>
        <v>1</v>
      </c>
      <c r="J39" s="154">
        <v>1</v>
      </c>
      <c r="K39" s="154">
        <v>82</v>
      </c>
      <c r="L39" s="154">
        <v>3</v>
      </c>
      <c r="M39" s="154">
        <v>18</v>
      </c>
      <c r="N39" s="154">
        <v>84742</v>
      </c>
      <c r="O39" s="359">
        <v>1581834</v>
      </c>
      <c r="P39" s="328">
        <v>11103194</v>
      </c>
      <c r="Q39" s="193" t="s">
        <v>25</v>
      </c>
      <c r="R39" s="152">
        <f>IF(表1_8612182224267277[[#This Row],[目标国家]]="魏",0,IF(表1_8612182224267277[[#This Row],[目标国家]]="蜀",1,2))</f>
        <v>0</v>
      </c>
      <c r="S39" s="154">
        <v>17002</v>
      </c>
      <c r="T39" s="154">
        <v>0</v>
      </c>
      <c r="U39" s="154">
        <v>313137</v>
      </c>
      <c r="V39" s="154">
        <v>4702</v>
      </c>
      <c r="W39" s="570">
        <v>458144</v>
      </c>
      <c r="X39" s="277" t="str">
        <f>"{"&amp;"'coin':"&amp;表1_8612182224267277[[#This Row],[补偿Coin]]&amp;",'"&amp;配置!$A$2&amp;"':"&amp;表1_8612182224267277[[#This Row],[补偿辎重]]&amp;"},"</f>
        <v>{'coin':1000,'item036':10},</v>
      </c>
      <c r="Y39" s="277" t="str">
        <f>"            'to_zone':'"&amp;表1_8612182224267277[[#This Row],[目标区服]]&amp;"',
            'reward':"&amp;表1_8612182224267277[[#This Row],[辅助导出]]&amp;"
            'country':["&amp;R38&amp;","&amp;R39&amp;","&amp;R40&amp;"],"</f>
        <v>            'to_zone':'h1_537',
            'reward':{'coin':1000,'item036':10},
            'country':[0,0,2],</v>
      </c>
    </row>
    <row r="40" ht="14.25" customHeight="1" spans="1:25">
      <c r="A40" s="257">
        <v>5082</v>
      </c>
      <c r="B40" s="150">
        <f>VLOOKUP(表1_8612182224267277[[#This Row],[区服]],$P$44:$Q$59,2,FALSE)</f>
        <v>41</v>
      </c>
      <c r="C40" s="554" t="s">
        <v>148</v>
      </c>
      <c r="D40" s="152" t="str">
        <f>表1_8612182224267277[[#This Row],[目标国家]]</f>
        <v>吴</v>
      </c>
      <c r="E40" s="555">
        <f>(VLOOKUP(表1_8612182224267277[[#This Row],[目标区服]],$R$44:$S$49,2,FALSE)-表1_8612182224267277[[#This Row],[开服天数]])*配置!$B$1</f>
        <v>1000</v>
      </c>
      <c r="F40" s="154">
        <f>表1_8612182224267277[[#This Row],[补偿Coin]]*(表1_8612182224267277[[#This Row],[活跃高战玩家数]]+表1_8612182224267277[[#This Row],[活跃中坚玩家数]])</f>
        <v>21000</v>
      </c>
      <c r="G40" s="258">
        <f>(VLOOKUP(表1_8612182224267277[[#This Row],[目标区服]],$R$44:$S$49,2,FALSE)-表1_8612182224267277[[#This Row],[开服天数]])*配置!$B$2</f>
        <v>10</v>
      </c>
      <c r="H40" s="152" t="s">
        <v>27</v>
      </c>
      <c r="I40" s="267">
        <f>IF(表1_8612182224267277[[#This Row],[原国家]]="魏",0,IF(表1_8612182224267277[[#This Row],[原国家]]="蜀",1,2))</f>
        <v>2</v>
      </c>
      <c r="J40" s="154">
        <v>3</v>
      </c>
      <c r="K40" s="154">
        <v>170</v>
      </c>
      <c r="L40" s="154">
        <v>3</v>
      </c>
      <c r="M40" s="154">
        <v>18</v>
      </c>
      <c r="N40" s="154">
        <v>104819</v>
      </c>
      <c r="O40" s="359">
        <v>1943579</v>
      </c>
      <c r="P40" s="328">
        <v>14214612</v>
      </c>
      <c r="Q40" s="193" t="s">
        <v>27</v>
      </c>
      <c r="R40" s="152">
        <f>IF(表1_8612182224267277[[#This Row],[目标国家]]="魏",0,IF(表1_8612182224267277[[#This Row],[目标国家]]="蜀",1,2))</f>
        <v>2</v>
      </c>
      <c r="S40" s="154">
        <v>22554</v>
      </c>
      <c r="T40" s="154">
        <v>0</v>
      </c>
      <c r="U40" s="154">
        <v>412396</v>
      </c>
      <c r="V40" s="154">
        <v>6771</v>
      </c>
      <c r="W40" s="153">
        <v>660937</v>
      </c>
      <c r="X40" s="277" t="str">
        <f>"{"&amp;"'coin':"&amp;表1_8612182224267277[[#This Row],[补偿Coin]]&amp;",'"&amp;配置!$A$2&amp;"':"&amp;表1_8612182224267277[[#This Row],[补偿辎重]]&amp;"},"</f>
        <v>{'coin':1000,'item036':10},</v>
      </c>
      <c r="Y40" s="277" t="str">
        <f t="shared" ref="Y40" si="10">"      },"</f>
        <v>      },</v>
      </c>
    </row>
    <row r="43" ht="27" spans="1:19">
      <c r="A43" s="36" t="s">
        <v>28</v>
      </c>
      <c r="B43" s="37" t="s">
        <v>29</v>
      </c>
      <c r="C43" s="38" t="s">
        <v>30</v>
      </c>
      <c r="D43" s="38" t="s">
        <v>31</v>
      </c>
      <c r="E43" s="38" t="s">
        <v>32</v>
      </c>
      <c r="F43" s="38" t="s">
        <v>33</v>
      </c>
      <c r="G43" s="38" t="s">
        <v>15</v>
      </c>
      <c r="H43" s="37" t="s">
        <v>18</v>
      </c>
      <c r="I43" s="37" t="s">
        <v>19</v>
      </c>
      <c r="J43" s="37" t="s">
        <v>34</v>
      </c>
      <c r="K43" s="38" t="s">
        <v>35</v>
      </c>
      <c r="L43" s="38" t="s">
        <v>36</v>
      </c>
      <c r="M43" s="38" t="s">
        <v>37</v>
      </c>
      <c r="N43" s="38" t="s">
        <v>88</v>
      </c>
      <c r="P43" s="51" t="s">
        <v>0</v>
      </c>
      <c r="Q43" s="51" t="s">
        <v>1</v>
      </c>
      <c r="R43" s="51"/>
      <c r="S43" s="51" t="s">
        <v>38</v>
      </c>
    </row>
    <row r="44" ht="15" spans="1:19">
      <c r="A44" s="372" t="s">
        <v>143</v>
      </c>
      <c r="B44" s="39" t="s">
        <v>25</v>
      </c>
      <c r="C44" s="39">
        <f>COUNTIFS(表1_8612182224267277[目标区服],表2_9713192325277378[[#This Row],[合区区服]],表1_8612182224267277[目标国家（映射）],表2_9713192325277378[[#This Row],[国家]])</f>
        <v>3</v>
      </c>
      <c r="D44" s="39">
        <f>SUMIFS(表1_8612182224267277[活跃高战玩家数],表1_8612182224267277[目标区服],表2_9713192325277378[[#This Row],[合区区服]],表1_8612182224267277[目标国家（映射）],表2_9713192325277378[[#This Row],[国家]])</f>
        <v>13</v>
      </c>
      <c r="E44" s="39">
        <f>SUMIFS(表1_8612182224267277[活跃中坚玩家数],表1_8612182224267277[目标区服],表2_9713192325277378[[#This Row],[合区区服]],表1_8612182224267277[目标国家（映射）],表2_9713192325277378[[#This Row],[国家]])</f>
        <v>37</v>
      </c>
      <c r="F44" s="39">
        <f t="array" ref="F44">MAX((表1_8612182224267277[目标区服]=表2_9713192325277378[[#This Row],[合区区服]])*(表1_8612182224267277[目标国家（映射）]=表2_9713192325277378[[#This Row],[国家]])*表1_8612182224267277[活跃尖端战力])</f>
        <v>3138217</v>
      </c>
      <c r="G44" s="40">
        <f>SUMIFS(表1_8612182224267277[活跃总战力],表1_8612182224267277[目标区服],表2_9713192325277378[[#This Row],[合区区服]],表1_8612182224267277[目标国家（映射）],表2_9713192325277378[[#This Row],[国家]])</f>
        <v>45571314</v>
      </c>
      <c r="H44" s="39">
        <f>SUMIFS(表1_8612182224267277[活跃实际充值],表1_8612182224267277[目标区服],表2_9713192325277378[[#This Row],[合区区服]],表1_8612182224267277[目标国家（映射）],表2_9713192325277378[[#This Row],[国家]])</f>
        <v>143680</v>
      </c>
      <c r="I44" s="39">
        <f>SUMIFS(表1_8612182224267277[活跃虚拟充值],表1_8612182224267277[目标区服],表2_9713192325277378[[#This Row],[合区区服]],表1_8612182224267277[目标国家（映射）],表2_9713192325277378[[#This Row],[国家]])</f>
        <v>0</v>
      </c>
      <c r="J44" s="39">
        <f>SUMIFS(表1_8612182224267277[活跃Coin],表1_8612182224267277[目标区服],表2_9713192325277378[[#This Row],[合区区服]],表1_8612182224267277[目标国家（映射）],表2_9713192325277378[[#This Row],[国家]])</f>
        <v>922481</v>
      </c>
      <c r="K44" s="39">
        <f>SUMIFS(表1_8612182224267277[共计补偿Coin],表1_8612182224267277[目标区服],表2_9713192325277378[[#This Row],[合区区服]],表1_8612182224267277[目标国家（映射）],表2_9713192325277378[[#This Row],[国家]])</f>
        <v>66500</v>
      </c>
      <c r="L44" s="39">
        <f>表2_9713192325277378[[#This Row],[活跃Coin]]+表2_9713192325277378[[#This Row],[共计补偿Coin]]</f>
        <v>988981</v>
      </c>
      <c r="M44" s="39">
        <f>SUMIFS(表1_8612182224267277[综合国力],表1_8612182224267277[目标区服],表2_9713192325277378[[#This Row],[合区区服]],表1_8612182224267277[目标国家（映射）],表2_9713192325277378[[#This Row],[国家]])</f>
        <v>23975</v>
      </c>
      <c r="N44" s="39">
        <f t="array" ref="N44">MAX((表1_8612182224267277[目标区服]=表2_9713192325277378[[#This Row],[合区区服]])*(表1_8612182224267277[目标国家（映射）]=表2_9713192325277378[[#This Row],[国家]])*表1_8612182224267277[单将最高战力])</f>
        <v>1035110</v>
      </c>
      <c r="P44" s="51">
        <v>5070</v>
      </c>
      <c r="Q44" s="51">
        <v>47</v>
      </c>
      <c r="R44" s="51" t="s">
        <v>143</v>
      </c>
      <c r="S44" s="51">
        <v>49</v>
      </c>
    </row>
    <row r="45" ht="15" spans="1:19">
      <c r="A45" s="372" t="s">
        <v>143</v>
      </c>
      <c r="B45" s="39" t="s">
        <v>26</v>
      </c>
      <c r="C45" s="39">
        <f>COUNTIFS(表1_8612182224267277[目标区服],表2_9713192325277378[[#This Row],[合区区服]],表1_8612182224267277[目标国家（映射）],表2_9713192325277378[[#This Row],[国家]])</f>
        <v>3</v>
      </c>
      <c r="D45" s="39">
        <f>SUMIFS(表1_8612182224267277[活跃高战玩家数],表1_8612182224267277[目标区服],表2_9713192325277378[[#This Row],[合区区服]],表1_8612182224267277[目标国家（映射）],表2_9713192325277378[[#This Row],[国家]])</f>
        <v>8</v>
      </c>
      <c r="E45" s="39">
        <f>SUMIFS(表1_8612182224267277[活跃中坚玩家数],表1_8612182224267277[目标区服],表2_9713192325277378[[#This Row],[合区区服]],表1_8612182224267277[目标国家（映射）],表2_9713192325277378[[#This Row],[国家]])</f>
        <v>51</v>
      </c>
      <c r="F45" s="39">
        <f t="array" ref="F45">MAX((表1_8612182224267277[目标区服]=表2_9713192325277378[[#This Row],[合区区服]])*(表1_8612182224267277[目标国家（映射）]=表2_9713192325277378[[#This Row],[国家]])*表1_8612182224267277[活跃尖端战力])</f>
        <v>3438388</v>
      </c>
      <c r="G45" s="40">
        <f>SUMIFS(表1_8612182224267277[活跃总战力],表1_8612182224267277[目标区服],表2_9713192325277378[[#This Row],[合区区服]],表1_8612182224267277[目标国家（映射）],表2_9713192325277378[[#This Row],[国家]])</f>
        <v>43196926</v>
      </c>
      <c r="H45" s="39">
        <f>SUMIFS(表1_8612182224267277[活跃实际充值],表1_8612182224267277[目标区服],表2_9713192325277378[[#This Row],[合区区服]],表1_8612182224267277[目标国家（映射）],表2_9713192325277378[[#This Row],[国家]])</f>
        <v>113960</v>
      </c>
      <c r="I45" s="39">
        <f>SUMIFS(表1_8612182224267277[活跃虚拟充值],表1_8612182224267277[目标区服],表2_9713192325277378[[#This Row],[合区区服]],表1_8612182224267277[目标国家（映射）],表2_9713192325277378[[#This Row],[国家]])</f>
        <v>0</v>
      </c>
      <c r="J45" s="39">
        <f>SUMIFS(表1_8612182224267277[活跃Coin],表1_8612182224267277[目标区服],表2_9713192325277378[[#This Row],[合区区服]],表1_8612182224267277[目标国家（映射）],表2_9713192325277378[[#This Row],[国家]])</f>
        <v>856168</v>
      </c>
      <c r="K45" s="39">
        <f>SUMIFS(表1_8612182224267277[共计补偿Coin],表1_8612182224267277[目标区服],表2_9713192325277378[[#This Row],[合区区服]],表1_8612182224267277[目标国家（映射）],表2_9713192325277378[[#This Row],[国家]])</f>
        <v>73000</v>
      </c>
      <c r="L45" s="39">
        <f>表2_9713192325277378[[#This Row],[活跃Coin]]+表2_9713192325277378[[#This Row],[共计补偿Coin]]</f>
        <v>929168</v>
      </c>
      <c r="M45" s="39">
        <f>SUMIFS(表1_8612182224267277[综合国力],表1_8612182224267277[目标区服],表2_9713192325277378[[#This Row],[合区区服]],表1_8612182224267277[目标国家（映射）],表2_9713192325277378[[#This Row],[国家]])</f>
        <v>19814</v>
      </c>
      <c r="N45" s="39">
        <f t="array" ref="N45">MAX((表1_8612182224267277[目标区服]=表2_9713192325277378[[#This Row],[合区区服]])*(表1_8612182224267277[目标国家（映射）]=表2_9713192325277378[[#This Row],[国家]])*表1_8612182224267277[单将最高战力])</f>
        <v>1085219</v>
      </c>
      <c r="P45" s="51">
        <v>5071</v>
      </c>
      <c r="Q45" s="51">
        <v>46</v>
      </c>
      <c r="R45" s="51" t="s">
        <v>144</v>
      </c>
      <c r="S45" s="51">
        <v>48</v>
      </c>
    </row>
    <row r="46" ht="15" spans="1:19">
      <c r="A46" s="372" t="s">
        <v>143</v>
      </c>
      <c r="B46" s="39" t="s">
        <v>27</v>
      </c>
      <c r="C46" s="39">
        <f>COUNTIFS(表1_8612182224267277[目标区服],表2_9713192325277378[[#This Row],[合区区服]],表1_8612182224267277[目标国家（映射）],表2_9713192325277378[[#This Row],[国家]])</f>
        <v>3</v>
      </c>
      <c r="D46" s="39">
        <f>SUMIFS(表1_8612182224267277[活跃高战玩家数],表1_8612182224267277[目标区服],表2_9713192325277378[[#This Row],[合区区服]],表1_8612182224267277[目标国家（映射）],表2_9713192325277378[[#This Row],[国家]])</f>
        <v>8</v>
      </c>
      <c r="E46" s="39">
        <f>SUMIFS(表1_8612182224267277[活跃中坚玩家数],表1_8612182224267277[目标区服],表2_9713192325277378[[#This Row],[合区区服]],表1_8612182224267277[目标国家（映射）],表2_9713192325277378[[#This Row],[国家]])</f>
        <v>41</v>
      </c>
      <c r="F46" s="39">
        <f t="array" ref="F46">MAX((表1_8612182224267277[目标区服]=表2_9713192325277378[[#This Row],[合区区服]])*(表1_8612182224267277[目标国家（映射）]=表2_9713192325277378[[#This Row],[国家]])*表1_8612182224267277[活跃尖端战力])</f>
        <v>3081146</v>
      </c>
      <c r="G46" s="40">
        <f>SUMIFS(表1_8612182224267277[活跃总战力],表1_8612182224267277[目标区服],表2_9713192325277378[[#This Row],[合区区服]],表1_8612182224267277[目标国家（映射）],表2_9713192325277378[[#This Row],[国家]])</f>
        <v>40909419</v>
      </c>
      <c r="H46" s="39">
        <f>SUMIFS(表1_8612182224267277[活跃实际充值],表1_8612182224267277[目标区服],表2_9713192325277378[[#This Row],[合区区服]],表1_8612182224267277[目标国家（映射）],表2_9713192325277378[[#This Row],[国家]])</f>
        <v>165766</v>
      </c>
      <c r="I46" s="39">
        <f>SUMIFS(表1_8612182224267277[活跃虚拟充值],表1_8612182224267277[目标区服],表2_9713192325277378[[#This Row],[合区区服]],表1_8612182224267277[目标国家（映射）],表2_9713192325277378[[#This Row],[国家]])</f>
        <v>0</v>
      </c>
      <c r="J46" s="39">
        <f>SUMIFS(表1_8612182224267277[活跃Coin],表1_8612182224267277[目标区服],表2_9713192325277378[[#This Row],[合区区服]],表1_8612182224267277[目标国家（映射）],表2_9713192325277378[[#This Row],[国家]])</f>
        <v>636025</v>
      </c>
      <c r="K46" s="39">
        <f>SUMIFS(表1_8612182224267277[共计补偿Coin],表1_8612182224267277[目标区服],表2_9713192325277378[[#This Row],[合区区服]],表1_8612182224267277[目标国家（映射）],表2_9713192325277378[[#This Row],[国家]])</f>
        <v>69000</v>
      </c>
      <c r="L46" s="39">
        <f>表2_9713192325277378[[#This Row],[活跃Coin]]+表2_9713192325277378[[#This Row],[共计补偿Coin]]</f>
        <v>705025</v>
      </c>
      <c r="M46" s="39">
        <f>SUMIFS(表1_8612182224267277[综合国力],表1_8612182224267277[目标区服],表2_9713192325277378[[#This Row],[合区区服]],表1_8612182224267277[目标国家（映射）],表2_9713192325277378[[#This Row],[国家]])</f>
        <v>21110</v>
      </c>
      <c r="N46" s="39">
        <f t="array" ref="N46">MAX((表1_8612182224267277[目标区服]=表2_9713192325277378[[#This Row],[合区区服]])*(表1_8612182224267277[目标国家（映射）]=表2_9713192325277378[[#This Row],[国家]])*表1_8612182224267277[单将最高战力])</f>
        <v>871832</v>
      </c>
      <c r="P46" s="51">
        <v>5072</v>
      </c>
      <c r="Q46" s="51">
        <v>46</v>
      </c>
      <c r="R46" s="51" t="s">
        <v>145</v>
      </c>
      <c r="S46" s="51">
        <v>47</v>
      </c>
    </row>
    <row r="47" ht="15" spans="1:19">
      <c r="A47" s="296" t="s">
        <v>144</v>
      </c>
      <c r="B47" s="41" t="s">
        <v>25</v>
      </c>
      <c r="C47" s="41">
        <f>COUNTIFS(表1_8612182224267277[目标区服],表2_9713192325277378[[#This Row],[合区区服]],表1_8612182224267277[目标国家（映射）],表2_9713192325277378[[#This Row],[国家]])</f>
        <v>2</v>
      </c>
      <c r="D47" s="41">
        <f>SUMIFS(表1_8612182224267277[活跃高战玩家数],表1_8612182224267277[目标区服],表2_9713192325277378[[#This Row],[合区区服]],表1_8612182224267277[目标国家（映射）],表2_9713192325277378[[#This Row],[国家]])</f>
        <v>7</v>
      </c>
      <c r="E47" s="41">
        <f>SUMIFS(表1_8612182224267277[活跃中坚玩家数],表1_8612182224267277[目标区服],表2_9713192325277378[[#This Row],[合区区服]],表1_8612182224267277[目标国家（映射）],表2_9713192325277378[[#This Row],[国家]])</f>
        <v>45</v>
      </c>
      <c r="F47" s="41">
        <f t="array" ref="F47">MAX((表1_8612182224267277[目标区服]=表2_9713192325277378[[#This Row],[合区区服]])*(表1_8612182224267277[目标国家（映射）]=表2_9713192325277378[[#This Row],[国家]])*表1_8612182224267277[活跃尖端战力])</f>
        <v>1942732</v>
      </c>
      <c r="G47" s="42">
        <f>SUMIFS(表1_8612182224267277[活跃总战力],表1_8612182224267277[目标区服],表2_9713192325277378[[#This Row],[合区区服]],表1_8612182224267277[目标国家（映射）],表2_9713192325277378[[#This Row],[国家]])</f>
        <v>37974145</v>
      </c>
      <c r="H47" s="41">
        <f>SUMIFS(表1_8612182224267277[活跃实际充值],表1_8612182224267277[目标区服],表2_9713192325277378[[#This Row],[合区区服]],表1_8612182224267277[目标国家（映射）],表2_9713192325277378[[#This Row],[国家]])</f>
        <v>92172</v>
      </c>
      <c r="I47" s="41">
        <f>SUMIFS(表1_8612182224267277[活跃虚拟充值],表1_8612182224267277[目标区服],表2_9713192325277378[[#This Row],[合区区服]],表1_8612182224267277[目标国家（映射）],表2_9713192325277378[[#This Row],[国家]])</f>
        <v>0</v>
      </c>
      <c r="J47" s="41">
        <f>SUMIFS(表1_8612182224267277[活跃Coin],表1_8612182224267277[目标区服],表2_9713192325277378[[#This Row],[合区区服]],表1_8612182224267277[目标国家（映射）],表2_9713192325277378[[#This Row],[国家]])</f>
        <v>768166</v>
      </c>
      <c r="K47" s="41">
        <f>SUMIFS(表1_8612182224267277[共计补偿Coin],表1_8612182224267277[目标区服],表2_9713192325277378[[#This Row],[合区区服]],表1_8612182224267277[目标国家（映射）],表2_9713192325277378[[#This Row],[国家]])</f>
        <v>78000</v>
      </c>
      <c r="L47" s="41">
        <f>表2_9713192325277378[[#This Row],[活跃Coin]]+表2_9713192325277378[[#This Row],[共计补偿Coin]]</f>
        <v>846166</v>
      </c>
      <c r="M47" s="41">
        <f>SUMIFS(表1_8612182224267277[综合国力],表1_8612182224267277[目标区服],表2_9713192325277378[[#This Row],[合区区服]],表1_8612182224267277[目标国家（映射）],表2_9713192325277378[[#This Row],[国家]])</f>
        <v>14287</v>
      </c>
      <c r="N47" s="41">
        <f t="array" ref="N47">MAX((表1_8612182224267277[目标区服]=表2_9713192325277378[[#This Row],[合区区服]])*(表1_8612182224267277[目标国家（映射）]=表2_9713192325277378[[#This Row],[国家]])*表1_8612182224267277[单将最高战力])</f>
        <v>631694</v>
      </c>
      <c r="P47" s="51">
        <v>5073</v>
      </c>
      <c r="Q47" s="51">
        <v>45</v>
      </c>
      <c r="R47" s="51" t="s">
        <v>146</v>
      </c>
      <c r="S47" s="51">
        <v>46</v>
      </c>
    </row>
    <row r="48" ht="15" spans="1:19">
      <c r="A48" s="296" t="s">
        <v>144</v>
      </c>
      <c r="B48" s="41" t="s">
        <v>26</v>
      </c>
      <c r="C48" s="41">
        <f>COUNTIFS(表1_8612182224267277[目标区服],表2_9713192325277378[[#This Row],[合区区服]],表1_8612182224267277[目标国家（映射）],表2_9713192325277378[[#This Row],[国家]])</f>
        <v>2</v>
      </c>
      <c r="D48" s="41">
        <f>SUMIFS(表1_8612182224267277[活跃高战玩家数],表1_8612182224267277[目标区服],表2_9713192325277378[[#This Row],[合区区服]],表1_8612182224267277[目标国家（映射）],表2_9713192325277378[[#This Row],[国家]])</f>
        <v>4</v>
      </c>
      <c r="E48" s="41">
        <f>SUMIFS(表1_8612182224267277[活跃中坚玩家数],表1_8612182224267277[目标区服],表2_9713192325277378[[#This Row],[合区区服]],表1_8612182224267277[目标国家（映射）],表2_9713192325277378[[#This Row],[国家]])</f>
        <v>35</v>
      </c>
      <c r="F48" s="41">
        <f t="array" ref="F48">MAX((表1_8612182224267277[目标区服]=表2_9713192325277378[[#This Row],[合区区服]])*(表1_8612182224267277[目标国家（映射）]=表2_9713192325277378[[#This Row],[国家]])*表1_8612182224267277[活跃尖端战力])</f>
        <v>2873036</v>
      </c>
      <c r="G48" s="42">
        <f>SUMIFS(表1_8612182224267277[活跃总战力],表1_8612182224267277[目标区服],表2_9713192325277378[[#This Row],[合区区服]],表1_8612182224267277[目标国家（映射）],表2_9713192325277378[[#This Row],[国家]])</f>
        <v>26249938</v>
      </c>
      <c r="H48" s="41">
        <f>SUMIFS(表1_8612182224267277[活跃实际充值],表1_8612182224267277[目标区服],表2_9713192325277378[[#This Row],[合区区服]],表1_8612182224267277[目标国家（映射）],表2_9713192325277378[[#This Row],[国家]])</f>
        <v>95202</v>
      </c>
      <c r="I48" s="41">
        <f>SUMIFS(表1_8612182224267277[活跃虚拟充值],表1_8612182224267277[目标区服],表2_9713192325277378[[#This Row],[合区区服]],表1_8612182224267277[目标国家（映射）],表2_9713192325277378[[#This Row],[国家]])</f>
        <v>0</v>
      </c>
      <c r="J48" s="41">
        <f>SUMIFS(表1_8612182224267277[活跃Coin],表1_8612182224267277[目标区服],表2_9713192325277378[[#This Row],[合区区服]],表1_8612182224267277[目标国家（映射）],表2_9713192325277378[[#This Row],[国家]])</f>
        <v>800061</v>
      </c>
      <c r="K48" s="41">
        <f>SUMIFS(表1_8612182224267277[共计补偿Coin],表1_8612182224267277[目标区服],表2_9713192325277378[[#This Row],[合区区服]],表1_8612182224267277[目标国家（映射）],表2_9713192325277378[[#This Row],[国家]])</f>
        <v>58500</v>
      </c>
      <c r="L48" s="41">
        <f>表2_9713192325277378[[#This Row],[活跃Coin]]+表2_9713192325277378[[#This Row],[共计补偿Coin]]</f>
        <v>858561</v>
      </c>
      <c r="M48" s="41">
        <f>SUMIFS(表1_8612182224267277[综合国力],表1_8612182224267277[目标区服],表2_9713192325277378[[#This Row],[合区区服]],表1_8612182224267277[目标国家（映射）],表2_9713192325277378[[#This Row],[国家]])</f>
        <v>13985</v>
      </c>
      <c r="N48" s="41">
        <f t="array" ref="N48">MAX((表1_8612182224267277[目标区服]=表2_9713192325277378[[#This Row],[合区区服]])*(表1_8612182224267277[目标国家（映射）]=表2_9713192325277378[[#This Row],[国家]])*表1_8612182224267277[单将最高战力])</f>
        <v>844465</v>
      </c>
      <c r="P48" s="51">
        <v>5074</v>
      </c>
      <c r="Q48" s="51">
        <v>45</v>
      </c>
      <c r="R48" s="51" t="s">
        <v>147</v>
      </c>
      <c r="S48" s="51">
        <v>45</v>
      </c>
    </row>
    <row r="49" ht="15" spans="1:19">
      <c r="A49" s="296" t="s">
        <v>144</v>
      </c>
      <c r="B49" s="43" t="s">
        <v>27</v>
      </c>
      <c r="C49" s="43">
        <f>COUNTIFS(表1_8612182224267277[目标区服],表2_9713192325277378[[#This Row],[合区区服]],表1_8612182224267277[目标国家（映射）],表2_9713192325277378[[#This Row],[国家]])</f>
        <v>2</v>
      </c>
      <c r="D49" s="43">
        <f>SUMIFS(表1_8612182224267277[活跃高战玩家数],表1_8612182224267277[目标区服],表2_9713192325277378[[#This Row],[合区区服]],表1_8612182224267277[目标国家（映射）],表2_9713192325277378[[#This Row],[国家]])</f>
        <v>6</v>
      </c>
      <c r="E49" s="43">
        <f>SUMIFS(表1_8612182224267277[活跃中坚玩家数],表1_8612182224267277[目标区服],表2_9713192325277378[[#This Row],[合区区服]],表1_8612182224267277[目标国家（映射）],表2_9713192325277378[[#This Row],[国家]])</f>
        <v>38</v>
      </c>
      <c r="F49" s="43">
        <f t="array" ref="F49">MAX((表1_8612182224267277[目标区服]=表2_9713192325277378[[#This Row],[合区区服]])*(表1_8612182224267277[目标国家（映射）]=表2_9713192325277378[[#This Row],[国家]])*表1_8612182224267277[活跃尖端战力])</f>
        <v>2475164</v>
      </c>
      <c r="G49" s="44">
        <f>SUMIFS(表1_8612182224267277[活跃总战力],表1_8612182224267277[目标区服],表2_9713192325277378[[#This Row],[合区区服]],表1_8612182224267277[目标国家（映射）],表2_9713192325277378[[#This Row],[国家]])</f>
        <v>32343534</v>
      </c>
      <c r="H49" s="43">
        <f>SUMIFS(表1_8612182224267277[活跃实际充值],表1_8612182224267277[目标区服],表2_9713192325277378[[#This Row],[合区区服]],表1_8612182224267277[目标国家（映射）],表2_9713192325277378[[#This Row],[国家]])</f>
        <v>97902</v>
      </c>
      <c r="I49" s="43">
        <f>SUMIFS(表1_8612182224267277[活跃虚拟充值],表1_8612182224267277[目标区服],表2_9713192325277378[[#This Row],[合区区服]],表1_8612182224267277[目标国家（映射）],表2_9713192325277378[[#This Row],[国家]])</f>
        <v>0</v>
      </c>
      <c r="J49" s="43">
        <f>SUMIFS(表1_8612182224267277[活跃Coin],表1_8612182224267277[目标区服],表2_9713192325277378[[#This Row],[合区区服]],表1_8612182224267277[目标国家（映射）],表2_9713192325277378[[#This Row],[国家]])</f>
        <v>751560</v>
      </c>
      <c r="K49" s="43">
        <f>SUMIFS(表1_8612182224267277[共计补偿Coin],表1_8612182224267277[目标区服],表2_9713192325277378[[#This Row],[合区区服]],表1_8612182224267277[目标国家（映射）],表2_9713192325277378[[#This Row],[国家]])</f>
        <v>66000</v>
      </c>
      <c r="L49" s="43">
        <f>表2_9713192325277378[[#This Row],[活跃Coin]]+表2_9713192325277378[[#This Row],[共计补偿Coin]]</f>
        <v>817560</v>
      </c>
      <c r="M49" s="43">
        <f>SUMIFS(表1_8612182224267277[综合国力],表1_8612182224267277[目标区服],表2_9713192325277378[[#This Row],[合区区服]],表1_8612182224267277[目标国家（映射）],表2_9713192325277378[[#This Row],[国家]])</f>
        <v>15730</v>
      </c>
      <c r="N49" s="41">
        <f t="array" ref="N49">MAX((表1_8612182224267277[目标区服]=表2_9713192325277378[[#This Row],[合区区服]])*(表1_8612182224267277[目标国家（映射）]=表2_9713192325277378[[#This Row],[国家]])*表1_8612182224267277[单将最高战力])</f>
        <v>832384</v>
      </c>
      <c r="P49" s="51">
        <v>5075</v>
      </c>
      <c r="Q49" s="51">
        <v>44</v>
      </c>
      <c r="R49" s="51" t="s">
        <v>148</v>
      </c>
      <c r="S49" s="51">
        <v>43</v>
      </c>
    </row>
    <row r="50" ht="15" spans="1:17">
      <c r="A50" s="45" t="s">
        <v>145</v>
      </c>
      <c r="B50" s="46" t="s">
        <v>25</v>
      </c>
      <c r="C50" s="46">
        <f>COUNTIFS(表1_8612182224267277[目标区服],表2_9713192325277378[[#This Row],[合区区服]],表1_8612182224267277[目标国家（映射）],表2_9713192325277378[[#This Row],[国家]])</f>
        <v>2</v>
      </c>
      <c r="D50" s="46">
        <f>SUMIFS(表1_8612182224267277[活跃高战玩家数],表1_8612182224267277[目标区服],表2_9713192325277378[[#This Row],[合区区服]],表1_8612182224267277[目标国家（映射）],表2_9713192325277378[[#This Row],[国家]])</f>
        <v>1</v>
      </c>
      <c r="E50" s="46">
        <f>SUMIFS(表1_8612182224267277[活跃中坚玩家数],表1_8612182224267277[目标区服],表2_9713192325277378[[#This Row],[合区区服]],表1_8612182224267277[目标国家（映射）],表2_9713192325277378[[#This Row],[国家]])</f>
        <v>39</v>
      </c>
      <c r="F50" s="46">
        <f t="array" ref="F50">MAX((表1_8612182224267277[目标区服]=表2_9713192325277378[[#This Row],[合区区服]])*(表1_8612182224267277[目标国家（映射）]=表2_9713192325277378[[#This Row],[国家]])*表1_8612182224267277[活跃尖端战力])</f>
        <v>2549114</v>
      </c>
      <c r="G50" s="47">
        <f>SUMIFS(表1_8612182224267277[活跃总战力],表1_8612182224267277[目标区服],表2_9713192325277378[[#This Row],[合区区服]],表1_8612182224267277[目标国家（映射）],表2_9713192325277378[[#This Row],[国家]])</f>
        <v>25135188</v>
      </c>
      <c r="H50" s="46">
        <f>SUMIFS(表1_8612182224267277[活跃实际充值],表1_8612182224267277[目标区服],表2_9713192325277378[[#This Row],[合区区服]],表1_8612182224267277[目标国家（映射）],表2_9713192325277378[[#This Row],[国家]])</f>
        <v>130078</v>
      </c>
      <c r="I50" s="46">
        <f>SUMIFS(表1_8612182224267277[活跃虚拟充值],表1_8612182224267277[目标区服],表2_9713192325277378[[#This Row],[合区区服]],表1_8612182224267277[目标国家（映射）],表2_9713192325277378[[#This Row],[国家]])</f>
        <v>0</v>
      </c>
      <c r="J50" s="46">
        <f>SUMIFS(表1_8612182224267277[活跃Coin],表1_8612182224267277[目标区服],表2_9713192325277378[[#This Row],[合区区服]],表1_8612182224267277[目标国家（映射）],表2_9713192325277378[[#This Row],[国家]])</f>
        <v>559006</v>
      </c>
      <c r="K50" s="46">
        <f>SUMIFS(表1_8612182224267277[共计补偿Coin],表1_8612182224267277[目标区服],表2_9713192325277378[[#This Row],[合区区服]],表1_8612182224267277[目标国家（映射）],表2_9713192325277378[[#This Row],[国家]])</f>
        <v>60000</v>
      </c>
      <c r="L50" s="46">
        <f>表2_9713192325277378[[#This Row],[活跃Coin]]+表2_9713192325277378[[#This Row],[共计补偿Coin]]</f>
        <v>619006</v>
      </c>
      <c r="M50" s="46">
        <f>SUMIFS(表1_8612182224267277[综合国力],表1_8612182224267277[目标区服],表2_9713192325277378[[#This Row],[合区区服]],表1_8612182224267277[目标国家（映射）],表2_9713192325277378[[#This Row],[国家]])</f>
        <v>13283</v>
      </c>
      <c r="N50" s="46">
        <f t="array" ref="N50">MAX((表1_8612182224267277[目标区服]=表2_9713192325277378[[#This Row],[合区区服]])*(表1_8612182224267277[目标国家（映射）]=表2_9713192325277378[[#This Row],[国家]])*表1_8612182224267277[单将最高战力])</f>
        <v>1074833</v>
      </c>
      <c r="P50" s="51">
        <v>5076</v>
      </c>
      <c r="Q50" s="51">
        <v>44</v>
      </c>
    </row>
    <row r="51" ht="15" spans="1:17">
      <c r="A51" s="45" t="s">
        <v>145</v>
      </c>
      <c r="B51" s="46" t="s">
        <v>26</v>
      </c>
      <c r="C51" s="46">
        <f>COUNTIFS(表1_8612182224267277[目标区服],表2_9713192325277378[[#This Row],[合区区服]],表1_8612182224267277[目标国家（映射）],表2_9713192325277378[[#This Row],[国家]])</f>
        <v>2</v>
      </c>
      <c r="D51" s="46">
        <f>SUMIFS(表1_8612182224267277[活跃高战玩家数],表1_8612182224267277[目标区服],表2_9713192325277378[[#This Row],[合区区服]],表1_8612182224267277[目标国家（映射）],表2_9713192325277378[[#This Row],[国家]])</f>
        <v>9</v>
      </c>
      <c r="E51" s="46">
        <f>SUMIFS(表1_8612182224267277[活跃中坚玩家数],表1_8612182224267277[目标区服],表2_9713192325277378[[#This Row],[合区区服]],表1_8612182224267277[目标国家（映射）],表2_9713192325277378[[#This Row],[国家]])</f>
        <v>39</v>
      </c>
      <c r="F51" s="46">
        <f t="array" ref="F51">MAX((表1_8612182224267277[目标区服]=表2_9713192325277378[[#This Row],[合区区服]])*(表1_8612182224267277[目标国家（映射）]=表2_9713192325277378[[#This Row],[国家]])*表1_8612182224267277[活跃尖端战力])</f>
        <v>2587957</v>
      </c>
      <c r="G51" s="47">
        <f>SUMIFS(表1_8612182224267277[活跃总战力],表1_8612182224267277[目标区服],表2_9713192325277378[[#This Row],[合区区服]],表1_8612182224267277[目标国家（映射）],表2_9713192325277378[[#This Row],[国家]])</f>
        <v>36131911</v>
      </c>
      <c r="H51" s="46">
        <f>SUMIFS(表1_8612182224267277[活跃实际充值],表1_8612182224267277[目标区服],表2_9713192325277378[[#This Row],[合区区服]],表1_8612182224267277[目标国家（映射）],表2_9713192325277378[[#This Row],[国家]])</f>
        <v>92150</v>
      </c>
      <c r="I51" s="46">
        <f>SUMIFS(表1_8612182224267277[活跃虚拟充值],表1_8612182224267277[目标区服],表2_9713192325277378[[#This Row],[合区区服]],表1_8612182224267277[目标国家（映射）],表2_9713192325277378[[#This Row],[国家]])</f>
        <v>0</v>
      </c>
      <c r="J51" s="46">
        <f>SUMIFS(表1_8612182224267277[活跃Coin],表1_8612182224267277[目标区服],表2_9713192325277378[[#This Row],[合区区服]],表1_8612182224267277[目标国家（映射）],表2_9713192325277378[[#This Row],[国家]])</f>
        <v>747568</v>
      </c>
      <c r="K51" s="46">
        <f>SUMIFS(表1_8612182224267277[共计补偿Coin],表1_8612182224267277[目标区服],表2_9713192325277378[[#This Row],[合区区服]],表1_8612182224267277[目标国家（映射）],表2_9713192325277378[[#This Row],[国家]])</f>
        <v>72000</v>
      </c>
      <c r="L51" s="46">
        <f>表2_9713192325277378[[#This Row],[活跃Coin]]+表2_9713192325277378[[#This Row],[共计补偿Coin]]</f>
        <v>819568</v>
      </c>
      <c r="M51" s="46">
        <f>SUMIFS(表1_8612182224267277[综合国力],表1_8612182224267277[目标区服],表2_9713192325277378[[#This Row],[合区区服]],表1_8612182224267277[目标国家（映射）],表2_9713192325277378[[#This Row],[国家]])</f>
        <v>15453</v>
      </c>
      <c r="N51" s="46">
        <f t="array" ref="N51">MAX((表1_8612182224267277[目标区服]=表2_9713192325277378[[#This Row],[合区区服]])*(表1_8612182224267277[目标国家（映射）]=表2_9713192325277378[[#This Row],[国家]])*表1_8612182224267277[单将最高战力])</f>
        <v>645215</v>
      </c>
      <c r="P51" s="51">
        <v>5077</v>
      </c>
      <c r="Q51" s="51">
        <v>43</v>
      </c>
    </row>
    <row r="52" ht="15" spans="1:17">
      <c r="A52" s="45" t="s">
        <v>145</v>
      </c>
      <c r="B52" s="48" t="s">
        <v>27</v>
      </c>
      <c r="C52" s="48">
        <f>COUNTIFS(表1_8612182224267277[目标区服],表2_9713192325277378[[#This Row],[合区区服]],表1_8612182224267277[目标国家（映射）],表2_9713192325277378[[#This Row],[国家]])</f>
        <v>2</v>
      </c>
      <c r="D52" s="48">
        <f>SUMIFS(表1_8612182224267277[活跃高战玩家数],表1_8612182224267277[目标区服],表2_9713192325277378[[#This Row],[合区区服]],表1_8612182224267277[目标国家（映射）],表2_9713192325277378[[#This Row],[国家]])</f>
        <v>9</v>
      </c>
      <c r="E52" s="48">
        <f>SUMIFS(表1_8612182224267277[活跃中坚玩家数],表1_8612182224267277[目标区服],表2_9713192325277378[[#This Row],[合区区服]],表1_8612182224267277[目标国家（映射）],表2_9713192325277378[[#This Row],[国家]])</f>
        <v>30</v>
      </c>
      <c r="F52" s="48">
        <f t="array" ref="F52">MAX((表1_8612182224267277[目标区服]=表2_9713192325277378[[#This Row],[合区区服]])*(表1_8612182224267277[目标国家（映射）]=表2_9713192325277378[[#This Row],[国家]])*表1_8612182224267277[活跃尖端战力])</f>
        <v>3438079</v>
      </c>
      <c r="G52" s="458">
        <f>SUMIFS(表1_8612182224267277[活跃总战力],表1_8612182224267277[目标区服],表2_9713192325277378[[#This Row],[合区区服]],表1_8612182224267277[目标国家（映射）],表2_9713192325277378[[#This Row],[国家]])</f>
        <v>34862328</v>
      </c>
      <c r="H52" s="48">
        <f>SUMIFS(表1_8612182224267277[活跃实际充值],表1_8612182224267277[目标区服],表2_9713192325277378[[#This Row],[合区区服]],表1_8612182224267277[目标国家（映射）],表2_9713192325277378[[#This Row],[国家]])</f>
        <v>151096</v>
      </c>
      <c r="I52" s="48">
        <f>SUMIFS(表1_8612182224267277[活跃虚拟充值],表1_8612182224267277[目标区服],表2_9713192325277378[[#This Row],[合区区服]],表1_8612182224267277[目标国家（映射）],表2_9713192325277378[[#This Row],[国家]])</f>
        <v>0</v>
      </c>
      <c r="J52" s="48">
        <f>SUMIFS(表1_8612182224267277[活跃Coin],表1_8612182224267277[目标区服],表2_9713192325277378[[#This Row],[合区区服]],表1_8612182224267277[目标国家（映射）],表2_9713192325277378[[#This Row],[国家]])</f>
        <v>521622</v>
      </c>
      <c r="K52" s="48">
        <f>SUMIFS(表1_8612182224267277[共计补偿Coin],表1_8612182224267277[目标区服],表2_9713192325277378[[#This Row],[合区区服]],表1_8612182224267277[目标国家（映射）],表2_9713192325277378[[#This Row],[国家]])</f>
        <v>58500</v>
      </c>
      <c r="L52" s="48">
        <f>表2_9713192325277378[[#This Row],[活跃Coin]]+表2_9713192325277378[[#This Row],[共计补偿Coin]]</f>
        <v>580122</v>
      </c>
      <c r="M52" s="48">
        <f>SUMIFS(表1_8612182224267277[综合国力],表1_8612182224267277[目标区服],表2_9713192325277378[[#This Row],[合区区服]],表1_8612182224267277[目标国家（映射）],表2_9713192325277378[[#This Row],[国家]])</f>
        <v>17757</v>
      </c>
      <c r="N52" s="46">
        <f t="array" ref="N52">MAX((表1_8612182224267277[目标区服]=表2_9713192325277378[[#This Row],[合区区服]])*(表1_8612182224267277[目标国家（映射）]=表2_9713192325277378[[#This Row],[国家]])*表1_8612182224267277[单将最高战力])</f>
        <v>963087</v>
      </c>
      <c r="P52" s="51">
        <v>5078</v>
      </c>
      <c r="Q52" s="51">
        <v>43</v>
      </c>
    </row>
    <row r="53" ht="15" spans="1:17">
      <c r="A53" s="545" t="s">
        <v>146</v>
      </c>
      <c r="B53" s="224" t="s">
        <v>25</v>
      </c>
      <c r="C53" s="224">
        <f>COUNTIFS(表1_8612182224267277[目标区服],表2_9713192325277378[[#This Row],[合区区服]],表1_8612182224267277[目标国家（映射）],表2_9713192325277378[[#This Row],[国家]])</f>
        <v>2</v>
      </c>
      <c r="D53" s="224">
        <f>SUMIFS(表1_8612182224267277[活跃高战玩家数],表1_8612182224267277[目标区服],表2_9713192325277378[[#This Row],[合区区服]],表1_8612182224267277[目标国家（映射）],表2_9713192325277378[[#This Row],[国家]])</f>
        <v>6</v>
      </c>
      <c r="E53" s="224">
        <f>SUMIFS(表1_8612182224267277[活跃中坚玩家数],表1_8612182224267277[目标区服],表2_9713192325277378[[#This Row],[合区区服]],表1_8612182224267277[目标国家（映射）],表2_9713192325277378[[#This Row],[国家]])</f>
        <v>34</v>
      </c>
      <c r="F53" s="224">
        <f t="array" ref="F53">MAX((表1_8612182224267277[目标区服]=表2_9713192325277378[[#This Row],[合区区服]])*(表1_8612182224267277[目标国家（映射）]=表2_9713192325277378[[#This Row],[国家]])*表1_8612182224267277[活跃尖端战力])</f>
        <v>2987886</v>
      </c>
      <c r="G53" s="225">
        <f>SUMIFS(表1_8612182224267277[活跃总战力],表1_8612182224267277[目标区服],表2_9713192325277378[[#This Row],[合区区服]],表1_8612182224267277[目标国家（映射）],表2_9713192325277378[[#This Row],[国家]])</f>
        <v>29477991</v>
      </c>
      <c r="H53" s="224">
        <f>SUMIFS(表1_8612182224267277[活跃实际充值],表1_8612182224267277[目标区服],表2_9713192325277378[[#This Row],[合区区服]],表1_8612182224267277[目标国家（映射）],表2_9713192325277378[[#This Row],[国家]])</f>
        <v>85888</v>
      </c>
      <c r="I53" s="224">
        <f>SUMIFS(表1_8612182224267277[活跃虚拟充值],表1_8612182224267277[目标区服],表2_9713192325277378[[#This Row],[合区区服]],表1_8612182224267277[目标国家（映射）],表2_9713192325277378[[#This Row],[国家]])</f>
        <v>0</v>
      </c>
      <c r="J53" s="224">
        <f>SUMIFS(表1_8612182224267277[活跃Coin],表1_8612182224267277[目标区服],表2_9713192325277378[[#This Row],[合区区服]],表1_8612182224267277[目标国家（映射）],表2_9713192325277378[[#This Row],[国家]])</f>
        <v>762115</v>
      </c>
      <c r="K53" s="224">
        <f>SUMIFS(表1_8612182224267277[共计补偿Coin],表1_8612182224267277[目标区服],表2_9713192325277378[[#This Row],[合区区服]],表1_8612182224267277[目标国家（映射）],表2_9713192325277378[[#This Row],[国家]])</f>
        <v>60000</v>
      </c>
      <c r="L53" s="224">
        <f>表2_9713192325277378[[#This Row],[活跃Coin]]+表2_9713192325277378[[#This Row],[共计补偿Coin]]</f>
        <v>822115</v>
      </c>
      <c r="M53" s="224">
        <f>SUMIFS(表1_8612182224267277[综合国力],表1_8612182224267277[目标区服],表2_9713192325277378[[#This Row],[合区区服]],表1_8612182224267277[目标国家（映射）],表2_9713192325277378[[#This Row],[国家]])</f>
        <v>14809</v>
      </c>
      <c r="N53" s="471">
        <f t="array" ref="N53">MAX((表1_8612182224267277[目标区服]=表2_9713192325277378[[#This Row],[合区区服]])*(表1_8612182224267277[目标国家（映射）]=表2_9713192325277378[[#This Row],[国家]])*表1_8612182224267277[单将最高战力])</f>
        <v>786084</v>
      </c>
      <c r="P53" s="51">
        <v>5079</v>
      </c>
      <c r="Q53" s="51">
        <v>42</v>
      </c>
    </row>
    <row r="54" ht="15" spans="1:17">
      <c r="A54" s="545" t="s">
        <v>146</v>
      </c>
      <c r="B54" s="224" t="s">
        <v>26</v>
      </c>
      <c r="C54" s="224">
        <f>COUNTIFS(表1_8612182224267277[目标区服],表2_9713192325277378[[#This Row],[合区区服]],表1_8612182224267277[目标国家（映射）],表2_9713192325277378[[#This Row],[国家]])</f>
        <v>2</v>
      </c>
      <c r="D54" s="224">
        <f>SUMIFS(表1_8612182224267277[活跃高战玩家数],表1_8612182224267277[目标区服],表2_9713192325277378[[#This Row],[合区区服]],表1_8612182224267277[目标国家（映射）],表2_9713192325277378[[#This Row],[国家]])</f>
        <v>4</v>
      </c>
      <c r="E54" s="224">
        <f>SUMIFS(表1_8612182224267277[活跃中坚玩家数],表1_8612182224267277[目标区服],表2_9713192325277378[[#This Row],[合区区服]],表1_8612182224267277[目标国家（映射）],表2_9713192325277378[[#This Row],[国家]])</f>
        <v>28</v>
      </c>
      <c r="F54" s="224">
        <f t="array" ref="F54">MAX((表1_8612182224267277[目标区服]=表2_9713192325277378[[#This Row],[合区区服]])*(表1_8612182224267277[目标国家（映射）]=表2_9713192325277378[[#This Row],[国家]])*表1_8612182224267277[活跃尖端战力])</f>
        <v>2099216</v>
      </c>
      <c r="G54" s="225">
        <f>SUMIFS(表1_8612182224267277[活跃总战力],表1_8612182224267277[目标区服],表2_9713192325277378[[#This Row],[合区区服]],表1_8612182224267277[目标国家（映射）],表2_9713192325277378[[#This Row],[国家]])</f>
        <v>22118131</v>
      </c>
      <c r="H54" s="224">
        <f>SUMIFS(表1_8612182224267277[活跃实际充值],表1_8612182224267277[目标区服],表2_9713192325277378[[#This Row],[合区区服]],表1_8612182224267277[目标国家（映射）],表2_9713192325277378[[#This Row],[国家]])</f>
        <v>58328</v>
      </c>
      <c r="I54" s="224">
        <f>SUMIFS(表1_8612182224267277[活跃虚拟充值],表1_8612182224267277[目标区服],表2_9713192325277378[[#This Row],[合区区服]],表1_8612182224267277[目标国家（映射）],表2_9713192325277378[[#This Row],[国家]])</f>
        <v>0</v>
      </c>
      <c r="J54" s="224">
        <f>SUMIFS(表1_8612182224267277[活跃Coin],表1_8612182224267277[目标区服],表2_9713192325277378[[#This Row],[合区区服]],表1_8612182224267277[目标国家（映射）],表2_9713192325277378[[#This Row],[国家]])</f>
        <v>592302</v>
      </c>
      <c r="K54" s="224">
        <f>SUMIFS(表1_8612182224267277[共计补偿Coin],表1_8612182224267277[目标区服],表2_9713192325277378[[#This Row],[合区区服]],表1_8612182224267277[目标国家（映射）],表2_9713192325277378[[#This Row],[国家]])</f>
        <v>48000</v>
      </c>
      <c r="L54" s="224">
        <f>表2_9713192325277378[[#This Row],[活跃Coin]]+表2_9713192325277378[[#This Row],[共计补偿Coin]]</f>
        <v>640302</v>
      </c>
      <c r="M54" s="224">
        <f>SUMIFS(表1_8612182224267277[综合国力],表1_8612182224267277[目标区服],表2_9713192325277378[[#This Row],[合区区服]],表1_8612182224267277[目标国家（映射）],表2_9713192325277378[[#This Row],[国家]])</f>
        <v>11712</v>
      </c>
      <c r="N54" s="471">
        <f t="array" ref="N54">MAX((表1_8612182224267277[目标区服]=表2_9713192325277378[[#This Row],[合区区服]])*(表1_8612182224267277[目标国家（映射）]=表2_9713192325277378[[#This Row],[国家]])*表1_8612182224267277[单将最高战力])</f>
        <v>746852</v>
      </c>
      <c r="P54" s="51">
        <v>5080</v>
      </c>
      <c r="Q54" s="51">
        <v>42</v>
      </c>
    </row>
    <row r="55" ht="15" spans="1:17">
      <c r="A55" s="546" t="s">
        <v>146</v>
      </c>
      <c r="B55" s="226" t="s">
        <v>27</v>
      </c>
      <c r="C55" s="226">
        <f>COUNTIFS(表1_8612182224267277[目标区服],表2_9713192325277378[[#This Row],[合区区服]],表1_8612182224267277[目标国家（映射）],表2_9713192325277378[[#This Row],[国家]])</f>
        <v>2</v>
      </c>
      <c r="D55" s="226">
        <f>SUMIFS(表1_8612182224267277[活跃高战玩家数],表1_8612182224267277[目标区服],表2_9713192325277378[[#This Row],[合区区服]],表1_8612182224267277[目标国家（映射）],表2_9713192325277378[[#This Row],[国家]])</f>
        <v>7</v>
      </c>
      <c r="E55" s="226">
        <f>SUMIFS(表1_8612182224267277[活跃中坚玩家数],表1_8612182224267277[目标区服],表2_9713192325277378[[#This Row],[合区区服]],表1_8612182224267277[目标国家（映射）],表2_9713192325277378[[#This Row],[国家]])</f>
        <v>40</v>
      </c>
      <c r="F55" s="226">
        <f t="array" ref="F55">MAX((表1_8612182224267277[目标区服]=表2_9713192325277378[[#This Row],[合区区服]])*(表1_8612182224267277[目标国家（映射）]=表2_9713192325277378[[#This Row],[国家]])*表1_8612182224267277[活跃尖端战力])</f>
        <v>2447918</v>
      </c>
      <c r="G55" s="227">
        <f>SUMIFS(表1_8612182224267277[活跃总战力],表1_8612182224267277[目标区服],表2_9713192325277378[[#This Row],[合区区服]],表1_8612182224267277[目标国家（映射）],表2_9713192325277378[[#This Row],[国家]])</f>
        <v>33839619</v>
      </c>
      <c r="H55" s="226">
        <f>SUMIFS(表1_8612182224267277[活跃实际充值],表1_8612182224267277[目标区服],表2_9713192325277378[[#This Row],[合区区服]],表1_8612182224267277[目标国家（映射）],表2_9713192325277378[[#This Row],[国家]])</f>
        <v>62634</v>
      </c>
      <c r="I55" s="226">
        <f>SUMIFS(表1_8612182224267277[活跃虚拟充值],表1_8612182224267277[目标区服],表2_9713192325277378[[#This Row],[合区区服]],表1_8612182224267277[目标国家（映射）],表2_9713192325277378[[#This Row],[国家]])</f>
        <v>0</v>
      </c>
      <c r="J55" s="226">
        <f>SUMIFS(表1_8612182224267277[活跃Coin],表1_8612182224267277[目标区服],表2_9713192325277378[[#This Row],[合区区服]],表1_8612182224267277[目标国家（映射）],表2_9713192325277378[[#This Row],[国家]])</f>
        <v>828331</v>
      </c>
      <c r="K55" s="226">
        <f>SUMIFS(表1_8612182224267277[共计补偿Coin],表1_8612182224267277[目标区服],表2_9713192325277378[[#This Row],[合区区服]],表1_8612182224267277[目标国家（映射）],表2_9713192325277378[[#This Row],[国家]])</f>
        <v>70500</v>
      </c>
      <c r="L55" s="226">
        <f>表2_9713192325277378[[#This Row],[活跃Coin]]+表2_9713192325277378[[#This Row],[共计补偿Coin]]</f>
        <v>898831</v>
      </c>
      <c r="M55" s="226">
        <f>SUMIFS(表1_8612182224267277[综合国力],表1_8612182224267277[目标区服],表2_9713192325277378[[#This Row],[合区区服]],表1_8612182224267277[目标国家（映射）],表2_9713192325277378[[#This Row],[国家]])</f>
        <v>14584</v>
      </c>
      <c r="N55" s="563">
        <f t="array" ref="N55">MAX((表1_8612182224267277[目标区服]=表2_9713192325277378[[#This Row],[合区区服]])*(表1_8612182224267277[目标国家（映射）]=表2_9713192325277378[[#This Row],[国家]])*表1_8612182224267277[单将最高战力])</f>
        <v>764685</v>
      </c>
      <c r="P55" s="51">
        <v>5081</v>
      </c>
      <c r="Q55" s="51">
        <v>41</v>
      </c>
    </row>
    <row r="56" ht="15" spans="1:17">
      <c r="A56" s="549" t="s">
        <v>147</v>
      </c>
      <c r="B56" s="556" t="s">
        <v>25</v>
      </c>
      <c r="C56" s="556">
        <f>COUNTIFS(表1_8612182224267277[目标区服],表2_9713192325277378[[#This Row],[合区区服]],表1_8612182224267277[目标国家（映射）],表2_9713192325277378[[#This Row],[国家]])</f>
        <v>2</v>
      </c>
      <c r="D56" s="556">
        <f>SUMIFS(表1_8612182224267277[活跃高战玩家数],表1_8612182224267277[目标区服],表2_9713192325277378[[#This Row],[合区区服]],表1_8612182224267277[目标国家（映射）],表2_9713192325277378[[#This Row],[国家]])</f>
        <v>5</v>
      </c>
      <c r="E56" s="556">
        <f>SUMIFS(表1_8612182224267277[活跃中坚玩家数],表1_8612182224267277[目标区服],表2_9713192325277378[[#This Row],[合区区服]],表1_8612182224267277[目标国家（映射）],表2_9713192325277378[[#This Row],[国家]])</f>
        <v>37</v>
      </c>
      <c r="F56" s="556">
        <f t="array" ref="F56">MAX((表1_8612182224267277[目标区服]=表2_9713192325277378[[#This Row],[合区区服]])*(表1_8612182224267277[目标国家（映射）]=表2_9713192325277378[[#This Row],[国家]])*表1_8612182224267277[活跃尖端战力])</f>
        <v>2518265</v>
      </c>
      <c r="G56" s="557">
        <f>SUMIFS(表1_8612182224267277[活跃总战力],表1_8612182224267277[目标区服],表2_9713192325277378[[#This Row],[合区区服]],表1_8612182224267277[目标国家（映射）],表2_9713192325277378[[#This Row],[国家]])</f>
        <v>30678744</v>
      </c>
      <c r="H56" s="556">
        <f>SUMIFS(表1_8612182224267277[活跃实际充值],表1_8612182224267277[目标区服],表2_9713192325277378[[#This Row],[合区区服]],表1_8612182224267277[目标国家（映射）],表2_9713192325277378[[#This Row],[国家]])</f>
        <v>69312</v>
      </c>
      <c r="I56" s="556">
        <f>SUMIFS(表1_8612182224267277[活跃虚拟充值],表1_8612182224267277[目标区服],表2_9713192325277378[[#This Row],[合区区服]],表1_8612182224267277[目标国家（映射）],表2_9713192325277378[[#This Row],[国家]])</f>
        <v>0</v>
      </c>
      <c r="J56" s="556">
        <f>SUMIFS(表1_8612182224267277[活跃Coin],表1_8612182224267277[目标区服],表2_9713192325277378[[#This Row],[合区区服]],表1_8612182224267277[目标国家（映射）],表2_9713192325277378[[#This Row],[国家]])</f>
        <v>445327</v>
      </c>
      <c r="K56" s="556">
        <f>SUMIFS(表1_8612182224267277[共计补偿Coin],表1_8612182224267277[目标区服],表2_9713192325277378[[#This Row],[合区区服]],表1_8612182224267277[目标国家（映射）],表2_9713192325277378[[#This Row],[国家]])</f>
        <v>63000</v>
      </c>
      <c r="L56" s="556">
        <f>表2_9713192325277378[[#This Row],[活跃Coin]]+表2_9713192325277378[[#This Row],[共计补偿Coin]]</f>
        <v>508327</v>
      </c>
      <c r="M56" s="556">
        <f>SUMIFS(表1_8612182224267277[综合国力],表1_8612182224267277[目标区服],表2_9713192325277378[[#This Row],[合区区服]],表1_8612182224267277[目标国家（映射）],表2_9713192325277378[[#This Row],[国家]])</f>
        <v>12608</v>
      </c>
      <c r="N56" s="564">
        <f t="array" ref="N56">MAX((表1_8612182224267277[目标区服]=表2_9713192325277378[[#This Row],[合区区服]])*(表1_8612182224267277[目标国家（映射）]=表2_9713192325277378[[#This Row],[国家]])*表1_8612182224267277[单将最高战力])</f>
        <v>782717</v>
      </c>
      <c r="P56" s="51">
        <v>5082</v>
      </c>
      <c r="Q56" s="51">
        <v>41</v>
      </c>
    </row>
    <row r="57" ht="15" spans="1:17">
      <c r="A57" s="549" t="s">
        <v>147</v>
      </c>
      <c r="B57" s="556" t="s">
        <v>26</v>
      </c>
      <c r="C57" s="556">
        <f>COUNTIFS(表1_8612182224267277[目标区服],表2_9713192325277378[[#This Row],[合区区服]],表1_8612182224267277[目标国家（映射）],表2_9713192325277378[[#This Row],[国家]])</f>
        <v>1</v>
      </c>
      <c r="D57" s="556">
        <f>SUMIFS(表1_8612182224267277[活跃高战玩家数],表1_8612182224267277[目标区服],表2_9713192325277378[[#This Row],[合区区服]],表1_8612182224267277[目标国家（映射）],表2_9713192325277378[[#This Row],[国家]])</f>
        <v>9</v>
      </c>
      <c r="E57" s="556">
        <f>SUMIFS(表1_8612182224267277[活跃中坚玩家数],表1_8612182224267277[目标区服],表2_9713192325277378[[#This Row],[合区区服]],表1_8612182224267277[目标国家（映射）],表2_9713192325277378[[#This Row],[国家]])</f>
        <v>17</v>
      </c>
      <c r="F57" s="556">
        <f t="array" ref="F57">MAX((表1_8612182224267277[目标区服]=表2_9713192325277378[[#This Row],[合区区服]])*(表1_8612182224267277[目标国家（映射）]=表2_9713192325277378[[#This Row],[国家]])*表1_8612182224267277[活跃尖端战力])</f>
        <v>4008155</v>
      </c>
      <c r="G57" s="557">
        <f>SUMIFS(表1_8612182224267277[活跃总战力],表1_8612182224267277[目标区服],表2_9713192325277378[[#This Row],[合区区服]],表1_8612182224267277[目标国家（映射）],表2_9713192325277378[[#This Row],[国家]])</f>
        <v>30196986</v>
      </c>
      <c r="H57" s="556">
        <f>SUMIFS(表1_8612182224267277[活跃实际充值],表1_8612182224267277[目标区服],表2_9713192325277378[[#This Row],[合区区服]],表1_8612182224267277[目标国家（映射）],表2_9713192325277378[[#This Row],[国家]])</f>
        <v>244752</v>
      </c>
      <c r="I57" s="556">
        <f>SUMIFS(表1_8612182224267277[活跃虚拟充值],表1_8612182224267277[目标区服],表2_9713192325277378[[#This Row],[合区区服]],表1_8612182224267277[目标国家（映射）],表2_9713192325277378[[#This Row],[国家]])</f>
        <v>0</v>
      </c>
      <c r="J57" s="556">
        <f>SUMIFS(表1_8612182224267277[活跃Coin],表1_8612182224267277[目标区服],表2_9713192325277378[[#This Row],[合区区服]],表1_8612182224267277[目标国家（映射）],表2_9713192325277378[[#This Row],[国家]])</f>
        <v>932500</v>
      </c>
      <c r="K57" s="556">
        <f>SUMIFS(表1_8612182224267277[共计补偿Coin],表1_8612182224267277[目标区服],表2_9713192325277378[[#This Row],[合区区服]],表1_8612182224267277[目标国家（映射）],表2_9713192325277378[[#This Row],[国家]])</f>
        <v>39000</v>
      </c>
      <c r="L57" s="556">
        <f>表2_9713192325277378[[#This Row],[活跃Coin]]+表2_9713192325277378[[#This Row],[共计补偿Coin]]</f>
        <v>971500</v>
      </c>
      <c r="M57" s="556">
        <f>SUMIFS(表1_8612182224267277[综合国力],表1_8612182224267277[目标区服],表2_9713192325277378[[#This Row],[合区区服]],表1_8612182224267277[目标国家（映射）],表2_9713192325277378[[#This Row],[国家]])</f>
        <v>18847</v>
      </c>
      <c r="N57" s="564">
        <f t="array" ref="N57">MAX((表1_8612182224267277[目标区服]=表2_9713192325277378[[#This Row],[合区区服]])*(表1_8612182224267277[目标国家（映射）]=表2_9713192325277378[[#This Row],[国家]])*表1_8612182224267277[单将最高战力])</f>
        <v>1168215</v>
      </c>
      <c r="P57" s="51"/>
      <c r="Q57" s="51"/>
    </row>
    <row r="58" ht="15" spans="1:17">
      <c r="A58" s="549" t="s">
        <v>147</v>
      </c>
      <c r="B58" s="558" t="s">
        <v>27</v>
      </c>
      <c r="C58" s="558">
        <f>COUNTIFS(表1_8612182224267277[目标区服],表2_9713192325277378[[#This Row],[合区区服]],表1_8612182224267277[目标国家（映射）],表2_9713192325277378[[#This Row],[国家]])</f>
        <v>3</v>
      </c>
      <c r="D58" s="558">
        <f>SUMIFS(表1_8612182224267277[活跃高战玩家数],表1_8612182224267277[目标区服],表2_9713192325277378[[#This Row],[合区区服]],表1_8612182224267277[目标国家（映射）],表2_9713192325277378[[#This Row],[国家]])</f>
        <v>6</v>
      </c>
      <c r="E58" s="558">
        <f>SUMIFS(表1_8612182224267277[活跃中坚玩家数],表1_8612182224267277[目标区服],表2_9713192325277378[[#This Row],[合区区服]],表1_8612182224267277[目标国家（映射）],表2_9713192325277378[[#This Row],[国家]])</f>
        <v>43</v>
      </c>
      <c r="F58" s="558">
        <f t="array" ref="F58">MAX((表1_8612182224267277[目标区服]=表2_9713192325277378[[#This Row],[合区区服]])*(表1_8612182224267277[目标国家（映射）]=表2_9713192325277378[[#This Row],[国家]])*表1_8612182224267277[活跃尖端战力])</f>
        <v>2415946</v>
      </c>
      <c r="G58" s="559">
        <f>SUMIFS(表1_8612182224267277[活跃总战力],表1_8612182224267277[目标区服],表2_9713192325277378[[#This Row],[合区区服]],表1_8612182224267277[目标国家（映射）],表2_9713192325277378[[#This Row],[国家]])</f>
        <v>32572232</v>
      </c>
      <c r="H58" s="558">
        <f>SUMIFS(表1_8612182224267277[活跃实际充值],表1_8612182224267277[目标区服],表2_9713192325277378[[#This Row],[合区区服]],表1_8612182224267277[目标国家（映射）],表2_9713192325277378[[#This Row],[国家]])</f>
        <v>59100</v>
      </c>
      <c r="I58" s="558">
        <f>SUMIFS(表1_8612182224267277[活跃虚拟充值],表1_8612182224267277[目标区服],表2_9713192325277378[[#This Row],[合区区服]],表1_8612182224267277[目标国家（映射）],表2_9713192325277378[[#This Row],[国家]])</f>
        <v>0</v>
      </c>
      <c r="J58" s="558">
        <f>SUMIFS(表1_8612182224267277[活跃Coin],表1_8612182224267277[目标区服],表2_9713192325277378[[#This Row],[合区区服]],表1_8612182224267277[目标国家（映射）],表2_9713192325277378[[#This Row],[国家]])</f>
        <v>636442</v>
      </c>
      <c r="K58" s="558">
        <f>SUMIFS(表1_8612182224267277[共计补偿Coin],表1_8612182224267277[目标区服],表2_9713192325277378[[#This Row],[合区区服]],表1_8612182224267277[目标国家（映射）],表2_9713192325277378[[#This Row],[国家]])</f>
        <v>73500</v>
      </c>
      <c r="L58" s="558">
        <f>表2_9713192325277378[[#This Row],[活跃Coin]]+表2_9713192325277378[[#This Row],[共计补偿Coin]]</f>
        <v>709942</v>
      </c>
      <c r="M58" s="558">
        <f>SUMIFS(表1_8612182224267277[综合国力],表1_8612182224267277[目标区服],表2_9713192325277378[[#This Row],[合区区服]],表1_8612182224267277[目标国家（映射）],表2_9713192325277378[[#This Row],[国家]])</f>
        <v>15212</v>
      </c>
      <c r="N58" s="565">
        <f t="array" ref="N58">MAX((表1_8612182224267277[目标区服]=表2_9713192325277378[[#This Row],[合区区服]])*(表1_8612182224267277[目标国家（映射）]=表2_9713192325277378[[#This Row],[国家]])*表1_8612182224267277[单将最高战力])</f>
        <v>664295</v>
      </c>
      <c r="P58" s="51"/>
      <c r="Q58" s="51"/>
    </row>
    <row r="59" ht="15" spans="1:17">
      <c r="A59" s="554" t="s">
        <v>148</v>
      </c>
      <c r="B59" s="186" t="s">
        <v>25</v>
      </c>
      <c r="C59" s="186">
        <f>COUNTIFS(表1_8612182224267277[目标区服],表2_9713192325277378[[#This Row],[合区区服]],表1_8612182224267277[目标国家（映射）],表2_9713192325277378[[#This Row],[国家]])</f>
        <v>2</v>
      </c>
      <c r="D59" s="186">
        <f>SUMIFS(表1_8612182224267277[活跃高战玩家数],表1_8612182224267277[目标区服],表2_9713192325277378[[#This Row],[合区区服]],表1_8612182224267277[目标国家（映射）],表2_9713192325277378[[#This Row],[国家]])</f>
        <v>7</v>
      </c>
      <c r="E59" s="186">
        <f>SUMIFS(表1_8612182224267277[活跃中坚玩家数],表1_8612182224267277[目标区服],表2_9713192325277378[[#This Row],[合区区服]],表1_8612182224267277[目标国家（映射）],表2_9713192325277378[[#This Row],[国家]])</f>
        <v>28</v>
      </c>
      <c r="F59" s="186">
        <f t="array" ref="F59">MAX((表1_8612182224267277[目标区服]=表2_9713192325277378[[#This Row],[合区区服]])*(表1_8612182224267277[目标国家（映射）]=表2_9713192325277378[[#This Row],[国家]])*表1_8612182224267277[活跃尖端战力])</f>
        <v>2341449</v>
      </c>
      <c r="G59" s="187">
        <f>SUMIFS(表1_8612182224267277[活跃总战力],表1_8612182224267277[目标区服],表2_9713192325277378[[#This Row],[合区区服]],表1_8612182224267277[目标国家（映射）],表2_9713192325277378[[#This Row],[国家]])</f>
        <v>23751374</v>
      </c>
      <c r="H59" s="186">
        <f>SUMIFS(表1_8612182224267277[活跃实际充值],表1_8612182224267277[目标区服],表2_9713192325277378[[#This Row],[合区区服]],表1_8612182224267277[目标国家（映射）],表2_9713192325277378[[#This Row],[国家]])</f>
        <v>88314</v>
      </c>
      <c r="I59" s="186">
        <f>SUMIFS(表1_8612182224267277[活跃虚拟充值],表1_8612182224267277[目标区服],表2_9713192325277378[[#This Row],[合区区服]],表1_8612182224267277[目标国家（映射）],表2_9713192325277378[[#This Row],[国家]])</f>
        <v>0</v>
      </c>
      <c r="J59" s="186">
        <f>SUMIFS(表1_8612182224267277[活跃Coin],表1_8612182224267277[目标区服],表2_9713192325277378[[#This Row],[合区区服]],表1_8612182224267277[目标国家（映射）],表2_9713192325277378[[#This Row],[国家]])</f>
        <v>504565</v>
      </c>
      <c r="K59" s="186">
        <f>SUMIFS(表1_8612182224267277[共计补偿Coin],表1_8612182224267277[目标区服],表2_9713192325277378[[#This Row],[合区区服]],表1_8612182224267277[目标国家（映射）],表2_9713192325277378[[#This Row],[国家]])</f>
        <v>35000</v>
      </c>
      <c r="L59" s="186">
        <f>表2_9713192325277378[[#This Row],[活跃Coin]]+表2_9713192325277378[[#This Row],[共计补偿Coin]]</f>
        <v>539565</v>
      </c>
      <c r="M59" s="186">
        <f>SUMIFS(表1_8612182224267277[综合国力],表1_8612182224267277[目标区服],表2_9713192325277378[[#This Row],[合区区服]],表1_8612182224267277[目标国家（映射）],表2_9713192325277378[[#This Row],[国家]])</f>
        <v>12894</v>
      </c>
      <c r="N59" s="478">
        <f t="array" ref="N59">MAX((表1_8612182224267277[目标区服]=表2_9713192325277378[[#This Row],[合区区服]])*(表1_8612182224267277[目标国家（映射）]=表2_9713192325277378[[#This Row],[国家]])*表1_8612182224267277[单将最高战力])</f>
        <v>910011</v>
      </c>
      <c r="P59" s="51"/>
      <c r="Q59" s="51"/>
    </row>
    <row r="60" ht="15" spans="1:14">
      <c r="A60" s="554" t="s">
        <v>148</v>
      </c>
      <c r="B60" s="186" t="s">
        <v>26</v>
      </c>
      <c r="C60" s="186">
        <f>COUNTIFS(表1_8612182224267277[目标区服],表2_9713192325277378[[#This Row],[合区区服]],表1_8612182224267277[目标国家（映射）],表2_9713192325277378[[#This Row],[国家]])</f>
        <v>1</v>
      </c>
      <c r="D60" s="186">
        <f>SUMIFS(表1_8612182224267277[活跃高战玩家数],表1_8612182224267277[目标区服],表2_9713192325277378[[#This Row],[合区区服]],表1_8612182224267277[目标国家（映射）],表2_9713192325277378[[#This Row],[国家]])</f>
        <v>8</v>
      </c>
      <c r="E60" s="186">
        <f>SUMIFS(表1_8612182224267277[活跃中坚玩家数],表1_8612182224267277[目标区服],表2_9713192325277378[[#This Row],[合区区服]],表1_8612182224267277[目标国家（映射）],表2_9713192325277378[[#This Row],[国家]])</f>
        <v>21</v>
      </c>
      <c r="F60" s="186">
        <f t="array" ref="F60">MAX((表1_8612182224267277[目标区服]=表2_9713192325277378[[#This Row],[合区区服]])*(表1_8612182224267277[目标国家（映射）]=表2_9713192325277378[[#This Row],[国家]])*表1_8612182224267277[活跃尖端战力])</f>
        <v>3592852</v>
      </c>
      <c r="G60" s="187">
        <f>SUMIFS(表1_8612182224267277[活跃总战力],表1_8612182224267277[目标区服],表2_9713192325277378[[#This Row],[合区区服]],表1_8612182224267277[目标国家（映射）],表2_9713192325277378[[#This Row],[国家]])</f>
        <v>30758673</v>
      </c>
      <c r="H60" s="186">
        <f>SUMIFS(表1_8612182224267277[活跃实际充值],表1_8612182224267277[目标区服],表2_9713192325277378[[#This Row],[合区区服]],表1_8612182224267277[目标国家（映射）],表2_9713192325277378[[#This Row],[国家]])</f>
        <v>227702</v>
      </c>
      <c r="I60" s="186">
        <f>SUMIFS(表1_8612182224267277[活跃虚拟充值],表1_8612182224267277[目标区服],表2_9713192325277378[[#This Row],[合区区服]],表1_8612182224267277[目标国家（映射）],表2_9713192325277378[[#This Row],[国家]])</f>
        <v>0</v>
      </c>
      <c r="J60" s="186">
        <f>SUMIFS(表1_8612182224267277[活跃Coin],表1_8612182224267277[目标区服],表2_9713192325277378[[#This Row],[合区区服]],表1_8612182224267277[目标国家（映射）],表2_9713192325277378[[#This Row],[国家]])</f>
        <v>1131990</v>
      </c>
      <c r="K60" s="186">
        <f>SUMIFS(表1_8612182224267277[共计补偿Coin],表1_8612182224267277[目标区服],表2_9713192325277378[[#This Row],[合区区服]],表1_8612182224267277[目标国家（映射）],表2_9713192325277378[[#This Row],[国家]])</f>
        <v>29000</v>
      </c>
      <c r="L60" s="186">
        <f>表2_9713192325277378[[#This Row],[活跃Coin]]+表2_9713192325277378[[#This Row],[共计补偿Coin]]</f>
        <v>1160990</v>
      </c>
      <c r="M60" s="186">
        <f>SUMIFS(表1_8612182224267277[综合国力],表1_8612182224267277[目标区服],表2_9713192325277378[[#This Row],[合区区服]],表1_8612182224267277[目标国家（映射）],表2_9713192325277378[[#This Row],[国家]])</f>
        <v>19089</v>
      </c>
      <c r="N60" s="478">
        <f t="array" ref="N60">MAX((表1_8612182224267277[目标区服]=表2_9713192325277378[[#This Row],[合区区服]])*(表1_8612182224267277[目标国家（映射）]=表2_9713192325277378[[#This Row],[国家]])*表1_8612182224267277[单将最高战力])</f>
        <v>884453</v>
      </c>
    </row>
    <row r="61" ht="15" spans="1:14">
      <c r="A61" s="554" t="s">
        <v>148</v>
      </c>
      <c r="B61" s="188" t="s">
        <v>27</v>
      </c>
      <c r="C61" s="188">
        <f>COUNTIFS(表1_8612182224267277[目标区服],表2_9713192325277378[[#This Row],[合区区服]],表1_8612182224267277[目标国家（映射）],表2_9713192325277378[[#This Row],[国家]])</f>
        <v>3</v>
      </c>
      <c r="D61" s="188">
        <f>SUMIFS(表1_8612182224267277[活跃高战玩家数],表1_8612182224267277[目标区服],表2_9713192325277378[[#This Row],[合区区服]],表1_8612182224267277[目标国家（映射）],表2_9713192325277378[[#This Row],[国家]])</f>
        <v>5</v>
      </c>
      <c r="E61" s="188">
        <f>SUMIFS(表1_8612182224267277[活跃中坚玩家数],表1_8612182224267277[目标区服],表2_9713192325277378[[#This Row],[合区区服]],表1_8612182224267277[目标国家（映射）],表2_9713192325277378[[#This Row],[国家]])</f>
        <v>48</v>
      </c>
      <c r="F61" s="188">
        <f t="array" ref="F61">MAX((表1_8612182224267277[目标区服]=表2_9713192325277378[[#This Row],[合区区服]])*(表1_8612182224267277[目标国家（映射）]=表2_9713192325277378[[#This Row],[国家]])*表1_8612182224267277[活跃尖端战力])</f>
        <v>1978894</v>
      </c>
      <c r="G61" s="309">
        <f>SUMIFS(表1_8612182224267277[活跃总战力],表1_8612182224267277[目标区服],表2_9713192325277378[[#This Row],[合区区服]],表1_8612182224267277[目标国家（映射）],表2_9713192325277378[[#This Row],[国家]])</f>
        <v>32943070</v>
      </c>
      <c r="H61" s="188">
        <f>SUMIFS(表1_8612182224267277[活跃实际充值],表1_8612182224267277[目标区服],表2_9713192325277378[[#This Row],[合区区服]],表1_8612182224267277[目标国家（映射）],表2_9713192325277378[[#This Row],[国家]])</f>
        <v>82038</v>
      </c>
      <c r="I61" s="188">
        <f>SUMIFS(表1_8612182224267277[活跃虚拟充值],表1_8612182224267277[目标区服],表2_9713192325277378[[#This Row],[合区区服]],表1_8612182224267277[目标国家（映射）],表2_9713192325277378[[#This Row],[国家]])</f>
        <v>0</v>
      </c>
      <c r="J61" s="188">
        <f>SUMIFS(表1_8612182224267277[活跃Coin],表1_8612182224267277[目标区服],表2_9713192325277378[[#This Row],[合区区服]],表1_8612182224267277[目标国家（映射）],表2_9713192325277378[[#This Row],[国家]])</f>
        <v>1077328</v>
      </c>
      <c r="K61" s="188">
        <f>SUMIFS(表1_8612182224267277[共计补偿Coin],表1_8612182224267277[目标区服],表2_9713192325277378[[#This Row],[合区区服]],表1_8612182224267277[目标国家（映射）],表2_9713192325277378[[#This Row],[国家]])</f>
        <v>53000</v>
      </c>
      <c r="L61" s="188">
        <f>表2_9713192325277378[[#This Row],[活跃Coin]]+表2_9713192325277378[[#This Row],[共计补偿Coin]]</f>
        <v>1130328</v>
      </c>
      <c r="M61" s="188">
        <f>SUMIFS(表1_8612182224267277[综合国力],表1_8612182224267277[目标区服],表2_9713192325277378[[#This Row],[合区区服]],表1_8612182224267277[目标国家（映射）],表2_9713192325277378[[#This Row],[国家]])</f>
        <v>15366</v>
      </c>
      <c r="N61" s="566">
        <f t="array" ref="N61">MAX((表1_8612182224267277[目标区服]=表2_9713192325277378[[#This Row],[合区区服]])*(表1_8612182224267277[目标国家（映射）]=表2_9713192325277378[[#This Row],[国家]])*表1_8612182224267277[单将最高战力])</f>
        <v>701764</v>
      </c>
    </row>
    <row r="67" ht="27" spans="2:14">
      <c r="B67" s="49"/>
      <c r="C67" s="50" t="s">
        <v>9</v>
      </c>
      <c r="D67" s="50" t="s">
        <v>10</v>
      </c>
      <c r="E67" s="50" t="s">
        <v>11</v>
      </c>
      <c r="F67" s="50" t="s">
        <v>12</v>
      </c>
      <c r="G67" s="50" t="s">
        <v>13</v>
      </c>
      <c r="H67" s="50" t="s">
        <v>14</v>
      </c>
      <c r="I67" s="50" t="s">
        <v>15</v>
      </c>
      <c r="J67" s="50" t="s">
        <v>18</v>
      </c>
      <c r="K67" s="50" t="s">
        <v>19</v>
      </c>
      <c r="L67" s="50" t="s">
        <v>20</v>
      </c>
      <c r="M67" s="50" t="s">
        <v>21</v>
      </c>
      <c r="N67" s="50" t="s">
        <v>82</v>
      </c>
    </row>
    <row r="68" spans="1:14">
      <c r="A68">
        <v>5070</v>
      </c>
      <c r="B68" s="50" t="s">
        <v>25</v>
      </c>
      <c r="C68" s="50">
        <v>4</v>
      </c>
      <c r="D68" s="50">
        <v>154</v>
      </c>
      <c r="E68" s="50">
        <v>4</v>
      </c>
      <c r="F68" s="50">
        <v>13</v>
      </c>
      <c r="G68" s="50">
        <v>93115</v>
      </c>
      <c r="H68" s="50">
        <v>3138217</v>
      </c>
      <c r="I68" s="50">
        <v>17337964</v>
      </c>
      <c r="J68" s="50">
        <v>98164</v>
      </c>
      <c r="K68" s="50">
        <v>0</v>
      </c>
      <c r="L68" s="50">
        <v>400864</v>
      </c>
      <c r="M68" s="50">
        <v>10422</v>
      </c>
      <c r="N68" s="50">
        <v>1035110</v>
      </c>
    </row>
    <row r="69" spans="2:14">
      <c r="B69" s="50" t="s">
        <v>26</v>
      </c>
      <c r="C69" s="50">
        <v>4</v>
      </c>
      <c r="D69" s="50">
        <v>176</v>
      </c>
      <c r="E69" s="50">
        <v>6</v>
      </c>
      <c r="F69" s="50">
        <v>25</v>
      </c>
      <c r="G69" s="50">
        <v>155595</v>
      </c>
      <c r="H69" s="50">
        <v>3438388</v>
      </c>
      <c r="I69" s="50">
        <v>27999695</v>
      </c>
      <c r="J69" s="50">
        <v>77128</v>
      </c>
      <c r="K69" s="50">
        <v>0</v>
      </c>
      <c r="L69" s="50">
        <v>461944</v>
      </c>
      <c r="M69" s="50">
        <v>11721</v>
      </c>
      <c r="N69" s="50">
        <v>1085219</v>
      </c>
    </row>
    <row r="70" spans="2:14">
      <c r="B70" s="50" t="s">
        <v>27</v>
      </c>
      <c r="C70" s="50">
        <v>1</v>
      </c>
      <c r="D70" s="50">
        <v>65</v>
      </c>
      <c r="E70" s="50">
        <v>0</v>
      </c>
      <c r="F70" s="50">
        <v>9</v>
      </c>
      <c r="G70" s="50">
        <v>35648</v>
      </c>
      <c r="H70" s="50">
        <v>1191264</v>
      </c>
      <c r="I70" s="50">
        <v>5696618</v>
      </c>
      <c r="J70" s="50">
        <v>2534</v>
      </c>
      <c r="K70" s="50">
        <v>0</v>
      </c>
      <c r="L70" s="50">
        <v>23115</v>
      </c>
      <c r="M70" s="50">
        <v>2776</v>
      </c>
      <c r="N70" s="50">
        <v>320334</v>
      </c>
    </row>
    <row r="71" spans="1:14">
      <c r="A71">
        <v>5071</v>
      </c>
      <c r="B71" s="50" t="s">
        <v>25</v>
      </c>
      <c r="C71" s="50">
        <v>9</v>
      </c>
      <c r="D71" s="50">
        <v>306</v>
      </c>
      <c r="E71" s="50">
        <v>8</v>
      </c>
      <c r="F71" s="50">
        <v>15</v>
      </c>
      <c r="G71" s="50">
        <v>154924</v>
      </c>
      <c r="H71" s="50">
        <v>2234618</v>
      </c>
      <c r="I71" s="50">
        <v>21977293</v>
      </c>
      <c r="J71" s="50">
        <v>42144</v>
      </c>
      <c r="K71" s="50">
        <v>0</v>
      </c>
      <c r="L71" s="50">
        <v>412009</v>
      </c>
      <c r="M71" s="50">
        <v>10637</v>
      </c>
      <c r="N71" s="50">
        <v>599092</v>
      </c>
    </row>
    <row r="72" spans="2:14">
      <c r="B72" s="50" t="s">
        <v>26</v>
      </c>
      <c r="C72" s="50">
        <v>0</v>
      </c>
      <c r="D72" s="50">
        <v>49</v>
      </c>
      <c r="E72" s="50">
        <v>0</v>
      </c>
      <c r="F72" s="50">
        <v>16</v>
      </c>
      <c r="G72" s="50">
        <v>56591</v>
      </c>
      <c r="H72" s="50">
        <v>1131793</v>
      </c>
      <c r="I72" s="50">
        <v>7009324</v>
      </c>
      <c r="J72" s="50">
        <v>8124</v>
      </c>
      <c r="K72" s="50">
        <v>0</v>
      </c>
      <c r="L72" s="50">
        <v>274193</v>
      </c>
      <c r="M72" s="50">
        <v>2986</v>
      </c>
      <c r="N72" s="50">
        <v>418623</v>
      </c>
    </row>
    <row r="73" spans="2:14">
      <c r="B73" s="50" t="s">
        <v>27</v>
      </c>
      <c r="C73" s="50">
        <v>0</v>
      </c>
      <c r="D73" s="50">
        <v>40</v>
      </c>
      <c r="E73" s="50">
        <v>1</v>
      </c>
      <c r="F73" s="50">
        <v>12</v>
      </c>
      <c r="G73" s="50">
        <v>52416</v>
      </c>
      <c r="H73" s="50">
        <v>1818154</v>
      </c>
      <c r="I73" s="50">
        <v>7633881</v>
      </c>
      <c r="J73" s="50">
        <v>67372</v>
      </c>
      <c r="K73" s="50">
        <v>0</v>
      </c>
      <c r="L73" s="50">
        <v>70526</v>
      </c>
      <c r="M73" s="50">
        <v>5300</v>
      </c>
      <c r="N73" s="50">
        <v>607751</v>
      </c>
    </row>
    <row r="74" spans="1:14">
      <c r="A74">
        <v>5072</v>
      </c>
      <c r="B74" s="50" t="s">
        <v>25</v>
      </c>
      <c r="C74" s="50">
        <v>0</v>
      </c>
      <c r="D74" s="50">
        <v>48</v>
      </c>
      <c r="E74" s="50">
        <v>1</v>
      </c>
      <c r="F74" s="50">
        <v>9</v>
      </c>
      <c r="G74" s="50">
        <v>45710</v>
      </c>
      <c r="H74" s="50">
        <v>1426481</v>
      </c>
      <c r="I74" s="50">
        <v>6256057</v>
      </c>
      <c r="J74" s="50">
        <v>3372</v>
      </c>
      <c r="K74" s="50">
        <v>0</v>
      </c>
      <c r="L74" s="50">
        <v>109608</v>
      </c>
      <c r="M74" s="50">
        <v>2916</v>
      </c>
      <c r="N74" s="50">
        <v>448987</v>
      </c>
    </row>
    <row r="75" spans="2:14">
      <c r="B75" s="50" t="s">
        <v>26</v>
      </c>
      <c r="C75" s="50">
        <v>1</v>
      </c>
      <c r="D75" s="50">
        <v>104</v>
      </c>
      <c r="E75" s="50">
        <v>2</v>
      </c>
      <c r="F75" s="50">
        <v>10</v>
      </c>
      <c r="G75" s="50">
        <v>49071</v>
      </c>
      <c r="H75" s="50">
        <v>1982468</v>
      </c>
      <c r="I75" s="50">
        <v>8187907</v>
      </c>
      <c r="J75" s="50">
        <v>28708</v>
      </c>
      <c r="K75" s="50">
        <v>0</v>
      </c>
      <c r="L75" s="50">
        <v>120031</v>
      </c>
      <c r="M75" s="50">
        <v>5107</v>
      </c>
      <c r="N75" s="50">
        <v>619183</v>
      </c>
    </row>
    <row r="76" spans="2:14">
      <c r="B76" s="50" t="s">
        <v>27</v>
      </c>
      <c r="C76" s="50">
        <v>8</v>
      </c>
      <c r="D76" s="50">
        <v>243</v>
      </c>
      <c r="E76" s="50">
        <v>7</v>
      </c>
      <c r="F76" s="50">
        <v>20</v>
      </c>
      <c r="G76" s="50">
        <v>163613</v>
      </c>
      <c r="H76" s="50">
        <v>3081146</v>
      </c>
      <c r="I76" s="50">
        <v>27578920</v>
      </c>
      <c r="J76" s="50">
        <v>95860</v>
      </c>
      <c r="K76" s="50">
        <v>0</v>
      </c>
      <c r="L76" s="50">
        <v>542384</v>
      </c>
      <c r="M76" s="50">
        <v>13034</v>
      </c>
      <c r="N76" s="50">
        <v>871832</v>
      </c>
    </row>
    <row r="77" spans="1:14">
      <c r="A77">
        <v>5073</v>
      </c>
      <c r="B77" s="50" t="s">
        <v>25</v>
      </c>
      <c r="C77" s="50">
        <v>4</v>
      </c>
      <c r="D77" s="50">
        <v>159</v>
      </c>
      <c r="E77" s="50">
        <v>6</v>
      </c>
      <c r="F77" s="50">
        <v>29</v>
      </c>
      <c r="G77" s="50">
        <v>176913</v>
      </c>
      <c r="H77" s="50">
        <v>1942732</v>
      </c>
      <c r="I77" s="50">
        <v>27457295</v>
      </c>
      <c r="J77" s="50">
        <v>67638</v>
      </c>
      <c r="K77" s="50">
        <v>0</v>
      </c>
      <c r="L77" s="50">
        <v>598003</v>
      </c>
      <c r="M77" s="50">
        <v>9891</v>
      </c>
      <c r="N77" s="50">
        <v>631694</v>
      </c>
    </row>
    <row r="78" spans="2:14">
      <c r="B78" s="50" t="s">
        <v>26</v>
      </c>
      <c r="C78" s="50">
        <v>1</v>
      </c>
      <c r="D78" s="50">
        <v>57</v>
      </c>
      <c r="E78" s="50">
        <v>0</v>
      </c>
      <c r="F78" s="50">
        <v>20</v>
      </c>
      <c r="G78" s="50">
        <v>43763</v>
      </c>
      <c r="H78" s="50">
        <v>1180405</v>
      </c>
      <c r="I78" s="50">
        <v>9656861</v>
      </c>
      <c r="J78" s="50">
        <v>5174</v>
      </c>
      <c r="K78" s="50">
        <v>0</v>
      </c>
      <c r="L78" s="50">
        <v>193386</v>
      </c>
      <c r="M78" s="50">
        <v>3286</v>
      </c>
      <c r="N78" s="50">
        <v>369792</v>
      </c>
    </row>
    <row r="79" spans="2:14">
      <c r="B79" s="50" t="s">
        <v>27</v>
      </c>
      <c r="C79" s="50">
        <v>4</v>
      </c>
      <c r="D79" s="50">
        <v>179</v>
      </c>
      <c r="E79" s="50">
        <v>3</v>
      </c>
      <c r="F79" s="50">
        <v>23</v>
      </c>
      <c r="G79" s="50">
        <v>84030</v>
      </c>
      <c r="H79" s="50">
        <v>2475164</v>
      </c>
      <c r="I79" s="50">
        <v>17555019</v>
      </c>
      <c r="J79" s="50">
        <v>71400</v>
      </c>
      <c r="K79" s="50">
        <v>0</v>
      </c>
      <c r="L79" s="50">
        <v>423029</v>
      </c>
      <c r="M79" s="50">
        <v>9194</v>
      </c>
      <c r="N79" s="50">
        <v>832384</v>
      </c>
    </row>
    <row r="80" spans="1:14">
      <c r="A80">
        <v>5074</v>
      </c>
      <c r="B80" s="50" t="s">
        <v>25</v>
      </c>
      <c r="C80" s="50">
        <v>2</v>
      </c>
      <c r="D80" s="50">
        <v>60</v>
      </c>
      <c r="E80" s="50">
        <v>1</v>
      </c>
      <c r="F80" s="50">
        <v>16</v>
      </c>
      <c r="G80" s="50">
        <v>62287</v>
      </c>
      <c r="H80" s="50">
        <v>1412451</v>
      </c>
      <c r="I80" s="50">
        <v>10516850</v>
      </c>
      <c r="J80" s="50">
        <v>24534</v>
      </c>
      <c r="K80" s="50">
        <v>0</v>
      </c>
      <c r="L80" s="50">
        <v>170163</v>
      </c>
      <c r="M80" s="50">
        <v>4396</v>
      </c>
      <c r="N80" s="50">
        <v>471256</v>
      </c>
    </row>
    <row r="81" spans="2:14">
      <c r="B81" s="50" t="s">
        <v>26</v>
      </c>
      <c r="C81" s="50">
        <v>4</v>
      </c>
      <c r="D81" s="50">
        <v>233</v>
      </c>
      <c r="E81" s="50">
        <v>4</v>
      </c>
      <c r="F81" s="50">
        <v>15</v>
      </c>
      <c r="G81" s="50">
        <v>86509</v>
      </c>
      <c r="H81" s="50">
        <v>2873036</v>
      </c>
      <c r="I81" s="50">
        <v>16593077</v>
      </c>
      <c r="J81" s="50">
        <v>90028</v>
      </c>
      <c r="K81" s="50">
        <v>0</v>
      </c>
      <c r="L81" s="50">
        <v>606675</v>
      </c>
      <c r="M81" s="50">
        <v>10699</v>
      </c>
      <c r="N81" s="50">
        <v>844465</v>
      </c>
    </row>
    <row r="82" spans="2:14">
      <c r="B82" s="50" t="s">
        <v>27</v>
      </c>
      <c r="C82" s="50">
        <v>3</v>
      </c>
      <c r="D82" s="50">
        <v>102</v>
      </c>
      <c r="E82" s="50">
        <v>3</v>
      </c>
      <c r="F82" s="50">
        <v>15</v>
      </c>
      <c r="G82" s="50">
        <v>91674</v>
      </c>
      <c r="H82" s="50">
        <v>2320308</v>
      </c>
      <c r="I82" s="50">
        <v>14788515</v>
      </c>
      <c r="J82" s="50">
        <v>26502</v>
      </c>
      <c r="K82" s="50">
        <v>0</v>
      </c>
      <c r="L82" s="50">
        <v>328531</v>
      </c>
      <c r="M82" s="50">
        <v>6536</v>
      </c>
      <c r="N82" s="50">
        <v>669819</v>
      </c>
    </row>
    <row r="83" spans="1:14">
      <c r="A83">
        <v>5075</v>
      </c>
      <c r="B83" s="50" t="s">
        <v>25</v>
      </c>
      <c r="C83" s="50">
        <v>6</v>
      </c>
      <c r="D83" s="50">
        <v>229</v>
      </c>
      <c r="E83" s="50">
        <v>9</v>
      </c>
      <c r="F83" s="50">
        <v>20</v>
      </c>
      <c r="G83" s="50">
        <v>146156</v>
      </c>
      <c r="H83" s="50">
        <v>2587957</v>
      </c>
      <c r="I83" s="50">
        <v>25308408</v>
      </c>
      <c r="J83" s="50">
        <v>78016</v>
      </c>
      <c r="K83" s="50">
        <v>0</v>
      </c>
      <c r="L83" s="50">
        <v>616532</v>
      </c>
      <c r="M83" s="50">
        <v>11388</v>
      </c>
      <c r="N83" s="50">
        <v>645215</v>
      </c>
    </row>
    <row r="84" spans="2:14">
      <c r="B84" s="50" t="s">
        <v>26</v>
      </c>
      <c r="C84" s="50">
        <v>1</v>
      </c>
      <c r="D84" s="50">
        <v>87</v>
      </c>
      <c r="E84" s="50">
        <v>0</v>
      </c>
      <c r="F84" s="50">
        <v>25</v>
      </c>
      <c r="G84" s="50">
        <v>71105</v>
      </c>
      <c r="H84" s="50">
        <v>1424870</v>
      </c>
      <c r="I84" s="50">
        <v>13100685</v>
      </c>
      <c r="J84" s="50">
        <v>18890</v>
      </c>
      <c r="K84" s="50">
        <v>0</v>
      </c>
      <c r="L84" s="50">
        <v>294179</v>
      </c>
      <c r="M84" s="50">
        <v>4774</v>
      </c>
      <c r="N84" s="50">
        <v>455091</v>
      </c>
    </row>
    <row r="85" spans="2:14">
      <c r="B85" s="50" t="s">
        <v>27</v>
      </c>
      <c r="C85" s="50">
        <v>2</v>
      </c>
      <c r="D85" s="50">
        <v>79</v>
      </c>
      <c r="E85" s="50">
        <v>0</v>
      </c>
      <c r="F85" s="50">
        <v>19</v>
      </c>
      <c r="G85" s="50">
        <v>63772</v>
      </c>
      <c r="H85" s="50">
        <v>1184461</v>
      </c>
      <c r="I85" s="50">
        <v>10823503</v>
      </c>
      <c r="J85" s="50">
        <v>14134</v>
      </c>
      <c r="K85" s="50">
        <v>0</v>
      </c>
      <c r="L85" s="50">
        <v>131036</v>
      </c>
      <c r="M85" s="50">
        <v>4065</v>
      </c>
      <c r="N85" s="50">
        <v>429978</v>
      </c>
    </row>
    <row r="86" spans="1:14">
      <c r="A86">
        <v>5076</v>
      </c>
      <c r="B86" s="50" t="s">
        <v>25</v>
      </c>
      <c r="C86" s="50">
        <v>1</v>
      </c>
      <c r="D86" s="50">
        <v>85</v>
      </c>
      <c r="E86" s="50">
        <v>1</v>
      </c>
      <c r="F86" s="50">
        <v>14</v>
      </c>
      <c r="G86" s="50">
        <v>67757</v>
      </c>
      <c r="H86" s="50">
        <v>2549114</v>
      </c>
      <c r="I86" s="50">
        <v>12034503</v>
      </c>
      <c r="J86" s="50">
        <v>111188</v>
      </c>
      <c r="K86" s="50">
        <v>0</v>
      </c>
      <c r="L86" s="50">
        <v>264827</v>
      </c>
      <c r="M86" s="50">
        <v>8509</v>
      </c>
      <c r="N86" s="50">
        <v>1074833</v>
      </c>
    </row>
    <row r="87" spans="2:14">
      <c r="B87" s="50" t="s">
        <v>26</v>
      </c>
      <c r="C87" s="50">
        <v>0</v>
      </c>
      <c r="D87" s="50">
        <v>31</v>
      </c>
      <c r="E87" s="50">
        <v>0</v>
      </c>
      <c r="F87" s="50">
        <v>14</v>
      </c>
      <c r="G87" s="50">
        <v>36752</v>
      </c>
      <c r="H87" s="50">
        <v>1138164</v>
      </c>
      <c r="I87" s="50">
        <v>6042212</v>
      </c>
      <c r="J87" s="50">
        <v>2424</v>
      </c>
      <c r="K87" s="50">
        <v>0</v>
      </c>
      <c r="L87" s="50">
        <v>94455</v>
      </c>
      <c r="M87" s="50">
        <v>2356</v>
      </c>
      <c r="N87" s="50">
        <v>394457</v>
      </c>
    </row>
    <row r="88" spans="2:14">
      <c r="B88" s="50" t="s">
        <v>27</v>
      </c>
      <c r="C88" s="50">
        <v>8</v>
      </c>
      <c r="D88" s="50">
        <v>279</v>
      </c>
      <c r="E88" s="50">
        <v>9</v>
      </c>
      <c r="F88" s="50">
        <v>16</v>
      </c>
      <c r="G88" s="50">
        <v>163589</v>
      </c>
      <c r="H88" s="50">
        <v>3438079</v>
      </c>
      <c r="I88" s="50">
        <v>28820116</v>
      </c>
      <c r="J88" s="50">
        <v>148672</v>
      </c>
      <c r="K88" s="50">
        <v>0</v>
      </c>
      <c r="L88" s="50">
        <v>427167</v>
      </c>
      <c r="M88" s="50">
        <v>15401</v>
      </c>
      <c r="N88" s="50">
        <v>963087</v>
      </c>
    </row>
    <row r="89" spans="1:14">
      <c r="A89">
        <v>5077</v>
      </c>
      <c r="B89" s="50" t="s">
        <v>25</v>
      </c>
      <c r="C89" s="50">
        <v>6</v>
      </c>
      <c r="D89" s="50">
        <v>212</v>
      </c>
      <c r="E89" s="50">
        <v>5</v>
      </c>
      <c r="F89" s="50">
        <v>15</v>
      </c>
      <c r="G89" s="50">
        <v>87886</v>
      </c>
      <c r="H89" s="50">
        <v>2987886</v>
      </c>
      <c r="I89" s="50">
        <v>16751237</v>
      </c>
      <c r="J89" s="50">
        <v>63608</v>
      </c>
      <c r="K89" s="50">
        <v>0</v>
      </c>
      <c r="L89" s="50">
        <v>597117</v>
      </c>
      <c r="M89" s="50">
        <v>10029</v>
      </c>
      <c r="N89" s="50">
        <v>786084</v>
      </c>
    </row>
    <row r="90" spans="2:14">
      <c r="B90" s="50" t="s">
        <v>26</v>
      </c>
      <c r="C90" s="50">
        <v>1</v>
      </c>
      <c r="D90" s="50">
        <v>78</v>
      </c>
      <c r="E90" s="50">
        <v>1</v>
      </c>
      <c r="F90" s="50">
        <v>19</v>
      </c>
      <c r="G90" s="50">
        <v>86160</v>
      </c>
      <c r="H90" s="50">
        <v>1446353</v>
      </c>
      <c r="I90" s="50">
        <v>12726754</v>
      </c>
      <c r="J90" s="50">
        <v>22280</v>
      </c>
      <c r="K90" s="50">
        <v>0</v>
      </c>
      <c r="L90" s="50">
        <v>164998</v>
      </c>
      <c r="M90" s="50">
        <v>4780</v>
      </c>
      <c r="N90" s="50">
        <v>425577</v>
      </c>
    </row>
    <row r="91" spans="2:14">
      <c r="B91" s="50" t="s">
        <v>27</v>
      </c>
      <c r="C91" s="50">
        <v>2</v>
      </c>
      <c r="D91" s="50">
        <v>105</v>
      </c>
      <c r="E91" s="50">
        <v>1</v>
      </c>
      <c r="F91" s="50">
        <v>18</v>
      </c>
      <c r="G91" s="50">
        <v>77802</v>
      </c>
      <c r="H91" s="50">
        <v>2014387</v>
      </c>
      <c r="I91" s="50">
        <v>12736063</v>
      </c>
      <c r="J91" s="50">
        <v>30974</v>
      </c>
      <c r="K91" s="50">
        <v>0</v>
      </c>
      <c r="L91" s="50">
        <v>343643</v>
      </c>
      <c r="M91" s="50">
        <v>6028</v>
      </c>
      <c r="N91" s="50">
        <v>764685</v>
      </c>
    </row>
    <row r="92" spans="1:14">
      <c r="A92">
        <v>5078</v>
      </c>
      <c r="B92" s="50" t="s">
        <v>25</v>
      </c>
      <c r="C92" s="50">
        <v>5</v>
      </c>
      <c r="D92" s="50">
        <v>161</v>
      </c>
      <c r="E92" s="50">
        <v>6</v>
      </c>
      <c r="F92" s="50">
        <v>22</v>
      </c>
      <c r="G92" s="50">
        <v>139158</v>
      </c>
      <c r="H92" s="50">
        <v>2447918</v>
      </c>
      <c r="I92" s="50">
        <v>21103556</v>
      </c>
      <c r="J92" s="50">
        <v>31660</v>
      </c>
      <c r="K92" s="50">
        <v>0</v>
      </c>
      <c r="L92" s="50">
        <v>484688</v>
      </c>
      <c r="M92" s="50">
        <v>8556</v>
      </c>
      <c r="N92" s="50">
        <v>695776</v>
      </c>
    </row>
    <row r="93" spans="2:14">
      <c r="B93" s="50" t="s">
        <v>26</v>
      </c>
      <c r="C93" s="50">
        <v>1</v>
      </c>
      <c r="D93" s="50">
        <v>97</v>
      </c>
      <c r="E93" s="50">
        <v>2</v>
      </c>
      <c r="F93" s="50">
        <v>14</v>
      </c>
      <c r="G93" s="50">
        <v>69351</v>
      </c>
      <c r="H93" s="50">
        <v>1886701</v>
      </c>
      <c r="I93" s="50">
        <v>10794366</v>
      </c>
      <c r="J93" s="50">
        <v>24274</v>
      </c>
      <c r="K93" s="50">
        <v>0</v>
      </c>
      <c r="L93" s="50">
        <v>238868</v>
      </c>
      <c r="M93" s="50">
        <v>5230</v>
      </c>
      <c r="N93" s="50">
        <v>604006</v>
      </c>
    </row>
    <row r="94" spans="2:14">
      <c r="B94" s="50" t="s">
        <v>27</v>
      </c>
      <c r="C94" s="50">
        <v>3</v>
      </c>
      <c r="D94" s="50">
        <v>137</v>
      </c>
      <c r="E94" s="50">
        <v>2</v>
      </c>
      <c r="F94" s="50">
        <v>14</v>
      </c>
      <c r="G94" s="50">
        <v>76485</v>
      </c>
      <c r="H94" s="50">
        <v>2099216</v>
      </c>
      <c r="I94" s="50">
        <v>11323765</v>
      </c>
      <c r="J94" s="50">
        <v>34054</v>
      </c>
      <c r="K94" s="50">
        <v>0</v>
      </c>
      <c r="L94" s="50">
        <v>353434</v>
      </c>
      <c r="M94" s="50">
        <v>6482</v>
      </c>
      <c r="N94" s="50">
        <v>746852</v>
      </c>
    </row>
    <row r="95" spans="1:14">
      <c r="A95">
        <v>5079</v>
      </c>
      <c r="B95" s="50" t="s">
        <v>25</v>
      </c>
      <c r="C95" s="50">
        <v>4</v>
      </c>
      <c r="D95" s="50">
        <v>152</v>
      </c>
      <c r="E95" s="50">
        <v>5</v>
      </c>
      <c r="F95" s="50">
        <v>26</v>
      </c>
      <c r="G95" s="50">
        <v>149967</v>
      </c>
      <c r="H95" s="50">
        <v>2518265</v>
      </c>
      <c r="I95" s="50">
        <v>24326290</v>
      </c>
      <c r="J95" s="50">
        <v>64644</v>
      </c>
      <c r="K95" s="50">
        <v>0</v>
      </c>
      <c r="L95" s="50">
        <v>386648</v>
      </c>
      <c r="M95" s="50">
        <v>9753</v>
      </c>
      <c r="N95" s="50">
        <v>782717</v>
      </c>
    </row>
    <row r="96" spans="2:14">
      <c r="B96" s="50" t="s">
        <v>26</v>
      </c>
      <c r="C96" s="50">
        <v>3</v>
      </c>
      <c r="D96" s="50">
        <v>165</v>
      </c>
      <c r="E96" s="50">
        <v>4</v>
      </c>
      <c r="F96" s="50">
        <v>20</v>
      </c>
      <c r="G96" s="50">
        <v>116229</v>
      </c>
      <c r="H96" s="50">
        <v>2415946</v>
      </c>
      <c r="I96" s="50">
        <v>18605755</v>
      </c>
      <c r="J96" s="50">
        <v>35960</v>
      </c>
      <c r="K96" s="50">
        <v>0</v>
      </c>
      <c r="L96" s="50">
        <v>351005</v>
      </c>
      <c r="M96" s="50">
        <v>8061</v>
      </c>
      <c r="N96" s="50">
        <v>664295</v>
      </c>
    </row>
    <row r="97" spans="2:14">
      <c r="B97" s="50" t="s">
        <v>27</v>
      </c>
      <c r="C97" s="50">
        <v>2</v>
      </c>
      <c r="D97" s="50">
        <v>78</v>
      </c>
      <c r="E97" s="50">
        <v>1</v>
      </c>
      <c r="F97" s="50">
        <v>12</v>
      </c>
      <c r="G97" s="50">
        <v>43179</v>
      </c>
      <c r="H97" s="50">
        <v>1288139</v>
      </c>
      <c r="I97" s="50">
        <v>7133174</v>
      </c>
      <c r="J97" s="50">
        <v>15808</v>
      </c>
      <c r="K97" s="50">
        <v>0</v>
      </c>
      <c r="L97" s="50">
        <v>156370</v>
      </c>
      <c r="M97" s="50">
        <v>3749</v>
      </c>
      <c r="N97" s="50">
        <v>431239</v>
      </c>
    </row>
    <row r="98" spans="1:14">
      <c r="A98">
        <v>5080</v>
      </c>
      <c r="B98" s="50" t="s">
        <v>25</v>
      </c>
      <c r="C98" s="50">
        <v>0</v>
      </c>
      <c r="D98" s="50">
        <v>62</v>
      </c>
      <c r="E98" s="50">
        <v>0</v>
      </c>
      <c r="F98" s="50">
        <v>11</v>
      </c>
      <c r="G98" s="50">
        <v>44857</v>
      </c>
      <c r="H98" s="50">
        <v>1206863</v>
      </c>
      <c r="I98" s="50">
        <v>6352454</v>
      </c>
      <c r="J98" s="50">
        <v>4668</v>
      </c>
      <c r="K98" s="50">
        <v>0</v>
      </c>
      <c r="L98" s="50">
        <v>58679</v>
      </c>
      <c r="M98" s="50">
        <v>2855</v>
      </c>
      <c r="N98" s="50">
        <v>326212</v>
      </c>
    </row>
    <row r="99" spans="2:14">
      <c r="B99" s="50" t="s">
        <v>26</v>
      </c>
      <c r="C99" s="50">
        <v>7</v>
      </c>
      <c r="D99" s="50">
        <v>248</v>
      </c>
      <c r="E99" s="50">
        <v>9</v>
      </c>
      <c r="F99" s="50">
        <v>17</v>
      </c>
      <c r="G99" s="50">
        <v>166105</v>
      </c>
      <c r="H99" s="50">
        <v>4008155</v>
      </c>
      <c r="I99" s="50">
        <v>30196986</v>
      </c>
      <c r="J99" s="50">
        <v>244752</v>
      </c>
      <c r="K99" s="50">
        <v>0</v>
      </c>
      <c r="L99" s="50">
        <v>932500</v>
      </c>
      <c r="M99" s="50">
        <v>18847</v>
      </c>
      <c r="N99" s="50">
        <v>1168215</v>
      </c>
    </row>
    <row r="100" spans="2:14">
      <c r="B100" s="50" t="s">
        <v>27</v>
      </c>
      <c r="C100" s="50">
        <v>2</v>
      </c>
      <c r="D100" s="50">
        <v>84</v>
      </c>
      <c r="E100" s="50">
        <v>1</v>
      </c>
      <c r="F100" s="50">
        <v>11</v>
      </c>
      <c r="G100" s="50">
        <v>47152</v>
      </c>
      <c r="H100" s="50">
        <v>1158433</v>
      </c>
      <c r="I100" s="50">
        <v>6833303</v>
      </c>
      <c r="J100" s="50">
        <v>7332</v>
      </c>
      <c r="K100" s="50">
        <v>0</v>
      </c>
      <c r="L100" s="50">
        <v>129067</v>
      </c>
      <c r="M100" s="50">
        <v>3402</v>
      </c>
      <c r="N100" s="50">
        <v>280427</v>
      </c>
    </row>
    <row r="101" spans="1:14">
      <c r="A101">
        <v>5081</v>
      </c>
      <c r="B101" s="50" t="s">
        <v>25</v>
      </c>
      <c r="C101" s="50">
        <v>0</v>
      </c>
      <c r="D101" s="50">
        <v>29</v>
      </c>
      <c r="E101" s="50">
        <v>1</v>
      </c>
      <c r="F101" s="50">
        <v>18</v>
      </c>
      <c r="G101" s="50">
        <v>66671</v>
      </c>
      <c r="H101" s="50">
        <v>1978894</v>
      </c>
      <c r="I101" s="50">
        <v>11140105</v>
      </c>
      <c r="J101" s="50">
        <v>40712</v>
      </c>
      <c r="K101" s="50">
        <v>0</v>
      </c>
      <c r="L101" s="50">
        <v>435617</v>
      </c>
      <c r="M101" s="50">
        <v>5155</v>
      </c>
      <c r="N101" s="50">
        <v>701764</v>
      </c>
    </row>
    <row r="102" spans="2:14">
      <c r="B102" s="50" t="s">
        <v>26</v>
      </c>
      <c r="C102" s="50">
        <v>9</v>
      </c>
      <c r="D102" s="50">
        <v>323</v>
      </c>
      <c r="E102" s="50">
        <v>8</v>
      </c>
      <c r="F102" s="50">
        <v>21</v>
      </c>
      <c r="G102" s="50">
        <v>178779</v>
      </c>
      <c r="H102" s="50">
        <v>3592852</v>
      </c>
      <c r="I102" s="50">
        <v>30758673</v>
      </c>
      <c r="J102" s="50">
        <v>227702</v>
      </c>
      <c r="K102" s="50">
        <v>0</v>
      </c>
      <c r="L102" s="50">
        <v>1131990</v>
      </c>
      <c r="M102" s="50">
        <v>19089</v>
      </c>
      <c r="N102" s="50">
        <v>884453</v>
      </c>
    </row>
    <row r="103" spans="2:14">
      <c r="B103" s="50" t="s">
        <v>27</v>
      </c>
      <c r="C103" s="50">
        <v>0</v>
      </c>
      <c r="D103" s="50">
        <v>43</v>
      </c>
      <c r="E103" s="50">
        <v>1</v>
      </c>
      <c r="F103" s="50">
        <v>12</v>
      </c>
      <c r="G103" s="50">
        <v>51222</v>
      </c>
      <c r="H103" s="50">
        <v>1318030</v>
      </c>
      <c r="I103" s="50">
        <v>7588353</v>
      </c>
      <c r="J103" s="50">
        <v>18772</v>
      </c>
      <c r="K103" s="50">
        <v>0</v>
      </c>
      <c r="L103" s="50">
        <v>229315</v>
      </c>
      <c r="M103" s="50">
        <v>3440</v>
      </c>
      <c r="N103" s="50">
        <v>374689</v>
      </c>
    </row>
    <row r="104" spans="1:14">
      <c r="A104">
        <v>5082</v>
      </c>
      <c r="B104" s="50" t="s">
        <v>25</v>
      </c>
      <c r="C104" s="50">
        <v>5</v>
      </c>
      <c r="D104" s="50">
        <v>143</v>
      </c>
      <c r="E104" s="50">
        <v>4</v>
      </c>
      <c r="F104" s="50">
        <v>10</v>
      </c>
      <c r="G104" s="50">
        <v>84223</v>
      </c>
      <c r="H104" s="50">
        <v>2341449</v>
      </c>
      <c r="I104" s="50">
        <v>12648180</v>
      </c>
      <c r="J104" s="50">
        <v>71312</v>
      </c>
      <c r="K104" s="50">
        <v>0</v>
      </c>
      <c r="L104" s="50">
        <v>191428</v>
      </c>
      <c r="M104" s="50">
        <v>8192</v>
      </c>
      <c r="N104" s="50">
        <v>910011</v>
      </c>
    </row>
    <row r="105" spans="2:14">
      <c r="B105" s="50" t="s">
        <v>26</v>
      </c>
      <c r="C105" s="50">
        <v>1</v>
      </c>
      <c r="D105" s="50">
        <v>82</v>
      </c>
      <c r="E105" s="50">
        <v>3</v>
      </c>
      <c r="F105" s="50">
        <v>18</v>
      </c>
      <c r="G105" s="50">
        <v>84742</v>
      </c>
      <c r="H105" s="50">
        <v>1581834</v>
      </c>
      <c r="I105" s="50">
        <v>11103194</v>
      </c>
      <c r="J105" s="50">
        <v>17002</v>
      </c>
      <c r="K105" s="50">
        <v>0</v>
      </c>
      <c r="L105" s="50">
        <v>313137</v>
      </c>
      <c r="M105" s="50">
        <v>4702</v>
      </c>
      <c r="N105" s="50">
        <v>458144</v>
      </c>
    </row>
    <row r="106" spans="2:14">
      <c r="B106" s="50" t="s">
        <v>27</v>
      </c>
      <c r="C106" s="50">
        <v>3</v>
      </c>
      <c r="D106" s="50">
        <v>170</v>
      </c>
      <c r="E106" s="50">
        <v>3</v>
      </c>
      <c r="F106" s="50">
        <v>18</v>
      </c>
      <c r="G106" s="50">
        <v>104819</v>
      </c>
      <c r="H106" s="50">
        <v>1943579</v>
      </c>
      <c r="I106" s="50">
        <v>14214612</v>
      </c>
      <c r="J106" s="50">
        <v>22554</v>
      </c>
      <c r="K106" s="50">
        <v>0</v>
      </c>
      <c r="L106" s="50">
        <v>412396</v>
      </c>
      <c r="M106" s="50">
        <v>6771</v>
      </c>
      <c r="N106" s="50">
        <v>660937</v>
      </c>
    </row>
  </sheetData>
  <conditionalFormatting sqref="P56">
    <cfRule type="cellIs" dxfId="37" priority="9" operator="equal">
      <formula>$S$44</formula>
    </cfRule>
  </conditionalFormatting>
  <conditionalFormatting sqref="F44:F46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{8c3c40d1-b2f1-49a1-b624-5203060e5a94}</x14:id>
        </ext>
      </extLst>
    </cfRule>
  </conditionalFormatting>
  <conditionalFormatting sqref="F47:F49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{fff35da1-570d-4d76-8efb-6c33ef932ac1}</x14:id>
        </ext>
      </extLst>
    </cfRule>
  </conditionalFormatting>
  <conditionalFormatting sqref="F50:F52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{ee4deb98-6f74-430d-8cbf-cedc51af5efa}</x14:id>
        </ext>
      </extLst>
    </cfRule>
  </conditionalFormatting>
  <conditionalFormatting sqref="F53:F55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{88475da4-39e7-4fbe-95a4-54cab811d8b6}</x14:id>
        </ext>
      </extLst>
    </cfRule>
  </conditionalFormatting>
  <conditionalFormatting sqref="F56:F58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{91ff06b3-aa17-41d4-9ac4-511094123844}</x14:id>
        </ext>
      </extLst>
    </cfRule>
  </conditionalFormatting>
  <conditionalFormatting sqref="F59:F6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{beec635d-b371-4e0e-8702-4ad35c48770c}</x14:id>
        </ext>
      </extLst>
    </cfRule>
  </conditionalFormatting>
  <conditionalFormatting sqref="G44:G46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{96d70076-9b36-447a-9f2a-5496c10ddcb1}</x14:id>
        </ext>
      </extLst>
    </cfRule>
  </conditionalFormatting>
  <conditionalFormatting sqref="G47:G49">
    <cfRule type="dataBar" priority="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{a777bc88-9f2a-420e-9245-aa654dd9db8f}</x14:id>
        </ext>
      </extLst>
    </cfRule>
  </conditionalFormatting>
  <conditionalFormatting sqref="G50:G52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{4f3d68cd-92fe-4827-96bc-2a31dca8619e}</x14:id>
        </ext>
      </extLst>
    </cfRule>
  </conditionalFormatting>
  <conditionalFormatting sqref="G53:G55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{d3d50fe5-d18b-41fb-93fc-8980a7dafe3e}</x14:id>
        </ext>
      </extLst>
    </cfRule>
  </conditionalFormatting>
  <conditionalFormatting sqref="G56:G58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{a28a004d-d564-4371-9af4-06ed961682d0}</x14:id>
        </ext>
      </extLst>
    </cfRule>
  </conditionalFormatting>
  <conditionalFormatting sqref="G59:G61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{aa0649a6-c458-428a-a6b0-dd587041aa74}</x14:id>
        </ext>
      </extLst>
    </cfRule>
  </conditionalFormatting>
  <conditionalFormatting sqref="N44:N61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{e861a2e6-711d-49d2-876d-e1f1bb73bd8d}</x14:id>
        </ext>
      </extLst>
    </cfRule>
  </conditionalFormatting>
  <conditionalFormatting sqref="N53:N55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{8770bbc3-b9b8-4cba-aeb2-764c37262888}</x14:id>
        </ext>
      </extLst>
    </cfRule>
  </conditionalFormatting>
  <conditionalFormatting sqref="N56:N5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{829db4b7-e163-40cc-ad4e-f333d4f4fb26}</x14:id>
        </ext>
      </extLst>
    </cfRule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{2213573a-7b5f-451c-b9e2-edd96f6ed175}</x14:id>
        </ext>
      </extLst>
    </cfRule>
  </conditionalFormatting>
  <conditionalFormatting sqref="N59:N6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{e923af28-90b1-4f9f-a1d8-7fa6a8923334}</x14:id>
        </ext>
      </extLst>
    </cfRule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{ac8e2305-bc5c-47f4-9565-9096c9837d51}</x14:id>
        </ext>
      </extLst>
    </cfRule>
  </conditionalFormatting>
  <conditionalFormatting sqref="O2:O1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{20a3c518-f6fa-4821-8add-081a47a2dddb}</x14:id>
        </ext>
      </extLst>
    </cfRule>
  </conditionalFormatting>
  <conditionalFormatting sqref="O20:O4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{2a2fcceb-fd18-4aa6-9e9e-522b30117ed6}</x14:id>
        </ext>
      </extLst>
    </cfRule>
  </conditionalFormatting>
  <conditionalFormatting sqref="P2:P19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{2a47043d-3d41-4511-9edc-502449222fd1}</x14:id>
        </ext>
      </extLst>
    </cfRule>
  </conditionalFormatting>
  <conditionalFormatting sqref="P20:P40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{a707f39c-f091-4ccf-a5f7-adfa9c4a16aa}</x14:id>
        </ext>
      </extLst>
    </cfRule>
  </conditionalFormatting>
  <conditionalFormatting sqref="Q2:Q40">
    <cfRule type="cellIs" dxfId="38" priority="20" operator="equal">
      <formula>配置!$D$4</formula>
    </cfRule>
    <cfRule type="cellIs" dxfId="39" priority="21" operator="equal">
      <formula>配置!$D$3</formula>
    </cfRule>
    <cfRule type="cellIs" dxfId="37" priority="22" operator="equal">
      <formula>配置!$D$2</formula>
    </cfRule>
  </conditionalFormatting>
  <conditionalFormatting sqref="R44:R49">
    <cfRule type="cellIs" dxfId="37" priority="14" operator="equal">
      <formula>$S$44</formula>
    </cfRule>
  </conditionalFormatting>
  <conditionalFormatting sqref="O41:O42 Q1:R1 Q2 Q4:Q5 Q7:Q8 Q10:Q11 Q13:Q14 Q16:Q17 Q19:Q20 Q22:Q40">
    <cfRule type="cellIs" dxfId="37" priority="30" operator="equal">
      <formula>配置!$D$2</formula>
    </cfRule>
  </conditionalFormatting>
  <conditionalFormatting sqref="Q2 Q4:Q5 Q7:Q8 Q10:Q11 Q13:Q14 Q16:Q17 Q19:Q20 Q22:Q40">
    <cfRule type="cellIs" dxfId="38" priority="29" operator="equal">
      <formula>配置!$D$4</formula>
    </cfRule>
  </conditionalFormatting>
  <conditionalFormatting sqref="P44:P55 P57:P59">
    <cfRule type="cellIs" dxfId="37" priority="13" operator="equal">
      <formula>$S$44</formula>
    </cfRule>
  </conditionalFormatting>
  <dataValidations count="1">
    <dataValidation type="list" allowBlank="1" showInputMessage="1" showErrorMessage="1" sqref="Q2:Q40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c3c40d1-b2f1-49a1-b624-5203060e5a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F44:F46</xm:sqref>
        </x14:conditionalFormatting>
        <x14:conditionalFormatting xmlns:xm="http://schemas.microsoft.com/office/excel/2006/main">
          <x14:cfRule type="dataBar" id="{fff35da1-570d-4d76-8efb-6c33ef932a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F47:F49</xm:sqref>
        </x14:conditionalFormatting>
        <x14:conditionalFormatting xmlns:xm="http://schemas.microsoft.com/office/excel/2006/main">
          <x14:cfRule type="dataBar" id="{ee4deb98-6f74-430d-8cbf-cedc51af5e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F50:F52</xm:sqref>
        </x14:conditionalFormatting>
        <x14:conditionalFormatting xmlns:xm="http://schemas.microsoft.com/office/excel/2006/main">
          <x14:cfRule type="dataBar" id="{88475da4-39e7-4fbe-95a4-54cab811d8b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F53:F55</xm:sqref>
        </x14:conditionalFormatting>
        <x14:conditionalFormatting xmlns:xm="http://schemas.microsoft.com/office/excel/2006/main">
          <x14:cfRule type="dataBar" id="{91ff06b3-aa17-41d4-9ac4-5110941238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F56:F58</xm:sqref>
        </x14:conditionalFormatting>
        <x14:conditionalFormatting xmlns:xm="http://schemas.microsoft.com/office/excel/2006/main">
          <x14:cfRule type="dataBar" id="{beec635d-b371-4e0e-8702-4ad35c4877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F59:F61</xm:sqref>
        </x14:conditionalFormatting>
        <x14:conditionalFormatting xmlns:xm="http://schemas.microsoft.com/office/excel/2006/main">
          <x14:cfRule type="dataBar" id="{96d70076-9b36-447a-9f2a-5496c10ddc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G44:G46</xm:sqref>
        </x14:conditionalFormatting>
        <x14:conditionalFormatting xmlns:xm="http://schemas.microsoft.com/office/excel/2006/main">
          <x14:cfRule type="dataBar" id="{a777bc88-9f2a-420e-9245-aa654dd9db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G47:G49</xm:sqref>
        </x14:conditionalFormatting>
        <x14:conditionalFormatting xmlns:xm="http://schemas.microsoft.com/office/excel/2006/main">
          <x14:cfRule type="dataBar" id="{4f3d68cd-92fe-4827-96bc-2a31dca861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G50:G52</xm:sqref>
        </x14:conditionalFormatting>
        <x14:conditionalFormatting xmlns:xm="http://schemas.microsoft.com/office/excel/2006/main">
          <x14:cfRule type="dataBar" id="{d3d50fe5-d18b-41fb-93fc-8980a7dafe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G53:G55</xm:sqref>
        </x14:conditionalFormatting>
        <x14:conditionalFormatting xmlns:xm="http://schemas.microsoft.com/office/excel/2006/main">
          <x14:cfRule type="dataBar" id="{a28a004d-d564-4371-9af4-06ed961682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G56:G58</xm:sqref>
        </x14:conditionalFormatting>
        <x14:conditionalFormatting xmlns:xm="http://schemas.microsoft.com/office/excel/2006/main">
          <x14:cfRule type="dataBar" id="{aa0649a6-c458-428a-a6b0-dd587041aa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G59:G61</xm:sqref>
        </x14:conditionalFormatting>
        <x14:conditionalFormatting xmlns:xm="http://schemas.microsoft.com/office/excel/2006/main">
          <x14:cfRule type="dataBar" id="{e861a2e6-711d-49d2-876d-e1f1bb73bd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N44:N61</xm:sqref>
        </x14:conditionalFormatting>
        <x14:conditionalFormatting xmlns:xm="http://schemas.microsoft.com/office/excel/2006/main">
          <x14:cfRule type="dataBar" id="{8770bbc3-b9b8-4cba-aeb2-764c372628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N53:N55</xm:sqref>
        </x14:conditionalFormatting>
        <x14:conditionalFormatting xmlns:xm="http://schemas.microsoft.com/office/excel/2006/main">
          <x14:cfRule type="dataBar" id="{829db4b7-e163-40cc-ad4e-f333d4f4fb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213573a-7b5f-451c-b9e2-edd96f6ed1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N56:N58</xm:sqref>
        </x14:conditionalFormatting>
        <x14:conditionalFormatting xmlns:xm="http://schemas.microsoft.com/office/excel/2006/main">
          <x14:cfRule type="dataBar" id="{e923af28-90b1-4f9f-a1d8-7fa6a89233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c8e2305-bc5c-47f4-9565-9096c9837d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N59:N61</xm:sqref>
        </x14:conditionalFormatting>
        <x14:conditionalFormatting xmlns:xm="http://schemas.microsoft.com/office/excel/2006/main">
          <x14:cfRule type="dataBar" id="{20a3c518-f6fa-4821-8add-081a47a2dd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2a2fcceb-fd18-4aa6-9e9e-522b30117e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O20:O40</xm:sqref>
        </x14:conditionalFormatting>
        <x14:conditionalFormatting xmlns:xm="http://schemas.microsoft.com/office/excel/2006/main">
          <x14:cfRule type="dataBar" id="{2a47043d-3d41-4511-9edc-502449222f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a707f39c-f091-4ccf-a5f7-adfa9c4a16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P20:P40</xm:sqref>
        </x14:conditionalFormatting>
      </x14:conditionalFormatting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1"/>
  <sheetViews>
    <sheetView workbookViewId="0">
      <selection activeCell="Y2" sqref="Y2:Y19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5">
        <v>7005</v>
      </c>
      <c r="B2" s="371">
        <f>VLOOKUP(表1_8612182224267274[[#This Row],[区服]],$P$26:$Q$33,2,FALSE)</f>
        <v>45</v>
      </c>
      <c r="C2" s="372" t="s">
        <v>149</v>
      </c>
      <c r="D2" s="373" t="str">
        <f>表1_8612182224267274[[#This Row],[目标国家]]</f>
        <v>魏</v>
      </c>
      <c r="E2" s="374">
        <f>(VLOOKUP(表1_8612182224267274[[#This Row],[目标区服]],$R$26:$S$29,2,FALSE)-表1_8612182224267274[[#This Row],[开服天数]])*配置!$B$1</f>
        <v>1000</v>
      </c>
      <c r="F2" s="374">
        <f>表1_8612182224267274[[#This Row],[补偿Coin]]*(表1_8612182224267274[[#This Row],[活跃高战玩家数]]+表1_8612182224267274[[#This Row],[活跃中坚玩家数]])</f>
        <v>27000</v>
      </c>
      <c r="G2" s="374">
        <f>(VLOOKUP(表1_8612182224267274[[#This Row],[目标区服]],$R$26:$S$29,2,FALSE)-表1_8612182224267274[[#This Row],[开服天数]])*配置!$B$2</f>
        <v>10</v>
      </c>
      <c r="H2" s="376" t="s">
        <v>25</v>
      </c>
      <c r="I2" s="376">
        <f>IF(表1_8612182224267274[[#This Row],[原国家]]="魏",0,IF(表1_8612182224267274[[#This Row],[原国家]]="蜀",1,2))</f>
        <v>0</v>
      </c>
      <c r="J2" s="380">
        <v>4</v>
      </c>
      <c r="K2" s="380">
        <v>121</v>
      </c>
      <c r="L2" s="380">
        <v>5</v>
      </c>
      <c r="M2" s="380">
        <v>22</v>
      </c>
      <c r="N2" s="380">
        <v>142587</v>
      </c>
      <c r="O2" s="380">
        <v>3409817</v>
      </c>
      <c r="P2" s="381">
        <v>26681717</v>
      </c>
      <c r="Q2" s="31" t="s">
        <v>25</v>
      </c>
      <c r="R2" s="376">
        <f>IF(表1_8612182224267274[[#This Row],[目标国家]]="魏",0,IF(表1_8612182224267274[[#This Row],[目标国家]]="蜀",1,2))</f>
        <v>0</v>
      </c>
      <c r="S2" s="380">
        <v>145896</v>
      </c>
      <c r="T2" s="380">
        <v>0</v>
      </c>
      <c r="U2" s="380">
        <v>597377</v>
      </c>
      <c r="V2" s="380">
        <v>13076</v>
      </c>
      <c r="W2" s="374">
        <v>989942</v>
      </c>
      <c r="X2" s="387" t="str">
        <f>"{"&amp;"'coin':"&amp;表1_8612182224267274[[#This Row],[补偿Coin]]&amp;",'"&amp;配置!$A$2&amp;"':"&amp;表1_8612182224267274[[#This Row],[补偿辎重]]&amp;"},"</f>
        <v>{'coin':1000,'item036':10},</v>
      </c>
      <c r="Y2" s="388" t="str">
        <f>"      '"&amp;表1_8612182224267274[[#This Row],[区服]]&amp;"':{"</f>
        <v>      '7005':{</v>
      </c>
    </row>
    <row r="3" s="354" customFormat="1" ht="14.25" customHeight="1" spans="1:25">
      <c r="A3" s="375">
        <v>7005</v>
      </c>
      <c r="B3" s="371">
        <f>VLOOKUP(表1_8612182224267274[[#This Row],[区服]],$P$26:$Q$33,2,FALSE)</f>
        <v>45</v>
      </c>
      <c r="C3" s="372" t="s">
        <v>149</v>
      </c>
      <c r="D3" s="376" t="str">
        <f>表1_8612182224267274[[#This Row],[目标国家]]</f>
        <v>吴</v>
      </c>
      <c r="E3" s="380">
        <f>(VLOOKUP(表1_8612182224267274[[#This Row],[目标区服]],$R$26:$S$29,2,FALSE)-表1_8612182224267274[[#This Row],[开服天数]])*配置!$B$1</f>
        <v>1000</v>
      </c>
      <c r="F3" s="380">
        <f>表1_8612182224267274[[#This Row],[补偿Coin]]*(表1_8612182224267274[[#This Row],[活跃高战玩家数]]+表1_8612182224267274[[#This Row],[活跃中坚玩家数]])</f>
        <v>21000</v>
      </c>
      <c r="G3" s="380">
        <f>(VLOOKUP(表1_8612182224267274[[#This Row],[目标区服]],$R$26:$S$29,2,FALSE)-表1_8612182224267274[[#This Row],[开服天数]])*配置!$B$2</f>
        <v>10</v>
      </c>
      <c r="H3" s="376" t="s">
        <v>26</v>
      </c>
      <c r="I3" s="376">
        <f>IF(表1_8612182224267274[[#This Row],[原国家]]="魏",0,IF(表1_8612182224267274[[#This Row],[原国家]]="蜀",1,2))</f>
        <v>1</v>
      </c>
      <c r="J3" s="380">
        <v>3</v>
      </c>
      <c r="K3" s="380">
        <v>195</v>
      </c>
      <c r="L3" s="380">
        <v>2</v>
      </c>
      <c r="M3" s="380">
        <v>19</v>
      </c>
      <c r="N3" s="380">
        <v>85912</v>
      </c>
      <c r="O3" s="380">
        <v>2943505</v>
      </c>
      <c r="P3" s="381">
        <v>17116986</v>
      </c>
      <c r="Q3" s="31" t="s">
        <v>27</v>
      </c>
      <c r="R3" s="376">
        <f>IF(表1_8612182224267274[[#This Row],[目标国家]]="魏",0,IF(表1_8612182224267274[[#This Row],[目标国家]]="蜀",1,2))</f>
        <v>2</v>
      </c>
      <c r="S3" s="380">
        <v>106610</v>
      </c>
      <c r="T3" s="380">
        <v>0</v>
      </c>
      <c r="U3" s="380">
        <v>293050</v>
      </c>
      <c r="V3" s="380">
        <v>10679</v>
      </c>
      <c r="W3" s="374">
        <v>981586</v>
      </c>
      <c r="X3" s="387" t="str">
        <f>"{"&amp;"'coin':"&amp;表1_8612182224267274[[#This Row],[补偿Coin]]&amp;",'"&amp;配置!$A$2&amp;"':"&amp;表1_8612182224267274[[#This Row],[补偿辎重]]&amp;"},"</f>
        <v>{'coin':1000,'item036':10},</v>
      </c>
      <c r="Y3" s="388" t="str">
        <f>"            'to_zone':'"&amp;表1_8612182224267274[[#This Row],[目标区服]]&amp;"',
            'reward':"&amp;表1_8612182224267274[[#This Row],[辅助导出]]&amp;"
            'country':["&amp;R2&amp;","&amp;R3&amp;","&amp;R4&amp;"],"</f>
        <v>            'to_zone':'h1_703',
            'reward':{'coin':1000,'item036':10},
            'country':[0,2,2],</v>
      </c>
    </row>
    <row r="4" s="354" customFormat="1" ht="14.25" customHeight="1" spans="1:25">
      <c r="A4" s="375">
        <v>7005</v>
      </c>
      <c r="B4" s="371">
        <f>VLOOKUP(表1_8612182224267274[[#This Row],[区服]],$P$26:$Q$33,2,FALSE)</f>
        <v>45</v>
      </c>
      <c r="C4" s="372" t="s">
        <v>149</v>
      </c>
      <c r="D4" s="376" t="str">
        <f>表1_8612182224267274[[#This Row],[目标国家]]</f>
        <v>吴</v>
      </c>
      <c r="E4" s="380">
        <f>(VLOOKUP(表1_8612182224267274[[#This Row],[目标区服]],$R$26:$S$29,2,FALSE)-表1_8612182224267274[[#This Row],[开服天数]])*配置!$B$1</f>
        <v>1000</v>
      </c>
      <c r="F4" s="380">
        <f>表1_8612182224267274[[#This Row],[补偿Coin]]*(表1_8612182224267274[[#This Row],[活跃高战玩家数]]+表1_8612182224267274[[#This Row],[活跃中坚玩家数]])</f>
        <v>13000</v>
      </c>
      <c r="G4" s="380">
        <f>(VLOOKUP(表1_8612182224267274[[#This Row],[目标区服]],$R$26:$S$29,2,FALSE)-表1_8612182224267274[[#This Row],[开服天数]])*配置!$B$2</f>
        <v>10</v>
      </c>
      <c r="H4" s="376" t="s">
        <v>27</v>
      </c>
      <c r="I4" s="376">
        <f>IF(表1_8612182224267274[[#This Row],[原国家]]="魏",0,IF(表1_8612182224267274[[#This Row],[原国家]]="蜀",1,2))</f>
        <v>2</v>
      </c>
      <c r="J4" s="380">
        <v>2</v>
      </c>
      <c r="K4" s="380">
        <v>79</v>
      </c>
      <c r="L4" s="380">
        <v>2</v>
      </c>
      <c r="M4" s="380">
        <v>11</v>
      </c>
      <c r="N4" s="380">
        <v>46656</v>
      </c>
      <c r="O4" s="380">
        <v>2362520</v>
      </c>
      <c r="P4" s="381">
        <v>10361059</v>
      </c>
      <c r="Q4" s="31" t="s">
        <v>27</v>
      </c>
      <c r="R4" s="376">
        <f>IF(表1_8612182224267274[[#This Row],[目标国家]]="魏",0,IF(表1_8612182224267274[[#This Row],[目标国家]]="蜀",1,2))</f>
        <v>2</v>
      </c>
      <c r="S4" s="380">
        <v>13632</v>
      </c>
      <c r="T4" s="380">
        <v>82402</v>
      </c>
      <c r="U4" s="380">
        <v>456830</v>
      </c>
      <c r="V4" s="380">
        <v>6083</v>
      </c>
      <c r="W4" s="374">
        <v>936850</v>
      </c>
      <c r="X4" s="387" t="str">
        <f>"{"&amp;"'coin':"&amp;表1_8612182224267274[[#This Row],[补偿Coin]]&amp;",'"&amp;配置!$A$2&amp;"':"&amp;表1_8612182224267274[[#This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5">
        <v>7006</v>
      </c>
      <c r="B5" s="371">
        <f>VLOOKUP(表1_8612182224267274[[#This Row],[区服]],$P$26:$Q$33,2,FALSE)</f>
        <v>44</v>
      </c>
      <c r="C5" s="372" t="s">
        <v>149</v>
      </c>
      <c r="D5" s="376" t="str">
        <f>表1_8612182224267274[[#This Row],[目标国家]]</f>
        <v>魏</v>
      </c>
      <c r="E5" s="380">
        <f>(VLOOKUP(表1_8612182224267274[[#This Row],[目标区服]],$R$26:$S$29,2,FALSE)-表1_8612182224267274[[#This Row],[开服天数]])*配置!$B$1</f>
        <v>1500</v>
      </c>
      <c r="F5" s="380">
        <f>表1_8612182224267274[[#This Row],[补偿Coin]]*(表1_8612182224267274[[#This Row],[活跃高战玩家数]]+表1_8612182224267274[[#This Row],[活跃中坚玩家数]])</f>
        <v>37500</v>
      </c>
      <c r="G5" s="380">
        <f>(VLOOKUP(表1_8612182224267274[[#This Row],[目标区服]],$R$26:$S$29,2,FALSE)-表1_8612182224267274[[#This Row],[开服天数]])*配置!$B$2</f>
        <v>15</v>
      </c>
      <c r="H5" s="376" t="s">
        <v>25</v>
      </c>
      <c r="I5" s="376">
        <f>IF(表1_8612182224267274[[#This Row],[原国家]]="魏",0,IF(表1_8612182224267274[[#This Row],[原国家]]="蜀",1,2))</f>
        <v>0</v>
      </c>
      <c r="J5" s="380">
        <v>4</v>
      </c>
      <c r="K5" s="380">
        <v>178</v>
      </c>
      <c r="L5" s="380">
        <v>4</v>
      </c>
      <c r="M5" s="380">
        <v>21</v>
      </c>
      <c r="N5" s="380">
        <v>107775</v>
      </c>
      <c r="O5" s="380">
        <v>3047846</v>
      </c>
      <c r="P5" s="381">
        <v>20549553</v>
      </c>
      <c r="Q5" s="31" t="s">
        <v>25</v>
      </c>
      <c r="R5" s="376">
        <f>IF(表1_8612182224267274[[#This Row],[目标国家]]="魏",0,IF(表1_8612182224267274[[#This Row],[目标国家]]="蜀",1,2))</f>
        <v>0</v>
      </c>
      <c r="S5" s="380">
        <v>98478</v>
      </c>
      <c r="T5" s="380">
        <v>0</v>
      </c>
      <c r="U5" s="380">
        <v>430213</v>
      </c>
      <c r="V5" s="380">
        <v>10991</v>
      </c>
      <c r="W5" s="374">
        <v>992613</v>
      </c>
      <c r="X5" s="387" t="str">
        <f>"{"&amp;"'coin':"&amp;表1_8612182224267274[[#This Row],[补偿Coin]]&amp;",'"&amp;配置!$A$2&amp;"':"&amp;表1_8612182224267274[[#This Row],[补偿辎重]]&amp;"},"</f>
        <v>{'coin':1500,'item036':15},</v>
      </c>
      <c r="Y5" s="388" t="str">
        <f>"      '"&amp;表1_8612182224267274[[#This Row],[区服]]&amp;"':{"</f>
        <v>      '7006':{</v>
      </c>
    </row>
    <row r="6" s="354" customFormat="1" ht="14.25" customHeight="1" spans="1:25">
      <c r="A6" s="375">
        <v>7006</v>
      </c>
      <c r="B6" s="371">
        <f>VLOOKUP(表1_8612182224267274[[#This Row],[区服]],$P$26:$Q$33,2,FALSE)</f>
        <v>44</v>
      </c>
      <c r="C6" s="372" t="s">
        <v>149</v>
      </c>
      <c r="D6" s="376" t="str">
        <f>表1_8612182224267274[[#This Row],[目标国家]]</f>
        <v>蜀</v>
      </c>
      <c r="E6" s="380">
        <f>(VLOOKUP(表1_8612182224267274[[#This Row],[目标区服]],$R$26:$S$29,2,FALSE)-表1_8612182224267274[[#This Row],[开服天数]])*配置!$B$1</f>
        <v>1500</v>
      </c>
      <c r="F6" s="380">
        <f>表1_8612182224267274[[#This Row],[补偿Coin]]*(表1_8612182224267274[[#This Row],[活跃高战玩家数]]+表1_8612182224267274[[#This Row],[活跃中坚玩家数]])</f>
        <v>49500</v>
      </c>
      <c r="G6" s="380">
        <f>(VLOOKUP(表1_8612182224267274[[#This Row],[目标区服]],$R$26:$S$29,2,FALSE)-表1_8612182224267274[[#This Row],[开服天数]])*配置!$B$2</f>
        <v>15</v>
      </c>
      <c r="H6" s="376" t="s">
        <v>26</v>
      </c>
      <c r="I6" s="376">
        <f>IF(表1_8612182224267274[[#This Row],[原国家]]="魏",0,IF(表1_8612182224267274[[#This Row],[原国家]]="蜀",1,2))</f>
        <v>1</v>
      </c>
      <c r="J6" s="380">
        <v>5</v>
      </c>
      <c r="K6" s="380">
        <v>188</v>
      </c>
      <c r="L6" s="380">
        <v>6</v>
      </c>
      <c r="M6" s="380">
        <v>27</v>
      </c>
      <c r="N6" s="380">
        <v>172317</v>
      </c>
      <c r="O6" s="380">
        <v>2915641</v>
      </c>
      <c r="P6" s="381">
        <v>29684619</v>
      </c>
      <c r="Q6" s="31" t="s">
        <v>26</v>
      </c>
      <c r="R6" s="376">
        <f>IF(表1_8612182224267274[[#This Row],[目标国家]]="魏",0,IF(表1_8612182224267274[[#This Row],[目标国家]]="蜀",1,2))</f>
        <v>1</v>
      </c>
      <c r="S6" s="380">
        <v>97744</v>
      </c>
      <c r="T6" s="380">
        <v>0</v>
      </c>
      <c r="U6" s="380">
        <v>562566</v>
      </c>
      <c r="V6" s="380">
        <v>12339</v>
      </c>
      <c r="W6" s="374">
        <v>1016094</v>
      </c>
      <c r="X6" s="387" t="str">
        <f>"{"&amp;"'coin':"&amp;表1_8612182224267274[[#This Row],[补偿Coin]]&amp;",'"&amp;配置!$A$2&amp;"':"&amp;表1_8612182224267274[[#This Row],[补偿辎重]]&amp;"},"</f>
        <v>{'coin':1500,'item036':15},</v>
      </c>
      <c r="Y6" s="388" t="str">
        <f>"            'to_zone':'"&amp;表1_8612182224267274[[#This Row],[目标区服]]&amp;"',
            'reward':"&amp;表1_8612182224267274[[#This Row],[辅助导出]]&amp;"
            'country':["&amp;R5&amp;","&amp;R6&amp;","&amp;R7&amp;"],"</f>
        <v>            'to_zone':'h1_703',
            'reward':{'coin':1500,'item036':15},
            'country':[0,1,2],</v>
      </c>
    </row>
    <row r="7" s="354" customFormat="1" ht="14.25" customHeight="1" spans="1:25">
      <c r="A7" s="375">
        <v>7006</v>
      </c>
      <c r="B7" s="371">
        <f>VLOOKUP(表1_8612182224267274[[#This Row],[区服]],$P$26:$Q$33,2,FALSE)</f>
        <v>44</v>
      </c>
      <c r="C7" s="372" t="s">
        <v>149</v>
      </c>
      <c r="D7" s="376" t="str">
        <f>表1_8612182224267274[[#This Row],[目标国家]]</f>
        <v>吴</v>
      </c>
      <c r="E7" s="380">
        <f>(VLOOKUP(表1_8612182224267274[[#This Row],[目标区服]],$R$26:$S$29,2,FALSE)-表1_8612182224267274[[#This Row],[开服天数]])*配置!$B$1</f>
        <v>1500</v>
      </c>
      <c r="F7" s="380">
        <f>表1_8612182224267274[[#This Row],[补偿Coin]]*(表1_8612182224267274[[#This Row],[活跃高战玩家数]]+表1_8612182224267274[[#This Row],[活跃中坚玩家数]])</f>
        <v>7500</v>
      </c>
      <c r="G7" s="380">
        <f>(VLOOKUP(表1_8612182224267274[[#This Row],[目标区服]],$R$26:$S$29,2,FALSE)-表1_8612182224267274[[#This Row],[开服天数]])*配置!$B$2</f>
        <v>15</v>
      </c>
      <c r="H7" s="376" t="s">
        <v>27</v>
      </c>
      <c r="I7" s="376">
        <f>IF(表1_8612182224267274[[#This Row],[原国家]]="魏",0,IF(表1_8612182224267274[[#This Row],[原国家]]="蜀",1,2))</f>
        <v>2</v>
      </c>
      <c r="J7" s="380">
        <v>0</v>
      </c>
      <c r="K7" s="380">
        <v>29</v>
      </c>
      <c r="L7" s="380">
        <v>0</v>
      </c>
      <c r="M7" s="380">
        <v>5</v>
      </c>
      <c r="N7" s="380">
        <v>13598</v>
      </c>
      <c r="O7" s="380">
        <v>657981</v>
      </c>
      <c r="P7" s="381">
        <v>2586380</v>
      </c>
      <c r="Q7" s="31" t="s">
        <v>27</v>
      </c>
      <c r="R7" s="376">
        <f>IF(表1_8612182224267274[[#This Row],[目标国家]]="魏",0,IF(表1_8612182224267274[[#This Row],[目标国家]]="蜀",1,2))</f>
        <v>2</v>
      </c>
      <c r="S7" s="380">
        <v>1802</v>
      </c>
      <c r="T7" s="380">
        <v>0</v>
      </c>
      <c r="U7" s="380">
        <v>8572</v>
      </c>
      <c r="V7" s="380">
        <v>1332</v>
      </c>
      <c r="W7" s="374">
        <v>212244</v>
      </c>
      <c r="X7" s="387" t="str">
        <f>"{"&amp;"'coin':"&amp;表1_8612182224267274[[#This Row],[补偿Coin]]&amp;",'"&amp;配置!$A$2&amp;"':"&amp;表1_8612182224267274[[#This Row],[补偿辎重]]&amp;"},"</f>
        <v>{'coin':1500,'item036':15},</v>
      </c>
      <c r="Y7" s="388" t="str">
        <f t="shared" ref="Y7" si="0">"      },"</f>
        <v>      },</v>
      </c>
    </row>
    <row r="8" s="354" customFormat="1" ht="14.25" customHeight="1" spans="1:25">
      <c r="A8" s="259">
        <v>7007</v>
      </c>
      <c r="B8" s="210">
        <f>VLOOKUP(表1_8612182224267274[[#This Row],[区服]],$P$26:$Q$33,2,FALSE)</f>
        <v>43</v>
      </c>
      <c r="C8" s="296" t="s">
        <v>150</v>
      </c>
      <c r="D8" s="212" t="str">
        <f>表1_8612182224267274[[#This Row],[目标国家]]</f>
        <v>吴</v>
      </c>
      <c r="E8" s="213">
        <f>(VLOOKUP(表1_8612182224267274[[#This Row],[目标区服]],$R$26:$S$29,2,FALSE)-表1_8612182224267274[[#This Row],[开服天数]])*配置!$B$1</f>
        <v>1000</v>
      </c>
      <c r="F8" s="213">
        <f>表1_8612182224267274[[#This Row],[补偿Coin]]*(表1_8612182224267274[[#This Row],[活跃高战玩家数]]+表1_8612182224267274[[#This Row],[活跃中坚玩家数]])</f>
        <v>18000</v>
      </c>
      <c r="G8" s="260">
        <f>(VLOOKUP(表1_8612182224267274[[#This Row],[目标区服]],$R$26:$S$29,2,FALSE)-表1_8612182224267274[[#This Row],[开服天数]])*配置!$B$2</f>
        <v>10</v>
      </c>
      <c r="H8" s="212" t="s">
        <v>25</v>
      </c>
      <c r="I8" s="268">
        <f>IF(表1_8612182224267274[[#This Row],[原国家]]="魏",0,IF(表1_8612182224267274[[#This Row],[原国家]]="蜀",1,2))</f>
        <v>0</v>
      </c>
      <c r="J8" s="213">
        <v>0</v>
      </c>
      <c r="K8" s="213">
        <v>50</v>
      </c>
      <c r="L8" s="213">
        <v>1</v>
      </c>
      <c r="M8" s="213">
        <v>17</v>
      </c>
      <c r="N8" s="213">
        <v>59398</v>
      </c>
      <c r="O8" s="419">
        <v>1029236</v>
      </c>
      <c r="P8" s="420">
        <v>9024609</v>
      </c>
      <c r="Q8" s="31" t="s">
        <v>27</v>
      </c>
      <c r="R8" s="212">
        <f>IF(表1_8612182224267274[[#This Row],[目标国家]]="魏",0,IF(表1_8612182224267274[[#This Row],[目标国家]]="蜀",1,2))</f>
        <v>2</v>
      </c>
      <c r="S8" s="213">
        <v>7268</v>
      </c>
      <c r="T8" s="213">
        <v>18242</v>
      </c>
      <c r="U8" s="213">
        <v>145656</v>
      </c>
      <c r="V8" s="213">
        <v>3201</v>
      </c>
      <c r="W8" s="213">
        <v>301588</v>
      </c>
      <c r="X8" s="278" t="str">
        <f>"{"&amp;"'coin':"&amp;表1_8612182224267274[[#This Row],[补偿Coin]]&amp;",'"&amp;配置!$A$2&amp;"':"&amp;表1_8612182224267274[[#This Row],[补偿辎重]]&amp;"},"</f>
        <v>{'coin':1000,'item036':10},</v>
      </c>
      <c r="Y8" s="278" t="str">
        <f>"      '"&amp;表1_8612182224267274[[#This Row],[区服]]&amp;"':{"</f>
        <v>      '7007':{</v>
      </c>
    </row>
    <row r="9" s="354" customFormat="1" ht="14.25" customHeight="1" spans="1:25">
      <c r="A9" s="259">
        <v>7007</v>
      </c>
      <c r="B9" s="210">
        <f>VLOOKUP(表1_8612182224267274[[#This Row],[区服]],$P$26:$Q$33,2,FALSE)</f>
        <v>43</v>
      </c>
      <c r="C9" s="296" t="s">
        <v>150</v>
      </c>
      <c r="D9" s="212" t="str">
        <f>表1_8612182224267274[[#This Row],[目标国家]]</f>
        <v>魏</v>
      </c>
      <c r="E9" s="213">
        <f>(VLOOKUP(表1_8612182224267274[[#This Row],[目标区服]],$R$26:$S$29,2,FALSE)-表1_8612182224267274[[#This Row],[开服天数]])*配置!$B$1</f>
        <v>1000</v>
      </c>
      <c r="F9" s="213">
        <f>表1_8612182224267274[[#This Row],[补偿Coin]]*(表1_8612182224267274[[#This Row],[活跃高战玩家数]]+表1_8612182224267274[[#This Row],[活跃中坚玩家数]])</f>
        <v>16000</v>
      </c>
      <c r="G9" s="260">
        <f>(VLOOKUP(表1_8612182224267274[[#This Row],[目标区服]],$R$26:$S$29,2,FALSE)-表1_8612182224267274[[#This Row],[开服天数]])*配置!$B$2</f>
        <v>10</v>
      </c>
      <c r="H9" s="212" t="s">
        <v>26</v>
      </c>
      <c r="I9" s="268">
        <f>IF(表1_8612182224267274[[#This Row],[原国家]]="魏",0,IF(表1_8612182224267274[[#This Row],[原国家]]="蜀",1,2))</f>
        <v>1</v>
      </c>
      <c r="J9" s="213">
        <v>1</v>
      </c>
      <c r="K9" s="213">
        <v>93</v>
      </c>
      <c r="L9" s="213">
        <v>2</v>
      </c>
      <c r="M9" s="213">
        <v>14</v>
      </c>
      <c r="N9" s="213">
        <v>74119</v>
      </c>
      <c r="O9" s="419">
        <v>1478286</v>
      </c>
      <c r="P9" s="420">
        <v>10306805</v>
      </c>
      <c r="Q9" s="31" t="s">
        <v>25</v>
      </c>
      <c r="R9" s="212">
        <f>IF(表1_8612182224267274[[#This Row],[目标国家]]="魏",0,IF(表1_8612182224267274[[#This Row],[目标国家]]="蜀",1,2))</f>
        <v>0</v>
      </c>
      <c r="S9" s="213">
        <v>29292</v>
      </c>
      <c r="T9" s="213">
        <v>0</v>
      </c>
      <c r="U9" s="213">
        <v>195359</v>
      </c>
      <c r="V9" s="213">
        <v>4886</v>
      </c>
      <c r="W9" s="213">
        <v>434511</v>
      </c>
      <c r="X9" s="278" t="str">
        <f>"{"&amp;"'coin':"&amp;表1_8612182224267274[[#This Row],[补偿Coin]]&amp;",'"&amp;配置!$A$2&amp;"':"&amp;表1_8612182224267274[[#This Row],[补偿辎重]]&amp;"},"</f>
        <v>{'coin':1000,'item036':10},</v>
      </c>
      <c r="Y9" s="278" t="str">
        <f>"            'to_zone':'"&amp;表1_8612182224267274[[#This Row],[目标区服]]&amp;"',
            'reward':"&amp;表1_8612182224267274[[#This Row],[辅助导出]]&amp;"
            'country':["&amp;R8&amp;","&amp;R9&amp;","&amp;R10&amp;"],"</f>
        <v>            'to_zone':'h1_704',
            'reward':{'coin':1000,'item036':10},
            'country':[2,0,1],</v>
      </c>
    </row>
    <row r="10" s="354" customFormat="1" ht="14.25" customHeight="1" spans="1:25">
      <c r="A10" s="259">
        <v>7007</v>
      </c>
      <c r="B10" s="210">
        <f>VLOOKUP(表1_8612182224267274[[#This Row],[区服]],$P$26:$Q$33,2,FALSE)</f>
        <v>43</v>
      </c>
      <c r="C10" s="296" t="s">
        <v>150</v>
      </c>
      <c r="D10" s="212" t="str">
        <f>表1_8612182224267274[[#This Row],[目标国家]]</f>
        <v>蜀</v>
      </c>
      <c r="E10" s="213">
        <f>(VLOOKUP(表1_8612182224267274[[#This Row],[目标区服]],$R$26:$S$29,2,FALSE)-表1_8612182224267274[[#This Row],[开服天数]])*配置!$B$1</f>
        <v>1000</v>
      </c>
      <c r="F10" s="213">
        <f>表1_8612182224267274[[#This Row],[补偿Coin]]*(表1_8612182224267274[[#This Row],[活跃高战玩家数]]+表1_8612182224267274[[#This Row],[活跃中坚玩家数]])</f>
        <v>31000</v>
      </c>
      <c r="G10" s="260">
        <f>(VLOOKUP(表1_8612182224267274[[#This Row],[目标区服]],$R$26:$S$29,2,FALSE)-表1_8612182224267274[[#This Row],[开服天数]])*配置!$B$2</f>
        <v>10</v>
      </c>
      <c r="H10" s="212" t="s">
        <v>27</v>
      </c>
      <c r="I10" s="268">
        <f>IF(表1_8612182224267274[[#This Row],[原国家]]="魏",0,IF(表1_8612182224267274[[#This Row],[原国家]]="蜀",1,2))</f>
        <v>2</v>
      </c>
      <c r="J10" s="213">
        <v>8</v>
      </c>
      <c r="K10" s="213">
        <v>252</v>
      </c>
      <c r="L10" s="213">
        <v>6</v>
      </c>
      <c r="M10" s="213">
        <v>25</v>
      </c>
      <c r="N10" s="213">
        <v>152104</v>
      </c>
      <c r="O10" s="419">
        <v>1960759</v>
      </c>
      <c r="P10" s="420">
        <v>21813522</v>
      </c>
      <c r="Q10" s="31" t="s">
        <v>26</v>
      </c>
      <c r="R10" s="212">
        <f>IF(表1_8612182224267274[[#This Row],[目标国家]]="魏",0,IF(表1_8612182224267274[[#This Row],[目标国家]]="蜀",1,2))</f>
        <v>1</v>
      </c>
      <c r="S10" s="213">
        <v>31532</v>
      </c>
      <c r="T10" s="213">
        <v>0</v>
      </c>
      <c r="U10" s="213">
        <v>272112</v>
      </c>
      <c r="V10" s="213">
        <v>9304</v>
      </c>
      <c r="W10" s="213">
        <v>505568</v>
      </c>
      <c r="X10" s="278" t="str">
        <f>"{"&amp;"'coin':"&amp;表1_8612182224267274[[#This Row],[补偿Coin]]&amp;",'"&amp;配置!$A$2&amp;"':"&amp;表1_8612182224267274[[#This Row],[补偿辎重]]&amp;"},"</f>
        <v>{'coin':1000,'item036':10},</v>
      </c>
      <c r="Y10" s="278" t="str">
        <f>"      },"</f>
        <v>      },</v>
      </c>
    </row>
    <row r="11" s="354" customFormat="1" ht="14.25" customHeight="1" spans="1:25">
      <c r="A11" s="259">
        <v>7008</v>
      </c>
      <c r="B11" s="210">
        <f>VLOOKUP(表1_8612182224267274[[#This Row],[区服]],$P$26:$Q$33,2,FALSE)</f>
        <v>42</v>
      </c>
      <c r="C11" s="296" t="s">
        <v>150</v>
      </c>
      <c r="D11" s="212" t="str">
        <f>表1_8612182224267274[[#This Row],[目标国家]]</f>
        <v>魏</v>
      </c>
      <c r="E11" s="213">
        <f>(VLOOKUP(表1_8612182224267274[[#This Row],[目标区服]],$R$26:$S$29,2,FALSE)-表1_8612182224267274[[#This Row],[开服天数]])*配置!$B$1</f>
        <v>1500</v>
      </c>
      <c r="F11" s="213">
        <f>表1_8612182224267274[[#This Row],[补偿Coin]]*(表1_8612182224267274[[#This Row],[活跃高战玩家数]]+表1_8612182224267274[[#This Row],[活跃中坚玩家数]])</f>
        <v>30000</v>
      </c>
      <c r="G11" s="260">
        <f>(VLOOKUP(表1_8612182224267274[[#This Row],[目标区服]],$R$26:$S$29,2,FALSE)-表1_8612182224267274[[#This Row],[开服天数]])*配置!$B$2</f>
        <v>15</v>
      </c>
      <c r="H11" s="212" t="s">
        <v>25</v>
      </c>
      <c r="I11" s="268">
        <f>IF(表1_8612182224267274[[#This Row],[原国家]]="魏",0,IF(表1_8612182224267274[[#This Row],[原国家]]="蜀",1,2))</f>
        <v>0</v>
      </c>
      <c r="J11" s="213">
        <v>3</v>
      </c>
      <c r="K11" s="213">
        <v>86</v>
      </c>
      <c r="L11" s="213">
        <v>3</v>
      </c>
      <c r="M11" s="213">
        <v>17</v>
      </c>
      <c r="N11" s="213">
        <v>88159</v>
      </c>
      <c r="O11" s="419">
        <v>2360773</v>
      </c>
      <c r="P11" s="420">
        <v>13977842</v>
      </c>
      <c r="Q11" s="31" t="s">
        <v>25</v>
      </c>
      <c r="R11" s="212">
        <f>IF(表1_8612182224267274[[#This Row],[目标国家]]="魏",0,IF(表1_8612182224267274[[#This Row],[目标国家]]="蜀",1,2))</f>
        <v>0</v>
      </c>
      <c r="S11" s="213">
        <v>60228</v>
      </c>
      <c r="T11" s="213">
        <v>0</v>
      </c>
      <c r="U11" s="213">
        <v>165942</v>
      </c>
      <c r="V11" s="213">
        <v>7249</v>
      </c>
      <c r="W11" s="213">
        <v>819875</v>
      </c>
      <c r="X11" s="278" t="str">
        <f>"{"&amp;"'coin':"&amp;表1_8612182224267274[[#This Row],[补偿Coin]]&amp;",'"&amp;配置!$A$2&amp;"':"&amp;表1_8612182224267274[[#This Row],[补偿辎重]]&amp;"},"</f>
        <v>{'coin':1500,'item036':15},</v>
      </c>
      <c r="Y11" s="278" t="str">
        <f>"      '"&amp;表1_8612182224267274[[#This Row],[区服]]&amp;"':{"</f>
        <v>      '7008':{</v>
      </c>
    </row>
    <row r="12" s="354" customFormat="1" ht="14.25" customHeight="1" spans="1:25">
      <c r="A12" s="259">
        <v>7008</v>
      </c>
      <c r="B12" s="210">
        <f>VLOOKUP(表1_8612182224267274[[#This Row],[区服]],$P$26:$Q$33,2,FALSE)</f>
        <v>42</v>
      </c>
      <c r="C12" s="296" t="s">
        <v>150</v>
      </c>
      <c r="D12" s="212" t="str">
        <f>表1_8612182224267274[[#This Row],[目标国家]]</f>
        <v>蜀</v>
      </c>
      <c r="E12" s="213">
        <f>(VLOOKUP(表1_8612182224267274[[#This Row],[目标区服]],$R$26:$S$29,2,FALSE)-表1_8612182224267274[[#This Row],[开服天数]])*配置!$B$1</f>
        <v>1500</v>
      </c>
      <c r="F12" s="213">
        <f>表1_8612182224267274[[#This Row],[补偿Coin]]*(表1_8612182224267274[[#This Row],[活跃高战玩家数]]+表1_8612182224267274[[#This Row],[活跃中坚玩家数]])</f>
        <v>25500</v>
      </c>
      <c r="G12" s="260">
        <f>(VLOOKUP(表1_8612182224267274[[#This Row],[目标区服]],$R$26:$S$29,2,FALSE)-表1_8612182224267274[[#This Row],[开服天数]])*配置!$B$2</f>
        <v>15</v>
      </c>
      <c r="H12" s="212" t="s">
        <v>26</v>
      </c>
      <c r="I12" s="268">
        <f>IF(表1_8612182224267274[[#This Row],[原国家]]="魏",0,IF(表1_8612182224267274[[#This Row],[原国家]]="蜀",1,2))</f>
        <v>1</v>
      </c>
      <c r="J12" s="213">
        <v>3</v>
      </c>
      <c r="K12" s="213">
        <v>172</v>
      </c>
      <c r="L12" s="213">
        <v>3</v>
      </c>
      <c r="M12" s="213">
        <v>14</v>
      </c>
      <c r="N12" s="213">
        <v>85228</v>
      </c>
      <c r="O12" s="419">
        <v>2205430</v>
      </c>
      <c r="P12" s="420">
        <v>13622601</v>
      </c>
      <c r="Q12" s="31" t="s">
        <v>26</v>
      </c>
      <c r="R12" s="212">
        <f>IF(表1_8612182224267274[[#This Row],[目标国家]]="魏",0,IF(表1_8612182224267274[[#This Row],[目标国家]]="蜀",1,2))</f>
        <v>1</v>
      </c>
      <c r="S12" s="213">
        <v>71364</v>
      </c>
      <c r="T12" s="213">
        <v>0</v>
      </c>
      <c r="U12" s="213">
        <v>398024</v>
      </c>
      <c r="V12" s="213">
        <v>8353</v>
      </c>
      <c r="W12" s="213">
        <v>779335</v>
      </c>
      <c r="X12" s="278" t="str">
        <f>"{"&amp;"'coin':"&amp;表1_8612182224267274[[#This Row],[补偿Coin]]&amp;",'"&amp;配置!$A$2&amp;"':"&amp;表1_8612182224267274[[#This Row],[补偿辎重]]&amp;"},"</f>
        <v>{'coin':1500,'item036':15},</v>
      </c>
      <c r="Y12" s="278" t="str">
        <f>"            'to_zone':'"&amp;表1_8612182224267274[[#This Row],[目标区服]]&amp;"',
            'reward':"&amp;表1_8612182224267274[[#This Row],[辅助导出]]&amp;"
            'country':["&amp;R11&amp;","&amp;R12&amp;","&amp;R13&amp;"],"</f>
        <v>            'to_zone':'h1_704',
            'reward':{'coin':1500,'item036':15},
            'country':[0,1,2],</v>
      </c>
    </row>
    <row r="13" s="354" customFormat="1" ht="14.25" customHeight="1" spans="1:25">
      <c r="A13" s="259">
        <v>7008</v>
      </c>
      <c r="B13" s="210">
        <f>VLOOKUP(表1_8612182224267274[[#This Row],[区服]],$P$26:$Q$33,2,FALSE)</f>
        <v>42</v>
      </c>
      <c r="C13" s="296" t="s">
        <v>150</v>
      </c>
      <c r="D13" s="212" t="str">
        <f>表1_8612182224267274[[#This Row],[目标国家]]</f>
        <v>吴</v>
      </c>
      <c r="E13" s="213">
        <f>(VLOOKUP(表1_8612182224267274[[#This Row],[目标区服]],$R$26:$S$29,2,FALSE)-表1_8612182224267274[[#This Row],[开服天数]])*配置!$B$1</f>
        <v>1500</v>
      </c>
      <c r="F13" s="213">
        <f>表1_8612182224267274[[#This Row],[补偿Coin]]*(表1_8612182224267274[[#This Row],[活跃高战玩家数]]+表1_8612182224267274[[#This Row],[活跃中坚玩家数]])</f>
        <v>34500</v>
      </c>
      <c r="G13" s="260">
        <f>(VLOOKUP(表1_8612182224267274[[#This Row],[目标区服]],$R$26:$S$29,2,FALSE)-表1_8612182224267274[[#This Row],[开服天数]])*配置!$B$2</f>
        <v>15</v>
      </c>
      <c r="H13" s="212" t="s">
        <v>27</v>
      </c>
      <c r="I13" s="268">
        <f>IF(表1_8612182224267274[[#This Row],[原国家]]="魏",0,IF(表1_8612182224267274[[#This Row],[原国家]]="蜀",1,2))</f>
        <v>2</v>
      </c>
      <c r="J13" s="213">
        <v>3</v>
      </c>
      <c r="K13" s="213">
        <v>137</v>
      </c>
      <c r="L13" s="213">
        <v>4</v>
      </c>
      <c r="M13" s="213">
        <v>19</v>
      </c>
      <c r="N13" s="213">
        <v>125740</v>
      </c>
      <c r="O13" s="419">
        <v>2562798</v>
      </c>
      <c r="P13" s="420">
        <v>19711184</v>
      </c>
      <c r="Q13" s="31" t="s">
        <v>27</v>
      </c>
      <c r="R13" s="212">
        <f>IF(表1_8612182224267274[[#This Row],[目标国家]]="魏",0,IF(表1_8612182224267274[[#This Row],[目标国家]]="蜀",1,2))</f>
        <v>2</v>
      </c>
      <c r="S13" s="213">
        <v>90824</v>
      </c>
      <c r="T13" s="213">
        <v>36672</v>
      </c>
      <c r="U13" s="213">
        <v>561848</v>
      </c>
      <c r="V13" s="213">
        <v>10204</v>
      </c>
      <c r="W13" s="213">
        <v>828608</v>
      </c>
      <c r="X13" s="278" t="str">
        <f>"{"&amp;"'coin':"&amp;表1_8612182224267274[[#This Row],[补偿Coin]]&amp;",'"&amp;配置!$A$2&amp;"':"&amp;表1_8612182224267274[[#This Row],[补偿辎重]]&amp;"},"</f>
        <v>{'coin':1500,'item036':15},</v>
      </c>
      <c r="Y13" s="278" t="str">
        <f t="shared" ref="Y13" si="1">"      },"</f>
        <v>      },</v>
      </c>
    </row>
    <row r="14" ht="14.25" customHeight="1" spans="1:25">
      <c r="A14" s="17">
        <v>7009</v>
      </c>
      <c r="B14" s="17">
        <f>VLOOKUP(表1_8612182224267274[[#This Row],[区服]],$P$26:$Q$33,2,FALSE)</f>
        <v>40</v>
      </c>
      <c r="C14" s="18" t="s">
        <v>151</v>
      </c>
      <c r="D14" s="19" t="str">
        <f>表1_8612182224267274[[#This Row],[目标国家]]</f>
        <v>魏</v>
      </c>
      <c r="E14" s="20">
        <f>(VLOOKUP(表1_8612182224267274[[#This Row],[目标区服]],$R$26:$S$29,2,FALSE)-表1_8612182224267274[[#This Row],[开服天数]])*配置!$B$1</f>
        <v>1000</v>
      </c>
      <c r="F14" s="20">
        <f>表1_8612182224267274[[#This Row],[补偿Coin]]*(表1_8612182224267274[[#This Row],[活跃高战玩家数]]+表1_8612182224267274[[#This Row],[活跃中坚玩家数]])</f>
        <v>17000</v>
      </c>
      <c r="G14" s="20">
        <f>(VLOOKUP(表1_8612182224267274[[#This Row],[目标区服]],$R$26:$S$29,2,FALSE)-表1_8612182224267274[[#This Row],[开服天数]])*配置!$B$2</f>
        <v>10</v>
      </c>
      <c r="H14" s="19" t="s">
        <v>25</v>
      </c>
      <c r="I14" s="19">
        <f>IF(表1_8612182224267274[[#This Row],[原国家]]="魏",0,IF(表1_8612182224267274[[#This Row],[原国家]]="蜀",1,2))</f>
        <v>0</v>
      </c>
      <c r="J14" s="20">
        <v>2</v>
      </c>
      <c r="K14" s="20">
        <v>66</v>
      </c>
      <c r="L14" s="20">
        <v>2</v>
      </c>
      <c r="M14" s="20">
        <v>15</v>
      </c>
      <c r="N14" s="20">
        <v>74882</v>
      </c>
      <c r="O14" s="20">
        <v>1554199</v>
      </c>
      <c r="P14" s="26">
        <v>9738649</v>
      </c>
      <c r="Q14" s="31" t="s">
        <v>25</v>
      </c>
      <c r="R14" s="19">
        <f>IF(表1_8612182224267274[[#This Row],[目标国家]]="魏",0,IF(表1_8612182224267274[[#This Row],[目标国家]]="蜀",1,2))</f>
        <v>0</v>
      </c>
      <c r="S14" s="20">
        <v>9698</v>
      </c>
      <c r="T14" s="20">
        <v>0</v>
      </c>
      <c r="U14" s="20">
        <v>105993</v>
      </c>
      <c r="V14" s="20">
        <v>4106</v>
      </c>
      <c r="W14" s="32">
        <v>445483</v>
      </c>
      <c r="X14" s="33" t="str">
        <f>"{"&amp;"'coin':"&amp;表1_8612182224267274[[#This Row],[补偿Coin]]&amp;",'"&amp;配置!$A$2&amp;"':"&amp;表1_8612182224267274[[#This Row],[补偿辎重]]&amp;"},"</f>
        <v>{'coin':1000,'item036':10},</v>
      </c>
      <c r="Y14" s="34" t="str">
        <f>"      '"&amp;表1_8612182224267274[[#This Row],[区服]]&amp;"':{"</f>
        <v>      '7009':{</v>
      </c>
    </row>
    <row r="15" ht="14.25" customHeight="1" spans="1:25">
      <c r="A15" s="17">
        <v>7009</v>
      </c>
      <c r="B15" s="17">
        <f>VLOOKUP(表1_8612182224267274[[#This Row],[区服]],$P$26:$Q$33,2,FALSE)</f>
        <v>40</v>
      </c>
      <c r="C15" s="18" t="s">
        <v>151</v>
      </c>
      <c r="D15" s="19" t="str">
        <f>表1_8612182224267274[[#This Row],[目标国家]]</f>
        <v>蜀</v>
      </c>
      <c r="E15" s="20">
        <f>(VLOOKUP(表1_8612182224267274[[#This Row],[目标区服]],$R$26:$S$29,2,FALSE)-表1_8612182224267274[[#This Row],[开服天数]])*配置!$B$1</f>
        <v>1000</v>
      </c>
      <c r="F15" s="20">
        <f>表1_8612182224267274[[#This Row],[补偿Coin]]*(表1_8612182224267274[[#This Row],[活跃高战玩家数]]+表1_8612182224267274[[#This Row],[活跃中坚玩家数]])</f>
        <v>31000</v>
      </c>
      <c r="G15" s="20">
        <f>(VLOOKUP(表1_8612182224267274[[#This Row],[目标区服]],$R$26:$S$29,2,FALSE)-表1_8612182224267274[[#This Row],[开服天数]])*配置!$B$2</f>
        <v>10</v>
      </c>
      <c r="H15" s="19" t="s">
        <v>26</v>
      </c>
      <c r="I15" s="19">
        <f>IF(表1_8612182224267274[[#This Row],[原国家]]="魏",0,IF(表1_8612182224267274[[#This Row],[原国家]]="蜀",1,2))</f>
        <v>1</v>
      </c>
      <c r="J15" s="20">
        <v>6</v>
      </c>
      <c r="K15" s="20">
        <v>266</v>
      </c>
      <c r="L15" s="20">
        <v>8</v>
      </c>
      <c r="M15" s="20">
        <v>23</v>
      </c>
      <c r="N15" s="20">
        <v>177308</v>
      </c>
      <c r="O15" s="20">
        <v>2708264</v>
      </c>
      <c r="P15" s="26">
        <v>25295335</v>
      </c>
      <c r="Q15" s="31" t="s">
        <v>26</v>
      </c>
      <c r="R15" s="19">
        <f>IF(表1_8612182224267274[[#This Row],[目标国家]]="魏",0,IF(表1_8612182224267274[[#This Row],[目标国家]]="蜀",1,2))</f>
        <v>1</v>
      </c>
      <c r="S15" s="20">
        <v>132180</v>
      </c>
      <c r="T15" s="20">
        <v>8132</v>
      </c>
      <c r="U15" s="20">
        <v>423953</v>
      </c>
      <c r="V15" s="20">
        <v>13643</v>
      </c>
      <c r="W15" s="32">
        <v>703396</v>
      </c>
      <c r="X15" s="33" t="str">
        <f>"{"&amp;"'coin':"&amp;表1_8612182224267274[[#This Row],[补偿Coin]]&amp;",'"&amp;配置!$A$2&amp;"':"&amp;表1_8612182224267274[[#This Row],[补偿辎重]]&amp;"},"</f>
        <v>{'coin':1000,'item036':10},</v>
      </c>
      <c r="Y15" s="34" t="str">
        <f>"            'to_zone':'"&amp;表1_8612182224267274[[#This Row],[目标区服]]&amp;"',
            'reward':"&amp;表1_8612182224267274[[#This Row],[辅助导出]]&amp;"
            'country':["&amp;R14&amp;","&amp;R15&amp;","&amp;R16&amp;"],"</f>
        <v>            'to_zone':'h1_705',
            'reward':{'coin':1000,'item036':10},
            'country':[0,1,2],</v>
      </c>
    </row>
    <row r="16" ht="14.25" customHeight="1" spans="1:25">
      <c r="A16" s="17">
        <v>7009</v>
      </c>
      <c r="B16" s="17">
        <f>VLOOKUP(表1_8612182224267274[[#This Row],[区服]],$P$26:$Q$33,2,FALSE)</f>
        <v>40</v>
      </c>
      <c r="C16" s="18" t="s">
        <v>151</v>
      </c>
      <c r="D16" s="19" t="str">
        <f>表1_8612182224267274[[#This Row],[目标国家]]</f>
        <v>吴</v>
      </c>
      <c r="E16" s="20">
        <f>(VLOOKUP(表1_8612182224267274[[#This Row],[目标区服]],$R$26:$S$29,2,FALSE)-表1_8612182224267274[[#This Row],[开服天数]])*配置!$B$1</f>
        <v>1000</v>
      </c>
      <c r="F16" s="20">
        <f>表1_8612182224267274[[#This Row],[补偿Coin]]*(表1_8612182224267274[[#This Row],[活跃高战玩家数]]+表1_8612182224267274[[#This Row],[活跃中坚玩家数]])</f>
        <v>14000</v>
      </c>
      <c r="G16" s="20">
        <f>(VLOOKUP(表1_8612182224267274[[#This Row],[目标区服]],$R$26:$S$29,2,FALSE)-表1_8612182224267274[[#This Row],[开服天数]])*配置!$B$2</f>
        <v>10</v>
      </c>
      <c r="H16" s="19" t="s">
        <v>27</v>
      </c>
      <c r="I16" s="19">
        <f>IF(表1_8612182224267274[[#This Row],[原国家]]="魏",0,IF(表1_8612182224267274[[#This Row],[原国家]]="蜀",1,2))</f>
        <v>2</v>
      </c>
      <c r="J16" s="20">
        <v>1</v>
      </c>
      <c r="K16" s="20">
        <v>63</v>
      </c>
      <c r="L16" s="20">
        <v>0</v>
      </c>
      <c r="M16" s="20">
        <v>14</v>
      </c>
      <c r="N16" s="20">
        <v>43890</v>
      </c>
      <c r="O16" s="20">
        <v>832858</v>
      </c>
      <c r="P16" s="26">
        <v>5987069</v>
      </c>
      <c r="Q16" s="31" t="s">
        <v>27</v>
      </c>
      <c r="R16" s="19">
        <f>IF(表1_8612182224267274[[#This Row],[目标国家]]="魏",0,IF(表1_8612182224267274[[#This Row],[目标国家]]="蜀",1,2))</f>
        <v>2</v>
      </c>
      <c r="S16" s="20">
        <v>3908</v>
      </c>
      <c r="T16" s="20">
        <v>0</v>
      </c>
      <c r="U16" s="20">
        <v>66343</v>
      </c>
      <c r="V16" s="20">
        <v>2531</v>
      </c>
      <c r="W16" s="32">
        <v>230573</v>
      </c>
      <c r="X16" s="33" t="str">
        <f>"{"&amp;"'coin':"&amp;表1_8612182224267274[[#This Row],[补偿Coin]]&amp;",'"&amp;配置!$A$2&amp;"':"&amp;表1_8612182224267274[[#This Row],[补偿辎重]]&amp;"},"</f>
        <v>{'coin':1000,'item036':10},</v>
      </c>
      <c r="Y16" s="34" t="str">
        <f t="shared" ref="Y16" si="2">"      },"</f>
        <v>      },</v>
      </c>
    </row>
    <row r="17" ht="14.25" customHeight="1" spans="1:25">
      <c r="A17" s="17">
        <v>7010</v>
      </c>
      <c r="B17" s="17">
        <f>VLOOKUP(表1_8612182224267274[[#This Row],[区服]],$P$26:$Q$33,2,FALSE)</f>
        <v>39</v>
      </c>
      <c r="C17" s="18" t="s">
        <v>151</v>
      </c>
      <c r="D17" s="19" t="str">
        <f>表1_8612182224267274[[#This Row],[目标国家]]</f>
        <v>魏</v>
      </c>
      <c r="E17" s="20">
        <f>(VLOOKUP(表1_8612182224267274[[#This Row],[目标区服]],$R$26:$S$29,2,FALSE)-表1_8612182224267274[[#This Row],[开服天数]])*配置!$B$1</f>
        <v>1500</v>
      </c>
      <c r="F17" s="20">
        <f>表1_8612182224267274[[#This Row],[补偿Coin]]*(表1_8612182224267274[[#This Row],[活跃高战玩家数]]+表1_8612182224267274[[#This Row],[活跃中坚玩家数]])</f>
        <v>19500</v>
      </c>
      <c r="G17" s="20">
        <f>(VLOOKUP(表1_8612182224267274[[#This Row],[目标区服]],$R$26:$S$29,2,FALSE)-表1_8612182224267274[[#This Row],[开服天数]])*配置!$B$2</f>
        <v>15</v>
      </c>
      <c r="H17" s="19" t="s">
        <v>25</v>
      </c>
      <c r="I17" s="19">
        <f>IF(表1_8612182224267274[[#This Row],[原国家]]="魏",0,IF(表1_8612182224267274[[#This Row],[原国家]]="蜀",1,2))</f>
        <v>0</v>
      </c>
      <c r="J17" s="20">
        <v>0</v>
      </c>
      <c r="K17" s="20">
        <v>43</v>
      </c>
      <c r="L17" s="20">
        <v>0</v>
      </c>
      <c r="M17" s="20">
        <v>13</v>
      </c>
      <c r="N17" s="20">
        <v>44893</v>
      </c>
      <c r="O17" s="20">
        <v>953545</v>
      </c>
      <c r="P17" s="26">
        <v>6182036</v>
      </c>
      <c r="Q17" s="31" t="s">
        <v>25</v>
      </c>
      <c r="R17" s="19">
        <f>IF(表1_8612182224267274[[#This Row],[目标国家]]="魏",0,IF(表1_8612182224267274[[#This Row],[目标国家]]="蜀",1,2))</f>
        <v>0</v>
      </c>
      <c r="S17" s="20">
        <v>6040</v>
      </c>
      <c r="T17" s="20">
        <v>0</v>
      </c>
      <c r="U17" s="20">
        <v>134272</v>
      </c>
      <c r="V17" s="20">
        <v>2474</v>
      </c>
      <c r="W17" s="32">
        <v>238860</v>
      </c>
      <c r="X17" s="33" t="str">
        <f>"{"&amp;"'coin':"&amp;表1_8612182224267274[[#This Row],[补偿Coin]]&amp;",'"&amp;配置!$A$2&amp;"':"&amp;表1_8612182224267274[[#This Row],[补偿辎重]]&amp;"},"</f>
        <v>{'coin':1500,'item036':15},</v>
      </c>
      <c r="Y17" s="34" t="str">
        <f>"      '"&amp;表1_8612182224267274[[#This Row],[区服]]&amp;"':{"</f>
        <v>      '7010':{</v>
      </c>
    </row>
    <row r="18" ht="14.25" customHeight="1" spans="1:25">
      <c r="A18" s="17">
        <v>7010</v>
      </c>
      <c r="B18" s="17">
        <f>VLOOKUP(表1_8612182224267274[[#This Row],[区服]],$P$26:$Q$33,2,FALSE)</f>
        <v>39</v>
      </c>
      <c r="C18" s="18" t="s">
        <v>151</v>
      </c>
      <c r="D18" s="19" t="str">
        <f>表1_8612182224267274[[#This Row],[目标国家]]</f>
        <v>魏</v>
      </c>
      <c r="E18" s="20">
        <f>(VLOOKUP(表1_8612182224267274[[#This Row],[目标区服]],$R$26:$S$29,2,FALSE)-表1_8612182224267274[[#This Row],[开服天数]])*配置!$B$1</f>
        <v>1500</v>
      </c>
      <c r="F18" s="20">
        <f>表1_8612182224267274[[#This Row],[补偿Coin]]*(表1_8612182224267274[[#This Row],[活跃高战玩家数]]+表1_8612182224267274[[#This Row],[活跃中坚玩家数]])</f>
        <v>46500</v>
      </c>
      <c r="G18" s="20">
        <f>(VLOOKUP(表1_8612182224267274[[#This Row],[目标区服]],$R$26:$S$29,2,FALSE)-表1_8612182224267274[[#This Row],[开服天数]])*配置!$B$2</f>
        <v>15</v>
      </c>
      <c r="H18" s="19" t="s">
        <v>26</v>
      </c>
      <c r="I18" s="19">
        <f>IF(表1_8612182224267274[[#This Row],[原国家]]="魏",0,IF(表1_8612182224267274[[#This Row],[原国家]]="蜀",1,2))</f>
        <v>1</v>
      </c>
      <c r="J18" s="20">
        <v>6</v>
      </c>
      <c r="K18" s="20">
        <v>219</v>
      </c>
      <c r="L18" s="20">
        <v>6</v>
      </c>
      <c r="M18" s="20">
        <v>25</v>
      </c>
      <c r="N18" s="20">
        <v>154869</v>
      </c>
      <c r="O18" s="20">
        <v>1899555</v>
      </c>
      <c r="P18" s="26">
        <v>21021636</v>
      </c>
      <c r="Q18" s="31" t="s">
        <v>25</v>
      </c>
      <c r="R18" s="19">
        <f>IF(表1_8612182224267274[[#This Row],[目标国家]]="魏",0,IF(表1_8612182224267274[[#This Row],[目标国家]]="蜀",1,2))</f>
        <v>0</v>
      </c>
      <c r="S18" s="20">
        <v>57854</v>
      </c>
      <c r="T18" s="20">
        <v>0</v>
      </c>
      <c r="U18" s="20">
        <v>412628</v>
      </c>
      <c r="V18" s="20">
        <v>9507</v>
      </c>
      <c r="W18" s="32">
        <v>516961</v>
      </c>
      <c r="X18" s="33" t="str">
        <f>"{"&amp;"'coin':"&amp;表1_8612182224267274[[#This Row],[补偿Coin]]&amp;",'"&amp;配置!$A$2&amp;"':"&amp;表1_8612182224267274[[#This Row],[补偿辎重]]&amp;"},"</f>
        <v>{'coin':1500,'item036':15},</v>
      </c>
      <c r="Y18" s="34" t="str">
        <f>"            'to_zone':'"&amp;表1_8612182224267274[[#This Row],[目标区服]]&amp;"',
            'reward':"&amp;表1_8612182224267274[[#This Row],[辅助导出]]&amp;"
            'country':["&amp;R17&amp;","&amp;R18&amp;","&amp;R19&amp;"],"</f>
        <v>            'to_zone':'h1_705',
            'reward':{'coin':1500,'item036':15},
            'country':[0,0,2],</v>
      </c>
    </row>
    <row r="19" ht="14.25" customHeight="1" spans="1:25">
      <c r="A19" s="17">
        <v>7010</v>
      </c>
      <c r="B19" s="17">
        <f>VLOOKUP(表1_8612182224267274[[#This Row],[区服]],$P$26:$Q$33,2,FALSE)</f>
        <v>39</v>
      </c>
      <c r="C19" s="18" t="s">
        <v>151</v>
      </c>
      <c r="D19" s="19" t="str">
        <f>表1_8612182224267274[[#This Row],[目标国家]]</f>
        <v>吴</v>
      </c>
      <c r="E19" s="20">
        <f>(VLOOKUP(表1_8612182224267274[[#This Row],[目标区服]],$R$26:$S$29,2,FALSE)-表1_8612182224267274[[#This Row],[开服天数]])*配置!$B$1</f>
        <v>1500</v>
      </c>
      <c r="F19" s="20">
        <f>表1_8612182224267274[[#This Row],[补偿Coin]]*(表1_8612182224267274[[#This Row],[活跃高战玩家数]]+表1_8612182224267274[[#This Row],[活跃中坚玩家数]])</f>
        <v>30000</v>
      </c>
      <c r="G19" s="20">
        <f>(VLOOKUP(表1_8612182224267274[[#This Row],[目标区服]],$R$26:$S$29,2,FALSE)-表1_8612182224267274[[#This Row],[开服天数]])*配置!$B$2</f>
        <v>15</v>
      </c>
      <c r="H19" s="19" t="s">
        <v>27</v>
      </c>
      <c r="I19" s="19">
        <f>IF(表1_8612182224267274[[#This Row],[原国家]]="魏",0,IF(表1_8612182224267274[[#This Row],[原国家]]="蜀",1,2))</f>
        <v>2</v>
      </c>
      <c r="J19" s="20">
        <v>3</v>
      </c>
      <c r="K19" s="20">
        <v>133</v>
      </c>
      <c r="L19" s="20">
        <v>4</v>
      </c>
      <c r="M19" s="20">
        <v>16</v>
      </c>
      <c r="N19" s="20">
        <v>87418</v>
      </c>
      <c r="O19" s="20">
        <v>1782312</v>
      </c>
      <c r="P19" s="26">
        <v>12627295</v>
      </c>
      <c r="Q19" s="31" t="s">
        <v>27</v>
      </c>
      <c r="R19" s="19">
        <f>IF(表1_8612182224267274[[#This Row],[目标国家]]="魏",0,IF(表1_8612182224267274[[#This Row],[目标国家]]="蜀",1,2))</f>
        <v>2</v>
      </c>
      <c r="S19" s="20">
        <v>60370</v>
      </c>
      <c r="T19" s="20">
        <v>18218</v>
      </c>
      <c r="U19" s="20">
        <v>181992</v>
      </c>
      <c r="V19" s="20">
        <v>7196</v>
      </c>
      <c r="W19" s="32">
        <v>459223</v>
      </c>
      <c r="X19" s="33" t="str">
        <f>"{"&amp;"'coin':"&amp;表1_8612182224267274[[#This Row],[补偿Coin]]&amp;",'"&amp;配置!$A$2&amp;"':"&amp;表1_8612182224267274[[#This Row],[补偿辎重]]&amp;"},"</f>
        <v>{'coin':1500,'item036':15},</v>
      </c>
      <c r="Y19" s="34" t="str">
        <f t="shared" ref="Y19" si="3">"      },"</f>
        <v>      },</v>
      </c>
    </row>
    <row r="20" ht="14.25" customHeight="1" spans="1:25">
      <c r="A20" s="17"/>
      <c r="B20" s="17" t="e">
        <f>VLOOKUP(表1_8612182224267274[[#This Row],[区服]],$P$26:$Q$33,2,FALSE)</f>
        <v>#N/A</v>
      </c>
      <c r="C20" s="18"/>
      <c r="D20" s="19" t="str">
        <f>表1_8612182224267274[[#This Row],[目标国家]]</f>
        <v>魏</v>
      </c>
      <c r="E20" s="20" t="e">
        <f>(VLOOKUP(表1_8612182224267274[[#This Row],[目标区服]],$R$26:$S$29,2,FALSE)-表1_8612182224267274[[#This Row],[开服天数]])*配置!$B$1</f>
        <v>#N/A</v>
      </c>
      <c r="F20" s="20" t="e">
        <f>表1_8612182224267274[[#This Row],[补偿Coin]]*(表1_8612182224267274[[#This Row],[活跃高战玩家数]]+表1_8612182224267274[[#This Row],[活跃中坚玩家数]])</f>
        <v>#N/A</v>
      </c>
      <c r="G20" s="20" t="e">
        <f>(VLOOKUP(表1_8612182224267274[[#This Row],[目标区服]],$R$26:$S$29,2,FALSE)-表1_8612182224267274[[#This Row],[开服天数]])*配置!$B$2</f>
        <v>#N/A</v>
      </c>
      <c r="H20" s="19" t="s">
        <v>25</v>
      </c>
      <c r="I20" s="19">
        <f>IF(表1_8612182224267274[[#This Row],[原国家]]="魏",0,IF(表1_8612182224267274[[#This Row],[原国家]]="蜀",1,2))</f>
        <v>0</v>
      </c>
      <c r="J20" s="20"/>
      <c r="K20" s="20"/>
      <c r="L20" s="20"/>
      <c r="M20" s="20"/>
      <c r="N20" s="20"/>
      <c r="O20" s="20"/>
      <c r="P20" s="26"/>
      <c r="Q20" s="31" t="s">
        <v>25</v>
      </c>
      <c r="R20" s="19">
        <f>IF(表1_8612182224267274[[#This Row],[目标国家]]="魏",0,IF(表1_8612182224267274[[#This Row],[目标国家]]="蜀",1,2))</f>
        <v>0</v>
      </c>
      <c r="S20" s="20"/>
      <c r="T20" s="20"/>
      <c r="U20" s="20"/>
      <c r="V20" s="20"/>
      <c r="W20" s="32"/>
      <c r="X20" s="33" t="e">
        <f>"{"&amp;"'coin':"&amp;表1_8612182224267274[[#This Row],[补偿Coin]]&amp;",'"&amp;配置!$A$2&amp;"':"&amp;表1_8612182224267274[[#This Row],[补偿辎重]]&amp;"},"</f>
        <v>#N/A</v>
      </c>
      <c r="Y20" s="34" t="str">
        <f>"      '"&amp;表1_8612182224267274[[#This Row],[区服]]&amp;"':{"</f>
        <v>      '':{</v>
      </c>
    </row>
    <row r="21" ht="14.25" customHeight="1" spans="1:25">
      <c r="A21" s="17"/>
      <c r="B21" s="17" t="e">
        <f>VLOOKUP(表1_8612182224267274[[#This Row],[区服]],$P$26:$Q$33,2,FALSE)</f>
        <v>#N/A</v>
      </c>
      <c r="C21" s="18"/>
      <c r="D21" s="19" t="str">
        <f>表1_8612182224267274[[#This Row],[目标国家]]</f>
        <v>蜀</v>
      </c>
      <c r="E21" s="20" t="e">
        <f>(VLOOKUP(表1_8612182224267274[[#This Row],[目标区服]],$R$26:$S$29,2,FALSE)-表1_8612182224267274[[#This Row],[开服天数]])*配置!$B$1</f>
        <v>#N/A</v>
      </c>
      <c r="F21" s="20" t="e">
        <f>表1_8612182224267274[[#This Row],[补偿Coin]]*(表1_8612182224267274[[#This Row],[活跃高战玩家数]]+表1_8612182224267274[[#This Row],[活跃中坚玩家数]])</f>
        <v>#N/A</v>
      </c>
      <c r="G21" s="20" t="e">
        <f>(VLOOKUP(表1_8612182224267274[[#This Row],[目标区服]],$R$26:$S$29,2,FALSE)-表1_8612182224267274[[#This Row],[开服天数]])*配置!$B$2</f>
        <v>#N/A</v>
      </c>
      <c r="H21" s="19" t="s">
        <v>26</v>
      </c>
      <c r="I21" s="19">
        <f>IF(表1_8612182224267274[[#This Row],[原国家]]="魏",0,IF(表1_8612182224267274[[#This Row],[原国家]]="蜀",1,2))</f>
        <v>1</v>
      </c>
      <c r="J21" s="20"/>
      <c r="K21" s="20"/>
      <c r="L21" s="20"/>
      <c r="M21" s="20"/>
      <c r="N21" s="20"/>
      <c r="O21" s="20"/>
      <c r="P21" s="26"/>
      <c r="Q21" s="31" t="s">
        <v>26</v>
      </c>
      <c r="R21" s="19">
        <f>IF(表1_8612182224267274[[#This Row],[目标国家]]="魏",0,IF(表1_8612182224267274[[#This Row],[目标国家]]="蜀",1,2))</f>
        <v>1</v>
      </c>
      <c r="S21" s="20"/>
      <c r="T21" s="20"/>
      <c r="U21" s="20"/>
      <c r="V21" s="20"/>
      <c r="W21" s="32"/>
      <c r="X21" s="33" t="e">
        <f>"{"&amp;"'coin':"&amp;表1_8612182224267274[[#This Row],[补偿Coin]]&amp;",'"&amp;配置!$A$2&amp;"':"&amp;表1_8612182224267274[[#This Row],[补偿辎重]]&amp;"},"</f>
        <v>#N/A</v>
      </c>
      <c r="Y21" s="34" t="e">
        <f>"            'to_zone':'"&amp;表1_8612182224267274[[#This Row],[目标区服]]&amp;"',
            'reward':"&amp;表1_8612182224267274[[#This Row],[辅助导出]]&amp;"
            'country':["&amp;R20&amp;","&amp;R21&amp;","&amp;R22&amp;"],"</f>
        <v>#N/A</v>
      </c>
    </row>
    <row r="22" ht="14.25" customHeight="1" spans="1:25">
      <c r="A22" s="17"/>
      <c r="B22" s="17" t="e">
        <f>VLOOKUP(表1_8612182224267274[[#This Row],[区服]],$P$26:$Q$33,2,FALSE)</f>
        <v>#N/A</v>
      </c>
      <c r="C22" s="18"/>
      <c r="D22" s="19" t="str">
        <f>表1_8612182224267274[[#This Row],[目标国家]]</f>
        <v>吴</v>
      </c>
      <c r="E22" s="20" t="e">
        <f>(VLOOKUP(表1_8612182224267274[[#This Row],[目标区服]],$R$26:$S$29,2,FALSE)-表1_8612182224267274[[#This Row],[开服天数]])*配置!$B$1</f>
        <v>#N/A</v>
      </c>
      <c r="F22" s="20" t="e">
        <f>表1_8612182224267274[[#This Row],[补偿Coin]]*(表1_8612182224267274[[#This Row],[活跃高战玩家数]]+表1_8612182224267274[[#This Row],[活跃中坚玩家数]])</f>
        <v>#N/A</v>
      </c>
      <c r="G22" s="20" t="e">
        <f>(VLOOKUP(表1_8612182224267274[[#This Row],[目标区服]],$R$26:$S$29,2,FALSE)-表1_8612182224267274[[#This Row],[开服天数]])*配置!$B$2</f>
        <v>#N/A</v>
      </c>
      <c r="H22" s="19" t="s">
        <v>27</v>
      </c>
      <c r="I22" s="19">
        <f>IF(表1_8612182224267274[[#This Row],[原国家]]="魏",0,IF(表1_8612182224267274[[#This Row],[原国家]]="蜀",1,2))</f>
        <v>2</v>
      </c>
      <c r="J22" s="20"/>
      <c r="K22" s="20"/>
      <c r="L22" s="20"/>
      <c r="M22" s="20"/>
      <c r="N22" s="20"/>
      <c r="O22" s="20"/>
      <c r="P22" s="26"/>
      <c r="Q22" s="31" t="s">
        <v>27</v>
      </c>
      <c r="R22" s="19">
        <f>IF(表1_8612182224267274[[#This Row],[目标国家]]="魏",0,IF(表1_8612182224267274[[#This Row],[目标国家]]="蜀",1,2))</f>
        <v>2</v>
      </c>
      <c r="S22" s="20"/>
      <c r="T22" s="20"/>
      <c r="U22" s="20"/>
      <c r="V22" s="20"/>
      <c r="W22" s="32"/>
      <c r="X22" s="33" t="e">
        <f>"{"&amp;"'coin':"&amp;表1_8612182224267274[[#This Row],[补偿Coin]]&amp;",'"&amp;配置!$A$2&amp;"':"&amp;表1_8612182224267274[[#This Row],[补偿辎重]]&amp;"},"</f>
        <v>#N/A</v>
      </c>
      <c r="Y22" s="34" t="str">
        <f t="shared" ref="Y22" si="4">"      },"</f>
        <v>      },</v>
      </c>
    </row>
    <row r="25" ht="37.5" customHeight="1" spans="1:19">
      <c r="A25" s="36" t="s">
        <v>28</v>
      </c>
      <c r="B25" s="37" t="s">
        <v>29</v>
      </c>
      <c r="C25" s="38" t="s">
        <v>30</v>
      </c>
      <c r="D25" s="38" t="s">
        <v>31</v>
      </c>
      <c r="E25" s="38" t="s">
        <v>32</v>
      </c>
      <c r="F25" s="38" t="s">
        <v>33</v>
      </c>
      <c r="G25" s="38" t="s">
        <v>15</v>
      </c>
      <c r="H25" s="37" t="s">
        <v>18</v>
      </c>
      <c r="I25" s="37" t="s">
        <v>19</v>
      </c>
      <c r="J25" s="37" t="s">
        <v>34</v>
      </c>
      <c r="K25" s="38" t="s">
        <v>35</v>
      </c>
      <c r="L25" s="38" t="s">
        <v>36</v>
      </c>
      <c r="M25" s="38" t="s">
        <v>37</v>
      </c>
      <c r="N25" s="38" t="s">
        <v>88</v>
      </c>
      <c r="P25" s="51" t="s">
        <v>0</v>
      </c>
      <c r="Q25" s="51" t="s">
        <v>1</v>
      </c>
      <c r="R25" s="51"/>
      <c r="S25" s="51" t="s">
        <v>38</v>
      </c>
    </row>
    <row r="26" ht="15.75" customHeight="1" spans="1:19">
      <c r="A26" s="39" t="s">
        <v>149</v>
      </c>
      <c r="B26" s="39" t="s">
        <v>25</v>
      </c>
      <c r="C26" s="39">
        <f>COUNTIFS(表1_8612182224267274[目标区服],表2_9713192325277379[[#This Row],[合区区服]],表1_8612182224267274[目标国家（映射）],表2_9713192325277379[[#This Row],[国家]])</f>
        <v>2</v>
      </c>
      <c r="D26" s="39">
        <f>SUMIFS(表1_8612182224267274[活跃高战玩家数],表1_8612182224267274[目标区服],表2_9713192325277379[[#This Row],[合区区服]],表1_8612182224267274[目标国家（映射）],表2_9713192325277379[[#This Row],[国家]])</f>
        <v>9</v>
      </c>
      <c r="E26" s="39">
        <f>SUMIFS(表1_8612182224267274[活跃中坚玩家数],表1_8612182224267274[目标区服],表2_9713192325277379[[#This Row],[合区区服]],表1_8612182224267274[目标国家（映射）],表2_9713192325277379[[#This Row],[国家]])</f>
        <v>43</v>
      </c>
      <c r="F26" s="39">
        <f t="array" ref="F26">MAX((表1_8612182224267274[目标区服]=表2_9713192325277379[[#This Row],[合区区服]])*(表1_8612182224267274[目标国家（映射）]=表2_9713192325277379[[#This Row],[国家]])*表1_8612182224267274[活跃尖端战力])</f>
        <v>3409817</v>
      </c>
      <c r="G26" s="40">
        <f>SUMIFS(表1_8612182224267274[活跃总战力],表1_8612182224267274[目标区服],表2_9713192325277379[[#This Row],[合区区服]],表1_8612182224267274[目标国家（映射）],表2_9713192325277379[[#This Row],[国家]])</f>
        <v>47231270</v>
      </c>
      <c r="H26" s="39">
        <f>SUMIFS(表1_8612182224267274[活跃实际充值],表1_8612182224267274[目标区服],表2_9713192325277379[[#This Row],[合区区服]],表1_8612182224267274[目标国家（映射）],表2_9713192325277379[[#This Row],[国家]])</f>
        <v>244374</v>
      </c>
      <c r="I26" s="39">
        <f>SUMIFS(表1_8612182224267274[活跃虚拟充值],表1_8612182224267274[目标区服],表2_9713192325277379[[#This Row],[合区区服]],表1_8612182224267274[目标国家（映射）],表2_9713192325277379[[#This Row],[国家]])</f>
        <v>0</v>
      </c>
      <c r="J26" s="39">
        <f>SUMIFS(表1_8612182224267274[活跃Coin],表1_8612182224267274[目标区服],表2_9713192325277379[[#This Row],[合区区服]],表1_8612182224267274[目标国家（映射）],表2_9713192325277379[[#This Row],[国家]])</f>
        <v>1027590</v>
      </c>
      <c r="K26" s="39">
        <f>SUMIFS(表1_8612182224267274[共计补偿Coin],表1_8612182224267274[目标区服],表2_9713192325277379[[#This Row],[合区区服]],表1_8612182224267274[目标国家（映射）],表2_9713192325277379[[#This Row],[国家]])</f>
        <v>64500</v>
      </c>
      <c r="L26" s="39">
        <f>表2_9713192325277379[[#This Row],[活跃Coin]]+表2_9713192325277379[[#This Row],[共计补偿Coin]]</f>
        <v>1092090</v>
      </c>
      <c r="M26" s="39">
        <f>SUMIFS(表1_8612182224267274[综合国力],表1_8612182224267274[目标区服],表2_9713192325277379[[#This Row],[合区区服]],表1_8612182224267274[目标国家（映射）],表2_9713192325277379[[#This Row],[国家]])</f>
        <v>24067</v>
      </c>
      <c r="N26" s="39">
        <f t="array" ref="N26">MAX((表1_8612182224267274[目标区服]=表2_9713192325277379[[#This Row],[合区区服]])*(表1_8612182224267274[目标国家（映射）]=表2_9713192325277379[[#This Row],[国家]])*表1_8612182224267274[单将最高战力])</f>
        <v>992613</v>
      </c>
      <c r="P26" s="51">
        <v>7005</v>
      </c>
      <c r="Q26" s="51">
        <v>45</v>
      </c>
      <c r="R26" s="51" t="s">
        <v>149</v>
      </c>
      <c r="S26" s="51">
        <v>47</v>
      </c>
    </row>
    <row r="27" ht="15" spans="1:19">
      <c r="A27" s="39" t="s">
        <v>149</v>
      </c>
      <c r="B27" s="39" t="s">
        <v>26</v>
      </c>
      <c r="C27" s="39">
        <f>COUNTIFS(表1_8612182224267274[目标区服],表2_9713192325277379[[#This Row],[合区区服]],表1_8612182224267274[目标国家（映射）],表2_9713192325277379[[#This Row],[国家]])</f>
        <v>1</v>
      </c>
      <c r="D27" s="39">
        <f>SUMIFS(表1_8612182224267274[活跃高战玩家数],表1_8612182224267274[目标区服],表2_9713192325277379[[#This Row],[合区区服]],表1_8612182224267274[目标国家（映射）],表2_9713192325277379[[#This Row],[国家]])</f>
        <v>6</v>
      </c>
      <c r="E27" s="39">
        <f>SUMIFS(表1_8612182224267274[活跃中坚玩家数],表1_8612182224267274[目标区服],表2_9713192325277379[[#This Row],[合区区服]],表1_8612182224267274[目标国家（映射）],表2_9713192325277379[[#This Row],[国家]])</f>
        <v>27</v>
      </c>
      <c r="F27" s="39">
        <f t="array" ref="F27">MAX((表1_8612182224267274[目标区服]=表2_9713192325277379[[#This Row],[合区区服]])*(表1_8612182224267274[目标国家（映射）]=表2_9713192325277379[[#This Row],[国家]])*表1_8612182224267274[活跃尖端战力])</f>
        <v>2915641</v>
      </c>
      <c r="G27" s="40">
        <f>SUMIFS(表1_8612182224267274[活跃总战力],表1_8612182224267274[目标区服],表2_9713192325277379[[#This Row],[合区区服]],表1_8612182224267274[目标国家（映射）],表2_9713192325277379[[#This Row],[国家]])</f>
        <v>29684619</v>
      </c>
      <c r="H27" s="39">
        <f>SUMIFS(表1_8612182224267274[活跃实际充值],表1_8612182224267274[目标区服],表2_9713192325277379[[#This Row],[合区区服]],表1_8612182224267274[目标国家（映射）],表2_9713192325277379[[#This Row],[国家]])</f>
        <v>97744</v>
      </c>
      <c r="I27" s="39">
        <f>SUMIFS(表1_8612182224267274[活跃虚拟充值],表1_8612182224267274[目标区服],表2_9713192325277379[[#This Row],[合区区服]],表1_8612182224267274[目标国家（映射）],表2_9713192325277379[[#This Row],[国家]])</f>
        <v>0</v>
      </c>
      <c r="J27" s="39">
        <f>SUMIFS(表1_8612182224267274[活跃Coin],表1_8612182224267274[目标区服],表2_9713192325277379[[#This Row],[合区区服]],表1_8612182224267274[目标国家（映射）],表2_9713192325277379[[#This Row],[国家]])</f>
        <v>562566</v>
      </c>
      <c r="K27" s="39">
        <f>SUMIFS(表1_8612182224267274[共计补偿Coin],表1_8612182224267274[目标区服],表2_9713192325277379[[#This Row],[合区区服]],表1_8612182224267274[目标国家（映射）],表2_9713192325277379[[#This Row],[国家]])</f>
        <v>49500</v>
      </c>
      <c r="L27" s="39">
        <f>表2_9713192325277379[[#This Row],[活跃Coin]]+表2_9713192325277379[[#This Row],[共计补偿Coin]]</f>
        <v>612066</v>
      </c>
      <c r="M27" s="39">
        <f>SUMIFS(表1_8612182224267274[综合国力],表1_8612182224267274[目标区服],表2_9713192325277379[[#This Row],[合区区服]],表1_8612182224267274[目标国家（映射）],表2_9713192325277379[[#This Row],[国家]])</f>
        <v>12339</v>
      </c>
      <c r="N27" s="39">
        <f t="array" ref="N27">MAX((表1_8612182224267274[目标区服]=表2_9713192325277379[[#This Row],[合区区服]])*(表1_8612182224267274[目标国家（映射）]=表2_9713192325277379[[#This Row],[国家]])*表1_8612182224267274[单将最高战力])</f>
        <v>1016094</v>
      </c>
      <c r="P27" s="51">
        <v>7006</v>
      </c>
      <c r="Q27" s="51">
        <v>44</v>
      </c>
      <c r="R27" s="51" t="s">
        <v>150</v>
      </c>
      <c r="S27" s="51">
        <v>45</v>
      </c>
    </row>
    <row r="28" ht="15" spans="1:19">
      <c r="A28" s="39" t="s">
        <v>149</v>
      </c>
      <c r="B28" s="39" t="s">
        <v>27</v>
      </c>
      <c r="C28" s="39">
        <f>COUNTIFS(表1_8612182224267274[目标区服],表2_9713192325277379[[#This Row],[合区区服]],表1_8612182224267274[目标国家（映射）],表2_9713192325277379[[#This Row],[国家]])</f>
        <v>3</v>
      </c>
      <c r="D28" s="39">
        <f>SUMIFS(表1_8612182224267274[活跃高战玩家数],表1_8612182224267274[目标区服],表2_9713192325277379[[#This Row],[合区区服]],表1_8612182224267274[目标国家（映射）],表2_9713192325277379[[#This Row],[国家]])</f>
        <v>4</v>
      </c>
      <c r="E28" s="39">
        <f>SUMIFS(表1_8612182224267274[活跃中坚玩家数],表1_8612182224267274[目标区服],表2_9713192325277379[[#This Row],[合区区服]],表1_8612182224267274[目标国家（映射）],表2_9713192325277379[[#This Row],[国家]])</f>
        <v>35</v>
      </c>
      <c r="F28" s="39">
        <f t="array" ref="F28">MAX((表1_8612182224267274[目标区服]=表2_9713192325277379[[#This Row],[合区区服]])*(表1_8612182224267274[目标国家（映射）]=表2_9713192325277379[[#This Row],[国家]])*表1_8612182224267274[活跃尖端战力])</f>
        <v>2943505</v>
      </c>
      <c r="G28" s="40">
        <f>SUMIFS(表1_8612182224267274[活跃总战力],表1_8612182224267274[目标区服],表2_9713192325277379[[#This Row],[合区区服]],表1_8612182224267274[目标国家（映射）],表2_9713192325277379[[#This Row],[国家]])</f>
        <v>30064425</v>
      </c>
      <c r="H28" s="39">
        <f>SUMIFS(表1_8612182224267274[活跃实际充值],表1_8612182224267274[目标区服],表2_9713192325277379[[#This Row],[合区区服]],表1_8612182224267274[目标国家（映射）],表2_9713192325277379[[#This Row],[国家]])</f>
        <v>122044</v>
      </c>
      <c r="I28" s="39">
        <f>SUMIFS(表1_8612182224267274[活跃虚拟充值],表1_8612182224267274[目标区服],表2_9713192325277379[[#This Row],[合区区服]],表1_8612182224267274[目标国家（映射）],表2_9713192325277379[[#This Row],[国家]])</f>
        <v>82402</v>
      </c>
      <c r="J28" s="39">
        <f>SUMIFS(表1_8612182224267274[活跃Coin],表1_8612182224267274[目标区服],表2_9713192325277379[[#This Row],[合区区服]],表1_8612182224267274[目标国家（映射）],表2_9713192325277379[[#This Row],[国家]])</f>
        <v>758452</v>
      </c>
      <c r="K28" s="39">
        <f>SUMIFS(表1_8612182224267274[共计补偿Coin],表1_8612182224267274[目标区服],表2_9713192325277379[[#This Row],[合区区服]],表1_8612182224267274[目标国家（映射）],表2_9713192325277379[[#This Row],[国家]])</f>
        <v>41500</v>
      </c>
      <c r="L28" s="39">
        <f>表2_9713192325277379[[#This Row],[活跃Coin]]+表2_9713192325277379[[#This Row],[共计补偿Coin]]</f>
        <v>799952</v>
      </c>
      <c r="M28" s="39">
        <f>SUMIFS(表1_8612182224267274[综合国力],表1_8612182224267274[目标区服],表2_9713192325277379[[#This Row],[合区区服]],表1_8612182224267274[目标国家（映射）],表2_9713192325277379[[#This Row],[国家]])</f>
        <v>18094</v>
      </c>
      <c r="N28" s="39">
        <f t="array" ref="N28">MAX((表1_8612182224267274[目标区服]=表2_9713192325277379[[#This Row],[合区区服]])*(表1_8612182224267274[目标国家（映射）]=表2_9713192325277379[[#This Row],[国家]])*表1_8612182224267274[单将最高战力])</f>
        <v>981586</v>
      </c>
      <c r="P28" s="51">
        <v>7007</v>
      </c>
      <c r="Q28" s="51">
        <v>43</v>
      </c>
      <c r="R28" s="51" t="s">
        <v>151</v>
      </c>
      <c r="S28" s="51">
        <v>42</v>
      </c>
    </row>
    <row r="29" ht="15" spans="1:19">
      <c r="A29" s="41" t="s">
        <v>150</v>
      </c>
      <c r="B29" s="41" t="s">
        <v>25</v>
      </c>
      <c r="C29" s="41">
        <f>COUNTIFS(表1_8612182224267274[目标区服],表2_9713192325277379[[#This Row],[合区区服]],表1_8612182224267274[目标国家（映射）],表2_9713192325277379[[#This Row],[国家]])</f>
        <v>2</v>
      </c>
      <c r="D29" s="41">
        <f>SUMIFS(表1_8612182224267274[活跃高战玩家数],表1_8612182224267274[目标区服],表2_9713192325277379[[#This Row],[合区区服]],表1_8612182224267274[目标国家（映射）],表2_9713192325277379[[#This Row],[国家]])</f>
        <v>5</v>
      </c>
      <c r="E29" s="41">
        <f>SUMIFS(表1_8612182224267274[活跃中坚玩家数],表1_8612182224267274[目标区服],表2_9713192325277379[[#This Row],[合区区服]],表1_8612182224267274[目标国家（映射）],表2_9713192325277379[[#This Row],[国家]])</f>
        <v>31</v>
      </c>
      <c r="F29" s="41">
        <f t="array" ref="F29">MAX((表1_8612182224267274[目标区服]=表2_9713192325277379[[#This Row],[合区区服]])*(表1_8612182224267274[目标国家（映射）]=表2_9713192325277379[[#This Row],[国家]])*表1_8612182224267274[活跃尖端战力])</f>
        <v>2360773</v>
      </c>
      <c r="G29" s="42">
        <f>SUMIFS(表1_8612182224267274[活跃总战力],表1_8612182224267274[目标区服],表2_9713192325277379[[#This Row],[合区区服]],表1_8612182224267274[目标国家（映射）],表2_9713192325277379[[#This Row],[国家]])</f>
        <v>24284647</v>
      </c>
      <c r="H29" s="41">
        <f>SUMIFS(表1_8612182224267274[活跃实际充值],表1_8612182224267274[目标区服],表2_9713192325277379[[#This Row],[合区区服]],表1_8612182224267274[目标国家（映射）],表2_9713192325277379[[#This Row],[国家]])</f>
        <v>89520</v>
      </c>
      <c r="I29" s="41">
        <f>SUMIFS(表1_8612182224267274[活跃虚拟充值],表1_8612182224267274[目标区服],表2_9713192325277379[[#This Row],[合区区服]],表1_8612182224267274[目标国家（映射）],表2_9713192325277379[[#This Row],[国家]])</f>
        <v>0</v>
      </c>
      <c r="J29" s="41">
        <f>SUMIFS(表1_8612182224267274[活跃Coin],表1_8612182224267274[目标区服],表2_9713192325277379[[#This Row],[合区区服]],表1_8612182224267274[目标国家（映射）],表2_9713192325277379[[#This Row],[国家]])</f>
        <v>361301</v>
      </c>
      <c r="K29" s="41">
        <f>SUMIFS(表1_8612182224267274[共计补偿Coin],表1_8612182224267274[目标区服],表2_9713192325277379[[#This Row],[合区区服]],表1_8612182224267274[目标国家（映射）],表2_9713192325277379[[#This Row],[国家]])</f>
        <v>46000</v>
      </c>
      <c r="L29" s="41">
        <f>表2_9713192325277379[[#This Row],[活跃Coin]]+表2_9713192325277379[[#This Row],[共计补偿Coin]]</f>
        <v>407301</v>
      </c>
      <c r="M29" s="41">
        <f>SUMIFS(表1_8612182224267274[综合国力],表1_8612182224267274[目标区服],表2_9713192325277379[[#This Row],[合区区服]],表1_8612182224267274[目标国家（映射）],表2_9713192325277379[[#This Row],[国家]])</f>
        <v>12135</v>
      </c>
      <c r="N29" s="41">
        <f t="array" ref="N29">MAX((表1_8612182224267274[目标区服]=表2_9713192325277379[[#This Row],[合区区服]])*(表1_8612182224267274[目标国家（映射）]=表2_9713192325277379[[#This Row],[国家]])*表1_8612182224267274[单将最高战力])</f>
        <v>819875</v>
      </c>
      <c r="P29" s="51">
        <v>7008</v>
      </c>
      <c r="Q29" s="51">
        <v>42</v>
      </c>
      <c r="R29" s="51"/>
      <c r="S29" s="51"/>
    </row>
    <row r="30" ht="15" spans="1:17">
      <c r="A30" s="41" t="s">
        <v>150</v>
      </c>
      <c r="B30" s="41" t="s">
        <v>26</v>
      </c>
      <c r="C30" s="41">
        <f>COUNTIFS(表1_8612182224267274[目标区服],表2_9713192325277379[[#This Row],[合区区服]],表1_8612182224267274[目标国家（映射）],表2_9713192325277379[[#This Row],[国家]])</f>
        <v>2</v>
      </c>
      <c r="D30" s="41">
        <f>SUMIFS(表1_8612182224267274[活跃高战玩家数],表1_8612182224267274[目标区服],表2_9713192325277379[[#This Row],[合区区服]],表1_8612182224267274[目标国家（映射）],表2_9713192325277379[[#This Row],[国家]])</f>
        <v>9</v>
      </c>
      <c r="E30" s="41">
        <f>SUMIFS(表1_8612182224267274[活跃中坚玩家数],表1_8612182224267274[目标区服],表2_9713192325277379[[#This Row],[合区区服]],表1_8612182224267274[目标国家（映射）],表2_9713192325277379[[#This Row],[国家]])</f>
        <v>39</v>
      </c>
      <c r="F30" s="41">
        <f t="array" ref="F30">MAX((表1_8612182224267274[目标区服]=表2_9713192325277379[[#This Row],[合区区服]])*(表1_8612182224267274[目标国家（映射）]=表2_9713192325277379[[#This Row],[国家]])*表1_8612182224267274[活跃尖端战力])</f>
        <v>2205430</v>
      </c>
      <c r="G30" s="42">
        <f>SUMIFS(表1_8612182224267274[活跃总战力],表1_8612182224267274[目标区服],表2_9713192325277379[[#This Row],[合区区服]],表1_8612182224267274[目标国家（映射）],表2_9713192325277379[[#This Row],[国家]])</f>
        <v>35436123</v>
      </c>
      <c r="H30" s="41">
        <f>SUMIFS(表1_8612182224267274[活跃实际充值],表1_8612182224267274[目标区服],表2_9713192325277379[[#This Row],[合区区服]],表1_8612182224267274[目标国家（映射）],表2_9713192325277379[[#This Row],[国家]])</f>
        <v>102896</v>
      </c>
      <c r="I30" s="41">
        <f>SUMIFS(表1_8612182224267274[活跃虚拟充值],表1_8612182224267274[目标区服],表2_9713192325277379[[#This Row],[合区区服]],表1_8612182224267274[目标国家（映射）],表2_9713192325277379[[#This Row],[国家]])</f>
        <v>0</v>
      </c>
      <c r="J30" s="41">
        <f>SUMIFS(表1_8612182224267274[活跃Coin],表1_8612182224267274[目标区服],表2_9713192325277379[[#This Row],[合区区服]],表1_8612182224267274[目标国家（映射）],表2_9713192325277379[[#This Row],[国家]])</f>
        <v>670136</v>
      </c>
      <c r="K30" s="41">
        <f>SUMIFS(表1_8612182224267274[共计补偿Coin],表1_8612182224267274[目标区服],表2_9713192325277379[[#This Row],[合区区服]],表1_8612182224267274[目标国家（映射）],表2_9713192325277379[[#This Row],[国家]])</f>
        <v>56500</v>
      </c>
      <c r="L30" s="41">
        <f>表2_9713192325277379[[#This Row],[活跃Coin]]+表2_9713192325277379[[#This Row],[共计补偿Coin]]</f>
        <v>726636</v>
      </c>
      <c r="M30" s="41">
        <f>SUMIFS(表1_8612182224267274[综合国力],表1_8612182224267274[目标区服],表2_9713192325277379[[#This Row],[合区区服]],表1_8612182224267274[目标国家（映射）],表2_9713192325277379[[#This Row],[国家]])</f>
        <v>17657</v>
      </c>
      <c r="N30" s="41">
        <f t="array" ref="N30">MAX((表1_8612182224267274[目标区服]=表2_9713192325277379[[#This Row],[合区区服]])*(表1_8612182224267274[目标国家（映射）]=表2_9713192325277379[[#This Row],[国家]])*表1_8612182224267274[单将最高战力])</f>
        <v>779335</v>
      </c>
      <c r="P30" s="51">
        <v>7009</v>
      </c>
      <c r="Q30" s="51">
        <v>40</v>
      </c>
    </row>
    <row r="31" ht="15" spans="1:17">
      <c r="A31" s="41" t="s">
        <v>150</v>
      </c>
      <c r="B31" s="43" t="s">
        <v>27</v>
      </c>
      <c r="C31" s="43">
        <f>COUNTIFS(表1_8612182224267274[目标区服],表2_9713192325277379[[#This Row],[合区区服]],表1_8612182224267274[目标国家（映射）],表2_9713192325277379[[#This Row],[国家]])</f>
        <v>2</v>
      </c>
      <c r="D31" s="43">
        <f>SUMIFS(表1_8612182224267274[活跃高战玩家数],表1_8612182224267274[目标区服],表2_9713192325277379[[#This Row],[合区区服]],表1_8612182224267274[目标国家（映射）],表2_9713192325277379[[#This Row],[国家]])</f>
        <v>5</v>
      </c>
      <c r="E31" s="43">
        <f>SUMIFS(表1_8612182224267274[活跃中坚玩家数],表1_8612182224267274[目标区服],表2_9713192325277379[[#This Row],[合区区服]],表1_8612182224267274[目标国家（映射）],表2_9713192325277379[[#This Row],[国家]])</f>
        <v>36</v>
      </c>
      <c r="F31" s="43">
        <f t="array" ref="F31">MAX((表1_8612182224267274[目标区服]=表2_9713192325277379[[#This Row],[合区区服]])*(表1_8612182224267274[目标国家（映射）]=表2_9713192325277379[[#This Row],[国家]])*表1_8612182224267274[活跃尖端战力])</f>
        <v>2562798</v>
      </c>
      <c r="G31" s="44">
        <f>SUMIFS(表1_8612182224267274[活跃总战力],表1_8612182224267274[目标区服],表2_9713192325277379[[#This Row],[合区区服]],表1_8612182224267274[目标国家（映射）],表2_9713192325277379[[#This Row],[国家]])</f>
        <v>28735793</v>
      </c>
      <c r="H31" s="43">
        <f>SUMIFS(表1_8612182224267274[活跃实际充值],表1_8612182224267274[目标区服],表2_9713192325277379[[#This Row],[合区区服]],表1_8612182224267274[目标国家（映射）],表2_9713192325277379[[#This Row],[国家]])</f>
        <v>98092</v>
      </c>
      <c r="I31" s="43">
        <f>SUMIFS(表1_8612182224267274[活跃虚拟充值],表1_8612182224267274[目标区服],表2_9713192325277379[[#This Row],[合区区服]],表1_8612182224267274[目标国家（映射）],表2_9713192325277379[[#This Row],[国家]])</f>
        <v>54914</v>
      </c>
      <c r="J31" s="43">
        <f>SUMIFS(表1_8612182224267274[活跃Coin],表1_8612182224267274[目标区服],表2_9713192325277379[[#This Row],[合区区服]],表1_8612182224267274[目标国家（映射）],表2_9713192325277379[[#This Row],[国家]])</f>
        <v>707504</v>
      </c>
      <c r="K31" s="43">
        <f>SUMIFS(表1_8612182224267274[共计补偿Coin],表1_8612182224267274[目标区服],表2_9713192325277379[[#This Row],[合区区服]],表1_8612182224267274[目标国家（映射）],表2_9713192325277379[[#This Row],[国家]])</f>
        <v>52500</v>
      </c>
      <c r="L31" s="43">
        <f>表2_9713192325277379[[#This Row],[活跃Coin]]+表2_9713192325277379[[#This Row],[共计补偿Coin]]</f>
        <v>760004</v>
      </c>
      <c r="M31" s="43">
        <f>SUMIFS(表1_8612182224267274[综合国力],表1_8612182224267274[目标区服],表2_9713192325277379[[#This Row],[合区区服]],表1_8612182224267274[目标国家（映射）],表2_9713192325277379[[#This Row],[国家]])</f>
        <v>13405</v>
      </c>
      <c r="N31" s="41">
        <f t="array" ref="N31">MAX((表1_8612182224267274[目标区服]=表2_9713192325277379[[#This Row],[合区区服]])*(表1_8612182224267274[目标国家（映射）]=表2_9713192325277379[[#This Row],[国家]])*表1_8612182224267274[单将最高战力])</f>
        <v>828608</v>
      </c>
      <c r="P31" s="51">
        <v>7010</v>
      </c>
      <c r="Q31" s="51">
        <v>39</v>
      </c>
    </row>
    <row r="32" ht="15" spans="1:17">
      <c r="A32" s="45" t="s">
        <v>151</v>
      </c>
      <c r="B32" s="46" t="s">
        <v>25</v>
      </c>
      <c r="C32" s="46">
        <f>COUNTIFS(表1_8612182224267274[目标区服],表2_9713192325277379[[#This Row],[合区区服]],表1_8612182224267274[目标国家（映射）],表2_9713192325277379[[#This Row],[国家]])</f>
        <v>3</v>
      </c>
      <c r="D32" s="46">
        <f>SUMIFS(表1_8612182224267274[活跃高战玩家数],表1_8612182224267274[目标区服],表2_9713192325277379[[#This Row],[合区区服]],表1_8612182224267274[目标国家（映射）],表2_9713192325277379[[#This Row],[国家]])</f>
        <v>8</v>
      </c>
      <c r="E32" s="46">
        <f>SUMIFS(表1_8612182224267274[活跃中坚玩家数],表1_8612182224267274[目标区服],表2_9713192325277379[[#This Row],[合区区服]],表1_8612182224267274[目标国家（映射）],表2_9713192325277379[[#This Row],[国家]])</f>
        <v>53</v>
      </c>
      <c r="F32" s="46">
        <f t="array" ref="F32">MAX((表1_8612182224267274[目标区服]=表2_9713192325277379[[#This Row],[合区区服]])*(表1_8612182224267274[目标国家（映射）]=表2_9713192325277379[[#This Row],[国家]])*表1_8612182224267274[活跃尖端战力])</f>
        <v>1899555</v>
      </c>
      <c r="G32" s="47">
        <f>SUMIFS(表1_8612182224267274[活跃总战力],表1_8612182224267274[目标区服],表2_9713192325277379[[#This Row],[合区区服]],表1_8612182224267274[目标国家（映射）],表2_9713192325277379[[#This Row],[国家]])</f>
        <v>36942321</v>
      </c>
      <c r="H32" s="46">
        <f>SUMIFS(表1_8612182224267274[活跃实际充值],表1_8612182224267274[目标区服],表2_9713192325277379[[#This Row],[合区区服]],表1_8612182224267274[目标国家（映射）],表2_9713192325277379[[#This Row],[国家]])</f>
        <v>73592</v>
      </c>
      <c r="I32" s="46">
        <f>SUMIFS(表1_8612182224267274[活跃虚拟充值],表1_8612182224267274[目标区服],表2_9713192325277379[[#This Row],[合区区服]],表1_8612182224267274[目标国家（映射）],表2_9713192325277379[[#This Row],[国家]])</f>
        <v>0</v>
      </c>
      <c r="J32" s="46">
        <f>SUMIFS(表1_8612182224267274[活跃Coin],表1_8612182224267274[目标区服],表2_9713192325277379[[#This Row],[合区区服]],表1_8612182224267274[目标国家（映射）],表2_9713192325277379[[#This Row],[国家]])</f>
        <v>652893</v>
      </c>
      <c r="K32" s="46">
        <f>SUMIFS(表1_8612182224267274[共计补偿Coin],表1_8612182224267274[目标区服],表2_9713192325277379[[#This Row],[合区区服]],表1_8612182224267274[目标国家（映射）],表2_9713192325277379[[#This Row],[国家]])</f>
        <v>83000</v>
      </c>
      <c r="L32" s="46">
        <f>表2_9713192325277379[[#This Row],[活跃Coin]]+表2_9713192325277379[[#This Row],[共计补偿Coin]]</f>
        <v>735893</v>
      </c>
      <c r="M32" s="46">
        <f>SUMIFS(表1_8612182224267274[综合国力],表1_8612182224267274[目标区服],表2_9713192325277379[[#This Row],[合区区服]],表1_8612182224267274[目标国家（映射）],表2_9713192325277379[[#This Row],[国家]])</f>
        <v>16087</v>
      </c>
      <c r="N32" s="46">
        <f t="array" ref="N32">MAX((表1_8612182224267274[目标区服]=表2_9713192325277379[[#This Row],[合区区服]])*(表1_8612182224267274[目标国家（映射）]=表2_9713192325277379[[#This Row],[国家]])*表1_8612182224267274[单将最高战力])</f>
        <v>516961</v>
      </c>
      <c r="P32" s="51"/>
      <c r="Q32" s="51"/>
    </row>
    <row r="33" ht="15" spans="1:17">
      <c r="A33" s="45" t="s">
        <v>151</v>
      </c>
      <c r="B33" s="46" t="s">
        <v>26</v>
      </c>
      <c r="C33" s="46">
        <f>COUNTIFS(表1_8612182224267274[目标区服],表2_9713192325277379[[#This Row],[合区区服]],表1_8612182224267274[目标国家（映射）],表2_9713192325277379[[#This Row],[国家]])</f>
        <v>1</v>
      </c>
      <c r="D33" s="46">
        <f>SUMIFS(表1_8612182224267274[活跃高战玩家数],表1_8612182224267274[目标区服],表2_9713192325277379[[#This Row],[合区区服]],表1_8612182224267274[目标国家（映射）],表2_9713192325277379[[#This Row],[国家]])</f>
        <v>8</v>
      </c>
      <c r="E33" s="46">
        <f>SUMIFS(表1_8612182224267274[活跃中坚玩家数],表1_8612182224267274[目标区服],表2_9713192325277379[[#This Row],[合区区服]],表1_8612182224267274[目标国家（映射）],表2_9713192325277379[[#This Row],[国家]])</f>
        <v>23</v>
      </c>
      <c r="F33" s="46">
        <f t="array" ref="F33">MAX((表1_8612182224267274[目标区服]=表2_9713192325277379[[#This Row],[合区区服]])*(表1_8612182224267274[目标国家（映射）]=表2_9713192325277379[[#This Row],[国家]])*表1_8612182224267274[活跃尖端战力])</f>
        <v>2708264</v>
      </c>
      <c r="G33" s="47">
        <f>SUMIFS(表1_8612182224267274[活跃总战力],表1_8612182224267274[目标区服],表2_9713192325277379[[#This Row],[合区区服]],表1_8612182224267274[目标国家（映射）],表2_9713192325277379[[#This Row],[国家]])</f>
        <v>25295335</v>
      </c>
      <c r="H33" s="46">
        <f>SUMIFS(表1_8612182224267274[活跃实际充值],表1_8612182224267274[目标区服],表2_9713192325277379[[#This Row],[合区区服]],表1_8612182224267274[目标国家（映射）],表2_9713192325277379[[#This Row],[国家]])</f>
        <v>132180</v>
      </c>
      <c r="I33" s="46">
        <f>SUMIFS(表1_8612182224267274[活跃虚拟充值],表1_8612182224267274[目标区服],表2_9713192325277379[[#This Row],[合区区服]],表1_8612182224267274[目标国家（映射）],表2_9713192325277379[[#This Row],[国家]])</f>
        <v>8132</v>
      </c>
      <c r="J33" s="46">
        <f>SUMIFS(表1_8612182224267274[活跃Coin],表1_8612182224267274[目标区服],表2_9713192325277379[[#This Row],[合区区服]],表1_8612182224267274[目标国家（映射）],表2_9713192325277379[[#This Row],[国家]])</f>
        <v>423953</v>
      </c>
      <c r="K33" s="46">
        <f>SUMIFS(表1_8612182224267274[共计补偿Coin],表1_8612182224267274[目标区服],表2_9713192325277379[[#This Row],[合区区服]],表1_8612182224267274[目标国家（映射）],表2_9713192325277379[[#This Row],[国家]])</f>
        <v>31000</v>
      </c>
      <c r="L33" s="46">
        <f>表2_9713192325277379[[#This Row],[活跃Coin]]+表2_9713192325277379[[#This Row],[共计补偿Coin]]</f>
        <v>454953</v>
      </c>
      <c r="M33" s="46">
        <f>SUMIFS(表1_8612182224267274[综合国力],表1_8612182224267274[目标区服],表2_9713192325277379[[#This Row],[合区区服]],表1_8612182224267274[目标国家（映射）],表2_9713192325277379[[#This Row],[国家]])</f>
        <v>13643</v>
      </c>
      <c r="N33" s="46">
        <f t="array" ref="N33">MAX((表1_8612182224267274[目标区服]=表2_9713192325277379[[#This Row],[合区区服]])*(表1_8612182224267274[目标国家（映射）]=表2_9713192325277379[[#This Row],[国家]])*表1_8612182224267274[单将最高战力])</f>
        <v>703396</v>
      </c>
      <c r="P33" s="51"/>
      <c r="Q33" s="51"/>
    </row>
    <row r="34" ht="15" spans="1:14">
      <c r="A34" s="45" t="s">
        <v>151</v>
      </c>
      <c r="B34" s="48" t="s">
        <v>27</v>
      </c>
      <c r="C34" s="48">
        <f>COUNTIFS(表1_8612182224267274[目标区服],表2_9713192325277379[[#This Row],[合区区服]],表1_8612182224267274[目标国家（映射）],表2_9713192325277379[[#This Row],[国家]])</f>
        <v>2</v>
      </c>
      <c r="D34" s="48">
        <f>SUMIFS(表1_8612182224267274[活跃高战玩家数],表1_8612182224267274[目标区服],表2_9713192325277379[[#This Row],[合区区服]],表1_8612182224267274[目标国家（映射）],表2_9713192325277379[[#This Row],[国家]])</f>
        <v>4</v>
      </c>
      <c r="E34" s="48">
        <f>SUMIFS(表1_8612182224267274[活跃中坚玩家数],表1_8612182224267274[目标区服],表2_9713192325277379[[#This Row],[合区区服]],表1_8612182224267274[目标国家（映射）],表2_9713192325277379[[#This Row],[国家]])</f>
        <v>30</v>
      </c>
      <c r="F34" s="48">
        <f t="array" ref="F34">MAX((表1_8612182224267274[目标区服]=表2_9713192325277379[[#This Row],[合区区服]])*(表1_8612182224267274[目标国家（映射）]=表2_9713192325277379[[#This Row],[国家]])*表1_8612182224267274[活跃尖端战力])</f>
        <v>1782312</v>
      </c>
      <c r="G34" s="458">
        <f>SUMIFS(表1_8612182224267274[活跃总战力],表1_8612182224267274[目标区服],表2_9713192325277379[[#This Row],[合区区服]],表1_8612182224267274[目标国家（映射）],表2_9713192325277379[[#This Row],[国家]])</f>
        <v>18614364</v>
      </c>
      <c r="H34" s="48">
        <f>SUMIFS(表1_8612182224267274[活跃实际充值],表1_8612182224267274[目标区服],表2_9713192325277379[[#This Row],[合区区服]],表1_8612182224267274[目标国家（映射）],表2_9713192325277379[[#This Row],[国家]])</f>
        <v>64278</v>
      </c>
      <c r="I34" s="48">
        <f>SUMIFS(表1_8612182224267274[活跃虚拟充值],表1_8612182224267274[目标区服],表2_9713192325277379[[#This Row],[合区区服]],表1_8612182224267274[目标国家（映射）],表2_9713192325277379[[#This Row],[国家]])</f>
        <v>18218</v>
      </c>
      <c r="J34" s="48">
        <f>SUMIFS(表1_8612182224267274[活跃Coin],表1_8612182224267274[目标区服],表2_9713192325277379[[#This Row],[合区区服]],表1_8612182224267274[目标国家（映射）],表2_9713192325277379[[#This Row],[国家]])</f>
        <v>248335</v>
      </c>
      <c r="K34" s="48">
        <f>SUMIFS(表1_8612182224267274[共计补偿Coin],表1_8612182224267274[目标区服],表2_9713192325277379[[#This Row],[合区区服]],表1_8612182224267274[目标国家（映射）],表2_9713192325277379[[#This Row],[国家]])</f>
        <v>44000</v>
      </c>
      <c r="L34" s="48">
        <f>表2_9713192325277379[[#This Row],[活跃Coin]]+表2_9713192325277379[[#This Row],[共计补偿Coin]]</f>
        <v>292335</v>
      </c>
      <c r="M34" s="48">
        <f>SUMIFS(表1_8612182224267274[综合国力],表1_8612182224267274[目标区服],表2_9713192325277379[[#This Row],[合区区服]],表1_8612182224267274[目标国家（映射）],表2_9713192325277379[[#This Row],[国家]])</f>
        <v>9727</v>
      </c>
      <c r="N34" s="46">
        <f t="array" ref="N34">MAX((表1_8612182224267274[目标区服]=表2_9713192325277379[[#This Row],[合区区服]])*(表1_8612182224267274[目标国家（映射）]=表2_9713192325277379[[#This Row],[国家]])*表1_8612182224267274[单将最高战力])</f>
        <v>459223</v>
      </c>
    </row>
    <row r="40" ht="27" spans="2:14">
      <c r="B40" s="49"/>
      <c r="C40" s="50" t="s">
        <v>9</v>
      </c>
      <c r="D40" s="50" t="s">
        <v>10</v>
      </c>
      <c r="E40" s="50" t="s">
        <v>11</v>
      </c>
      <c r="F40" s="50" t="s">
        <v>12</v>
      </c>
      <c r="G40" s="50" t="s">
        <v>13</v>
      </c>
      <c r="H40" s="50" t="s">
        <v>14</v>
      </c>
      <c r="I40" s="50" t="s">
        <v>15</v>
      </c>
      <c r="J40" s="50" t="s">
        <v>18</v>
      </c>
      <c r="K40" s="50" t="s">
        <v>19</v>
      </c>
      <c r="L40" s="50" t="s">
        <v>20</v>
      </c>
      <c r="M40" s="50" t="s">
        <v>21</v>
      </c>
      <c r="N40" s="50" t="s">
        <v>82</v>
      </c>
    </row>
    <row r="41" spans="1:14">
      <c r="A41">
        <v>7005</v>
      </c>
      <c r="B41" s="50" t="s">
        <v>25</v>
      </c>
      <c r="C41" s="50">
        <v>4</v>
      </c>
      <c r="D41" s="50">
        <v>121</v>
      </c>
      <c r="E41" s="50">
        <v>5</v>
      </c>
      <c r="F41" s="50">
        <v>22</v>
      </c>
      <c r="G41" s="50">
        <v>142587</v>
      </c>
      <c r="H41" s="50">
        <v>3409817</v>
      </c>
      <c r="I41" s="50">
        <v>26681717</v>
      </c>
      <c r="J41" s="50">
        <v>145896</v>
      </c>
      <c r="K41" s="50">
        <v>0</v>
      </c>
      <c r="L41" s="50">
        <v>597377</v>
      </c>
      <c r="M41" s="50">
        <v>13076</v>
      </c>
      <c r="N41" s="50">
        <v>989942</v>
      </c>
    </row>
    <row r="42" spans="2:14">
      <c r="B42" s="50" t="s">
        <v>26</v>
      </c>
      <c r="C42" s="50">
        <v>3</v>
      </c>
      <c r="D42" s="50">
        <v>195</v>
      </c>
      <c r="E42" s="50">
        <v>2</v>
      </c>
      <c r="F42" s="50">
        <v>19</v>
      </c>
      <c r="G42" s="50">
        <v>85912</v>
      </c>
      <c r="H42" s="50">
        <v>2943505</v>
      </c>
      <c r="I42" s="50">
        <v>17116986</v>
      </c>
      <c r="J42" s="50">
        <v>106610</v>
      </c>
      <c r="K42" s="50">
        <v>0</v>
      </c>
      <c r="L42" s="50">
        <v>293050</v>
      </c>
      <c r="M42" s="50">
        <v>10679</v>
      </c>
      <c r="N42" s="50">
        <v>981586</v>
      </c>
    </row>
    <row r="43" spans="2:14">
      <c r="B43" s="50" t="s">
        <v>27</v>
      </c>
      <c r="C43" s="50">
        <v>2</v>
      </c>
      <c r="D43" s="50">
        <v>79</v>
      </c>
      <c r="E43" s="50">
        <v>2</v>
      </c>
      <c r="F43" s="50">
        <v>11</v>
      </c>
      <c r="G43" s="50">
        <v>46656</v>
      </c>
      <c r="H43" s="50">
        <v>2362520</v>
      </c>
      <c r="I43" s="50">
        <v>10361059</v>
      </c>
      <c r="J43" s="50">
        <v>13632</v>
      </c>
      <c r="K43" s="50">
        <v>82402</v>
      </c>
      <c r="L43" s="50">
        <v>456830</v>
      </c>
      <c r="M43" s="50">
        <v>6083</v>
      </c>
      <c r="N43" s="50">
        <v>936850</v>
      </c>
    </row>
    <row r="44" spans="1:14">
      <c r="A44">
        <v>7006</v>
      </c>
      <c r="B44" s="50" t="s">
        <v>25</v>
      </c>
      <c r="C44" s="50">
        <v>4</v>
      </c>
      <c r="D44" s="50">
        <v>178</v>
      </c>
      <c r="E44" s="50">
        <v>4</v>
      </c>
      <c r="F44" s="50">
        <v>21</v>
      </c>
      <c r="G44" s="50">
        <v>107775</v>
      </c>
      <c r="H44" s="50">
        <v>3047846</v>
      </c>
      <c r="I44" s="50">
        <v>20549553</v>
      </c>
      <c r="J44" s="50">
        <v>98478</v>
      </c>
      <c r="K44" s="50">
        <v>0</v>
      </c>
      <c r="L44" s="50">
        <v>430213</v>
      </c>
      <c r="M44" s="50">
        <v>10991</v>
      </c>
      <c r="N44" s="50">
        <v>992613</v>
      </c>
    </row>
    <row r="45" spans="2:14">
      <c r="B45" s="50" t="s">
        <v>26</v>
      </c>
      <c r="C45" s="50">
        <v>5</v>
      </c>
      <c r="D45" s="50">
        <v>188</v>
      </c>
      <c r="E45" s="50">
        <v>6</v>
      </c>
      <c r="F45" s="50">
        <v>27</v>
      </c>
      <c r="G45" s="50">
        <v>172317</v>
      </c>
      <c r="H45" s="50">
        <v>2915641</v>
      </c>
      <c r="I45" s="50">
        <v>29684619</v>
      </c>
      <c r="J45" s="50">
        <v>97744</v>
      </c>
      <c r="K45" s="50">
        <v>0</v>
      </c>
      <c r="L45" s="50">
        <v>562566</v>
      </c>
      <c r="M45" s="50">
        <v>12339</v>
      </c>
      <c r="N45" s="50">
        <v>1016094</v>
      </c>
    </row>
    <row r="46" spans="2:14">
      <c r="B46" s="50" t="s">
        <v>27</v>
      </c>
      <c r="C46" s="50">
        <v>0</v>
      </c>
      <c r="D46" s="50">
        <v>29</v>
      </c>
      <c r="E46" s="50">
        <v>0</v>
      </c>
      <c r="F46" s="50">
        <v>5</v>
      </c>
      <c r="G46" s="50">
        <v>13598</v>
      </c>
      <c r="H46" s="50">
        <v>657981</v>
      </c>
      <c r="I46" s="50">
        <v>2586380</v>
      </c>
      <c r="J46" s="50">
        <v>1802</v>
      </c>
      <c r="K46" s="50">
        <v>0</v>
      </c>
      <c r="L46" s="50">
        <v>8572</v>
      </c>
      <c r="M46" s="50">
        <v>1332</v>
      </c>
      <c r="N46" s="50">
        <v>212244</v>
      </c>
    </row>
    <row r="47" spans="1:14">
      <c r="A47">
        <v>7007</v>
      </c>
      <c r="B47" s="50" t="s">
        <v>25</v>
      </c>
      <c r="C47" s="50">
        <v>0</v>
      </c>
      <c r="D47" s="50">
        <v>50</v>
      </c>
      <c r="E47" s="50">
        <v>1</v>
      </c>
      <c r="F47" s="50">
        <v>17</v>
      </c>
      <c r="G47" s="50">
        <v>59398</v>
      </c>
      <c r="H47" s="50">
        <v>1029236</v>
      </c>
      <c r="I47" s="50">
        <v>9024609</v>
      </c>
      <c r="J47" s="50">
        <v>7268</v>
      </c>
      <c r="K47" s="50">
        <v>18242</v>
      </c>
      <c r="L47" s="50">
        <v>145656</v>
      </c>
      <c r="M47" s="50">
        <v>3201</v>
      </c>
      <c r="N47" s="50">
        <v>301588</v>
      </c>
    </row>
    <row r="48" spans="2:14">
      <c r="B48" s="50" t="s">
        <v>26</v>
      </c>
      <c r="C48" s="50">
        <v>1</v>
      </c>
      <c r="D48" s="50">
        <v>93</v>
      </c>
      <c r="E48" s="50">
        <v>2</v>
      </c>
      <c r="F48" s="50">
        <v>14</v>
      </c>
      <c r="G48" s="50">
        <v>74119</v>
      </c>
      <c r="H48" s="50">
        <v>1478286</v>
      </c>
      <c r="I48" s="50">
        <v>10306805</v>
      </c>
      <c r="J48" s="50">
        <v>29292</v>
      </c>
      <c r="K48" s="50">
        <v>0</v>
      </c>
      <c r="L48" s="50">
        <v>195359</v>
      </c>
      <c r="M48" s="50">
        <v>4886</v>
      </c>
      <c r="N48" s="50">
        <v>434511</v>
      </c>
    </row>
    <row r="49" spans="2:14">
      <c r="B49" s="50" t="s">
        <v>27</v>
      </c>
      <c r="C49" s="50">
        <v>8</v>
      </c>
      <c r="D49" s="50">
        <v>252</v>
      </c>
      <c r="E49" s="50">
        <v>6</v>
      </c>
      <c r="F49" s="50">
        <v>25</v>
      </c>
      <c r="G49" s="50">
        <v>152104</v>
      </c>
      <c r="H49" s="50">
        <v>1960759</v>
      </c>
      <c r="I49" s="50">
        <v>21813522</v>
      </c>
      <c r="J49" s="50">
        <v>31532</v>
      </c>
      <c r="K49" s="50">
        <v>0</v>
      </c>
      <c r="L49" s="50">
        <v>272112</v>
      </c>
      <c r="M49" s="50">
        <v>9304</v>
      </c>
      <c r="N49" s="50">
        <v>505568</v>
      </c>
    </row>
    <row r="50" spans="1:14">
      <c r="A50">
        <v>7008</v>
      </c>
      <c r="B50" s="50" t="s">
        <v>25</v>
      </c>
      <c r="C50" s="50">
        <v>3</v>
      </c>
      <c r="D50" s="50">
        <v>86</v>
      </c>
      <c r="E50" s="50">
        <v>3</v>
      </c>
      <c r="F50" s="50">
        <v>17</v>
      </c>
      <c r="G50" s="50">
        <v>88159</v>
      </c>
      <c r="H50" s="50">
        <v>2360773</v>
      </c>
      <c r="I50" s="50">
        <v>13977842</v>
      </c>
      <c r="J50" s="50">
        <v>60228</v>
      </c>
      <c r="K50" s="50">
        <v>0</v>
      </c>
      <c r="L50" s="50">
        <v>165942</v>
      </c>
      <c r="M50" s="50">
        <v>7249</v>
      </c>
      <c r="N50" s="50">
        <v>819875</v>
      </c>
    </row>
    <row r="51" spans="2:14">
      <c r="B51" s="50" t="s">
        <v>26</v>
      </c>
      <c r="C51" s="50">
        <v>3</v>
      </c>
      <c r="D51" s="50">
        <v>172</v>
      </c>
      <c r="E51" s="50">
        <v>3</v>
      </c>
      <c r="F51" s="50">
        <v>14</v>
      </c>
      <c r="G51" s="50">
        <v>85228</v>
      </c>
      <c r="H51" s="50">
        <v>2205430</v>
      </c>
      <c r="I51" s="50">
        <v>13622601</v>
      </c>
      <c r="J51" s="50">
        <v>71364</v>
      </c>
      <c r="K51" s="50">
        <v>0</v>
      </c>
      <c r="L51" s="50">
        <v>398024</v>
      </c>
      <c r="M51" s="50">
        <v>8353</v>
      </c>
      <c r="N51" s="50">
        <v>779335</v>
      </c>
    </row>
    <row r="52" spans="2:14">
      <c r="B52" s="50" t="s">
        <v>27</v>
      </c>
      <c r="C52" s="50">
        <v>3</v>
      </c>
      <c r="D52" s="50">
        <v>137</v>
      </c>
      <c r="E52" s="50">
        <v>4</v>
      </c>
      <c r="F52" s="50">
        <v>19</v>
      </c>
      <c r="G52" s="50">
        <v>125740</v>
      </c>
      <c r="H52" s="50">
        <v>2562798</v>
      </c>
      <c r="I52" s="50">
        <v>19711184</v>
      </c>
      <c r="J52" s="50">
        <v>90824</v>
      </c>
      <c r="K52" s="50">
        <v>36672</v>
      </c>
      <c r="L52" s="50">
        <v>561848</v>
      </c>
      <c r="M52" s="50">
        <v>10204</v>
      </c>
      <c r="N52" s="50">
        <v>828608</v>
      </c>
    </row>
    <row r="53" spans="1:14">
      <c r="A53">
        <v>7009</v>
      </c>
      <c r="B53" s="50" t="s">
        <v>25</v>
      </c>
      <c r="C53" s="50">
        <v>2</v>
      </c>
      <c r="D53" s="50">
        <v>66</v>
      </c>
      <c r="E53" s="50">
        <v>2</v>
      </c>
      <c r="F53" s="50">
        <v>15</v>
      </c>
      <c r="G53" s="50">
        <v>74882</v>
      </c>
      <c r="H53" s="50">
        <v>1554199</v>
      </c>
      <c r="I53" s="50">
        <v>9738649</v>
      </c>
      <c r="J53" s="50">
        <v>9698</v>
      </c>
      <c r="K53" s="50">
        <v>0</v>
      </c>
      <c r="L53" s="50">
        <v>105993</v>
      </c>
      <c r="M53" s="50">
        <v>4106</v>
      </c>
      <c r="N53" s="50">
        <v>445483</v>
      </c>
    </row>
    <row r="54" spans="2:14">
      <c r="B54" s="50" t="s">
        <v>26</v>
      </c>
      <c r="C54" s="50">
        <v>6</v>
      </c>
      <c r="D54" s="50">
        <v>266</v>
      </c>
      <c r="E54" s="50">
        <v>8</v>
      </c>
      <c r="F54" s="50">
        <v>23</v>
      </c>
      <c r="G54" s="50">
        <v>177308</v>
      </c>
      <c r="H54" s="50">
        <v>2708264</v>
      </c>
      <c r="I54" s="50">
        <v>25295335</v>
      </c>
      <c r="J54" s="50">
        <v>132180</v>
      </c>
      <c r="K54" s="50">
        <v>8132</v>
      </c>
      <c r="L54" s="50">
        <v>423953</v>
      </c>
      <c r="M54" s="50">
        <v>13643</v>
      </c>
      <c r="N54" s="50">
        <v>703396</v>
      </c>
    </row>
    <row r="55" spans="2:14">
      <c r="B55" s="50" t="s">
        <v>27</v>
      </c>
      <c r="C55" s="50">
        <v>1</v>
      </c>
      <c r="D55" s="50">
        <v>63</v>
      </c>
      <c r="E55" s="50">
        <v>0</v>
      </c>
      <c r="F55" s="50">
        <v>14</v>
      </c>
      <c r="G55" s="50">
        <v>43890</v>
      </c>
      <c r="H55" s="50">
        <v>832858</v>
      </c>
      <c r="I55" s="50">
        <v>5987069</v>
      </c>
      <c r="J55" s="50">
        <v>3908</v>
      </c>
      <c r="K55" s="50">
        <v>0</v>
      </c>
      <c r="L55" s="50">
        <v>66343</v>
      </c>
      <c r="M55" s="50">
        <v>2531</v>
      </c>
      <c r="N55" s="50">
        <v>230573</v>
      </c>
    </row>
    <row r="56" spans="1:14">
      <c r="A56">
        <v>7010</v>
      </c>
      <c r="B56" s="50" t="s">
        <v>25</v>
      </c>
      <c r="C56" s="50">
        <v>0</v>
      </c>
      <c r="D56" s="50">
        <v>43</v>
      </c>
      <c r="E56" s="50">
        <v>0</v>
      </c>
      <c r="F56" s="50">
        <v>13</v>
      </c>
      <c r="G56" s="50">
        <v>44893</v>
      </c>
      <c r="H56" s="50">
        <v>953545</v>
      </c>
      <c r="I56" s="50">
        <v>6182036</v>
      </c>
      <c r="J56" s="50">
        <v>6040</v>
      </c>
      <c r="K56" s="50">
        <v>0</v>
      </c>
      <c r="L56" s="50">
        <v>134272</v>
      </c>
      <c r="M56" s="50">
        <v>2474</v>
      </c>
      <c r="N56" s="50">
        <v>238860</v>
      </c>
    </row>
    <row r="57" spans="2:14">
      <c r="B57" s="50" t="s">
        <v>26</v>
      </c>
      <c r="C57" s="50">
        <v>6</v>
      </c>
      <c r="D57" s="50">
        <v>219</v>
      </c>
      <c r="E57" s="50">
        <v>6</v>
      </c>
      <c r="F57" s="50">
        <v>25</v>
      </c>
      <c r="G57" s="50">
        <v>154869</v>
      </c>
      <c r="H57" s="50">
        <v>1899555</v>
      </c>
      <c r="I57" s="50">
        <v>21021636</v>
      </c>
      <c r="J57" s="50">
        <v>57854</v>
      </c>
      <c r="K57" s="50">
        <v>0</v>
      </c>
      <c r="L57" s="50">
        <v>412628</v>
      </c>
      <c r="M57" s="50">
        <v>9507</v>
      </c>
      <c r="N57" s="50">
        <v>516961</v>
      </c>
    </row>
    <row r="58" spans="2:14">
      <c r="B58" s="50" t="s">
        <v>27</v>
      </c>
      <c r="C58" s="50">
        <v>3</v>
      </c>
      <c r="D58" s="50">
        <v>133</v>
      </c>
      <c r="E58" s="50">
        <v>4</v>
      </c>
      <c r="F58" s="50">
        <v>16</v>
      </c>
      <c r="G58" s="50">
        <v>87418</v>
      </c>
      <c r="H58" s="50">
        <v>1782312</v>
      </c>
      <c r="I58" s="50">
        <v>12627295</v>
      </c>
      <c r="J58" s="50">
        <v>60370</v>
      </c>
      <c r="K58" s="50">
        <v>18218</v>
      </c>
      <c r="L58" s="50">
        <v>181992</v>
      </c>
      <c r="M58" s="50">
        <v>7196</v>
      </c>
      <c r="N58" s="50">
        <v>459223</v>
      </c>
    </row>
    <row r="59" spans="1:14">
      <c r="A59">
        <v>7011</v>
      </c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</row>
    <row r="60" spans="2:14"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</row>
    <row r="61" spans="2:14"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</row>
  </sheetData>
  <conditionalFormatting sqref="F26:F28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{e37b3224-28c3-4dbd-8477-fb00545471c9}</x14:id>
        </ext>
      </extLst>
    </cfRule>
  </conditionalFormatting>
  <conditionalFormatting sqref="F29:F31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{c0874ec4-14ee-44ff-b346-ac393f1aefe3}</x14:id>
        </ext>
      </extLst>
    </cfRule>
  </conditionalFormatting>
  <conditionalFormatting sqref="F32:F3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{229921cf-843b-4ed0-9d78-f28ab4b91f34}</x14:id>
        </ext>
      </extLst>
    </cfRule>
  </conditionalFormatting>
  <conditionalFormatting sqref="G26:G28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{8a511669-f153-4f2f-9b22-3b34ac1fab63}</x14:id>
        </ext>
      </extLst>
    </cfRule>
  </conditionalFormatting>
  <conditionalFormatting sqref="G29:G3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{25034280-1f17-4925-b2ab-caa9cce8c992}</x14:id>
        </ext>
      </extLst>
    </cfRule>
  </conditionalFormatting>
  <conditionalFormatting sqref="G32:G34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{6e749870-bdbd-48b6-b0db-97dbccf0a9d3}</x14:id>
        </ext>
      </extLst>
    </cfRule>
  </conditionalFormatting>
  <conditionalFormatting sqref="N26:N34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{0b424754-0485-4ae6-9f99-db4f8403afdd}</x14:id>
        </ext>
      </extLst>
    </cfRule>
  </conditionalFormatting>
  <conditionalFormatting sqref="O2:O19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{e91046c9-7dc3-4a76-a0e0-315f3264956d}</x14:id>
        </ext>
      </extLst>
    </cfRule>
  </conditionalFormatting>
  <conditionalFormatting sqref="O20:O22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{eb0fa3a7-7d89-45e4-b362-05bcdeea2bf1}</x14:id>
        </ext>
      </extLst>
    </cfRule>
  </conditionalFormatting>
  <conditionalFormatting sqref="P2:P19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{abcb8e82-c7a2-439e-b2cc-529daf364605}</x14:id>
        </ext>
      </extLst>
    </cfRule>
  </conditionalFormatting>
  <conditionalFormatting sqref="P20:P2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{5e3b9cf5-16f5-48aa-a26e-4b5ce82b8e32}</x14:id>
        </ext>
      </extLst>
    </cfRule>
  </conditionalFormatting>
  <conditionalFormatting sqref="P26:P33">
    <cfRule type="cellIs" dxfId="37" priority="1" operator="equal">
      <formula>$S$26</formula>
    </cfRule>
  </conditionalFormatting>
  <conditionalFormatting sqref="Q2:Q22">
    <cfRule type="cellIs" dxfId="38" priority="8" operator="equal">
      <formula>配置!$D$4</formula>
    </cfRule>
    <cfRule type="cellIs" dxfId="39" priority="9" operator="equal">
      <formula>配置!$D$3</formula>
    </cfRule>
    <cfRule type="cellIs" dxfId="37" priority="10" operator="equal">
      <formula>配置!$D$2</formula>
    </cfRule>
  </conditionalFormatting>
  <conditionalFormatting sqref="R26:R29">
    <cfRule type="cellIs" dxfId="37" priority="2" operator="equal">
      <formula>$S$26</formula>
    </cfRule>
  </conditionalFormatting>
  <conditionalFormatting sqref="O23:O24 Q1:R1 Q2 Q4:Q5 Q7:Q8 Q10:Q11 Q13:Q14 Q16:Q17 Q19:Q20 Q22">
    <cfRule type="cellIs" dxfId="37" priority="18" operator="equal">
      <formula>配置!$D$2</formula>
    </cfRule>
  </conditionalFormatting>
  <conditionalFormatting sqref="Q2 Q4:Q5 Q7:Q8 Q10:Q11 Q13:Q14 Q16:Q17 Q19:Q20 Q22">
    <cfRule type="cellIs" dxfId="38" priority="17" operator="equal">
      <formula>配置!$D$4</formula>
    </cfRule>
  </conditionalFormatting>
  <dataValidations count="1">
    <dataValidation type="list" allowBlank="1" showInputMessage="1" showErrorMessage="1" sqref="Q2:Q22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37b3224-28c3-4dbd-8477-fb00545471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c0874ec4-14ee-44ff-b346-ac393f1aef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229921cf-843b-4ed0-9d78-f28ab4b91f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8a511669-f153-4f2f-9b22-3b34ac1fab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25034280-1f17-4925-b2ab-caa9cce8c9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6e749870-bdbd-48b6-b0db-97dbccf0a9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0b424754-0485-4ae6-9f99-db4f8403af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N26:N34</xm:sqref>
        </x14:conditionalFormatting>
        <x14:conditionalFormatting xmlns:xm="http://schemas.microsoft.com/office/excel/2006/main">
          <x14:cfRule type="dataBar" id="{e91046c9-7dc3-4a76-a0e0-315f326495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eb0fa3a7-7d89-45e4-b362-05bcdeea2b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abcb8e82-c7a2-439e-b2cc-529daf3646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5e3b9cf5-16f5-48aa-a26e-4b5ce82b8e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</x14:conditionalFormatting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5"/>
  <sheetViews>
    <sheetView topLeftCell="A19" workbookViewId="0">
      <selection activeCell="N46" sqref="H44:N46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1">
        <v>162</v>
      </c>
      <c r="B2" s="371">
        <f>VLOOKUP(表1_8612182224267280[[#This Row],[区服]],$P$35:$Q$44,2,FALSE)</f>
        <v>56</v>
      </c>
      <c r="C2" s="372" t="s">
        <v>152</v>
      </c>
      <c r="D2" s="373" t="str">
        <f>表1_8612182224267280[[#This Row],[目标国家]]</f>
        <v>魏</v>
      </c>
      <c r="E2" s="374">
        <f>(VLOOKUP(表1_8612182224267280[[#This Row],[目标区服]],$R$35:$S$39,2,FALSE)-表1_8612182224267280[[#This Row],[开服天数]])*配置!$B$1</f>
        <v>1000</v>
      </c>
      <c r="F2" s="374">
        <f>表1_8612182224267280[[#This Row],[补偿Coin]]*(表1_8612182224267280[[#This Row],[活跃高战玩家数]]+表1_8612182224267280[[#This Row],[活跃中坚玩家数]])</f>
        <v>8000</v>
      </c>
      <c r="G2" s="374">
        <f>(VLOOKUP(表1_8612182224267280[[#This Row],[目标区服]],$R$35:$S$39,2,FALSE)-表1_8612182224267280[[#This Row],[开服天数]])*配置!$B$2</f>
        <v>10</v>
      </c>
      <c r="H2" s="376" t="s">
        <v>25</v>
      </c>
      <c r="I2" s="376">
        <f>IF(表1_8612182224267280[[#This Row],[原国家]]="魏",0,IF(表1_8612182224267280[[#This Row],[原国家]]="蜀",1,2))</f>
        <v>0</v>
      </c>
      <c r="J2" s="380">
        <v>0</v>
      </c>
      <c r="K2" s="380">
        <v>57</v>
      </c>
      <c r="L2" s="380">
        <v>1</v>
      </c>
      <c r="M2" s="380">
        <v>7</v>
      </c>
      <c r="N2" s="380">
        <v>35813</v>
      </c>
      <c r="O2" s="380">
        <v>1525009</v>
      </c>
      <c r="P2" s="381">
        <v>5815846</v>
      </c>
      <c r="Q2" s="493" t="s">
        <v>25</v>
      </c>
      <c r="R2" s="376">
        <f>IF(表1_8612182224267280[[#This Row],[目标国家]]="魏",0,IF(表1_8612182224267280[[#This Row],[目标国家]]="蜀",1,2))</f>
        <v>0</v>
      </c>
      <c r="S2" s="380">
        <v>8914</v>
      </c>
      <c r="T2" s="380">
        <v>0</v>
      </c>
      <c r="U2" s="380">
        <v>27655</v>
      </c>
      <c r="V2" s="380">
        <v>3136</v>
      </c>
      <c r="W2" s="374">
        <v>452372</v>
      </c>
      <c r="X2" s="387" t="str">
        <f>"{"&amp;"'coin':"&amp;表1_8612182224267280[[#This Row],[补偿Coin]]&amp;",'"&amp;配置!$A$2&amp;"':"&amp;表1_8612182224267280[[#This Row],[补偿辎重]]&amp;"},"</f>
        <v>{'coin':1000,'item036':10},</v>
      </c>
      <c r="Y2" s="388" t="str">
        <f>"      '"&amp;表1_8612182224267280[[#This Row],[区服]]&amp;"':{"</f>
        <v>      '162':{</v>
      </c>
    </row>
    <row r="3" s="354" customFormat="1" ht="14.25" customHeight="1" spans="1:25">
      <c r="A3" s="371">
        <v>162</v>
      </c>
      <c r="B3" s="371">
        <f>VLOOKUP(表1_8612182224267280[[#This Row],[区服]],$P$35:$Q$44,2,FALSE)</f>
        <v>56</v>
      </c>
      <c r="C3" s="372" t="s">
        <v>152</v>
      </c>
      <c r="D3" s="376" t="str">
        <f>表1_8612182224267280[[#This Row],[目标国家]]</f>
        <v>蜀</v>
      </c>
      <c r="E3" s="380">
        <f>(VLOOKUP(表1_8612182224267280[[#This Row],[目标区服]],$R$35:$S$39,2,FALSE)-表1_8612182224267280[[#This Row],[开服天数]])*配置!$B$1</f>
        <v>1000</v>
      </c>
      <c r="F3" s="380">
        <f>表1_8612182224267280[[#This Row],[补偿Coin]]*(表1_8612182224267280[[#This Row],[活跃高战玩家数]]+表1_8612182224267280[[#This Row],[活跃中坚玩家数]])</f>
        <v>22000</v>
      </c>
      <c r="G3" s="380">
        <f>(VLOOKUP(表1_8612182224267280[[#This Row],[目标区服]],$R$35:$S$39,2,FALSE)-表1_8612182224267280[[#This Row],[开服天数]])*配置!$B$2</f>
        <v>10</v>
      </c>
      <c r="H3" s="376" t="s">
        <v>26</v>
      </c>
      <c r="I3" s="376">
        <f>IF(表1_8612182224267280[[#This Row],[原国家]]="魏",0,IF(表1_8612182224267280[[#This Row],[原国家]]="蜀",1,2))</f>
        <v>1</v>
      </c>
      <c r="J3" s="380">
        <v>6</v>
      </c>
      <c r="K3" s="380">
        <v>247</v>
      </c>
      <c r="L3" s="380">
        <v>7</v>
      </c>
      <c r="M3" s="380">
        <v>15</v>
      </c>
      <c r="N3" s="380">
        <v>151718</v>
      </c>
      <c r="O3" s="380">
        <v>4299186</v>
      </c>
      <c r="P3" s="381">
        <v>32895110</v>
      </c>
      <c r="Q3" s="493" t="s">
        <v>26</v>
      </c>
      <c r="R3" s="376">
        <f>IF(表1_8612182224267280[[#This Row],[目标国家]]="魏",0,IF(表1_8612182224267280[[#This Row],[目标国家]]="蜀",1,2))</f>
        <v>1</v>
      </c>
      <c r="S3" s="380">
        <v>266552</v>
      </c>
      <c r="T3" s="380">
        <v>0</v>
      </c>
      <c r="U3" s="380">
        <v>1276003</v>
      </c>
      <c r="V3" s="380">
        <v>20051</v>
      </c>
      <c r="W3" s="374">
        <v>1103217</v>
      </c>
      <c r="X3" s="387" t="str">
        <f>"{"&amp;"'coin':"&amp;表1_8612182224267280[[#This Row],[补偿Coin]]&amp;",'"&amp;配置!$A$2&amp;"':"&amp;表1_8612182224267280[[#This Row],[补偿辎重]]&amp;"},"</f>
        <v>{'coin':1000,'item036':10},</v>
      </c>
      <c r="Y3" s="388" t="str">
        <f>"            'to_zone':'"&amp;表1_8612182224267280[[#This Row],[目标区服]]&amp;"',
            'reward':"&amp;表1_8612182224267280[[#This Row],[辅助导出]]&amp;"
            'country':["&amp;R2&amp;","&amp;R3&amp;","&amp;R4&amp;"],"</f>
        <v>            'to_zone':'h1_70',
            'reward':{'coin':1000,'item036':10},
            'country':[0,1,1],</v>
      </c>
    </row>
    <row r="4" s="354" customFormat="1" ht="14.25" customHeight="1" spans="1:25">
      <c r="A4" s="371">
        <v>162</v>
      </c>
      <c r="B4" s="371">
        <f>VLOOKUP(表1_8612182224267280[[#This Row],[区服]],$P$35:$Q$44,2,FALSE)</f>
        <v>56</v>
      </c>
      <c r="C4" s="372" t="s">
        <v>152</v>
      </c>
      <c r="D4" s="376" t="str">
        <f>表1_8612182224267280[[#This Row],[目标国家]]</f>
        <v>蜀</v>
      </c>
      <c r="E4" s="380">
        <f>(VLOOKUP(表1_8612182224267280[[#This Row],[目标区服]],$R$35:$S$39,2,FALSE)-表1_8612182224267280[[#This Row],[开服天数]])*配置!$B$1</f>
        <v>1000</v>
      </c>
      <c r="F4" s="380">
        <f>表1_8612182224267280[[#This Row],[补偿Coin]]*(表1_8612182224267280[[#This Row],[活跃高战玩家数]]+表1_8612182224267280[[#This Row],[活跃中坚玩家数]])</f>
        <v>14000</v>
      </c>
      <c r="G4" s="380">
        <f>(VLOOKUP(表1_8612182224267280[[#This Row],[目标区服]],$R$35:$S$39,2,FALSE)-表1_8612182224267280[[#This Row],[开服天数]])*配置!$B$2</f>
        <v>10</v>
      </c>
      <c r="H4" s="376" t="s">
        <v>27</v>
      </c>
      <c r="I4" s="376">
        <f>IF(表1_8612182224267280[[#This Row],[原国家]]="魏",0,IF(表1_8612182224267280[[#This Row],[原国家]]="蜀",1,2))</f>
        <v>2</v>
      </c>
      <c r="J4" s="380">
        <v>3</v>
      </c>
      <c r="K4" s="380">
        <v>91</v>
      </c>
      <c r="L4" s="380">
        <v>2</v>
      </c>
      <c r="M4" s="380">
        <v>12</v>
      </c>
      <c r="N4" s="380">
        <v>65052</v>
      </c>
      <c r="O4" s="380">
        <v>2396501</v>
      </c>
      <c r="P4" s="381">
        <v>11208948</v>
      </c>
      <c r="Q4" s="493" t="s">
        <v>26</v>
      </c>
      <c r="R4" s="376">
        <f>IF(表1_8612182224267280[[#This Row],[目标国家]]="魏",0,IF(表1_8612182224267280[[#This Row],[目标国家]]="蜀",1,2))</f>
        <v>1</v>
      </c>
      <c r="S4" s="380">
        <v>22124</v>
      </c>
      <c r="T4" s="380">
        <v>0</v>
      </c>
      <c r="U4" s="380">
        <v>252674</v>
      </c>
      <c r="V4" s="380">
        <v>5842</v>
      </c>
      <c r="W4" s="374">
        <v>733621</v>
      </c>
      <c r="X4" s="387" t="str">
        <f>"{"&amp;"'coin':"&amp;表1_8612182224267280[[#This Row],[补偿Coin]]&amp;",'"&amp;配置!$A$2&amp;"':"&amp;表1_8612182224267280[[#This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5">
        <v>163</v>
      </c>
      <c r="B5" s="371">
        <f>VLOOKUP(表1_8612182224267280[[#This Row],[区服]],$P$35:$Q$44,2,FALSE)</f>
        <v>55</v>
      </c>
      <c r="C5" s="372" t="s">
        <v>152</v>
      </c>
      <c r="D5" s="376" t="str">
        <f>表1_8612182224267280[[#This Row],[目标国家]]</f>
        <v>魏</v>
      </c>
      <c r="E5" s="380">
        <f>(VLOOKUP(表1_8612182224267280[[#This Row],[目标区服]],$R$35:$S$39,2,FALSE)-表1_8612182224267280[[#This Row],[开服天数]])*配置!$B$1</f>
        <v>1500</v>
      </c>
      <c r="F5" s="380">
        <f>表1_8612182224267280[[#This Row],[补偿Coin]]*(表1_8612182224267280[[#This Row],[活跃高战玩家数]]+表1_8612182224267280[[#This Row],[活跃中坚玩家数]])</f>
        <v>22500</v>
      </c>
      <c r="G5" s="380">
        <f>(VLOOKUP(表1_8612182224267280[[#This Row],[目标区服]],$R$35:$S$39,2,FALSE)-表1_8612182224267280[[#This Row],[开服天数]])*配置!$B$2</f>
        <v>15</v>
      </c>
      <c r="H5" s="376" t="s">
        <v>25</v>
      </c>
      <c r="I5" s="376">
        <f>IF(表1_8612182224267280[[#This Row],[原国家]]="魏",0,IF(表1_8612182224267280[[#This Row],[原国家]]="蜀",1,2))</f>
        <v>0</v>
      </c>
      <c r="J5" s="380">
        <v>4</v>
      </c>
      <c r="K5" s="380">
        <v>112</v>
      </c>
      <c r="L5" s="380">
        <v>2</v>
      </c>
      <c r="M5" s="380">
        <v>13</v>
      </c>
      <c r="N5" s="380">
        <v>65227</v>
      </c>
      <c r="O5" s="380">
        <v>3424904</v>
      </c>
      <c r="P5" s="381">
        <v>16146475</v>
      </c>
      <c r="Q5" s="493" t="s">
        <v>25</v>
      </c>
      <c r="R5" s="376">
        <f>IF(表1_8612182224267280[[#This Row],[目标国家]]="魏",0,IF(表1_8612182224267280[[#This Row],[目标国家]]="蜀",1,2))</f>
        <v>0</v>
      </c>
      <c r="S5" s="380">
        <v>118920</v>
      </c>
      <c r="T5" s="380">
        <v>0</v>
      </c>
      <c r="U5" s="380">
        <v>588215</v>
      </c>
      <c r="V5" s="380">
        <v>10747</v>
      </c>
      <c r="W5" s="374">
        <v>1166663</v>
      </c>
      <c r="X5" s="387" t="str">
        <f>"{"&amp;"'coin':"&amp;表1_8612182224267280[[#This Row],[补偿Coin]]&amp;",'"&amp;配置!$A$2&amp;"':"&amp;表1_8612182224267280[[#This Row],[补偿辎重]]&amp;"},"</f>
        <v>{'coin':1500,'item036':15},</v>
      </c>
      <c r="Y5" s="388" t="str">
        <f>"      '"&amp;表1_8612182224267280[[#This Row],[区服]]&amp;"':{"</f>
        <v>      '163':{</v>
      </c>
    </row>
    <row r="6" s="354" customFormat="1" ht="14.25" customHeight="1" spans="1:25">
      <c r="A6" s="375">
        <v>163</v>
      </c>
      <c r="B6" s="371">
        <f>VLOOKUP(表1_8612182224267280[[#This Row],[区服]],$P$35:$Q$44,2,FALSE)</f>
        <v>55</v>
      </c>
      <c r="C6" s="372" t="s">
        <v>152</v>
      </c>
      <c r="D6" s="376" t="str">
        <f>表1_8612182224267280[[#This Row],[目标国家]]</f>
        <v>魏</v>
      </c>
      <c r="E6" s="380">
        <f>(VLOOKUP(表1_8612182224267280[[#This Row],[目标区服]],$R$35:$S$39,2,FALSE)-表1_8612182224267280[[#This Row],[开服天数]])*配置!$B$1</f>
        <v>1500</v>
      </c>
      <c r="F6" s="380">
        <f>表1_8612182224267280[[#This Row],[补偿Coin]]*(表1_8612182224267280[[#This Row],[活跃高战玩家数]]+表1_8612182224267280[[#This Row],[活跃中坚玩家数]])</f>
        <v>30000</v>
      </c>
      <c r="G6" s="380">
        <f>(VLOOKUP(表1_8612182224267280[[#This Row],[目标区服]],$R$35:$S$39,2,FALSE)-表1_8612182224267280[[#This Row],[开服天数]])*配置!$B$2</f>
        <v>15</v>
      </c>
      <c r="H6" s="376" t="s">
        <v>26</v>
      </c>
      <c r="I6" s="376">
        <f>IF(表1_8612182224267280[[#This Row],[原国家]]="魏",0,IF(表1_8612182224267280[[#This Row],[原国家]]="蜀",1,2))</f>
        <v>1</v>
      </c>
      <c r="J6" s="380">
        <v>2</v>
      </c>
      <c r="K6" s="380">
        <v>169</v>
      </c>
      <c r="L6" s="380">
        <v>5</v>
      </c>
      <c r="M6" s="380">
        <v>15</v>
      </c>
      <c r="N6" s="380">
        <v>107352</v>
      </c>
      <c r="O6" s="380">
        <v>3156740</v>
      </c>
      <c r="P6" s="381">
        <v>22450894</v>
      </c>
      <c r="Q6" s="493" t="s">
        <v>25</v>
      </c>
      <c r="R6" s="376">
        <f>IF(表1_8612182224267280[[#This Row],[目标国家]]="魏",0,IF(表1_8612182224267280[[#This Row],[目标国家]]="蜀",1,2))</f>
        <v>0</v>
      </c>
      <c r="S6" s="380">
        <v>99710</v>
      </c>
      <c r="T6" s="380">
        <v>0</v>
      </c>
      <c r="U6" s="380">
        <v>504698</v>
      </c>
      <c r="V6" s="380">
        <v>11072</v>
      </c>
      <c r="W6" s="374">
        <v>798921</v>
      </c>
      <c r="X6" s="387" t="str">
        <f>"{"&amp;"'coin':"&amp;表1_8612182224267280[[#This Row],[补偿Coin]]&amp;",'"&amp;配置!$A$2&amp;"':"&amp;表1_8612182224267280[[#This Row],[补偿辎重]]&amp;"},"</f>
        <v>{'coin':1500,'item036':15},</v>
      </c>
      <c r="Y6" s="388" t="str">
        <f>"            'to_zone':'"&amp;表1_8612182224267280[[#This Row],[目标区服]]&amp;"',
            'reward':"&amp;表1_8612182224267280[[#This Row],[辅助导出]]&amp;"
            'country':["&amp;R5&amp;","&amp;R6&amp;","&amp;R7&amp;"],"</f>
        <v>            'to_zone':'h1_70',
            'reward':{'coin':1500,'item036':15},
            'country':[0,0,2],</v>
      </c>
    </row>
    <row r="7" s="354" customFormat="1" ht="14.25" customHeight="1" spans="1:25">
      <c r="A7" s="375">
        <v>163</v>
      </c>
      <c r="B7" s="371">
        <f>VLOOKUP(表1_8612182224267280[[#This Row],[区服]],$P$35:$Q$44,2,FALSE)</f>
        <v>55</v>
      </c>
      <c r="C7" s="372" t="s">
        <v>152</v>
      </c>
      <c r="D7" s="376" t="str">
        <f>表1_8612182224267280[[#This Row],[目标国家]]</f>
        <v>吴</v>
      </c>
      <c r="E7" s="380">
        <f>(VLOOKUP(表1_8612182224267280[[#This Row],[目标区服]],$R$35:$S$39,2,FALSE)-表1_8612182224267280[[#This Row],[开服天数]])*配置!$B$1</f>
        <v>1500</v>
      </c>
      <c r="F7" s="380">
        <f>表1_8612182224267280[[#This Row],[补偿Coin]]*(表1_8612182224267280[[#This Row],[活跃高战玩家数]]+表1_8612182224267280[[#This Row],[活跃中坚玩家数]])</f>
        <v>27000</v>
      </c>
      <c r="G7" s="380">
        <f>(VLOOKUP(表1_8612182224267280[[#This Row],[目标区服]],$R$35:$S$39,2,FALSE)-表1_8612182224267280[[#This Row],[开服天数]])*配置!$B$2</f>
        <v>15</v>
      </c>
      <c r="H7" s="376" t="s">
        <v>27</v>
      </c>
      <c r="I7" s="376">
        <f>IF(表1_8612182224267280[[#This Row],[原国家]]="魏",0,IF(表1_8612182224267280[[#This Row],[原国家]]="蜀",1,2))</f>
        <v>2</v>
      </c>
      <c r="J7" s="380">
        <v>3</v>
      </c>
      <c r="K7" s="380">
        <v>114</v>
      </c>
      <c r="L7" s="380">
        <v>3</v>
      </c>
      <c r="M7" s="380">
        <v>15</v>
      </c>
      <c r="N7" s="380">
        <v>91338</v>
      </c>
      <c r="O7" s="380">
        <v>2534902</v>
      </c>
      <c r="P7" s="381">
        <v>17636169</v>
      </c>
      <c r="Q7" s="493" t="s">
        <v>27</v>
      </c>
      <c r="R7" s="376">
        <f>IF(表1_8612182224267280[[#This Row],[目标国家]]="魏",0,IF(表1_8612182224267280[[#This Row],[目标国家]]="蜀",1,2))</f>
        <v>2</v>
      </c>
      <c r="S7" s="380">
        <v>39646</v>
      </c>
      <c r="T7" s="380">
        <v>0</v>
      </c>
      <c r="U7" s="380">
        <v>249148</v>
      </c>
      <c r="V7" s="380">
        <v>7509</v>
      </c>
      <c r="W7" s="374">
        <v>821450</v>
      </c>
      <c r="X7" s="387" t="str">
        <f>"{"&amp;"'coin':"&amp;表1_8612182224267280[[#This Row],[补偿Coin]]&amp;",'"&amp;配置!$A$2&amp;"':"&amp;表1_8612182224267280[[#This Row],[补偿辎重]]&amp;"},"</f>
        <v>{'coin':1500,'item036':15},</v>
      </c>
      <c r="Y7" s="388" t="str">
        <f t="shared" ref="Y7" si="0">"      },"</f>
        <v>      },</v>
      </c>
    </row>
    <row r="8" s="354" customFormat="1" ht="14.25" customHeight="1" spans="1:25">
      <c r="A8" s="375">
        <v>164</v>
      </c>
      <c r="B8" s="371">
        <f>VLOOKUP(表1_8612182224267280[[#This Row],[区服]],$P$35:$Q$44,2,FALSE)</f>
        <v>55</v>
      </c>
      <c r="C8" s="372" t="s">
        <v>152</v>
      </c>
      <c r="D8" s="376" t="str">
        <f>表1_8612182224267280[[#This Row],[目标国家]]</f>
        <v>吴</v>
      </c>
      <c r="E8" s="380">
        <f>(VLOOKUP(表1_8612182224267280[[#This Row],[目标区服]],$R$35:$S$39,2,FALSE)-表1_8612182224267280[[#This Row],[开服天数]])*配置!$B$1</f>
        <v>1500</v>
      </c>
      <c r="F8" s="380">
        <f>表1_8612182224267280[[#This Row],[补偿Coin]]*(表1_8612182224267280[[#This Row],[活跃高战玩家数]]+表1_8612182224267280[[#This Row],[活跃中坚玩家数]])</f>
        <v>48000</v>
      </c>
      <c r="G8" s="490">
        <f>(VLOOKUP(表1_8612182224267280[[#This Row],[目标区服]],$R$35:$S$39,2,FALSE)-表1_8612182224267280[[#This Row],[开服天数]])*配置!$B$2</f>
        <v>15</v>
      </c>
      <c r="H8" s="376" t="s">
        <v>25</v>
      </c>
      <c r="I8" s="491">
        <f>IF(表1_8612182224267280[[#This Row],[原国家]]="魏",0,IF(表1_8612182224267280[[#This Row],[原国家]]="蜀",1,2))</f>
        <v>0</v>
      </c>
      <c r="J8" s="380">
        <v>7</v>
      </c>
      <c r="K8" s="380">
        <v>260</v>
      </c>
      <c r="L8" s="380">
        <v>7</v>
      </c>
      <c r="M8" s="380">
        <v>25</v>
      </c>
      <c r="N8" s="380">
        <v>160426</v>
      </c>
      <c r="O8" s="492">
        <v>3747615</v>
      </c>
      <c r="P8" s="381">
        <v>37119463</v>
      </c>
      <c r="Q8" s="493" t="s">
        <v>27</v>
      </c>
      <c r="R8" s="376">
        <f>IF(表1_8612182224267280[[#This Row],[目标国家]]="魏",0,IF(表1_8612182224267280[[#This Row],[目标国家]]="蜀",1,2))</f>
        <v>2</v>
      </c>
      <c r="S8" s="380">
        <v>245780</v>
      </c>
      <c r="T8" s="380">
        <v>0</v>
      </c>
      <c r="U8" s="380">
        <v>996554</v>
      </c>
      <c r="V8" s="380">
        <v>19433</v>
      </c>
      <c r="W8" s="380">
        <v>1127997</v>
      </c>
      <c r="X8" s="494" t="str">
        <f>"{"&amp;"'coin':"&amp;表1_8612182224267280[[#This Row],[补偿Coin]]&amp;",'"&amp;配置!$A$2&amp;"':"&amp;表1_8612182224267280[[#This Row],[补偿辎重]]&amp;"},"</f>
        <v>{'coin':1500,'item036':15},</v>
      </c>
      <c r="Y8" s="494" t="str">
        <f>"      '"&amp;表1_8612182224267280[[#This Row],[区服]]&amp;"':{"</f>
        <v>      '164':{</v>
      </c>
    </row>
    <row r="9" s="354" customFormat="1" ht="14.25" customHeight="1" spans="1:25">
      <c r="A9" s="375">
        <v>164</v>
      </c>
      <c r="B9" s="371">
        <f>VLOOKUP(表1_8612182224267280[[#This Row],[区服]],$P$35:$Q$44,2,FALSE)</f>
        <v>55</v>
      </c>
      <c r="C9" s="372" t="s">
        <v>152</v>
      </c>
      <c r="D9" s="376" t="str">
        <f>表1_8612182224267280[[#This Row],[目标国家]]</f>
        <v>蜀</v>
      </c>
      <c r="E9" s="380">
        <f>(VLOOKUP(表1_8612182224267280[[#This Row],[目标区服]],$R$35:$S$39,2,FALSE)-表1_8612182224267280[[#This Row],[开服天数]])*配置!$B$1</f>
        <v>1500</v>
      </c>
      <c r="F9" s="380">
        <f>表1_8612182224267280[[#This Row],[补偿Coin]]*(表1_8612182224267280[[#This Row],[活跃高战玩家数]]+表1_8612182224267280[[#This Row],[活跃中坚玩家数]])</f>
        <v>18000</v>
      </c>
      <c r="G9" s="490">
        <f>(VLOOKUP(表1_8612182224267280[[#This Row],[目标区服]],$R$35:$S$39,2,FALSE)-表1_8612182224267280[[#This Row],[开服天数]])*配置!$B$2</f>
        <v>15</v>
      </c>
      <c r="H9" s="376" t="s">
        <v>26</v>
      </c>
      <c r="I9" s="491">
        <f>IF(表1_8612182224267280[[#This Row],[原国家]]="魏",0,IF(表1_8612182224267280[[#This Row],[原国家]]="蜀",1,2))</f>
        <v>1</v>
      </c>
      <c r="J9" s="380">
        <v>1</v>
      </c>
      <c r="K9" s="380">
        <v>65</v>
      </c>
      <c r="L9" s="380">
        <v>2</v>
      </c>
      <c r="M9" s="380">
        <v>10</v>
      </c>
      <c r="N9" s="380">
        <v>63710</v>
      </c>
      <c r="O9" s="492">
        <v>1822827</v>
      </c>
      <c r="P9" s="381">
        <v>12462188</v>
      </c>
      <c r="Q9" s="493" t="s">
        <v>26</v>
      </c>
      <c r="R9" s="376">
        <f>IF(表1_8612182224267280[[#This Row],[目标国家]]="魏",0,IF(表1_8612182224267280[[#This Row],[目标国家]]="蜀",1,2))</f>
        <v>1</v>
      </c>
      <c r="S9" s="380">
        <v>51662</v>
      </c>
      <c r="T9" s="380">
        <v>0</v>
      </c>
      <c r="U9" s="380">
        <v>191539</v>
      </c>
      <c r="V9" s="380">
        <v>5783</v>
      </c>
      <c r="W9" s="380">
        <v>558296</v>
      </c>
      <c r="X9" s="494" t="str">
        <f>"{"&amp;"'coin':"&amp;表1_8612182224267280[[#This Row],[补偿Coin]]&amp;",'"&amp;配置!$A$2&amp;"':"&amp;表1_8612182224267280[[#This Row],[补偿辎重]]&amp;"},"</f>
        <v>{'coin':1500,'item036':15},</v>
      </c>
      <c r="Y9" s="494" t="str">
        <f>"            'to_zone':'"&amp;表1_8612182224267280[[#This Row],[目标区服]]&amp;"',
            'reward':"&amp;表1_8612182224267280[[#This Row],[辅助导出]]&amp;"
            'country':["&amp;R8&amp;","&amp;R9&amp;","&amp;R10&amp;"],"</f>
        <v>            'to_zone':'h1_70',
            'reward':{'coin':1500,'item036':15},
            'country':[2,1,0],</v>
      </c>
    </row>
    <row r="10" s="354" customFormat="1" ht="14.25" customHeight="1" spans="1:25">
      <c r="A10" s="375">
        <v>164</v>
      </c>
      <c r="B10" s="371">
        <f>VLOOKUP(表1_8612182224267280[[#This Row],[区服]],$P$35:$Q$44,2,FALSE)</f>
        <v>55</v>
      </c>
      <c r="C10" s="372" t="s">
        <v>152</v>
      </c>
      <c r="D10" s="376" t="str">
        <f>表1_8612182224267280[[#This Row],[目标国家]]</f>
        <v>魏</v>
      </c>
      <c r="E10" s="380">
        <f>(VLOOKUP(表1_8612182224267280[[#This Row],[目标区服]],$R$35:$S$39,2,FALSE)-表1_8612182224267280[[#This Row],[开服天数]])*配置!$B$1</f>
        <v>1500</v>
      </c>
      <c r="F10" s="380">
        <f>表1_8612182224267280[[#This Row],[补偿Coin]]*(表1_8612182224267280[[#This Row],[活跃高战玩家数]]+表1_8612182224267280[[#This Row],[活跃中坚玩家数]])</f>
        <v>36000</v>
      </c>
      <c r="G10" s="490">
        <f>(VLOOKUP(表1_8612182224267280[[#This Row],[目标区服]],$R$35:$S$39,2,FALSE)-表1_8612182224267280[[#This Row],[开服天数]])*配置!$B$2</f>
        <v>15</v>
      </c>
      <c r="H10" s="376" t="s">
        <v>27</v>
      </c>
      <c r="I10" s="491">
        <f>IF(表1_8612182224267280[[#This Row],[原国家]]="魏",0,IF(表1_8612182224267280[[#This Row],[原国家]]="蜀",1,2))</f>
        <v>2</v>
      </c>
      <c r="J10" s="380">
        <v>1</v>
      </c>
      <c r="K10" s="380">
        <v>70</v>
      </c>
      <c r="L10" s="380">
        <v>1</v>
      </c>
      <c r="M10" s="380">
        <v>23</v>
      </c>
      <c r="N10" s="380">
        <v>80964</v>
      </c>
      <c r="O10" s="492">
        <v>1918925</v>
      </c>
      <c r="P10" s="381">
        <v>18564378</v>
      </c>
      <c r="Q10" s="493" t="s">
        <v>25</v>
      </c>
      <c r="R10" s="376">
        <f>IF(表1_8612182224267280[[#This Row],[目标国家]]="魏",0,IF(表1_8612182224267280[[#This Row],[目标国家]]="蜀",1,2))</f>
        <v>0</v>
      </c>
      <c r="S10" s="380">
        <v>40208</v>
      </c>
      <c r="T10" s="380">
        <v>0</v>
      </c>
      <c r="U10" s="380">
        <v>221696</v>
      </c>
      <c r="V10" s="380">
        <v>6297</v>
      </c>
      <c r="W10" s="380">
        <v>707703</v>
      </c>
      <c r="X10" s="494" t="str">
        <f>"{"&amp;"'coin':"&amp;表1_8612182224267280[[#This Row],[补偿Coin]]&amp;",'"&amp;配置!$A$2&amp;"':"&amp;表1_8612182224267280[[#This Row],[补偿辎重]]&amp;"},"</f>
        <v>{'coin':1500,'item036':15},</v>
      </c>
      <c r="Y10" s="494" t="str">
        <f>"      },"</f>
        <v>      },</v>
      </c>
    </row>
    <row r="11" s="354" customFormat="1" ht="14.25" customHeight="1" spans="1:25">
      <c r="A11" s="259">
        <v>165</v>
      </c>
      <c r="B11" s="210">
        <f>VLOOKUP(表1_8612182224267280[[#This Row],[区服]],$P$35:$Q$44,2,FALSE)</f>
        <v>54</v>
      </c>
      <c r="C11" s="296" t="s">
        <v>153</v>
      </c>
      <c r="D11" s="212" t="str">
        <f>表1_8612182224267280[[#This Row],[目标国家]]</f>
        <v>魏</v>
      </c>
      <c r="E11" s="213">
        <f>(VLOOKUP(表1_8612182224267280[[#This Row],[目标区服]],$R$35:$S$39,2,FALSE)-表1_8612182224267280[[#This Row],[开服天数]])*配置!$B$1</f>
        <v>1000</v>
      </c>
      <c r="F11" s="213">
        <f>表1_8612182224267280[[#This Row],[补偿Coin]]*(表1_8612182224267280[[#This Row],[活跃高战玩家数]]+表1_8612182224267280[[#This Row],[活跃中坚玩家数]])</f>
        <v>10000</v>
      </c>
      <c r="G11" s="260">
        <f>(VLOOKUP(表1_8612182224267280[[#This Row],[目标区服]],$R$35:$S$39,2,FALSE)-表1_8612182224267280[[#This Row],[开服天数]])*配置!$B$2</f>
        <v>10</v>
      </c>
      <c r="H11" s="212" t="s">
        <v>25</v>
      </c>
      <c r="I11" s="268">
        <f>IF(表1_8612182224267280[[#This Row],[原国家]]="魏",0,IF(表1_8612182224267280[[#This Row],[原国家]]="蜀",1,2))</f>
        <v>0</v>
      </c>
      <c r="J11" s="213">
        <v>3</v>
      </c>
      <c r="K11" s="213">
        <v>120</v>
      </c>
      <c r="L11" s="213">
        <v>2</v>
      </c>
      <c r="M11" s="213">
        <v>8</v>
      </c>
      <c r="N11" s="213">
        <v>54862</v>
      </c>
      <c r="O11" s="419">
        <v>1409488</v>
      </c>
      <c r="P11" s="420">
        <v>8335800</v>
      </c>
      <c r="Q11" s="243" t="s">
        <v>25</v>
      </c>
      <c r="R11" s="212">
        <f>IF(表1_8612182224267280[[#This Row],[目标国家]]="魏",0,IF(表1_8612182224267280[[#This Row],[目标国家]]="蜀",1,2))</f>
        <v>0</v>
      </c>
      <c r="S11" s="213">
        <v>13462</v>
      </c>
      <c r="T11" s="213">
        <v>0</v>
      </c>
      <c r="U11" s="213">
        <v>264811</v>
      </c>
      <c r="V11" s="213">
        <v>4553</v>
      </c>
      <c r="W11" s="213">
        <v>922192</v>
      </c>
      <c r="X11" s="278" t="str">
        <f>"{"&amp;"'coin':"&amp;表1_8612182224267280[[#This Row],[补偿Coin]]&amp;",'"&amp;配置!$A$2&amp;"':"&amp;表1_8612182224267280[[#This Row],[补偿辎重]]&amp;"},"</f>
        <v>{'coin':1000,'item036':10},</v>
      </c>
      <c r="Y11" s="278" t="str">
        <f>"      '"&amp;表1_8612182224267280[[#This Row],[区服]]&amp;"':{"</f>
        <v>      '165':{</v>
      </c>
    </row>
    <row r="12" s="354" customFormat="1" ht="14.25" customHeight="1" spans="1:25">
      <c r="A12" s="259">
        <v>165</v>
      </c>
      <c r="B12" s="210">
        <f>VLOOKUP(表1_8612182224267280[[#This Row],[区服]],$P$35:$Q$44,2,FALSE)</f>
        <v>54</v>
      </c>
      <c r="C12" s="296" t="s">
        <v>153</v>
      </c>
      <c r="D12" s="212" t="str">
        <f>表1_8612182224267280[[#This Row],[目标国家]]</f>
        <v>吴</v>
      </c>
      <c r="E12" s="213">
        <f>(VLOOKUP(表1_8612182224267280[[#This Row],[目标区服]],$R$35:$S$39,2,FALSE)-表1_8612182224267280[[#This Row],[开服天数]])*配置!$B$1</f>
        <v>1000</v>
      </c>
      <c r="F12" s="213">
        <f>表1_8612182224267280[[#This Row],[补偿Coin]]*(表1_8612182224267280[[#This Row],[活跃高战玩家数]]+表1_8612182224267280[[#This Row],[活跃中坚玩家数]])</f>
        <v>19000</v>
      </c>
      <c r="G12" s="260">
        <f>(VLOOKUP(表1_8612182224267280[[#This Row],[目标区服]],$R$35:$S$39,2,FALSE)-表1_8612182224267280[[#This Row],[开服天数]])*配置!$B$2</f>
        <v>10</v>
      </c>
      <c r="H12" s="212" t="s">
        <v>26</v>
      </c>
      <c r="I12" s="268">
        <f>IF(表1_8612182224267280[[#This Row],[原国家]]="魏",0,IF(表1_8612182224267280[[#This Row],[原国家]]="蜀",1,2))</f>
        <v>1</v>
      </c>
      <c r="J12" s="213">
        <v>3</v>
      </c>
      <c r="K12" s="213">
        <v>167</v>
      </c>
      <c r="L12" s="213">
        <v>2</v>
      </c>
      <c r="M12" s="213">
        <v>17</v>
      </c>
      <c r="N12" s="213">
        <v>94263</v>
      </c>
      <c r="O12" s="419">
        <v>1668285</v>
      </c>
      <c r="P12" s="420">
        <v>15199688</v>
      </c>
      <c r="Q12" s="243" t="s">
        <v>27</v>
      </c>
      <c r="R12" s="212">
        <f>IF(表1_8612182224267280[[#This Row],[目标国家]]="魏",0,IF(表1_8612182224267280[[#This Row],[目标国家]]="蜀",1,2))</f>
        <v>2</v>
      </c>
      <c r="S12" s="213">
        <v>20360</v>
      </c>
      <c r="T12" s="213">
        <v>0</v>
      </c>
      <c r="U12" s="213">
        <v>279279</v>
      </c>
      <c r="V12" s="213">
        <v>6380</v>
      </c>
      <c r="W12" s="213">
        <v>923094</v>
      </c>
      <c r="X12" s="278" t="str">
        <f>"{"&amp;"'coin':"&amp;表1_8612182224267280[[#This Row],[补偿Coin]]&amp;",'"&amp;配置!$A$2&amp;"':"&amp;表1_8612182224267280[[#This Row],[补偿辎重]]&amp;"},"</f>
        <v>{'coin':1000,'item036':10},</v>
      </c>
      <c r="Y12" s="278" t="str">
        <f>"            'to_zone':'"&amp;表1_8612182224267280[[#This Row],[目标区服]]&amp;"',
            'reward':"&amp;表1_8612182224267280[[#This Row],[辅助导出]]&amp;"
            'country':["&amp;R11&amp;","&amp;R12&amp;","&amp;R13&amp;"],"</f>
        <v>            'to_zone':'h1_71',
            'reward':{'coin':1000,'item036':10},
            'country':[0,2,2],</v>
      </c>
    </row>
    <row r="13" s="354" customFormat="1" ht="14.25" customHeight="1" spans="1:25">
      <c r="A13" s="259">
        <v>165</v>
      </c>
      <c r="B13" s="210">
        <f>VLOOKUP(表1_8612182224267280[[#This Row],[区服]],$P$35:$Q$44,2,FALSE)</f>
        <v>54</v>
      </c>
      <c r="C13" s="296" t="s">
        <v>153</v>
      </c>
      <c r="D13" s="212" t="str">
        <f>表1_8612182224267280[[#This Row],[目标国家]]</f>
        <v>吴</v>
      </c>
      <c r="E13" s="213">
        <f>(VLOOKUP(表1_8612182224267280[[#This Row],[目标区服]],$R$35:$S$39,2,FALSE)-表1_8612182224267280[[#This Row],[开服天数]])*配置!$B$1</f>
        <v>1000</v>
      </c>
      <c r="F13" s="213">
        <f>表1_8612182224267280[[#This Row],[补偿Coin]]*(表1_8612182224267280[[#This Row],[活跃高战玩家数]]+表1_8612182224267280[[#This Row],[活跃中坚玩家数]])</f>
        <v>17000</v>
      </c>
      <c r="G13" s="260">
        <f>(VLOOKUP(表1_8612182224267280[[#This Row],[目标区服]],$R$35:$S$39,2,FALSE)-表1_8612182224267280[[#This Row],[开服天数]])*配置!$B$2</f>
        <v>10</v>
      </c>
      <c r="H13" s="212" t="s">
        <v>27</v>
      </c>
      <c r="I13" s="268">
        <f>IF(表1_8612182224267280[[#This Row],[原国家]]="魏",0,IF(表1_8612182224267280[[#This Row],[原国家]]="蜀",1,2))</f>
        <v>2</v>
      </c>
      <c r="J13" s="213">
        <v>3</v>
      </c>
      <c r="K13" s="213">
        <v>108</v>
      </c>
      <c r="L13" s="213">
        <v>3</v>
      </c>
      <c r="M13" s="213">
        <v>14</v>
      </c>
      <c r="N13" s="213">
        <v>93497</v>
      </c>
      <c r="O13" s="419">
        <v>2256878</v>
      </c>
      <c r="P13" s="420">
        <v>15992268</v>
      </c>
      <c r="Q13" s="243" t="s">
        <v>27</v>
      </c>
      <c r="R13" s="212">
        <f>IF(表1_8612182224267280[[#This Row],[目标国家]]="魏",0,IF(表1_8612182224267280[[#This Row],[目标国家]]="蜀",1,2))</f>
        <v>2</v>
      </c>
      <c r="S13" s="213">
        <v>92614</v>
      </c>
      <c r="T13" s="213">
        <v>0</v>
      </c>
      <c r="U13" s="213">
        <v>346698</v>
      </c>
      <c r="V13" s="213">
        <v>8655</v>
      </c>
      <c r="W13" s="213">
        <v>921384</v>
      </c>
      <c r="X13" s="278" t="str">
        <f>"{"&amp;"'coin':"&amp;表1_8612182224267280[[#This Row],[补偿Coin]]&amp;",'"&amp;配置!$A$2&amp;"':"&amp;表1_8612182224267280[[#This Row],[补偿辎重]]&amp;"},"</f>
        <v>{'coin':1000,'item036':10},</v>
      </c>
      <c r="Y13" s="278" t="str">
        <f t="shared" ref="Y13" si="1">"      },"</f>
        <v>      },</v>
      </c>
    </row>
    <row r="14" ht="14.25" customHeight="1" spans="1:25">
      <c r="A14" s="210">
        <v>166</v>
      </c>
      <c r="B14" s="210">
        <f>VLOOKUP(表1_8612182224267280[[#This Row],[区服]],$P$35:$Q$44,2,FALSE)</f>
        <v>54</v>
      </c>
      <c r="C14" s="296" t="s">
        <v>153</v>
      </c>
      <c r="D14" s="212" t="str">
        <f>表1_8612182224267280[[#This Row],[目标国家]]</f>
        <v>魏</v>
      </c>
      <c r="E14" s="213">
        <f>(VLOOKUP(表1_8612182224267280[[#This Row],[目标区服]],$R$35:$S$39,2,FALSE)-表1_8612182224267280[[#This Row],[开服天数]])*配置!$B$1</f>
        <v>1000</v>
      </c>
      <c r="F14" s="213">
        <f>表1_8612182224267280[[#This Row],[补偿Coin]]*(表1_8612182224267280[[#This Row],[活跃高战玩家数]]+表1_8612182224267280[[#This Row],[活跃中坚玩家数]])</f>
        <v>14000</v>
      </c>
      <c r="G14" s="213">
        <f>(VLOOKUP(表1_8612182224267280[[#This Row],[目标区服]],$R$35:$S$39,2,FALSE)-表1_8612182224267280[[#This Row],[开服天数]])*配置!$B$2</f>
        <v>10</v>
      </c>
      <c r="H14" s="212" t="s">
        <v>25</v>
      </c>
      <c r="I14" s="212">
        <f>IF(表1_8612182224267280[[#This Row],[原国家]]="魏",0,IF(表1_8612182224267280[[#This Row],[原国家]]="蜀",1,2))</f>
        <v>0</v>
      </c>
      <c r="J14" s="213">
        <v>3</v>
      </c>
      <c r="K14" s="213">
        <v>100</v>
      </c>
      <c r="L14" s="213">
        <v>1</v>
      </c>
      <c r="M14" s="213">
        <v>13</v>
      </c>
      <c r="N14" s="213">
        <v>57927</v>
      </c>
      <c r="O14" s="213">
        <v>2341053</v>
      </c>
      <c r="P14" s="420">
        <v>10291113</v>
      </c>
      <c r="Q14" s="243" t="s">
        <v>25</v>
      </c>
      <c r="R14" s="212">
        <f>IF(表1_8612182224267280[[#This Row],[目标国家]]="魏",0,IF(表1_8612182224267280[[#This Row],[目标国家]]="蜀",1,2))</f>
        <v>0</v>
      </c>
      <c r="S14" s="213">
        <v>25756</v>
      </c>
      <c r="T14" s="213">
        <v>0</v>
      </c>
      <c r="U14" s="213">
        <v>411200</v>
      </c>
      <c r="V14" s="213">
        <v>5938</v>
      </c>
      <c r="W14" s="68">
        <v>837099</v>
      </c>
      <c r="X14" s="245" t="str">
        <f>"{"&amp;"'coin':"&amp;表1_8612182224267280[[#This Row],[补偿Coin]]&amp;",'"&amp;配置!$A$2&amp;"':"&amp;表1_8612182224267280[[#This Row],[补偿辎重]]&amp;"},"</f>
        <v>{'coin':1000,'item036':10},</v>
      </c>
      <c r="Y14" s="254" t="str">
        <f>"      '"&amp;表1_8612182224267280[[#This Row],[区服]]&amp;"':{"</f>
        <v>      '166':{</v>
      </c>
    </row>
    <row r="15" ht="14.25" customHeight="1" spans="1:25">
      <c r="A15" s="210">
        <v>166</v>
      </c>
      <c r="B15" s="210">
        <f>VLOOKUP(表1_8612182224267280[[#This Row],[区服]],$P$35:$Q$44,2,FALSE)</f>
        <v>54</v>
      </c>
      <c r="C15" s="296" t="s">
        <v>153</v>
      </c>
      <c r="D15" s="212" t="str">
        <f>表1_8612182224267280[[#This Row],[目标国家]]</f>
        <v>蜀</v>
      </c>
      <c r="E15" s="213">
        <f>(VLOOKUP(表1_8612182224267280[[#This Row],[目标区服]],$R$35:$S$39,2,FALSE)-表1_8612182224267280[[#This Row],[开服天数]])*配置!$B$1</f>
        <v>1000</v>
      </c>
      <c r="F15" s="213">
        <f>表1_8612182224267280[[#This Row],[补偿Coin]]*(表1_8612182224267280[[#This Row],[活跃高战玩家数]]+表1_8612182224267280[[#This Row],[活跃中坚玩家数]])</f>
        <v>27000</v>
      </c>
      <c r="G15" s="213">
        <f>(VLOOKUP(表1_8612182224267280[[#This Row],[目标区服]],$R$35:$S$39,2,FALSE)-表1_8612182224267280[[#This Row],[开服天数]])*配置!$B$2</f>
        <v>10</v>
      </c>
      <c r="H15" s="212" t="s">
        <v>26</v>
      </c>
      <c r="I15" s="212">
        <f>IF(表1_8612182224267280[[#This Row],[原国家]]="魏",0,IF(表1_8612182224267280[[#This Row],[原国家]]="蜀",1,2))</f>
        <v>1</v>
      </c>
      <c r="J15" s="213">
        <v>2</v>
      </c>
      <c r="K15" s="213">
        <v>130</v>
      </c>
      <c r="L15" s="213">
        <v>4</v>
      </c>
      <c r="M15" s="213">
        <v>23</v>
      </c>
      <c r="N15" s="213">
        <v>137838</v>
      </c>
      <c r="O15" s="213">
        <v>2966724</v>
      </c>
      <c r="P15" s="420">
        <v>24482921</v>
      </c>
      <c r="Q15" s="243" t="s">
        <v>26</v>
      </c>
      <c r="R15" s="212">
        <f>IF(表1_8612182224267280[[#This Row],[目标国家]]="魏",0,IF(表1_8612182224267280[[#This Row],[目标国家]]="蜀",1,2))</f>
        <v>1</v>
      </c>
      <c r="S15" s="213">
        <v>54346</v>
      </c>
      <c r="T15" s="213">
        <v>0</v>
      </c>
      <c r="U15" s="213">
        <v>306097</v>
      </c>
      <c r="V15" s="213">
        <v>9387</v>
      </c>
      <c r="W15" s="68">
        <v>828503</v>
      </c>
      <c r="X15" s="245" t="str">
        <f>"{"&amp;"'coin':"&amp;表1_8612182224267280[[#This Row],[补偿Coin]]&amp;",'"&amp;配置!$A$2&amp;"':"&amp;表1_8612182224267280[[#This Row],[补偿辎重]]&amp;"},"</f>
        <v>{'coin':1000,'item036':10},</v>
      </c>
      <c r="Y15" s="254" t="str">
        <f>"            'to_zone':'"&amp;表1_8612182224267280[[#This Row],[目标区服]]&amp;"',
            'reward':"&amp;表1_8612182224267280[[#This Row],[辅助导出]]&amp;"
            'country':["&amp;R14&amp;","&amp;R15&amp;","&amp;R16&amp;"],"</f>
        <v>            'to_zone':'h1_71',
            'reward':{'coin':1000,'item036':10},
            'country':[0,1,2],</v>
      </c>
    </row>
    <row r="16" ht="14.25" customHeight="1" spans="1:25">
      <c r="A16" s="210">
        <v>166</v>
      </c>
      <c r="B16" s="210">
        <f>VLOOKUP(表1_8612182224267280[[#This Row],[区服]],$P$35:$Q$44,2,FALSE)</f>
        <v>54</v>
      </c>
      <c r="C16" s="296" t="s">
        <v>153</v>
      </c>
      <c r="D16" s="212" t="str">
        <f>表1_8612182224267280[[#This Row],[目标国家]]</f>
        <v>吴</v>
      </c>
      <c r="E16" s="213">
        <f>(VLOOKUP(表1_8612182224267280[[#This Row],[目标区服]],$R$35:$S$39,2,FALSE)-表1_8612182224267280[[#This Row],[开服天数]])*配置!$B$1</f>
        <v>1000</v>
      </c>
      <c r="F16" s="213">
        <f>表1_8612182224267280[[#This Row],[补偿Coin]]*(表1_8612182224267280[[#This Row],[活跃高战玩家数]]+表1_8612182224267280[[#This Row],[活跃中坚玩家数]])</f>
        <v>16000</v>
      </c>
      <c r="G16" s="213">
        <f>(VLOOKUP(表1_8612182224267280[[#This Row],[目标区服]],$R$35:$S$39,2,FALSE)-表1_8612182224267280[[#This Row],[开服天数]])*配置!$B$2</f>
        <v>10</v>
      </c>
      <c r="H16" s="212" t="s">
        <v>27</v>
      </c>
      <c r="I16" s="212">
        <f>IF(表1_8612182224267280[[#This Row],[原国家]]="魏",0,IF(表1_8612182224267280[[#This Row],[原国家]]="蜀",1,2))</f>
        <v>2</v>
      </c>
      <c r="J16" s="213">
        <v>4</v>
      </c>
      <c r="K16" s="213">
        <v>165</v>
      </c>
      <c r="L16" s="213">
        <v>5</v>
      </c>
      <c r="M16" s="213">
        <v>11</v>
      </c>
      <c r="N16" s="213">
        <v>85335</v>
      </c>
      <c r="O16" s="213">
        <v>3054982</v>
      </c>
      <c r="P16" s="420">
        <v>16306276</v>
      </c>
      <c r="Q16" s="243" t="s">
        <v>27</v>
      </c>
      <c r="R16" s="212">
        <f>IF(表1_8612182224267280[[#This Row],[目标国家]]="魏",0,IF(表1_8612182224267280[[#This Row],[目标国家]]="蜀",1,2))</f>
        <v>2</v>
      </c>
      <c r="S16" s="213">
        <v>61524</v>
      </c>
      <c r="T16" s="213">
        <v>0</v>
      </c>
      <c r="U16" s="213">
        <v>501598</v>
      </c>
      <c r="V16" s="213">
        <v>9258</v>
      </c>
      <c r="W16" s="68">
        <v>1002695</v>
      </c>
      <c r="X16" s="245" t="str">
        <f>"{"&amp;"'coin':"&amp;表1_8612182224267280[[#This Row],[补偿Coin]]&amp;",'"&amp;配置!$A$2&amp;"':"&amp;表1_8612182224267280[[#This Row],[补偿辎重]]&amp;"},"</f>
        <v>{'coin':1000,'item036':10},</v>
      </c>
      <c r="Y16" s="254" t="str">
        <f t="shared" ref="Y16" si="2">"      },"</f>
        <v>      },</v>
      </c>
    </row>
    <row r="17" ht="14.25" customHeight="1" spans="1:25">
      <c r="A17" s="210">
        <v>167</v>
      </c>
      <c r="B17" s="210">
        <f>VLOOKUP(表1_8612182224267280[[#This Row],[区服]],$P$35:$Q$44,2,FALSE)</f>
        <v>53</v>
      </c>
      <c r="C17" s="296" t="s">
        <v>153</v>
      </c>
      <c r="D17" s="212" t="str">
        <f>表1_8612182224267280[[#This Row],[目标国家]]</f>
        <v>魏</v>
      </c>
      <c r="E17" s="213">
        <f>(VLOOKUP(表1_8612182224267280[[#This Row],[目标区服]],$R$35:$S$39,2,FALSE)-表1_8612182224267280[[#This Row],[开服天数]])*配置!$B$1</f>
        <v>1500</v>
      </c>
      <c r="F17" s="213">
        <f>表1_8612182224267280[[#This Row],[补偿Coin]]*(表1_8612182224267280[[#This Row],[活跃高战玩家数]]+表1_8612182224267280[[#This Row],[活跃中坚玩家数]])</f>
        <v>46500</v>
      </c>
      <c r="G17" s="213">
        <f>(VLOOKUP(表1_8612182224267280[[#This Row],[目标区服]],$R$35:$S$39,2,FALSE)-表1_8612182224267280[[#This Row],[开服天数]])*配置!$B$2</f>
        <v>15</v>
      </c>
      <c r="H17" s="212" t="s">
        <v>25</v>
      </c>
      <c r="I17" s="212">
        <f>IF(表1_8612182224267280[[#This Row],[原国家]]="魏",0,IF(表1_8612182224267280[[#This Row],[原国家]]="蜀",1,2))</f>
        <v>0</v>
      </c>
      <c r="J17" s="213">
        <v>4</v>
      </c>
      <c r="K17" s="213">
        <v>133</v>
      </c>
      <c r="L17" s="213">
        <v>4</v>
      </c>
      <c r="M17" s="213">
        <v>27</v>
      </c>
      <c r="N17" s="213">
        <v>122487</v>
      </c>
      <c r="O17" s="213">
        <v>3869748</v>
      </c>
      <c r="P17" s="420">
        <v>36222122</v>
      </c>
      <c r="Q17" s="243" t="s">
        <v>25</v>
      </c>
      <c r="R17" s="212">
        <f>IF(表1_8612182224267280[[#This Row],[目标国家]]="魏",0,IF(表1_8612182224267280[[#This Row],[目标国家]]="蜀",1,2))</f>
        <v>0</v>
      </c>
      <c r="S17" s="213">
        <v>137692</v>
      </c>
      <c r="T17" s="213">
        <v>0</v>
      </c>
      <c r="U17" s="213">
        <v>736288</v>
      </c>
      <c r="V17" s="213">
        <v>14333</v>
      </c>
      <c r="W17" s="68">
        <v>1034559</v>
      </c>
      <c r="X17" s="245" t="str">
        <f>"{"&amp;"'coin':"&amp;表1_8612182224267280[[#This Row],[补偿Coin]]&amp;",'"&amp;配置!$A$2&amp;"':"&amp;表1_8612182224267280[[#This Row],[补偿辎重]]&amp;"},"</f>
        <v>{'coin':1500,'item036':15},</v>
      </c>
      <c r="Y17" s="254" t="str">
        <f>"      '"&amp;表1_8612182224267280[[#This Row],[区服]]&amp;"':{"</f>
        <v>      '167':{</v>
      </c>
    </row>
    <row r="18" ht="14.25" customHeight="1" spans="1:25">
      <c r="A18" s="210">
        <v>167</v>
      </c>
      <c r="B18" s="210">
        <f>VLOOKUP(表1_8612182224267280[[#This Row],[区服]],$P$35:$Q$44,2,FALSE)</f>
        <v>53</v>
      </c>
      <c r="C18" s="296" t="s">
        <v>153</v>
      </c>
      <c r="D18" s="212" t="str">
        <f>表1_8612182224267280[[#This Row],[目标国家]]</f>
        <v>魏</v>
      </c>
      <c r="E18" s="213">
        <f>(VLOOKUP(表1_8612182224267280[[#This Row],[目标区服]],$R$35:$S$39,2,FALSE)-表1_8612182224267280[[#This Row],[开服天数]])*配置!$B$1</f>
        <v>1500</v>
      </c>
      <c r="F18" s="213">
        <f>表1_8612182224267280[[#This Row],[补偿Coin]]*(表1_8612182224267280[[#This Row],[活跃高战玩家数]]+表1_8612182224267280[[#This Row],[活跃中坚玩家数]])</f>
        <v>36000</v>
      </c>
      <c r="G18" s="213">
        <f>(VLOOKUP(表1_8612182224267280[[#This Row],[目标区服]],$R$35:$S$39,2,FALSE)-表1_8612182224267280[[#This Row],[开服天数]])*配置!$B$2</f>
        <v>15</v>
      </c>
      <c r="H18" s="212" t="s">
        <v>26</v>
      </c>
      <c r="I18" s="212">
        <f>IF(表1_8612182224267280[[#This Row],[原国家]]="魏",0,IF(表1_8612182224267280[[#This Row],[原国家]]="蜀",1,2))</f>
        <v>1</v>
      </c>
      <c r="J18" s="213">
        <v>2</v>
      </c>
      <c r="K18" s="213">
        <v>131</v>
      </c>
      <c r="L18" s="213">
        <v>0</v>
      </c>
      <c r="M18" s="213">
        <v>24</v>
      </c>
      <c r="N18" s="213">
        <v>62074</v>
      </c>
      <c r="O18" s="213">
        <v>2066310</v>
      </c>
      <c r="P18" s="420">
        <v>21759786</v>
      </c>
      <c r="Q18" s="243" t="s">
        <v>25</v>
      </c>
      <c r="R18" s="212">
        <f>IF(表1_8612182224267280[[#This Row],[目标国家]]="魏",0,IF(表1_8612182224267280[[#This Row],[目标国家]]="蜀",1,2))</f>
        <v>0</v>
      </c>
      <c r="S18" s="213">
        <v>15590</v>
      </c>
      <c r="T18" s="213">
        <v>0</v>
      </c>
      <c r="U18" s="213">
        <v>303631</v>
      </c>
      <c r="V18" s="213">
        <v>6682</v>
      </c>
      <c r="W18" s="68">
        <v>599433</v>
      </c>
      <c r="X18" s="245" t="str">
        <f>"{"&amp;"'coin':"&amp;表1_8612182224267280[[#This Row],[补偿Coin]]&amp;",'"&amp;配置!$A$2&amp;"':"&amp;表1_8612182224267280[[#This Row],[补偿辎重]]&amp;"},"</f>
        <v>{'coin':1500,'item036':15},</v>
      </c>
      <c r="Y18" s="254" t="str">
        <f>"            'to_zone':'"&amp;表1_8612182224267280[[#This Row],[目标区服]]&amp;"',
            'reward':"&amp;表1_8612182224267280[[#This Row],[辅助导出]]&amp;"
            'country':["&amp;R17&amp;","&amp;R18&amp;","&amp;R19&amp;"],"</f>
        <v>            'to_zone':'h1_71',
            'reward':{'coin':1500,'item036':15},
            'country':[0,0,1],</v>
      </c>
    </row>
    <row r="19" ht="14.25" customHeight="1" spans="1:25">
      <c r="A19" s="210">
        <v>167</v>
      </c>
      <c r="B19" s="210">
        <f>VLOOKUP(表1_8612182224267280[[#This Row],[区服]],$P$35:$Q$44,2,FALSE)</f>
        <v>53</v>
      </c>
      <c r="C19" s="296" t="s">
        <v>153</v>
      </c>
      <c r="D19" s="212" t="str">
        <f>表1_8612182224267280[[#This Row],[目标国家]]</f>
        <v>蜀</v>
      </c>
      <c r="E19" s="213">
        <f>(VLOOKUP(表1_8612182224267280[[#This Row],[目标区服]],$R$35:$S$39,2,FALSE)-表1_8612182224267280[[#This Row],[开服天数]])*配置!$B$1</f>
        <v>1500</v>
      </c>
      <c r="F19" s="213">
        <f>表1_8612182224267280[[#This Row],[补偿Coin]]*(表1_8612182224267280[[#This Row],[活跃高战玩家数]]+表1_8612182224267280[[#This Row],[活跃中坚玩家数]])</f>
        <v>45000</v>
      </c>
      <c r="G19" s="213">
        <f>(VLOOKUP(表1_8612182224267280[[#This Row],[目标区服]],$R$35:$S$39,2,FALSE)-表1_8612182224267280[[#This Row],[开服天数]])*配置!$B$2</f>
        <v>15</v>
      </c>
      <c r="H19" s="212" t="s">
        <v>27</v>
      </c>
      <c r="I19" s="212">
        <f>IF(表1_8612182224267280[[#This Row],[原国家]]="魏",0,IF(表1_8612182224267280[[#This Row],[原国家]]="蜀",1,2))</f>
        <v>2</v>
      </c>
      <c r="J19" s="213">
        <v>3</v>
      </c>
      <c r="K19" s="213">
        <v>131</v>
      </c>
      <c r="L19" s="213">
        <v>5</v>
      </c>
      <c r="M19" s="213">
        <v>25</v>
      </c>
      <c r="N19" s="213">
        <v>125653</v>
      </c>
      <c r="O19" s="213">
        <v>3489672</v>
      </c>
      <c r="P19" s="420">
        <v>34760641</v>
      </c>
      <c r="Q19" s="243" t="s">
        <v>26</v>
      </c>
      <c r="R19" s="212">
        <f>IF(表1_8612182224267280[[#This Row],[目标国家]]="魏",0,IF(表1_8612182224267280[[#This Row],[目标国家]]="蜀",1,2))</f>
        <v>1</v>
      </c>
      <c r="S19" s="213">
        <v>113230</v>
      </c>
      <c r="T19" s="213">
        <v>0</v>
      </c>
      <c r="U19" s="213">
        <v>632566</v>
      </c>
      <c r="V19" s="213">
        <v>12917</v>
      </c>
      <c r="W19" s="68">
        <v>1053820</v>
      </c>
      <c r="X19" s="245" t="str">
        <f>"{"&amp;"'coin':"&amp;表1_8612182224267280[[#This Row],[补偿Coin]]&amp;",'"&amp;配置!$A$2&amp;"':"&amp;表1_8612182224267280[[#This Row],[补偿辎重]]&amp;"},"</f>
        <v>{'coin':1500,'item036':15},</v>
      </c>
      <c r="Y19" s="254" t="str">
        <f t="shared" ref="Y19" si="3">"      },"</f>
        <v>      },</v>
      </c>
    </row>
    <row r="20" ht="14.25" customHeight="1" spans="1:25">
      <c r="A20" s="17">
        <v>168</v>
      </c>
      <c r="B20" s="17">
        <f>VLOOKUP(表1_8612182224267280[[#This Row],[区服]],$P$35:$Q$44,2,FALSE)</f>
        <v>52</v>
      </c>
      <c r="C20" s="18" t="s">
        <v>154</v>
      </c>
      <c r="D20" s="19" t="str">
        <f>表1_8612182224267280[[#This Row],[目标国家]]</f>
        <v>魏</v>
      </c>
      <c r="E20" s="20">
        <f>(VLOOKUP(表1_8612182224267280[[#This Row],[目标区服]],$R$35:$S$39,2,FALSE)-表1_8612182224267280[[#This Row],[开服天数]])*配置!$B$1</f>
        <v>1000</v>
      </c>
      <c r="F20" s="20">
        <f>表1_8612182224267280[[#This Row],[补偿Coin]]*(表1_8612182224267280[[#This Row],[活跃高战玩家数]]+表1_8612182224267280[[#This Row],[活跃中坚玩家数]])</f>
        <v>12000</v>
      </c>
      <c r="G20" s="20">
        <f>(VLOOKUP(表1_8612182224267280[[#This Row],[目标区服]],$R$35:$S$39,2,FALSE)-表1_8612182224267280[[#This Row],[开服天数]])*配置!$B$2</f>
        <v>10</v>
      </c>
      <c r="H20" s="19" t="s">
        <v>25</v>
      </c>
      <c r="I20" s="19">
        <f>IF(表1_8612182224267280[[#This Row],[原国家]]="魏",0,IF(表1_8612182224267280[[#This Row],[原国家]]="蜀",1,2))</f>
        <v>0</v>
      </c>
      <c r="J20" s="20">
        <v>0</v>
      </c>
      <c r="K20" s="20">
        <v>43</v>
      </c>
      <c r="L20" s="20">
        <v>1</v>
      </c>
      <c r="M20" s="20">
        <v>11</v>
      </c>
      <c r="N20" s="20">
        <v>40007</v>
      </c>
      <c r="O20" s="20">
        <v>1470300</v>
      </c>
      <c r="P20" s="26">
        <v>8146881</v>
      </c>
      <c r="Q20" s="496" t="s">
        <v>25</v>
      </c>
      <c r="R20" s="19">
        <f>IF(表1_8612182224267280[[#This Row],[目标国家]]="魏",0,IF(表1_8612182224267280[[#This Row],[目标国家]]="蜀",1,2))</f>
        <v>0</v>
      </c>
      <c r="S20" s="20">
        <v>2028</v>
      </c>
      <c r="T20" s="20">
        <v>0</v>
      </c>
      <c r="U20" s="20">
        <v>92024</v>
      </c>
      <c r="V20" s="20">
        <v>3021</v>
      </c>
      <c r="W20" s="32">
        <v>502150</v>
      </c>
      <c r="X20" s="33" t="str">
        <f>"{"&amp;"'coin':"&amp;表1_8612182224267280[[#This Row],[补偿Coin]]&amp;",'"&amp;配置!$A$2&amp;"':"&amp;表1_8612182224267280[[#This Row],[补偿辎重]]&amp;"},"</f>
        <v>{'coin':1000,'item036':10},</v>
      </c>
      <c r="Y20" s="34" t="str">
        <f>"      '"&amp;表1_8612182224267280[[#This Row],[区服]]&amp;"':{"</f>
        <v>      '168':{</v>
      </c>
    </row>
    <row r="21" ht="14.25" customHeight="1" spans="1:25">
      <c r="A21" s="17">
        <v>168</v>
      </c>
      <c r="B21" s="17">
        <f>VLOOKUP(表1_8612182224267280[[#This Row],[区服]],$P$35:$Q$44,2,FALSE)</f>
        <v>52</v>
      </c>
      <c r="C21" s="18" t="s">
        <v>154</v>
      </c>
      <c r="D21" s="19" t="str">
        <f>表1_8612182224267280[[#This Row],[目标国家]]</f>
        <v>蜀</v>
      </c>
      <c r="E21" s="20">
        <f>(VLOOKUP(表1_8612182224267280[[#This Row],[目标区服]],$R$35:$S$39,2,FALSE)-表1_8612182224267280[[#This Row],[开服天数]])*配置!$B$1</f>
        <v>1000</v>
      </c>
      <c r="F21" s="20">
        <f>表1_8612182224267280[[#This Row],[补偿Coin]]*(表1_8612182224267280[[#This Row],[活跃高战玩家数]]+表1_8612182224267280[[#This Row],[活跃中坚玩家数]])</f>
        <v>22000</v>
      </c>
      <c r="G21" s="20">
        <f>(VLOOKUP(表1_8612182224267280[[#This Row],[目标区服]],$R$35:$S$39,2,FALSE)-表1_8612182224267280[[#This Row],[开服天数]])*配置!$B$2</f>
        <v>10</v>
      </c>
      <c r="H21" s="19" t="s">
        <v>26</v>
      </c>
      <c r="I21" s="19">
        <f>IF(表1_8612182224267280[[#This Row],[原国家]]="魏",0,IF(表1_8612182224267280[[#This Row],[原国家]]="蜀",1,2))</f>
        <v>1</v>
      </c>
      <c r="J21" s="20">
        <v>0</v>
      </c>
      <c r="K21" s="20">
        <v>52</v>
      </c>
      <c r="L21" s="20">
        <v>2</v>
      </c>
      <c r="M21" s="20">
        <v>20</v>
      </c>
      <c r="N21" s="20">
        <v>85160</v>
      </c>
      <c r="O21" s="20">
        <v>1881690</v>
      </c>
      <c r="P21" s="26">
        <v>16127665</v>
      </c>
      <c r="Q21" s="496" t="s">
        <v>26</v>
      </c>
      <c r="R21" s="19">
        <f>IF(表1_8612182224267280[[#This Row],[目标国家]]="魏",0,IF(表1_8612182224267280[[#This Row],[目标国家]]="蜀",1,2))</f>
        <v>1</v>
      </c>
      <c r="S21" s="20">
        <v>12090</v>
      </c>
      <c r="T21" s="20">
        <v>0</v>
      </c>
      <c r="U21" s="20">
        <v>304841</v>
      </c>
      <c r="V21" s="20">
        <v>4955</v>
      </c>
      <c r="W21" s="32">
        <v>606490</v>
      </c>
      <c r="X21" s="33" t="str">
        <f>"{"&amp;"'coin':"&amp;表1_8612182224267280[[#This Row],[补偿Coin]]&amp;",'"&amp;配置!$A$2&amp;"':"&amp;表1_8612182224267280[[#This Row],[补偿辎重]]&amp;"},"</f>
        <v>{'coin':1000,'item036':10},</v>
      </c>
      <c r="Y21" s="34" t="str">
        <f>"            'to_zone':'"&amp;表1_8612182224267280[[#This Row],[目标区服]]&amp;"',
            'reward':"&amp;表1_8612182224267280[[#This Row],[辅助导出]]&amp;"
            'country':["&amp;R20&amp;","&amp;R21&amp;","&amp;R22&amp;"],"</f>
        <v>            'to_zone':'h1_72',
            'reward':{'coin':1000,'item036':10},
            'country':[0,1,2],</v>
      </c>
    </row>
    <row r="22" ht="14.25" customHeight="1" spans="1:25">
      <c r="A22" s="17">
        <v>168</v>
      </c>
      <c r="B22" s="17">
        <f>VLOOKUP(表1_8612182224267280[[#This Row],[区服]],$P$35:$Q$44,2,FALSE)</f>
        <v>52</v>
      </c>
      <c r="C22" s="18" t="s">
        <v>154</v>
      </c>
      <c r="D22" s="19" t="str">
        <f>表1_8612182224267280[[#This Row],[目标国家]]</f>
        <v>吴</v>
      </c>
      <c r="E22" s="20">
        <f>(VLOOKUP(表1_8612182224267280[[#This Row],[目标区服]],$R$35:$S$39,2,FALSE)-表1_8612182224267280[[#This Row],[开服天数]])*配置!$B$1</f>
        <v>1000</v>
      </c>
      <c r="F22" s="20">
        <f>表1_8612182224267280[[#This Row],[补偿Coin]]*(表1_8612182224267280[[#This Row],[活跃高战玩家数]]+表1_8612182224267280[[#This Row],[活跃中坚玩家数]])</f>
        <v>26000</v>
      </c>
      <c r="G22" s="20">
        <f>(VLOOKUP(表1_8612182224267280[[#This Row],[目标区服]],$R$35:$S$39,2,FALSE)-表1_8612182224267280[[#This Row],[开服天数]])*配置!$B$2</f>
        <v>10</v>
      </c>
      <c r="H22" s="19" t="s">
        <v>27</v>
      </c>
      <c r="I22" s="19">
        <f>IF(表1_8612182224267280[[#This Row],[原国家]]="魏",0,IF(表1_8612182224267280[[#This Row],[原国家]]="蜀",1,2))</f>
        <v>2</v>
      </c>
      <c r="J22" s="20">
        <v>9</v>
      </c>
      <c r="K22" s="20">
        <v>300</v>
      </c>
      <c r="L22" s="20">
        <v>7</v>
      </c>
      <c r="M22" s="20">
        <v>19</v>
      </c>
      <c r="N22" s="20">
        <v>157802</v>
      </c>
      <c r="O22" s="20">
        <v>3084672</v>
      </c>
      <c r="P22" s="26">
        <v>30750295</v>
      </c>
      <c r="Q22" s="496" t="s">
        <v>27</v>
      </c>
      <c r="R22" s="19">
        <f>IF(表1_8612182224267280[[#This Row],[目标国家]]="魏",0,IF(表1_8612182224267280[[#This Row],[目标国家]]="蜀",1,2))</f>
        <v>2</v>
      </c>
      <c r="S22" s="20">
        <v>112070</v>
      </c>
      <c r="T22" s="20">
        <v>0</v>
      </c>
      <c r="U22" s="20">
        <v>892639</v>
      </c>
      <c r="V22" s="20">
        <v>14657</v>
      </c>
      <c r="W22" s="32">
        <v>1002735</v>
      </c>
      <c r="X22" s="33" t="str">
        <f>"{"&amp;"'coin':"&amp;表1_8612182224267280[[#This Row],[补偿Coin]]&amp;",'"&amp;配置!$A$2&amp;"':"&amp;表1_8612182224267280[[#This Row],[补偿辎重]]&amp;"},"</f>
        <v>{'coin':1000,'item036':10},</v>
      </c>
      <c r="Y22" s="34" t="str">
        <f t="shared" ref="Y22" si="4">"      },"</f>
        <v>      },</v>
      </c>
    </row>
    <row r="23" ht="14.25" customHeight="1" spans="1:25">
      <c r="A23" s="500">
        <v>169</v>
      </c>
      <c r="B23" s="17">
        <f>VLOOKUP(表1_8612182224267280[[#This Row],[区服]],$P$35:$Q$44,2,FALSE)</f>
        <v>52</v>
      </c>
      <c r="C23" s="18" t="s">
        <v>154</v>
      </c>
      <c r="D23" s="19" t="str">
        <f>表1_8612182224267280[[#This Row],[目标国家]]</f>
        <v>吴</v>
      </c>
      <c r="E23" s="501">
        <f>(VLOOKUP(表1_8612182224267280[[#This Row],[目标区服]],$R$35:$S$39,2,FALSE)-表1_8612182224267280[[#This Row],[开服天数]])*配置!$B$1</f>
        <v>1000</v>
      </c>
      <c r="F23" s="20">
        <f>表1_8612182224267280[[#This Row],[补偿Coin]]*(表1_8612182224267280[[#This Row],[活跃高战玩家数]]+表1_8612182224267280[[#This Row],[活跃中坚玩家数]])</f>
        <v>21000</v>
      </c>
      <c r="G23" s="502">
        <f>(VLOOKUP(表1_8612182224267280[[#This Row],[目标区服]],$R$35:$S$39,2,FALSE)-表1_8612182224267280[[#This Row],[开服天数]])*配置!$B$2</f>
        <v>10</v>
      </c>
      <c r="H23" s="19" t="s">
        <v>25</v>
      </c>
      <c r="I23" s="503">
        <f>IF(表1_8612182224267280[[#This Row],[原国家]]="魏",0,IF(表1_8612182224267280[[#This Row],[原国家]]="蜀",1,2))</f>
        <v>0</v>
      </c>
      <c r="J23" s="20">
        <v>3</v>
      </c>
      <c r="K23" s="20">
        <v>105</v>
      </c>
      <c r="L23" s="20">
        <v>3</v>
      </c>
      <c r="M23" s="20">
        <v>18</v>
      </c>
      <c r="N23" s="20">
        <v>79955</v>
      </c>
      <c r="O23" s="504">
        <v>2558215</v>
      </c>
      <c r="P23" s="26">
        <v>19374271</v>
      </c>
      <c r="Q23" s="496" t="s">
        <v>27</v>
      </c>
      <c r="R23" s="19">
        <f>IF(表1_8612182224267280[[#This Row],[目标国家]]="魏",0,IF(表1_8612182224267280[[#This Row],[目标国家]]="蜀",1,2))</f>
        <v>2</v>
      </c>
      <c r="S23" s="20">
        <v>36940</v>
      </c>
      <c r="T23" s="20">
        <v>0</v>
      </c>
      <c r="U23" s="20">
        <v>203990</v>
      </c>
      <c r="V23" s="20">
        <v>7455</v>
      </c>
      <c r="W23" s="507">
        <v>697449</v>
      </c>
      <c r="X23" s="508" t="str">
        <f>"{"&amp;"'coin':"&amp;表1_8612182224267280[[#This Row],[补偿Coin]]&amp;",'"&amp;配置!$A$2&amp;"':"&amp;表1_8612182224267280[[#This Row],[补偿辎重]]&amp;"},"</f>
        <v>{'coin':1000,'item036':10},</v>
      </c>
      <c r="Y23" s="508" t="str">
        <f>"      '"&amp;表1_8612182224267280[[#This Row],[区服]]&amp;"':{"</f>
        <v>      '169':{</v>
      </c>
    </row>
    <row r="24" ht="14.25" customHeight="1" spans="1:25">
      <c r="A24" s="500">
        <v>169</v>
      </c>
      <c r="B24" s="17">
        <f>VLOOKUP(表1_8612182224267280[[#This Row],[区服]],$P$35:$Q$44,2,FALSE)</f>
        <v>52</v>
      </c>
      <c r="C24" s="18" t="s">
        <v>154</v>
      </c>
      <c r="D24" s="19" t="str">
        <f>表1_8612182224267280[[#This Row],[目标国家]]</f>
        <v>蜀</v>
      </c>
      <c r="E24" s="501">
        <f>(VLOOKUP(表1_8612182224267280[[#This Row],[目标区服]],$R$35:$S$39,2,FALSE)-表1_8612182224267280[[#This Row],[开服天数]])*配置!$B$1</f>
        <v>1000</v>
      </c>
      <c r="F24" s="20">
        <f>表1_8612182224267280[[#This Row],[补偿Coin]]*(表1_8612182224267280[[#This Row],[活跃高战玩家数]]+表1_8612182224267280[[#This Row],[活跃中坚玩家数]])</f>
        <v>20000</v>
      </c>
      <c r="G24" s="502">
        <f>(VLOOKUP(表1_8612182224267280[[#This Row],[目标区服]],$R$35:$S$39,2,FALSE)-表1_8612182224267280[[#This Row],[开服天数]])*配置!$B$2</f>
        <v>10</v>
      </c>
      <c r="H24" s="19" t="s">
        <v>26</v>
      </c>
      <c r="I24" s="503">
        <f>IF(表1_8612182224267280[[#This Row],[原国家]]="魏",0,IF(表1_8612182224267280[[#This Row],[原国家]]="蜀",1,2))</f>
        <v>1</v>
      </c>
      <c r="J24" s="20">
        <v>2</v>
      </c>
      <c r="K24" s="20">
        <v>117</v>
      </c>
      <c r="L24" s="20">
        <v>3</v>
      </c>
      <c r="M24" s="20">
        <v>17</v>
      </c>
      <c r="N24" s="20">
        <v>77384</v>
      </c>
      <c r="O24" s="504">
        <v>3444529</v>
      </c>
      <c r="P24" s="26">
        <v>21478060</v>
      </c>
      <c r="Q24" s="496" t="s">
        <v>26</v>
      </c>
      <c r="R24" s="19">
        <f>IF(表1_8612182224267280[[#This Row],[目标国家]]="魏",0,IF(表1_8612182224267280[[#This Row],[目标国家]]="蜀",1,2))</f>
        <v>1</v>
      </c>
      <c r="S24" s="20">
        <v>180546</v>
      </c>
      <c r="T24" s="20">
        <v>0</v>
      </c>
      <c r="U24" s="20">
        <v>294631</v>
      </c>
      <c r="V24" s="20">
        <v>12912</v>
      </c>
      <c r="W24" s="507">
        <v>969405</v>
      </c>
      <c r="X24" s="508" t="str">
        <f>"{"&amp;"'coin':"&amp;表1_8612182224267280[[#This Row],[补偿Coin]]&amp;",'"&amp;配置!$A$2&amp;"':"&amp;表1_8612182224267280[[#This Row],[补偿辎重]]&amp;"},"</f>
        <v>{'coin':1000,'item036':10},</v>
      </c>
      <c r="Y24" s="508" t="str">
        <f>"            'to_zone':'"&amp;表1_8612182224267280[[#This Row],[目标区服]]&amp;"',
            'reward':"&amp;表1_8612182224267280[[#This Row],[辅助导出]]&amp;"
            'country':["&amp;R23&amp;","&amp;R24&amp;","&amp;R25&amp;"],"</f>
        <v>            'to_zone':'h1_72',
            'reward':{'coin':1000,'item036':10},
            'country':[2,1,0],</v>
      </c>
    </row>
    <row r="25" ht="14.25" customHeight="1" spans="1:25">
      <c r="A25" s="500">
        <v>169</v>
      </c>
      <c r="B25" s="17">
        <f>VLOOKUP(表1_8612182224267280[[#This Row],[区服]],$P$35:$Q$44,2,FALSE)</f>
        <v>52</v>
      </c>
      <c r="C25" s="18" t="s">
        <v>154</v>
      </c>
      <c r="D25" s="19" t="str">
        <f>表1_8612182224267280[[#This Row],[目标国家]]</f>
        <v>魏</v>
      </c>
      <c r="E25" s="501">
        <f>(VLOOKUP(表1_8612182224267280[[#This Row],[目标区服]],$R$35:$S$39,2,FALSE)-表1_8612182224267280[[#This Row],[开服天数]])*配置!$B$1</f>
        <v>1000</v>
      </c>
      <c r="F25" s="20">
        <f>表1_8612182224267280[[#This Row],[补偿Coin]]*(表1_8612182224267280[[#This Row],[活跃高战玩家数]]+表1_8612182224267280[[#This Row],[活跃中坚玩家数]])</f>
        <v>32000</v>
      </c>
      <c r="G25" s="502">
        <f>(VLOOKUP(表1_8612182224267280[[#This Row],[目标区服]],$R$35:$S$39,2,FALSE)-表1_8612182224267280[[#This Row],[开服天数]])*配置!$B$2</f>
        <v>10</v>
      </c>
      <c r="H25" s="19" t="s">
        <v>27</v>
      </c>
      <c r="I25" s="503">
        <f>IF(表1_8612182224267280[[#This Row],[原国家]]="魏",0,IF(表1_8612182224267280[[#This Row],[原国家]]="蜀",1,2))</f>
        <v>2</v>
      </c>
      <c r="J25" s="20">
        <v>4</v>
      </c>
      <c r="K25" s="20">
        <v>173</v>
      </c>
      <c r="L25" s="20">
        <v>3</v>
      </c>
      <c r="M25" s="20">
        <v>29</v>
      </c>
      <c r="N25" s="20">
        <v>133698</v>
      </c>
      <c r="O25" s="504">
        <v>4180410</v>
      </c>
      <c r="P25" s="26">
        <v>34474962</v>
      </c>
      <c r="Q25" s="496" t="s">
        <v>25</v>
      </c>
      <c r="R25" s="19">
        <f>IF(表1_8612182224267280[[#This Row],[目标国家]]="魏",0,IF(表1_8612182224267280[[#This Row],[目标国家]]="蜀",1,2))</f>
        <v>0</v>
      </c>
      <c r="S25" s="20">
        <v>163284</v>
      </c>
      <c r="T25" s="20">
        <v>0</v>
      </c>
      <c r="U25" s="20">
        <v>361159</v>
      </c>
      <c r="V25" s="20">
        <v>15505</v>
      </c>
      <c r="W25" s="507">
        <v>1171334</v>
      </c>
      <c r="X25" s="508" t="str">
        <f>"{"&amp;"'coin':"&amp;表1_8612182224267280[[#This Row],[补偿Coin]]&amp;",'"&amp;配置!$A$2&amp;"':"&amp;表1_8612182224267280[[#This Row],[补偿辎重]]&amp;"},"</f>
        <v>{'coin':1000,'item036':10},</v>
      </c>
      <c r="Y25" s="508" t="str">
        <f t="shared" ref="Y25" si="5">"      },"</f>
        <v>      },</v>
      </c>
    </row>
    <row r="26" ht="14.25" customHeight="1" spans="1:25">
      <c r="A26" s="367">
        <v>170</v>
      </c>
      <c r="B26" s="214">
        <f>VLOOKUP(表1_8612182224267280[[#This Row],[区服]],$P$35:$Q$44,2,FALSE)</f>
        <v>51</v>
      </c>
      <c r="C26" s="293" t="s">
        <v>155</v>
      </c>
      <c r="D26" s="216" t="str">
        <f>表1_8612182224267280[[#This Row],[目标国家]]</f>
        <v>魏</v>
      </c>
      <c r="E26" s="413">
        <f>(VLOOKUP(表1_8612182224267280[[#This Row],[目标区服]],$R$35:$S$39,2,FALSE)-表1_8612182224267280[[#This Row],[开服天数]])*配置!$B$1</f>
        <v>1000</v>
      </c>
      <c r="F26" s="217">
        <f>表1_8612182224267280[[#This Row],[补偿Coin]]*(表1_8612182224267280[[#This Row],[活跃高战玩家数]]+表1_8612182224267280[[#This Row],[活跃中坚玩家数]])</f>
        <v>32000</v>
      </c>
      <c r="G26" s="368">
        <f>(VLOOKUP(表1_8612182224267280[[#This Row],[目标区服]],$R$35:$S$39,2,FALSE)-表1_8612182224267280[[#This Row],[开服天数]])*配置!$B$2</f>
        <v>10</v>
      </c>
      <c r="H26" s="216" t="s">
        <v>25</v>
      </c>
      <c r="I26" s="377">
        <f>IF(表1_8612182224267280[[#This Row],[原国家]]="魏",0,IF(表1_8612182224267280[[#This Row],[原国家]]="蜀",1,2))</f>
        <v>0</v>
      </c>
      <c r="J26" s="217">
        <v>1</v>
      </c>
      <c r="K26" s="217">
        <v>59</v>
      </c>
      <c r="L26" s="217">
        <v>4</v>
      </c>
      <c r="M26" s="217">
        <v>28</v>
      </c>
      <c r="N26" s="217">
        <v>123955</v>
      </c>
      <c r="O26" s="378">
        <v>3480525</v>
      </c>
      <c r="P26" s="334">
        <v>33006373</v>
      </c>
      <c r="Q26" s="247" t="s">
        <v>25</v>
      </c>
      <c r="R26" s="216">
        <f>IF(表1_8612182224267280[[#This Row],[目标国家]]="魏",0,IF(表1_8612182224267280[[#This Row],[目标国家]]="蜀",1,2))</f>
        <v>0</v>
      </c>
      <c r="S26" s="217">
        <v>152636</v>
      </c>
      <c r="T26" s="217">
        <v>0</v>
      </c>
      <c r="U26" s="217">
        <v>1332892</v>
      </c>
      <c r="V26" s="217">
        <v>13336</v>
      </c>
      <c r="W26" s="488">
        <v>1131283</v>
      </c>
      <c r="X26" s="382" t="str">
        <f>"{"&amp;"'coin':"&amp;表1_8612182224267280[[#This Row],[补偿Coin]]&amp;",'"&amp;配置!$A$2&amp;"':"&amp;表1_8612182224267280[[#This Row],[补偿辎重]]&amp;"},"</f>
        <v>{'coin':1000,'item036':10},</v>
      </c>
      <c r="Y26" s="382" t="str">
        <f>"      '"&amp;表1_8612182224267280[[#This Row],[区服]]&amp;"':{"</f>
        <v>      '170':{</v>
      </c>
    </row>
    <row r="27" ht="14.25" customHeight="1" spans="1:25">
      <c r="A27" s="367">
        <v>170</v>
      </c>
      <c r="B27" s="214">
        <f>VLOOKUP(表1_8612182224267280[[#This Row],[区服]],$P$35:$Q$44,2,FALSE)</f>
        <v>51</v>
      </c>
      <c r="C27" s="293" t="s">
        <v>155</v>
      </c>
      <c r="D27" s="216" t="str">
        <f>表1_8612182224267280[[#This Row],[目标国家]]</f>
        <v>蜀</v>
      </c>
      <c r="E27" s="413">
        <f>(VLOOKUP(表1_8612182224267280[[#This Row],[目标区服]],$R$35:$S$39,2,FALSE)-表1_8612182224267280[[#This Row],[开服天数]])*配置!$B$1</f>
        <v>1000</v>
      </c>
      <c r="F27" s="217">
        <f>表1_8612182224267280[[#This Row],[补偿Coin]]*(表1_8612182224267280[[#This Row],[活跃高战玩家数]]+表1_8612182224267280[[#This Row],[活跃中坚玩家数]])</f>
        <v>21000</v>
      </c>
      <c r="G27" s="368">
        <f>(VLOOKUP(表1_8612182224267280[[#This Row],[目标区服]],$R$35:$S$39,2,FALSE)-表1_8612182224267280[[#This Row],[开服天数]])*配置!$B$2</f>
        <v>10</v>
      </c>
      <c r="H27" s="216" t="s">
        <v>26</v>
      </c>
      <c r="I27" s="377">
        <f>IF(表1_8612182224267280[[#This Row],[原国家]]="魏",0,IF(表1_8612182224267280[[#This Row],[原国家]]="蜀",1,2))</f>
        <v>1</v>
      </c>
      <c r="J27" s="217">
        <v>3</v>
      </c>
      <c r="K27" s="217">
        <v>173</v>
      </c>
      <c r="L27" s="217">
        <v>3</v>
      </c>
      <c r="M27" s="217">
        <v>18</v>
      </c>
      <c r="N27" s="217">
        <v>80275</v>
      </c>
      <c r="O27" s="378">
        <v>3376771</v>
      </c>
      <c r="P27" s="334">
        <v>22378304</v>
      </c>
      <c r="Q27" s="247" t="s">
        <v>26</v>
      </c>
      <c r="R27" s="216">
        <f>IF(表1_8612182224267280[[#This Row],[目标国家]]="魏",0,IF(表1_8612182224267280[[#This Row],[目标国家]]="蜀",1,2))</f>
        <v>1</v>
      </c>
      <c r="S27" s="217">
        <v>104366</v>
      </c>
      <c r="T27" s="217">
        <v>0</v>
      </c>
      <c r="U27" s="217">
        <v>651268</v>
      </c>
      <c r="V27" s="217">
        <v>11502</v>
      </c>
      <c r="W27" s="488">
        <v>1151271</v>
      </c>
      <c r="X27" s="382" t="str">
        <f>"{"&amp;"'coin':"&amp;表1_8612182224267280[[#This Row],[补偿Coin]]&amp;",'"&amp;配置!$A$2&amp;"':"&amp;表1_8612182224267280[[#This Row],[补偿辎重]]&amp;"},"</f>
        <v>{'coin':1000,'item036':10},</v>
      </c>
      <c r="Y27" s="382" t="str">
        <f>"            'to_zone':'"&amp;表1_8612182224267280[[#This Row],[目标区服]]&amp;"',
            'reward':"&amp;表1_8612182224267280[[#This Row],[辅助导出]]&amp;"
            'country':["&amp;R26&amp;","&amp;R27&amp;","&amp;R28&amp;"],"</f>
        <v>            'to_zone':'h1_73',
            'reward':{'coin':1000,'item036':10},
            'country':[0,1,1],</v>
      </c>
    </row>
    <row r="28" ht="14.25" customHeight="1" spans="1:25">
      <c r="A28" s="367">
        <v>170</v>
      </c>
      <c r="B28" s="214">
        <f>VLOOKUP(表1_8612182224267280[[#This Row],[区服]],$P$35:$Q$44,2,FALSE)</f>
        <v>51</v>
      </c>
      <c r="C28" s="544" t="s">
        <v>155</v>
      </c>
      <c r="D28" s="216" t="str">
        <f>表1_8612182224267280[[#This Row],[目标国家]]</f>
        <v>蜀</v>
      </c>
      <c r="E28" s="413">
        <f>(VLOOKUP(表1_8612182224267280[[#This Row],[目标区服]],$R$35:$S$39,2,FALSE)-表1_8612182224267280[[#This Row],[开服天数]])*配置!$B$1</f>
        <v>1000</v>
      </c>
      <c r="F28" s="217">
        <f>表1_8612182224267280[[#This Row],[补偿Coin]]*(表1_8612182224267280[[#This Row],[活跃高战玩家数]]+表1_8612182224267280[[#This Row],[活跃中坚玩家数]])</f>
        <v>27000</v>
      </c>
      <c r="G28" s="368">
        <f>(VLOOKUP(表1_8612182224267280[[#This Row],[目标区服]],$R$35:$S$39,2,FALSE)-表1_8612182224267280[[#This Row],[开服天数]])*配置!$B$2</f>
        <v>10</v>
      </c>
      <c r="H28" s="216" t="s">
        <v>27</v>
      </c>
      <c r="I28" s="377">
        <f>IF(表1_8612182224267280[[#This Row],[原国家]]="魏",0,IF(表1_8612182224267280[[#This Row],[原国家]]="蜀",1,2))</f>
        <v>2</v>
      </c>
      <c r="J28" s="217">
        <v>5</v>
      </c>
      <c r="K28" s="217">
        <v>163</v>
      </c>
      <c r="L28" s="217">
        <v>3</v>
      </c>
      <c r="M28" s="217">
        <v>24</v>
      </c>
      <c r="N28" s="217">
        <v>122554</v>
      </c>
      <c r="O28" s="378">
        <v>2884357</v>
      </c>
      <c r="P28" s="334">
        <v>28934804</v>
      </c>
      <c r="Q28" s="247" t="s">
        <v>26</v>
      </c>
      <c r="R28" s="216">
        <f>IF(表1_8612182224267280[[#This Row],[目标国家]]="魏",0,IF(表1_8612182224267280[[#This Row],[目标国家]]="蜀",1,2))</f>
        <v>1</v>
      </c>
      <c r="S28" s="217">
        <v>60488</v>
      </c>
      <c r="T28" s="217">
        <v>0</v>
      </c>
      <c r="U28" s="217">
        <v>303380</v>
      </c>
      <c r="V28" s="217">
        <v>10486</v>
      </c>
      <c r="W28" s="488">
        <v>827975</v>
      </c>
      <c r="X28" s="382" t="str">
        <f>"{"&amp;"'coin':"&amp;表1_8612182224267280[[#This Row],[补偿Coin]]&amp;",'"&amp;配置!$A$2&amp;"':"&amp;表1_8612182224267280[[#This Row],[补偿辎重]]&amp;"},"</f>
        <v>{'coin':1000,'item036':10},</v>
      </c>
      <c r="Y28" s="382" t="str">
        <f t="shared" ref="Y28" si="6">"      },"</f>
        <v>      },</v>
      </c>
    </row>
    <row r="29" ht="14.25" customHeight="1" spans="1:25">
      <c r="A29" s="367">
        <v>171</v>
      </c>
      <c r="B29" s="214">
        <f>VLOOKUP(表1_8612182224267280[[#This Row],[区服]],$P$35:$Q$44,2,FALSE)</f>
        <v>51</v>
      </c>
      <c r="C29" s="293" t="s">
        <v>155</v>
      </c>
      <c r="D29" s="216" t="str">
        <f>表1_8612182224267280[[#This Row],[目标国家]]</f>
        <v>吴</v>
      </c>
      <c r="E29" s="413">
        <f>(VLOOKUP(表1_8612182224267280[[#This Row],[目标区服]],$R$35:$S$39,2,FALSE)-表1_8612182224267280[[#This Row],[开服天数]])*配置!$B$1</f>
        <v>1000</v>
      </c>
      <c r="F29" s="217">
        <f>表1_8612182224267280[[#This Row],[补偿Coin]]*(表1_8612182224267280[[#This Row],[活跃高战玩家数]]+表1_8612182224267280[[#This Row],[活跃中坚玩家数]])</f>
        <v>24000</v>
      </c>
      <c r="G29" s="368">
        <f>(VLOOKUP(表1_8612182224267280[[#This Row],[目标区服]],$R$35:$S$39,2,FALSE)-表1_8612182224267280[[#This Row],[开服天数]])*配置!$B$2</f>
        <v>10</v>
      </c>
      <c r="H29" s="216" t="s">
        <v>25</v>
      </c>
      <c r="I29" s="377">
        <f>IF(表1_8612182224267280[[#This Row],[原国家]]="魏",0,IF(表1_8612182224267280[[#This Row],[原国家]]="蜀",1,2))</f>
        <v>0</v>
      </c>
      <c r="J29" s="217">
        <v>3</v>
      </c>
      <c r="K29" s="217">
        <v>165</v>
      </c>
      <c r="L29" s="217">
        <v>6</v>
      </c>
      <c r="M29" s="217">
        <v>18</v>
      </c>
      <c r="N29" s="217">
        <v>143301</v>
      </c>
      <c r="O29" s="378">
        <v>3861113</v>
      </c>
      <c r="P29" s="334">
        <v>25371831</v>
      </c>
      <c r="Q29" s="247" t="s">
        <v>27</v>
      </c>
      <c r="R29" s="216">
        <f>IF(表1_8612182224267280[[#This Row],[目标国家]]="魏",0,IF(表1_8612182224267280[[#This Row],[目标国家]]="蜀",1,2))</f>
        <v>2</v>
      </c>
      <c r="S29" s="217">
        <v>101812</v>
      </c>
      <c r="T29" s="217">
        <v>0</v>
      </c>
      <c r="U29" s="217">
        <v>963594</v>
      </c>
      <c r="V29" s="217">
        <v>12600</v>
      </c>
      <c r="W29" s="488">
        <v>1306638</v>
      </c>
      <c r="X29" s="382" t="str">
        <f>"{"&amp;"'coin':"&amp;表1_8612182224267280[[#This Row],[补偿Coin]]&amp;",'"&amp;配置!$A$2&amp;"':"&amp;表1_8612182224267280[[#This Row],[补偿辎重]]&amp;"},"</f>
        <v>{'coin':1000,'item036':10},</v>
      </c>
      <c r="Y29" s="382" t="str">
        <f>"      '"&amp;表1_8612182224267280[[#This Row],[区服]]&amp;"':{"</f>
        <v>      '171':{</v>
      </c>
    </row>
    <row r="30" ht="14.25" customHeight="1" spans="1:25">
      <c r="A30" s="367">
        <v>171</v>
      </c>
      <c r="B30" s="214">
        <f>VLOOKUP(表1_8612182224267280[[#This Row],[区服]],$P$35:$Q$44,2,FALSE)</f>
        <v>51</v>
      </c>
      <c r="C30" s="293" t="s">
        <v>155</v>
      </c>
      <c r="D30" s="216" t="str">
        <f>表1_8612182224267280[[#This Row],[目标国家]]</f>
        <v>吴</v>
      </c>
      <c r="E30" s="413">
        <f>(VLOOKUP(表1_8612182224267280[[#This Row],[目标区服]],$R$35:$S$39,2,FALSE)-表1_8612182224267280[[#This Row],[开服天数]])*配置!$B$1</f>
        <v>1000</v>
      </c>
      <c r="F30" s="217">
        <f>表1_8612182224267280[[#This Row],[补偿Coin]]*(表1_8612182224267280[[#This Row],[活跃高战玩家数]]+表1_8612182224267280[[#This Row],[活跃中坚玩家数]])</f>
        <v>15000</v>
      </c>
      <c r="G30" s="368">
        <f>(VLOOKUP(表1_8612182224267280[[#This Row],[目标区服]],$R$35:$S$39,2,FALSE)-表1_8612182224267280[[#This Row],[开服天数]])*配置!$B$2</f>
        <v>10</v>
      </c>
      <c r="H30" s="216" t="s">
        <v>26</v>
      </c>
      <c r="I30" s="377">
        <f>IF(表1_8612182224267280[[#This Row],[原国家]]="魏",0,IF(表1_8612182224267280[[#This Row],[原国家]]="蜀",1,2))</f>
        <v>1</v>
      </c>
      <c r="J30" s="217">
        <v>4</v>
      </c>
      <c r="K30" s="217">
        <v>162</v>
      </c>
      <c r="L30" s="217">
        <v>4</v>
      </c>
      <c r="M30" s="217">
        <v>11</v>
      </c>
      <c r="N30" s="217">
        <v>96155</v>
      </c>
      <c r="O30" s="378">
        <v>2986802</v>
      </c>
      <c r="P30" s="334">
        <v>16196233</v>
      </c>
      <c r="Q30" s="247" t="s">
        <v>27</v>
      </c>
      <c r="R30" s="216">
        <f>IF(表1_8612182224267280[[#This Row],[目标国家]]="魏",0,IF(表1_8612182224267280[[#This Row],[目标国家]]="蜀",1,2))</f>
        <v>2</v>
      </c>
      <c r="S30" s="217">
        <v>49904</v>
      </c>
      <c r="T30" s="217">
        <v>0</v>
      </c>
      <c r="U30" s="217">
        <v>428615</v>
      </c>
      <c r="V30" s="217">
        <v>8818</v>
      </c>
      <c r="W30" s="488">
        <v>939606</v>
      </c>
      <c r="X30" s="382" t="str">
        <f>"{"&amp;"'coin':"&amp;表1_8612182224267280[[#This Row],[补偿Coin]]&amp;",'"&amp;配置!$A$2&amp;"':"&amp;表1_8612182224267280[[#This Row],[补偿辎重]]&amp;"},"</f>
        <v>{'coin':1000,'item036':10},</v>
      </c>
      <c r="Y30" s="382" t="str">
        <f>"            'to_zone':'"&amp;表1_8612182224267280[[#This Row],[目标区服]]&amp;"',
            'reward':"&amp;表1_8612182224267280[[#This Row],[辅助导出]]&amp;"
            'country':["&amp;R29&amp;","&amp;R30&amp;","&amp;R31&amp;"],"</f>
        <v>            'to_zone':'h1_73',
            'reward':{'coin':1000,'item036':10},
            'country':[2,2,0],</v>
      </c>
    </row>
    <row r="31" ht="14.25" customHeight="1" spans="1:25">
      <c r="A31" s="367">
        <v>171</v>
      </c>
      <c r="B31" s="214">
        <f>VLOOKUP(表1_8612182224267280[[#This Row],[区服]],$P$35:$Q$44,2,FALSE)</f>
        <v>51</v>
      </c>
      <c r="C31" s="544" t="s">
        <v>155</v>
      </c>
      <c r="D31" s="216" t="str">
        <f>表1_8612182224267280[[#This Row],[目标国家]]</f>
        <v>魏</v>
      </c>
      <c r="E31" s="413">
        <f>(VLOOKUP(表1_8612182224267280[[#This Row],[目标区服]],$R$35:$S$39,2,FALSE)-表1_8612182224267280[[#This Row],[开服天数]])*配置!$B$1</f>
        <v>1000</v>
      </c>
      <c r="F31" s="217">
        <f>表1_8612182224267280[[#This Row],[补偿Coin]]*(表1_8612182224267280[[#This Row],[活跃高战玩家数]]+表1_8612182224267280[[#This Row],[活跃中坚玩家数]])</f>
        <v>10000</v>
      </c>
      <c r="G31" s="368">
        <f>(VLOOKUP(表1_8612182224267280[[#This Row],[目标区服]],$R$35:$S$39,2,FALSE)-表1_8612182224267280[[#This Row],[开服天数]])*配置!$B$2</f>
        <v>10</v>
      </c>
      <c r="H31" s="216" t="s">
        <v>27</v>
      </c>
      <c r="I31" s="377">
        <f>IF(表1_8612182224267280[[#This Row],[原国家]]="魏",0,IF(表1_8612182224267280[[#This Row],[原国家]]="蜀",1,2))</f>
        <v>2</v>
      </c>
      <c r="J31" s="217">
        <v>2</v>
      </c>
      <c r="K31" s="217">
        <v>68</v>
      </c>
      <c r="L31" s="217">
        <v>0</v>
      </c>
      <c r="M31" s="217">
        <v>10</v>
      </c>
      <c r="N31" s="217">
        <v>29337</v>
      </c>
      <c r="O31" s="378">
        <v>1073807</v>
      </c>
      <c r="P31" s="334">
        <v>5055360</v>
      </c>
      <c r="Q31" s="247" t="s">
        <v>25</v>
      </c>
      <c r="R31" s="216">
        <f>IF(表1_8612182224267280[[#This Row],[目标国家]]="魏",0,IF(表1_8612182224267280[[#This Row],[目标国家]]="蜀",1,2))</f>
        <v>0</v>
      </c>
      <c r="S31" s="217">
        <v>4864</v>
      </c>
      <c r="T31" s="217">
        <v>0</v>
      </c>
      <c r="U31" s="217">
        <v>171156</v>
      </c>
      <c r="V31" s="217">
        <v>2837</v>
      </c>
      <c r="W31" s="294">
        <v>384289</v>
      </c>
      <c r="X31" s="382" t="str">
        <f>"{"&amp;"'coin':"&amp;表1_8612182224267280[[#This Row],[补偿Coin]]&amp;",'"&amp;配置!$A$2&amp;"':"&amp;表1_8612182224267280[[#This Row],[补偿辎重]]&amp;"},"</f>
        <v>{'coin':1000,'item036':10},</v>
      </c>
      <c r="Y31" s="382" t="str">
        <f t="shared" ref="Y31" si="7">"      },"</f>
        <v>      },</v>
      </c>
    </row>
    <row r="34" ht="27" spans="1:19">
      <c r="A34" s="36" t="s">
        <v>28</v>
      </c>
      <c r="B34" s="37" t="s">
        <v>29</v>
      </c>
      <c r="C34" s="38" t="s">
        <v>30</v>
      </c>
      <c r="D34" s="38" t="s">
        <v>31</v>
      </c>
      <c r="E34" s="38" t="s">
        <v>32</v>
      </c>
      <c r="F34" s="38" t="s">
        <v>33</v>
      </c>
      <c r="G34" s="38" t="s">
        <v>15</v>
      </c>
      <c r="H34" s="37" t="s">
        <v>18</v>
      </c>
      <c r="I34" s="37" t="s">
        <v>19</v>
      </c>
      <c r="J34" s="37" t="s">
        <v>34</v>
      </c>
      <c r="K34" s="38" t="s">
        <v>35</v>
      </c>
      <c r="L34" s="38" t="s">
        <v>36</v>
      </c>
      <c r="M34" s="38" t="s">
        <v>37</v>
      </c>
      <c r="N34" s="38" t="s">
        <v>88</v>
      </c>
      <c r="P34" s="51" t="s">
        <v>0</v>
      </c>
      <c r="Q34" s="51" t="s">
        <v>1</v>
      </c>
      <c r="R34" s="51"/>
      <c r="S34" s="51" t="s">
        <v>38</v>
      </c>
    </row>
    <row r="35" ht="15" spans="1:19">
      <c r="A35" s="372" t="s">
        <v>152</v>
      </c>
      <c r="B35" s="39" t="s">
        <v>25</v>
      </c>
      <c r="C35" s="39">
        <f>COUNTIFS(表1_8612182224267280[目标区服],表2_9713192325277381[[#This Row],[合区区服]],表1_8612182224267280[目标国家（映射）],表2_9713192325277381[[#This Row],[国家]])</f>
        <v>4</v>
      </c>
      <c r="D35" s="39">
        <f>SUMIFS(表1_8612182224267280[活跃高战玩家数],表1_8612182224267280[目标区服],表2_9713192325277381[[#This Row],[合区区服]],表1_8612182224267280[目标国家（映射）],表2_9713192325277381[[#This Row],[国家]])</f>
        <v>9</v>
      </c>
      <c r="E35" s="39">
        <f>SUMIFS(表1_8612182224267280[活跃中坚玩家数],表1_8612182224267280[目标区服],表2_9713192325277381[[#This Row],[合区区服]],表1_8612182224267280[目标国家（映射）],表2_9713192325277381[[#This Row],[国家]])</f>
        <v>58</v>
      </c>
      <c r="F35" s="39">
        <f t="array" ref="F35">MAX((表1_8612182224267280[目标区服]=表2_9713192325277381[[#This Row],[合区区服]])*(表1_8612182224267280[目标国家（映射）]=表2_9713192325277381[[#This Row],[国家]])*表1_8612182224267280[活跃尖端战力])</f>
        <v>3424904</v>
      </c>
      <c r="G35" s="40">
        <f>SUMIFS(表1_8612182224267280[活跃总战力],表1_8612182224267280[目标区服],表2_9713192325277381[[#This Row],[合区区服]],表1_8612182224267280[目标国家（映射）],表2_9713192325277381[[#This Row],[国家]])</f>
        <v>62977593</v>
      </c>
      <c r="H35" s="39">
        <f>SUMIFS(表1_8612182224267280[活跃实际充值],表1_8612182224267280[目标区服],表2_9713192325277381[[#This Row],[合区区服]],表1_8612182224267280[目标国家（映射）],表2_9713192325277381[[#This Row],[国家]])</f>
        <v>267752</v>
      </c>
      <c r="I35" s="39">
        <f>SUMIFS(表1_8612182224267280[活跃虚拟充值],表1_8612182224267280[目标区服],表2_9713192325277381[[#This Row],[合区区服]],表1_8612182224267280[目标国家（映射）],表2_9713192325277381[[#This Row],[国家]])</f>
        <v>0</v>
      </c>
      <c r="J35" s="39">
        <f>SUMIFS(表1_8612182224267280[活跃Coin],表1_8612182224267280[目标区服],表2_9713192325277381[[#This Row],[合区区服]],表1_8612182224267280[目标国家（映射）],表2_9713192325277381[[#This Row],[国家]])</f>
        <v>1342264</v>
      </c>
      <c r="K35" s="39">
        <f>SUMIFS(表1_8612182224267280[共计补偿Coin],表1_8612182224267280[目标区服],表2_9713192325277381[[#This Row],[合区区服]],表1_8612182224267280[目标国家（映射）],表2_9713192325277381[[#This Row],[国家]])</f>
        <v>96500</v>
      </c>
      <c r="L35" s="39">
        <f>表2_9713192325277381[[#This Row],[活跃Coin]]+表2_9713192325277381[[#This Row],[共计补偿Coin]]</f>
        <v>1438764</v>
      </c>
      <c r="M35" s="39">
        <f>SUMIFS(表1_8612182224267280[综合国力],表1_8612182224267280[目标区服],表2_9713192325277381[[#This Row],[合区区服]],表1_8612182224267280[目标国家（映射）],表2_9713192325277381[[#This Row],[国家]])</f>
        <v>31252</v>
      </c>
      <c r="N35" s="39">
        <f t="array" ref="N35">MAX((表1_8612182224267280[目标区服]=表2_9713192325277381[[#This Row],[合区区服]])*(表1_8612182224267280[目标国家（映射）]=表2_9713192325277381[[#This Row],[国家]])*表1_8612182224267280[单将最高战力])</f>
        <v>1166663</v>
      </c>
      <c r="P35" s="51">
        <v>162</v>
      </c>
      <c r="Q35" s="51">
        <v>56</v>
      </c>
      <c r="R35" s="51" t="s">
        <v>152</v>
      </c>
      <c r="S35" s="51">
        <v>58</v>
      </c>
    </row>
    <row r="36" ht="15" spans="1:19">
      <c r="A36" s="372" t="s">
        <v>152</v>
      </c>
      <c r="B36" s="39" t="s">
        <v>26</v>
      </c>
      <c r="C36" s="39">
        <f>COUNTIFS(表1_8612182224267280[目标区服],表2_9713192325277381[[#This Row],[合区区服]],表1_8612182224267280[目标国家（映射）],表2_9713192325277381[[#This Row],[国家]])</f>
        <v>3</v>
      </c>
      <c r="D36" s="39">
        <f>SUMIFS(表1_8612182224267280[活跃高战玩家数],表1_8612182224267280[目标区服],表2_9713192325277381[[#This Row],[合区区服]],表1_8612182224267280[目标国家（映射）],表2_9713192325277381[[#This Row],[国家]])</f>
        <v>11</v>
      </c>
      <c r="E36" s="39">
        <f>SUMIFS(表1_8612182224267280[活跃中坚玩家数],表1_8612182224267280[目标区服],表2_9713192325277381[[#This Row],[合区区服]],表1_8612182224267280[目标国家（映射）],表2_9713192325277381[[#This Row],[国家]])</f>
        <v>37</v>
      </c>
      <c r="F36" s="39">
        <f t="array" ref="F36">MAX((表1_8612182224267280[目标区服]=表2_9713192325277381[[#This Row],[合区区服]])*(表1_8612182224267280[目标国家（映射）]=表2_9713192325277381[[#This Row],[国家]])*表1_8612182224267280[活跃尖端战力])</f>
        <v>4299186</v>
      </c>
      <c r="G36" s="40">
        <f>SUMIFS(表1_8612182224267280[活跃总战力],表1_8612182224267280[目标区服],表2_9713192325277381[[#This Row],[合区区服]],表1_8612182224267280[目标国家（映射）],表2_9713192325277381[[#This Row],[国家]])</f>
        <v>56566246</v>
      </c>
      <c r="H36" s="39">
        <f>SUMIFS(表1_8612182224267280[活跃实际充值],表1_8612182224267280[目标区服],表2_9713192325277381[[#This Row],[合区区服]],表1_8612182224267280[目标国家（映射）],表2_9713192325277381[[#This Row],[国家]])</f>
        <v>340338</v>
      </c>
      <c r="I36" s="39">
        <f>SUMIFS(表1_8612182224267280[活跃虚拟充值],表1_8612182224267280[目标区服],表2_9713192325277381[[#This Row],[合区区服]],表1_8612182224267280[目标国家（映射）],表2_9713192325277381[[#This Row],[国家]])</f>
        <v>0</v>
      </c>
      <c r="J36" s="39">
        <f>SUMIFS(表1_8612182224267280[活跃Coin],表1_8612182224267280[目标区服],表2_9713192325277381[[#This Row],[合区区服]],表1_8612182224267280[目标国家（映射）],表2_9713192325277381[[#This Row],[国家]])</f>
        <v>1720216</v>
      </c>
      <c r="K36" s="39">
        <f>SUMIFS(表1_8612182224267280[共计补偿Coin],表1_8612182224267280[目标区服],表2_9713192325277381[[#This Row],[合区区服]],表1_8612182224267280[目标国家（映射）],表2_9713192325277381[[#This Row],[国家]])</f>
        <v>54000</v>
      </c>
      <c r="L36" s="39">
        <f>表2_9713192325277381[[#This Row],[活跃Coin]]+表2_9713192325277381[[#This Row],[共计补偿Coin]]</f>
        <v>1774216</v>
      </c>
      <c r="M36" s="39">
        <f>SUMIFS(表1_8612182224267280[综合国力],表1_8612182224267280[目标区服],表2_9713192325277381[[#This Row],[合区区服]],表1_8612182224267280[目标国家（映射）],表2_9713192325277381[[#This Row],[国家]])</f>
        <v>31676</v>
      </c>
      <c r="N36" s="39">
        <f t="array" ref="N36">MAX((表1_8612182224267280[目标区服]=表2_9713192325277381[[#This Row],[合区区服]])*(表1_8612182224267280[目标国家（映射）]=表2_9713192325277381[[#This Row],[国家]])*表1_8612182224267280[单将最高战力])</f>
        <v>1103217</v>
      </c>
      <c r="P36" s="51">
        <v>163</v>
      </c>
      <c r="Q36" s="51">
        <v>55</v>
      </c>
      <c r="R36" s="51" t="s">
        <v>153</v>
      </c>
      <c r="S36" s="51">
        <v>56</v>
      </c>
    </row>
    <row r="37" ht="15" spans="1:19">
      <c r="A37" s="372" t="s">
        <v>152</v>
      </c>
      <c r="B37" s="39" t="s">
        <v>27</v>
      </c>
      <c r="C37" s="39">
        <f>COUNTIFS(表1_8612182224267280[目标区服],表2_9713192325277381[[#This Row],[合区区服]],表1_8612182224267280[目标国家（映射）],表2_9713192325277381[[#This Row],[国家]])</f>
        <v>2</v>
      </c>
      <c r="D37" s="39">
        <f>SUMIFS(表1_8612182224267280[活跃高战玩家数],表1_8612182224267280[目标区服],表2_9713192325277381[[#This Row],[合区区服]],表1_8612182224267280[目标国家（映射）],表2_9713192325277381[[#This Row],[国家]])</f>
        <v>10</v>
      </c>
      <c r="E37" s="39">
        <f>SUMIFS(表1_8612182224267280[活跃中坚玩家数],表1_8612182224267280[目标区服],表2_9713192325277381[[#This Row],[合区区服]],表1_8612182224267280[目标国家（映射）],表2_9713192325277381[[#This Row],[国家]])</f>
        <v>40</v>
      </c>
      <c r="F37" s="39">
        <f t="array" ref="F37">MAX((表1_8612182224267280[目标区服]=表2_9713192325277381[[#This Row],[合区区服]])*(表1_8612182224267280[目标国家（映射）]=表2_9713192325277381[[#This Row],[国家]])*表1_8612182224267280[活跃尖端战力])</f>
        <v>3747615</v>
      </c>
      <c r="G37" s="40">
        <f>SUMIFS(表1_8612182224267280[活跃总战力],表1_8612182224267280[目标区服],表2_9713192325277381[[#This Row],[合区区服]],表1_8612182224267280[目标国家（映射）],表2_9713192325277381[[#This Row],[国家]])</f>
        <v>54755632</v>
      </c>
      <c r="H37" s="39">
        <f>SUMIFS(表1_8612182224267280[活跃实际充值],表1_8612182224267280[目标区服],表2_9713192325277381[[#This Row],[合区区服]],表1_8612182224267280[目标国家（映射）],表2_9713192325277381[[#This Row],[国家]])</f>
        <v>285426</v>
      </c>
      <c r="I37" s="39">
        <f>SUMIFS(表1_8612182224267280[活跃虚拟充值],表1_8612182224267280[目标区服],表2_9713192325277381[[#This Row],[合区区服]],表1_8612182224267280[目标国家（映射）],表2_9713192325277381[[#This Row],[国家]])</f>
        <v>0</v>
      </c>
      <c r="J37" s="39">
        <f>SUMIFS(表1_8612182224267280[活跃Coin],表1_8612182224267280[目标区服],表2_9713192325277381[[#This Row],[合区区服]],表1_8612182224267280[目标国家（映射）],表2_9713192325277381[[#This Row],[国家]])</f>
        <v>1245702</v>
      </c>
      <c r="K37" s="39">
        <f>SUMIFS(表1_8612182224267280[共计补偿Coin],表1_8612182224267280[目标区服],表2_9713192325277381[[#This Row],[合区区服]],表1_8612182224267280[目标国家（映射）],表2_9713192325277381[[#This Row],[国家]])</f>
        <v>75000</v>
      </c>
      <c r="L37" s="39">
        <f>表2_9713192325277381[[#This Row],[活跃Coin]]+表2_9713192325277381[[#This Row],[共计补偿Coin]]</f>
        <v>1320702</v>
      </c>
      <c r="M37" s="39">
        <f>SUMIFS(表1_8612182224267280[综合国力],表1_8612182224267280[目标区服],表2_9713192325277381[[#This Row],[合区区服]],表1_8612182224267280[目标国家（映射）],表2_9713192325277381[[#This Row],[国家]])</f>
        <v>26942</v>
      </c>
      <c r="N37" s="39">
        <f t="array" ref="N37">MAX((表1_8612182224267280[目标区服]=表2_9713192325277381[[#This Row],[合区区服]])*(表1_8612182224267280[目标国家（映射）]=表2_9713192325277381[[#This Row],[国家]])*表1_8612182224267280[单将最高战力])</f>
        <v>1127997</v>
      </c>
      <c r="P37" s="51">
        <v>164</v>
      </c>
      <c r="Q37" s="51">
        <v>55</v>
      </c>
      <c r="R37" s="51" t="s">
        <v>154</v>
      </c>
      <c r="S37" s="51">
        <v>54</v>
      </c>
    </row>
    <row r="38" ht="15" spans="1:19">
      <c r="A38" s="296" t="s">
        <v>153</v>
      </c>
      <c r="B38" s="41" t="s">
        <v>25</v>
      </c>
      <c r="C38" s="41">
        <f>COUNTIFS(表1_8612182224267280[目标区服],表2_9713192325277381[[#This Row],[合区区服]],表1_8612182224267280[目标国家（映射）],表2_9713192325277381[[#This Row],[国家]])</f>
        <v>4</v>
      </c>
      <c r="D38" s="41">
        <f>SUMIFS(表1_8612182224267280[活跃高战玩家数],表1_8612182224267280[目标区服],表2_9713192325277381[[#This Row],[合区区服]],表1_8612182224267280[目标国家（映射）],表2_9713192325277381[[#This Row],[国家]])</f>
        <v>7</v>
      </c>
      <c r="E38" s="41">
        <f>SUMIFS(表1_8612182224267280[活跃中坚玩家数],表1_8612182224267280[目标区服],表2_9713192325277381[[#This Row],[合区区服]],表1_8612182224267280[目标国家（映射）],表2_9713192325277381[[#This Row],[国家]])</f>
        <v>72</v>
      </c>
      <c r="F38" s="41">
        <f t="array" ref="F38">MAX((表1_8612182224267280[目标区服]=表2_9713192325277381[[#This Row],[合区区服]])*(表1_8612182224267280[目标国家（映射）]=表2_9713192325277381[[#This Row],[国家]])*表1_8612182224267280[活跃尖端战力])</f>
        <v>3869748</v>
      </c>
      <c r="G38" s="42">
        <f>SUMIFS(表1_8612182224267280[活跃总战力],表1_8612182224267280[目标区服],表2_9713192325277381[[#This Row],[合区区服]],表1_8612182224267280[目标国家（映射）],表2_9713192325277381[[#This Row],[国家]])</f>
        <v>76608821</v>
      </c>
      <c r="H38" s="41">
        <f>SUMIFS(表1_8612182224267280[活跃实际充值],表1_8612182224267280[目标区服],表2_9713192325277381[[#This Row],[合区区服]],表1_8612182224267280[目标国家（映射）],表2_9713192325277381[[#This Row],[国家]])</f>
        <v>192500</v>
      </c>
      <c r="I38" s="41">
        <f>SUMIFS(表1_8612182224267280[活跃虚拟充值],表1_8612182224267280[目标区服],表2_9713192325277381[[#This Row],[合区区服]],表1_8612182224267280[目标国家（映射）],表2_9713192325277381[[#This Row],[国家]])</f>
        <v>0</v>
      </c>
      <c r="J38" s="41">
        <f>SUMIFS(表1_8612182224267280[活跃Coin],表1_8612182224267280[目标区服],表2_9713192325277381[[#This Row],[合区区服]],表1_8612182224267280[目标国家（映射）],表2_9713192325277381[[#This Row],[国家]])</f>
        <v>1715930</v>
      </c>
      <c r="K38" s="41">
        <f>SUMIFS(表1_8612182224267280[共计补偿Coin],表1_8612182224267280[目标区服],表2_9713192325277381[[#This Row],[合区区服]],表1_8612182224267280[目标国家（映射）],表2_9713192325277381[[#This Row],[国家]])</f>
        <v>106500</v>
      </c>
      <c r="L38" s="41">
        <f>表2_9713192325277381[[#This Row],[活跃Coin]]+表2_9713192325277381[[#This Row],[共计补偿Coin]]</f>
        <v>1822430</v>
      </c>
      <c r="M38" s="41">
        <f>SUMIFS(表1_8612182224267280[综合国力],表1_8612182224267280[目标区服],表2_9713192325277381[[#This Row],[合区区服]],表1_8612182224267280[目标国家（映射）],表2_9713192325277381[[#This Row],[国家]])</f>
        <v>31506</v>
      </c>
      <c r="N38" s="41">
        <f t="array" ref="N38">MAX((表1_8612182224267280[目标区服]=表2_9713192325277381[[#This Row],[合区区服]])*(表1_8612182224267280[目标国家（映射）]=表2_9713192325277381[[#This Row],[国家]])*表1_8612182224267280[单将最高战力])</f>
        <v>1034559</v>
      </c>
      <c r="P38" s="51">
        <v>165</v>
      </c>
      <c r="Q38" s="51">
        <v>54</v>
      </c>
      <c r="R38" s="51" t="s">
        <v>155</v>
      </c>
      <c r="S38" s="51">
        <v>53</v>
      </c>
    </row>
    <row r="39" ht="15" spans="1:19">
      <c r="A39" s="296" t="s">
        <v>153</v>
      </c>
      <c r="B39" s="41" t="s">
        <v>26</v>
      </c>
      <c r="C39" s="41">
        <f>COUNTIFS(表1_8612182224267280[目标区服],表2_9713192325277381[[#This Row],[合区区服]],表1_8612182224267280[目标国家（映射）],表2_9713192325277381[[#This Row],[国家]])</f>
        <v>2</v>
      </c>
      <c r="D39" s="41">
        <f>SUMIFS(表1_8612182224267280[活跃高战玩家数],表1_8612182224267280[目标区服],表2_9713192325277381[[#This Row],[合区区服]],表1_8612182224267280[目标国家（映射）],表2_9713192325277381[[#This Row],[国家]])</f>
        <v>9</v>
      </c>
      <c r="E39" s="41">
        <f>SUMIFS(表1_8612182224267280[活跃中坚玩家数],表1_8612182224267280[目标区服],表2_9713192325277381[[#This Row],[合区区服]],表1_8612182224267280[目标国家（映射）],表2_9713192325277381[[#This Row],[国家]])</f>
        <v>48</v>
      </c>
      <c r="F39" s="41">
        <f t="array" ref="F39">MAX((表1_8612182224267280[目标区服]=表2_9713192325277381[[#This Row],[合区区服]])*(表1_8612182224267280[目标国家（映射）]=表2_9713192325277381[[#This Row],[国家]])*表1_8612182224267280[活跃尖端战力])</f>
        <v>3489672</v>
      </c>
      <c r="G39" s="42">
        <f>SUMIFS(表1_8612182224267280[活跃总战力],表1_8612182224267280[目标区服],表2_9713192325277381[[#This Row],[合区区服]],表1_8612182224267280[目标国家（映射）],表2_9713192325277381[[#This Row],[国家]])</f>
        <v>59243562</v>
      </c>
      <c r="H39" s="41">
        <f>SUMIFS(表1_8612182224267280[活跃实际充值],表1_8612182224267280[目标区服],表2_9713192325277381[[#This Row],[合区区服]],表1_8612182224267280[目标国家（映射）],表2_9713192325277381[[#This Row],[国家]])</f>
        <v>167576</v>
      </c>
      <c r="I39" s="41">
        <f>SUMIFS(表1_8612182224267280[活跃虚拟充值],表1_8612182224267280[目标区服],表2_9713192325277381[[#This Row],[合区区服]],表1_8612182224267280[目标国家（映射）],表2_9713192325277381[[#This Row],[国家]])</f>
        <v>0</v>
      </c>
      <c r="J39" s="41">
        <f>SUMIFS(表1_8612182224267280[活跃Coin],表1_8612182224267280[目标区服],表2_9713192325277381[[#This Row],[合区区服]],表1_8612182224267280[目标国家（映射）],表2_9713192325277381[[#This Row],[国家]])</f>
        <v>938663</v>
      </c>
      <c r="K39" s="41">
        <f>SUMIFS(表1_8612182224267280[共计补偿Coin],表1_8612182224267280[目标区服],表2_9713192325277381[[#This Row],[合区区服]],表1_8612182224267280[目标国家（映射）],表2_9713192325277381[[#This Row],[国家]])</f>
        <v>72000</v>
      </c>
      <c r="L39" s="41">
        <f>表2_9713192325277381[[#This Row],[活跃Coin]]+表2_9713192325277381[[#This Row],[共计补偿Coin]]</f>
        <v>1010663</v>
      </c>
      <c r="M39" s="41">
        <f>SUMIFS(表1_8612182224267280[综合国力],表1_8612182224267280[目标区服],表2_9713192325277381[[#This Row],[合区区服]],表1_8612182224267280[目标国家（映射）],表2_9713192325277381[[#This Row],[国家]])</f>
        <v>22304</v>
      </c>
      <c r="N39" s="41">
        <f t="array" ref="N39">MAX((表1_8612182224267280[目标区服]=表2_9713192325277381[[#This Row],[合区区服]])*(表1_8612182224267280[目标国家（映射）]=表2_9713192325277381[[#This Row],[国家]])*表1_8612182224267280[单将最高战力])</f>
        <v>1053820</v>
      </c>
      <c r="P39" s="51">
        <v>166</v>
      </c>
      <c r="Q39" s="51">
        <v>54</v>
      </c>
      <c r="R39" s="51"/>
      <c r="S39" s="51"/>
    </row>
    <row r="40" ht="15" spans="1:17">
      <c r="A40" s="296" t="s">
        <v>153</v>
      </c>
      <c r="B40" s="43" t="s">
        <v>27</v>
      </c>
      <c r="C40" s="43">
        <f>COUNTIFS(表1_8612182224267280[目标区服],表2_9713192325277381[[#This Row],[合区区服]],表1_8612182224267280[目标国家（映射）],表2_9713192325277381[[#This Row],[国家]])</f>
        <v>3</v>
      </c>
      <c r="D40" s="43">
        <f>SUMIFS(表1_8612182224267280[活跃高战玩家数],表1_8612182224267280[目标区服],表2_9713192325277381[[#This Row],[合区区服]],表1_8612182224267280[目标国家（映射）],表2_9713192325277381[[#This Row],[国家]])</f>
        <v>10</v>
      </c>
      <c r="E40" s="43">
        <f>SUMIFS(表1_8612182224267280[活跃中坚玩家数],表1_8612182224267280[目标区服],表2_9713192325277381[[#This Row],[合区区服]],表1_8612182224267280[目标国家（映射）],表2_9713192325277381[[#This Row],[国家]])</f>
        <v>42</v>
      </c>
      <c r="F40" s="43">
        <f t="array" ref="F40">MAX((表1_8612182224267280[目标区服]=表2_9713192325277381[[#This Row],[合区区服]])*(表1_8612182224267280[目标国家（映射）]=表2_9713192325277381[[#This Row],[国家]])*表1_8612182224267280[活跃尖端战力])</f>
        <v>3054982</v>
      </c>
      <c r="G40" s="44">
        <f>SUMIFS(表1_8612182224267280[活跃总战力],表1_8612182224267280[目标区服],表2_9713192325277381[[#This Row],[合区区服]],表1_8612182224267280[目标国家（映射）],表2_9713192325277381[[#This Row],[国家]])</f>
        <v>47498232</v>
      </c>
      <c r="H40" s="43">
        <f>SUMIFS(表1_8612182224267280[活跃实际充值],表1_8612182224267280[目标区服],表2_9713192325277381[[#This Row],[合区区服]],表1_8612182224267280[目标国家（映射）],表2_9713192325277381[[#This Row],[国家]])</f>
        <v>174498</v>
      </c>
      <c r="I40" s="43">
        <f>SUMIFS(表1_8612182224267280[活跃虚拟充值],表1_8612182224267280[目标区服],表2_9713192325277381[[#This Row],[合区区服]],表1_8612182224267280[目标国家（映射）],表2_9713192325277381[[#This Row],[国家]])</f>
        <v>0</v>
      </c>
      <c r="J40" s="43">
        <f>SUMIFS(表1_8612182224267280[活跃Coin],表1_8612182224267280[目标区服],表2_9713192325277381[[#This Row],[合区区服]],表1_8612182224267280[目标国家（映射）],表2_9713192325277381[[#This Row],[国家]])</f>
        <v>1127575</v>
      </c>
      <c r="K40" s="43">
        <f>SUMIFS(表1_8612182224267280[共计补偿Coin],表1_8612182224267280[目标区服],表2_9713192325277381[[#This Row],[合区区服]],表1_8612182224267280[目标国家（映射）],表2_9713192325277381[[#This Row],[国家]])</f>
        <v>52000</v>
      </c>
      <c r="L40" s="43">
        <f>表2_9713192325277381[[#This Row],[活跃Coin]]+表2_9713192325277381[[#This Row],[共计补偿Coin]]</f>
        <v>1179575</v>
      </c>
      <c r="M40" s="43">
        <f>SUMIFS(表1_8612182224267280[综合国力],表1_8612182224267280[目标区服],表2_9713192325277381[[#This Row],[合区区服]],表1_8612182224267280[目标国家（映射）],表2_9713192325277381[[#This Row],[国家]])</f>
        <v>24293</v>
      </c>
      <c r="N40" s="41">
        <f t="array" ref="N40">MAX((表1_8612182224267280[目标区服]=表2_9713192325277381[[#This Row],[合区区服]])*(表1_8612182224267280[目标国家（映射）]=表2_9713192325277381[[#This Row],[国家]])*表1_8612182224267280[单将最高战力])</f>
        <v>1002695</v>
      </c>
      <c r="P40" s="51">
        <v>167</v>
      </c>
      <c r="Q40" s="51">
        <v>53</v>
      </c>
    </row>
    <row r="41" ht="15" spans="1:17">
      <c r="A41" s="18" t="s">
        <v>154</v>
      </c>
      <c r="B41" s="46" t="s">
        <v>25</v>
      </c>
      <c r="C41" s="46">
        <f>COUNTIFS(表1_8612182224267280[目标区服],表2_9713192325277381[[#This Row],[合区区服]],表1_8612182224267280[目标国家（映射）],表2_9713192325277381[[#This Row],[国家]])</f>
        <v>2</v>
      </c>
      <c r="D41" s="46">
        <f>SUMIFS(表1_8612182224267280[活跃高战玩家数],表1_8612182224267280[目标区服],表2_9713192325277381[[#This Row],[合区区服]],表1_8612182224267280[目标国家（映射）],表2_9713192325277381[[#This Row],[国家]])</f>
        <v>4</v>
      </c>
      <c r="E41" s="46">
        <f>SUMIFS(表1_8612182224267280[活跃中坚玩家数],表1_8612182224267280[目标区服],表2_9713192325277381[[#This Row],[合区区服]],表1_8612182224267280[目标国家（映射）],表2_9713192325277381[[#This Row],[国家]])</f>
        <v>40</v>
      </c>
      <c r="F41" s="46">
        <f t="array" ref="F41">MAX((表1_8612182224267280[目标区服]=表2_9713192325277381[[#This Row],[合区区服]])*(表1_8612182224267280[目标国家（映射）]=表2_9713192325277381[[#This Row],[国家]])*表1_8612182224267280[活跃尖端战力])</f>
        <v>4180410</v>
      </c>
      <c r="G41" s="47">
        <f>SUMIFS(表1_8612182224267280[活跃总战力],表1_8612182224267280[目标区服],表2_9713192325277381[[#This Row],[合区区服]],表1_8612182224267280[目标国家（映射）],表2_9713192325277381[[#This Row],[国家]])</f>
        <v>42621843</v>
      </c>
      <c r="H41" s="46">
        <f>SUMIFS(表1_8612182224267280[活跃实际充值],表1_8612182224267280[目标区服],表2_9713192325277381[[#This Row],[合区区服]],表1_8612182224267280[目标国家（映射）],表2_9713192325277381[[#This Row],[国家]])</f>
        <v>165312</v>
      </c>
      <c r="I41" s="46">
        <f>SUMIFS(表1_8612182224267280[活跃虚拟充值],表1_8612182224267280[目标区服],表2_9713192325277381[[#This Row],[合区区服]],表1_8612182224267280[目标国家（映射）],表2_9713192325277381[[#This Row],[国家]])</f>
        <v>0</v>
      </c>
      <c r="J41" s="46">
        <f>SUMIFS(表1_8612182224267280[活跃Coin],表1_8612182224267280[目标区服],表2_9713192325277381[[#This Row],[合区区服]],表1_8612182224267280[目标国家（映射）],表2_9713192325277381[[#This Row],[国家]])</f>
        <v>453183</v>
      </c>
      <c r="K41" s="46">
        <f>SUMIFS(表1_8612182224267280[共计补偿Coin],表1_8612182224267280[目标区服],表2_9713192325277381[[#This Row],[合区区服]],表1_8612182224267280[目标国家（映射）],表2_9713192325277381[[#This Row],[国家]])</f>
        <v>44000</v>
      </c>
      <c r="L41" s="46">
        <f>表2_9713192325277381[[#This Row],[活跃Coin]]+表2_9713192325277381[[#This Row],[共计补偿Coin]]</f>
        <v>497183</v>
      </c>
      <c r="M41" s="46">
        <f>SUMIFS(表1_8612182224267280[综合国力],表1_8612182224267280[目标区服],表2_9713192325277381[[#This Row],[合区区服]],表1_8612182224267280[目标国家（映射）],表2_9713192325277381[[#This Row],[国家]])</f>
        <v>18526</v>
      </c>
      <c r="N41" s="46">
        <f t="array" ref="N41">MAX((表1_8612182224267280[目标区服]=表2_9713192325277381[[#This Row],[合区区服]])*(表1_8612182224267280[目标国家（映射）]=表2_9713192325277381[[#This Row],[国家]])*表1_8612182224267280[单将最高战力])</f>
        <v>1171334</v>
      </c>
      <c r="P41" s="51">
        <v>168</v>
      </c>
      <c r="Q41" s="51">
        <v>52</v>
      </c>
    </row>
    <row r="42" ht="15" spans="1:17">
      <c r="A42" s="18" t="s">
        <v>154</v>
      </c>
      <c r="B42" s="46" t="s">
        <v>26</v>
      </c>
      <c r="C42" s="46">
        <f>COUNTIFS(表1_8612182224267280[目标区服],表2_9713192325277381[[#This Row],[合区区服]],表1_8612182224267280[目标国家（映射）],表2_9713192325277381[[#This Row],[国家]])</f>
        <v>2</v>
      </c>
      <c r="D42" s="46">
        <f>SUMIFS(表1_8612182224267280[活跃高战玩家数],表1_8612182224267280[目标区服],表2_9713192325277381[[#This Row],[合区区服]],表1_8612182224267280[目标国家（映射）],表2_9713192325277381[[#This Row],[国家]])</f>
        <v>5</v>
      </c>
      <c r="E42" s="46">
        <f>SUMIFS(表1_8612182224267280[活跃中坚玩家数],表1_8612182224267280[目标区服],表2_9713192325277381[[#This Row],[合区区服]],表1_8612182224267280[目标国家（映射）],表2_9713192325277381[[#This Row],[国家]])</f>
        <v>37</v>
      </c>
      <c r="F42" s="46">
        <f t="array" ref="F42">MAX((表1_8612182224267280[目标区服]=表2_9713192325277381[[#This Row],[合区区服]])*(表1_8612182224267280[目标国家（映射）]=表2_9713192325277381[[#This Row],[国家]])*表1_8612182224267280[活跃尖端战力])</f>
        <v>3444529</v>
      </c>
      <c r="G42" s="47">
        <f>SUMIFS(表1_8612182224267280[活跃总战力],表1_8612182224267280[目标区服],表2_9713192325277381[[#This Row],[合区区服]],表1_8612182224267280[目标国家（映射）],表2_9713192325277381[[#This Row],[国家]])</f>
        <v>37605725</v>
      </c>
      <c r="H42" s="46">
        <f>SUMIFS(表1_8612182224267280[活跃实际充值],表1_8612182224267280[目标区服],表2_9713192325277381[[#This Row],[合区区服]],表1_8612182224267280[目标国家（映射）],表2_9713192325277381[[#This Row],[国家]])</f>
        <v>192636</v>
      </c>
      <c r="I42" s="46">
        <f>SUMIFS(表1_8612182224267280[活跃虚拟充值],表1_8612182224267280[目标区服],表2_9713192325277381[[#This Row],[合区区服]],表1_8612182224267280[目标国家（映射）],表2_9713192325277381[[#This Row],[国家]])</f>
        <v>0</v>
      </c>
      <c r="J42" s="46">
        <f>SUMIFS(表1_8612182224267280[活跃Coin],表1_8612182224267280[目标区服],表2_9713192325277381[[#This Row],[合区区服]],表1_8612182224267280[目标国家（映射）],表2_9713192325277381[[#This Row],[国家]])</f>
        <v>599472</v>
      </c>
      <c r="K42" s="46">
        <f>SUMIFS(表1_8612182224267280[共计补偿Coin],表1_8612182224267280[目标区服],表2_9713192325277381[[#This Row],[合区区服]],表1_8612182224267280[目标国家（映射）],表2_9713192325277381[[#This Row],[国家]])</f>
        <v>42000</v>
      </c>
      <c r="L42" s="46">
        <f>表2_9713192325277381[[#This Row],[活跃Coin]]+表2_9713192325277381[[#This Row],[共计补偿Coin]]</f>
        <v>641472</v>
      </c>
      <c r="M42" s="46">
        <f>SUMIFS(表1_8612182224267280[综合国力],表1_8612182224267280[目标区服],表2_9713192325277381[[#This Row],[合区区服]],表1_8612182224267280[目标国家（映射）],表2_9713192325277381[[#This Row],[国家]])</f>
        <v>17867</v>
      </c>
      <c r="N42" s="46">
        <f t="array" ref="N42">MAX((表1_8612182224267280[目标区服]=表2_9713192325277381[[#This Row],[合区区服]])*(表1_8612182224267280[目标国家（映射）]=表2_9713192325277381[[#This Row],[国家]])*表1_8612182224267280[单将最高战力])</f>
        <v>969405</v>
      </c>
      <c r="P42" s="51">
        <v>169</v>
      </c>
      <c r="Q42" s="51">
        <v>52</v>
      </c>
    </row>
    <row r="43" ht="15" spans="1:17">
      <c r="A43" s="18" t="s">
        <v>154</v>
      </c>
      <c r="B43" s="48" t="s">
        <v>27</v>
      </c>
      <c r="C43" s="48">
        <f>COUNTIFS(表1_8612182224267280[目标区服],表2_9713192325277381[[#This Row],[合区区服]],表1_8612182224267280[目标国家（映射）],表2_9713192325277381[[#This Row],[国家]])</f>
        <v>2</v>
      </c>
      <c r="D43" s="48">
        <f>SUMIFS(表1_8612182224267280[活跃高战玩家数],表1_8612182224267280[目标区服],表2_9713192325277381[[#This Row],[合区区服]],表1_8612182224267280[目标国家（映射）],表2_9713192325277381[[#This Row],[国家]])</f>
        <v>10</v>
      </c>
      <c r="E43" s="48">
        <f>SUMIFS(表1_8612182224267280[活跃中坚玩家数],表1_8612182224267280[目标区服],表2_9713192325277381[[#This Row],[合区区服]],表1_8612182224267280[目标国家（映射）],表2_9713192325277381[[#This Row],[国家]])</f>
        <v>37</v>
      </c>
      <c r="F43" s="48">
        <f t="array" ref="F43">MAX((表1_8612182224267280[目标区服]=表2_9713192325277381[[#This Row],[合区区服]])*(表1_8612182224267280[目标国家（映射）]=表2_9713192325277381[[#This Row],[国家]])*表1_8612182224267280[活跃尖端战力])</f>
        <v>3084672</v>
      </c>
      <c r="G43" s="458">
        <f>SUMIFS(表1_8612182224267280[活跃总战力],表1_8612182224267280[目标区服],表2_9713192325277381[[#This Row],[合区区服]],表1_8612182224267280[目标国家（映射）],表2_9713192325277381[[#This Row],[国家]])</f>
        <v>50124566</v>
      </c>
      <c r="H43" s="48">
        <f>SUMIFS(表1_8612182224267280[活跃实际充值],表1_8612182224267280[目标区服],表2_9713192325277381[[#This Row],[合区区服]],表1_8612182224267280[目标国家（映射）],表2_9713192325277381[[#This Row],[国家]])</f>
        <v>149010</v>
      </c>
      <c r="I43" s="48">
        <f>SUMIFS(表1_8612182224267280[活跃虚拟充值],表1_8612182224267280[目标区服],表2_9713192325277381[[#This Row],[合区区服]],表1_8612182224267280[目标国家（映射）],表2_9713192325277381[[#This Row],[国家]])</f>
        <v>0</v>
      </c>
      <c r="J43" s="48">
        <f>SUMIFS(表1_8612182224267280[活跃Coin],表1_8612182224267280[目标区服],表2_9713192325277381[[#This Row],[合区区服]],表1_8612182224267280[目标国家（映射）],表2_9713192325277381[[#This Row],[国家]])</f>
        <v>1096629</v>
      </c>
      <c r="K43" s="48">
        <f>SUMIFS(表1_8612182224267280[共计补偿Coin],表1_8612182224267280[目标区服],表2_9713192325277381[[#This Row],[合区区服]],表1_8612182224267280[目标国家（映射）],表2_9713192325277381[[#This Row],[国家]])</f>
        <v>47000</v>
      </c>
      <c r="L43" s="48">
        <f>表2_9713192325277381[[#This Row],[活跃Coin]]+表2_9713192325277381[[#This Row],[共计补偿Coin]]</f>
        <v>1143629</v>
      </c>
      <c r="M43" s="48">
        <f>SUMIFS(表1_8612182224267280[综合国力],表1_8612182224267280[目标区服],表2_9713192325277381[[#This Row],[合区区服]],表1_8612182224267280[目标国家（映射）],表2_9713192325277381[[#This Row],[国家]])</f>
        <v>22112</v>
      </c>
      <c r="N43" s="46">
        <f t="array" ref="N43">MAX((表1_8612182224267280[目标区服]=表2_9713192325277381[[#This Row],[合区区服]])*(表1_8612182224267280[目标国家（映射）]=表2_9713192325277381[[#This Row],[国家]])*表1_8612182224267280[单将最高战力])</f>
        <v>1002735</v>
      </c>
      <c r="P43" s="51">
        <v>170</v>
      </c>
      <c r="Q43" s="51">
        <v>51</v>
      </c>
    </row>
    <row r="44" ht="15" spans="1:17">
      <c r="A44" s="293" t="s">
        <v>155</v>
      </c>
      <c r="B44" s="224" t="s">
        <v>25</v>
      </c>
      <c r="C44" s="224">
        <f>COUNTIFS(表1_8612182224267280[目标区服],表2_9713192325277381[[#This Row],[合区区服]],表1_8612182224267280[目标国家（映射）],表2_9713192325277381[[#This Row],[国家]])</f>
        <v>2</v>
      </c>
      <c r="D44" s="224">
        <f>SUMIFS(表1_8612182224267280[活跃高战玩家数],表1_8612182224267280[目标区服],表2_9713192325277381[[#This Row],[合区区服]],表1_8612182224267280[目标国家（映射）],表2_9713192325277381[[#This Row],[国家]])</f>
        <v>4</v>
      </c>
      <c r="E44" s="224">
        <f>SUMIFS(表1_8612182224267280[活跃中坚玩家数],表1_8612182224267280[目标区服],表2_9713192325277381[[#This Row],[合区区服]],表1_8612182224267280[目标国家（映射）],表2_9713192325277381[[#This Row],[国家]])</f>
        <v>38</v>
      </c>
      <c r="F44" s="224">
        <f t="array" ref="F44">MAX((表1_8612182224267280[目标区服]=表2_9713192325277381[[#This Row],[合区区服]])*(表1_8612182224267280[目标国家（映射）]=表2_9713192325277381[[#This Row],[国家]])*表1_8612182224267280[活跃尖端战力])</f>
        <v>3480525</v>
      </c>
      <c r="G44" s="225">
        <f>SUMIFS(表1_8612182224267280[活跃总战力],表1_8612182224267280[目标区服],表2_9713192325277381[[#This Row],[合区区服]],表1_8612182224267280[目标国家（映射）],表2_9713192325277381[[#This Row],[国家]])</f>
        <v>38061733</v>
      </c>
      <c r="H44" s="224">
        <f>SUMIFS(表1_8612182224267280[活跃实际充值],表1_8612182224267280[目标区服],表2_9713192325277381[[#This Row],[合区区服]],表1_8612182224267280[目标国家（映射）],表2_9713192325277381[[#This Row],[国家]])</f>
        <v>157500</v>
      </c>
      <c r="I44" s="224">
        <f>SUMIFS(表1_8612182224267280[活跃虚拟充值],表1_8612182224267280[目标区服],表2_9713192325277381[[#This Row],[合区区服]],表1_8612182224267280[目标国家（映射）],表2_9713192325277381[[#This Row],[国家]])</f>
        <v>0</v>
      </c>
      <c r="J44" s="224">
        <f>SUMIFS(表1_8612182224267280[活跃Coin],表1_8612182224267280[目标区服],表2_9713192325277381[[#This Row],[合区区服]],表1_8612182224267280[目标国家（映射）],表2_9713192325277381[[#This Row],[国家]])</f>
        <v>1504048</v>
      </c>
      <c r="K44" s="224">
        <f>SUMIFS(表1_8612182224267280[共计补偿Coin],表1_8612182224267280[目标区服],表2_9713192325277381[[#This Row],[合区区服]],表1_8612182224267280[目标国家（映射）],表2_9713192325277381[[#This Row],[国家]])</f>
        <v>42000</v>
      </c>
      <c r="L44" s="224">
        <f>表2_9713192325277381[[#This Row],[活跃Coin]]+表2_9713192325277381[[#This Row],[共计补偿Coin]]</f>
        <v>1546048</v>
      </c>
      <c r="M44" s="224">
        <f>SUMIFS(表1_8612182224267280[综合国力],表1_8612182224267280[目标区服],表2_9713192325277381[[#This Row],[合区区服]],表1_8612182224267280[目标国家（映射）],表2_9713192325277381[[#This Row],[国家]])</f>
        <v>16173</v>
      </c>
      <c r="N44" s="224">
        <f t="array" ref="N44">MAX((表1_8612182224267280[目标区服]=表2_9713192325277381[[#This Row],[合区区服]])*(表1_8612182224267280[目标国家（映射）]=表2_9713192325277381[[#This Row],[国家]])*表1_8612182224267280[单将最高战力])</f>
        <v>1131283</v>
      </c>
      <c r="P44" s="51">
        <v>171</v>
      </c>
      <c r="Q44" s="51">
        <v>51</v>
      </c>
    </row>
    <row r="45" ht="15" spans="1:17">
      <c r="A45" s="293" t="s">
        <v>155</v>
      </c>
      <c r="B45" s="224" t="s">
        <v>26</v>
      </c>
      <c r="C45" s="224">
        <f>COUNTIFS(表1_8612182224267280[目标区服],表2_9713192325277381[[#This Row],[合区区服]],表1_8612182224267280[目标国家（映射）],表2_9713192325277381[[#This Row],[国家]])</f>
        <v>2</v>
      </c>
      <c r="D45" s="224">
        <f>SUMIFS(表1_8612182224267280[活跃高战玩家数],表1_8612182224267280[目标区服],表2_9713192325277381[[#This Row],[合区区服]],表1_8612182224267280[目标国家（映射）],表2_9713192325277381[[#This Row],[国家]])</f>
        <v>6</v>
      </c>
      <c r="E45" s="224">
        <f>SUMIFS(表1_8612182224267280[活跃中坚玩家数],表1_8612182224267280[目标区服],表2_9713192325277381[[#This Row],[合区区服]],表1_8612182224267280[目标国家（映射）],表2_9713192325277381[[#This Row],[国家]])</f>
        <v>42</v>
      </c>
      <c r="F45" s="224">
        <f t="array" ref="F45">MAX((表1_8612182224267280[目标区服]=表2_9713192325277381[[#This Row],[合区区服]])*(表1_8612182224267280[目标国家（映射）]=表2_9713192325277381[[#This Row],[国家]])*表1_8612182224267280[活跃尖端战力])</f>
        <v>3376771</v>
      </c>
      <c r="G45" s="225">
        <f>SUMIFS(表1_8612182224267280[活跃总战力],表1_8612182224267280[目标区服],表2_9713192325277381[[#This Row],[合区区服]],表1_8612182224267280[目标国家（映射）],表2_9713192325277381[[#This Row],[国家]])</f>
        <v>51313108</v>
      </c>
      <c r="H45" s="224">
        <f>SUMIFS(表1_8612182224267280[活跃实际充值],表1_8612182224267280[目标区服],表2_9713192325277381[[#This Row],[合区区服]],表1_8612182224267280[目标国家（映射）],表2_9713192325277381[[#This Row],[国家]])</f>
        <v>164854</v>
      </c>
      <c r="I45" s="224">
        <f>SUMIFS(表1_8612182224267280[活跃虚拟充值],表1_8612182224267280[目标区服],表2_9713192325277381[[#This Row],[合区区服]],表1_8612182224267280[目标国家（映射）],表2_9713192325277381[[#This Row],[国家]])</f>
        <v>0</v>
      </c>
      <c r="J45" s="224">
        <f>SUMIFS(表1_8612182224267280[活跃Coin],表1_8612182224267280[目标区服],表2_9713192325277381[[#This Row],[合区区服]],表1_8612182224267280[目标国家（映射）],表2_9713192325277381[[#This Row],[国家]])</f>
        <v>954648</v>
      </c>
      <c r="K45" s="224">
        <f>SUMIFS(表1_8612182224267280[共计补偿Coin],表1_8612182224267280[目标区服],表2_9713192325277381[[#This Row],[合区区服]],表1_8612182224267280[目标国家（映射）],表2_9713192325277381[[#This Row],[国家]])</f>
        <v>48000</v>
      </c>
      <c r="L45" s="224">
        <f>表2_9713192325277381[[#This Row],[活跃Coin]]+表2_9713192325277381[[#This Row],[共计补偿Coin]]</f>
        <v>1002648</v>
      </c>
      <c r="M45" s="224">
        <f>SUMIFS(表1_8612182224267280[综合国力],表1_8612182224267280[目标区服],表2_9713192325277381[[#This Row],[合区区服]],表1_8612182224267280[目标国家（映射）],表2_9713192325277381[[#This Row],[国家]])</f>
        <v>21988</v>
      </c>
      <c r="N45" s="224">
        <f t="array" ref="N45">MAX((表1_8612182224267280[目标区服]=表2_9713192325277381[[#This Row],[合区区服]])*(表1_8612182224267280[目标国家（映射）]=表2_9713192325277381[[#This Row],[国家]])*表1_8612182224267280[单将最高战力])</f>
        <v>1151271</v>
      </c>
      <c r="P45" s="51"/>
      <c r="Q45" s="51"/>
    </row>
    <row r="46" ht="15" spans="1:14">
      <c r="A46" s="293" t="s">
        <v>155</v>
      </c>
      <c r="B46" s="226" t="s">
        <v>27</v>
      </c>
      <c r="C46" s="226">
        <f>COUNTIFS(表1_8612182224267280[目标区服],表2_9713192325277381[[#This Row],[合区区服]],表1_8612182224267280[目标国家（映射）],表2_9713192325277381[[#This Row],[国家]])</f>
        <v>2</v>
      </c>
      <c r="D46" s="226">
        <f>SUMIFS(表1_8612182224267280[活跃高战玩家数],表1_8612182224267280[目标区服],表2_9713192325277381[[#This Row],[合区区服]],表1_8612182224267280[目标国家（映射）],表2_9713192325277381[[#This Row],[国家]])</f>
        <v>10</v>
      </c>
      <c r="E46" s="226">
        <f>SUMIFS(表1_8612182224267280[活跃中坚玩家数],表1_8612182224267280[目标区服],表2_9713192325277381[[#This Row],[合区区服]],表1_8612182224267280[目标国家（映射）],表2_9713192325277381[[#This Row],[国家]])</f>
        <v>29</v>
      </c>
      <c r="F46" s="226">
        <f t="array" ref="F46">MAX((表1_8612182224267280[目标区服]=表2_9713192325277381[[#This Row],[合区区服]])*(表1_8612182224267280[目标国家（映射）]=表2_9713192325277381[[#This Row],[国家]])*表1_8612182224267280[活跃尖端战力])</f>
        <v>3861113</v>
      </c>
      <c r="G46" s="227">
        <f>SUMIFS(表1_8612182224267280[活跃总战力],表1_8612182224267280[目标区服],表2_9713192325277381[[#This Row],[合区区服]],表1_8612182224267280[目标国家（映射）],表2_9713192325277381[[#This Row],[国家]])</f>
        <v>41568064</v>
      </c>
      <c r="H46" s="226">
        <f>SUMIFS(表1_8612182224267280[活跃实际充值],表1_8612182224267280[目标区服],表2_9713192325277381[[#This Row],[合区区服]],表1_8612182224267280[目标国家（映射）],表2_9713192325277381[[#This Row],[国家]])</f>
        <v>151716</v>
      </c>
      <c r="I46" s="226">
        <f>SUMIFS(表1_8612182224267280[活跃虚拟充值],表1_8612182224267280[目标区服],表2_9713192325277381[[#This Row],[合区区服]],表1_8612182224267280[目标国家（映射）],表2_9713192325277381[[#This Row],[国家]])</f>
        <v>0</v>
      </c>
      <c r="J46" s="226">
        <f>SUMIFS(表1_8612182224267280[活跃Coin],表1_8612182224267280[目标区服],表2_9713192325277381[[#This Row],[合区区服]],表1_8612182224267280[目标国家（映射）],表2_9713192325277381[[#This Row],[国家]])</f>
        <v>1392209</v>
      </c>
      <c r="K46" s="226">
        <f>SUMIFS(表1_8612182224267280[共计补偿Coin],表1_8612182224267280[目标区服],表2_9713192325277381[[#This Row],[合区区服]],表1_8612182224267280[目标国家（映射）],表2_9713192325277381[[#This Row],[国家]])</f>
        <v>39000</v>
      </c>
      <c r="L46" s="226">
        <f>表2_9713192325277381[[#This Row],[活跃Coin]]+表2_9713192325277381[[#This Row],[共计补偿Coin]]</f>
        <v>1431209</v>
      </c>
      <c r="M46" s="226">
        <f>SUMIFS(表1_8612182224267280[综合国力],表1_8612182224267280[目标区服],表2_9713192325277381[[#This Row],[合区区服]],表1_8612182224267280[目标国家（映射）],表2_9713192325277381[[#This Row],[国家]])</f>
        <v>21418</v>
      </c>
      <c r="N46" s="224">
        <f t="array" ref="N46">MAX((表1_8612182224267280[目标区服]=表2_9713192325277381[[#This Row],[合区区服]])*(表1_8612182224267280[目标国家（映射）]=表2_9713192325277381[[#This Row],[国家]])*表1_8612182224267280[单将最高战力])</f>
        <v>1306638</v>
      </c>
    </row>
    <row r="47" ht="15" spans="1:14">
      <c r="A47" s="537" t="s">
        <v>156</v>
      </c>
      <c r="B47" s="39" t="s">
        <v>25</v>
      </c>
      <c r="C47" s="39">
        <f>COUNTIFS(表1_8612182224267280[目标区服],表2_9713192325277381[[#This Row],[合区区服]],表1_8612182224267280[目标国家（映射）],表2_9713192325277381[[#This Row],[国家]])</f>
        <v>0</v>
      </c>
      <c r="D47" s="39">
        <f>SUMIFS(表1_8612182224267280[活跃高战玩家数],表1_8612182224267280[目标区服],表2_9713192325277381[[#This Row],[合区区服]],表1_8612182224267280[目标国家（映射）],表2_9713192325277381[[#This Row],[国家]])</f>
        <v>0</v>
      </c>
      <c r="E47" s="39">
        <f>SUMIFS(表1_8612182224267280[活跃中坚玩家数],表1_8612182224267280[目标区服],表2_9713192325277381[[#This Row],[合区区服]],表1_8612182224267280[目标国家（映射）],表2_9713192325277381[[#This Row],[国家]])</f>
        <v>0</v>
      </c>
      <c r="F47" s="39">
        <f t="array" ref="F47">MAX((表1_8612182224267280[目标区服]=表2_9713192325277381[[#This Row],[合区区服]])*(表1_8612182224267280[目标国家（映射）]=表2_9713192325277381[[#This Row],[国家]])*表1_8612182224267280[活跃尖端战力])</f>
        <v>0</v>
      </c>
      <c r="G47" s="40">
        <f>SUMIFS(表1_8612182224267280[活跃总战力],表1_8612182224267280[目标区服],表2_9713192325277381[[#This Row],[合区区服]],表1_8612182224267280[目标国家（映射）],表2_9713192325277381[[#This Row],[国家]])</f>
        <v>0</v>
      </c>
      <c r="H47" s="39">
        <f>SUMIFS(表1_8612182224267280[活跃实际充值],表1_8612182224267280[目标区服],表2_9713192325277381[[#This Row],[合区区服]],表1_8612182224267280[目标国家（映射）],表2_9713192325277381[[#This Row],[国家]])</f>
        <v>0</v>
      </c>
      <c r="I47" s="39">
        <f>SUMIFS(表1_8612182224267280[活跃虚拟充值],表1_8612182224267280[目标区服],表2_9713192325277381[[#This Row],[合区区服]],表1_8612182224267280[目标国家（映射）],表2_9713192325277381[[#This Row],[国家]])</f>
        <v>0</v>
      </c>
      <c r="J47" s="39">
        <f>SUMIFS(表1_8612182224267280[活跃Coin],表1_8612182224267280[目标区服],表2_9713192325277381[[#This Row],[合区区服]],表1_8612182224267280[目标国家（映射）],表2_9713192325277381[[#This Row],[国家]])</f>
        <v>0</v>
      </c>
      <c r="K47" s="39">
        <f>SUMIFS(表1_8612182224267280[共计补偿Coin],表1_8612182224267280[目标区服],表2_9713192325277381[[#This Row],[合区区服]],表1_8612182224267280[目标国家（映射）],表2_9713192325277381[[#This Row],[国家]])</f>
        <v>0</v>
      </c>
      <c r="L47" s="39">
        <f>表2_9713192325277381[[#This Row],[活跃Coin]]+表2_9713192325277381[[#This Row],[共计补偿Coin]]</f>
        <v>0</v>
      </c>
      <c r="M47" s="39">
        <f>SUMIFS(表1_8612182224267280[综合国力],表1_8612182224267280[目标区服],表2_9713192325277381[[#This Row],[合区区服]],表1_8612182224267280[目标国家（映射）],表2_9713192325277381[[#This Row],[国家]])</f>
        <v>0</v>
      </c>
      <c r="N47" s="512">
        <f t="array" ref="N47">MAX((表1_8612182224267280[目标区服]=表2_9713192325277381[[#This Row],[合区区服]])*(表1_8612182224267280[目标国家（映射）]=表2_9713192325277381[[#This Row],[国家]])*表1_8612182224267280[单将最高战力])</f>
        <v>0</v>
      </c>
    </row>
    <row r="48" ht="15" spans="1:14">
      <c r="A48" s="537" t="s">
        <v>156</v>
      </c>
      <c r="B48" s="39" t="s">
        <v>26</v>
      </c>
      <c r="C48" s="39">
        <f>COUNTIFS(表1_8612182224267280[目标区服],表2_9713192325277381[[#This Row],[合区区服]],表1_8612182224267280[目标国家（映射）],表2_9713192325277381[[#This Row],[国家]])</f>
        <v>0</v>
      </c>
      <c r="D48" s="39">
        <f>SUMIFS(表1_8612182224267280[活跃高战玩家数],表1_8612182224267280[目标区服],表2_9713192325277381[[#This Row],[合区区服]],表1_8612182224267280[目标国家（映射）],表2_9713192325277381[[#This Row],[国家]])</f>
        <v>0</v>
      </c>
      <c r="E48" s="39">
        <f>SUMIFS(表1_8612182224267280[活跃中坚玩家数],表1_8612182224267280[目标区服],表2_9713192325277381[[#This Row],[合区区服]],表1_8612182224267280[目标国家（映射）],表2_9713192325277381[[#This Row],[国家]])</f>
        <v>0</v>
      </c>
      <c r="F48" s="39">
        <f t="array" ref="F48">MAX((表1_8612182224267280[目标区服]=表2_9713192325277381[[#This Row],[合区区服]])*(表1_8612182224267280[目标国家（映射）]=表2_9713192325277381[[#This Row],[国家]])*表1_8612182224267280[活跃尖端战力])</f>
        <v>0</v>
      </c>
      <c r="G48" s="40">
        <f>SUMIFS(表1_8612182224267280[活跃总战力],表1_8612182224267280[目标区服],表2_9713192325277381[[#This Row],[合区区服]],表1_8612182224267280[目标国家（映射）],表2_9713192325277381[[#This Row],[国家]])</f>
        <v>0</v>
      </c>
      <c r="H48" s="39">
        <f>SUMIFS(表1_8612182224267280[活跃实际充值],表1_8612182224267280[目标区服],表2_9713192325277381[[#This Row],[合区区服]],表1_8612182224267280[目标国家（映射）],表2_9713192325277381[[#This Row],[国家]])</f>
        <v>0</v>
      </c>
      <c r="I48" s="39">
        <f>SUMIFS(表1_8612182224267280[活跃虚拟充值],表1_8612182224267280[目标区服],表2_9713192325277381[[#This Row],[合区区服]],表1_8612182224267280[目标国家（映射）],表2_9713192325277381[[#This Row],[国家]])</f>
        <v>0</v>
      </c>
      <c r="J48" s="39">
        <f>SUMIFS(表1_8612182224267280[活跃Coin],表1_8612182224267280[目标区服],表2_9713192325277381[[#This Row],[合区区服]],表1_8612182224267280[目标国家（映射）],表2_9713192325277381[[#This Row],[国家]])</f>
        <v>0</v>
      </c>
      <c r="K48" s="39">
        <f>SUMIFS(表1_8612182224267280[共计补偿Coin],表1_8612182224267280[目标区服],表2_9713192325277381[[#This Row],[合区区服]],表1_8612182224267280[目标国家（映射）],表2_9713192325277381[[#This Row],[国家]])</f>
        <v>0</v>
      </c>
      <c r="L48" s="39">
        <f>表2_9713192325277381[[#This Row],[活跃Coin]]+表2_9713192325277381[[#This Row],[共计补偿Coin]]</f>
        <v>0</v>
      </c>
      <c r="M48" s="39">
        <f>SUMIFS(表1_8612182224267280[综合国力],表1_8612182224267280[目标区服],表2_9713192325277381[[#This Row],[合区区服]],表1_8612182224267280[目标国家（映射）],表2_9713192325277381[[#This Row],[国家]])</f>
        <v>0</v>
      </c>
      <c r="N48" s="512">
        <f t="array" ref="N48">MAX((表1_8612182224267280[目标区服]=表2_9713192325277381[[#This Row],[合区区服]])*(表1_8612182224267280[目标国家（映射）]=表2_9713192325277381[[#This Row],[国家]])*表1_8612182224267280[单将最高战力])</f>
        <v>0</v>
      </c>
    </row>
    <row r="49" ht="15" spans="1:14">
      <c r="A49" s="537" t="s">
        <v>156</v>
      </c>
      <c r="B49" s="510" t="s">
        <v>27</v>
      </c>
      <c r="C49" s="510">
        <f>COUNTIFS(表1_8612182224267280[目标区服],表2_9713192325277381[[#This Row],[合区区服]],表1_8612182224267280[目标国家（映射）],表2_9713192325277381[[#This Row],[国家]])</f>
        <v>0</v>
      </c>
      <c r="D49" s="510">
        <f>SUMIFS(表1_8612182224267280[活跃高战玩家数],表1_8612182224267280[目标区服],表2_9713192325277381[[#This Row],[合区区服]],表1_8612182224267280[目标国家（映射）],表2_9713192325277381[[#This Row],[国家]])</f>
        <v>0</v>
      </c>
      <c r="E49" s="510">
        <f>SUMIFS(表1_8612182224267280[活跃中坚玩家数],表1_8612182224267280[目标区服],表2_9713192325277381[[#This Row],[合区区服]],表1_8612182224267280[目标国家（映射）],表2_9713192325277381[[#This Row],[国家]])</f>
        <v>0</v>
      </c>
      <c r="F49" s="510">
        <f t="array" ref="F49">MAX((表1_8612182224267280[目标区服]=表2_9713192325277381[[#This Row],[合区区服]])*(表1_8612182224267280[目标国家（映射）]=表2_9713192325277381[[#This Row],[国家]])*表1_8612182224267280[活跃尖端战力])</f>
        <v>0</v>
      </c>
      <c r="G49" s="511">
        <f>SUMIFS(表1_8612182224267280[活跃总战力],表1_8612182224267280[目标区服],表2_9713192325277381[[#This Row],[合区区服]],表1_8612182224267280[目标国家（映射）],表2_9713192325277381[[#This Row],[国家]])</f>
        <v>0</v>
      </c>
      <c r="H49" s="510">
        <f>SUMIFS(表1_8612182224267280[活跃实际充值],表1_8612182224267280[目标区服],表2_9713192325277381[[#This Row],[合区区服]],表1_8612182224267280[目标国家（映射）],表2_9713192325277381[[#This Row],[国家]])</f>
        <v>0</v>
      </c>
      <c r="I49" s="510">
        <f>SUMIFS(表1_8612182224267280[活跃虚拟充值],表1_8612182224267280[目标区服],表2_9713192325277381[[#This Row],[合区区服]],表1_8612182224267280[目标国家（映射）],表2_9713192325277381[[#This Row],[国家]])</f>
        <v>0</v>
      </c>
      <c r="J49" s="510">
        <f>SUMIFS(表1_8612182224267280[活跃Coin],表1_8612182224267280[目标区服],表2_9713192325277381[[#This Row],[合区区服]],表1_8612182224267280[目标国家（映射）],表2_9713192325277381[[#This Row],[国家]])</f>
        <v>0</v>
      </c>
      <c r="K49" s="510">
        <f>SUMIFS(表1_8612182224267280[共计补偿Coin],表1_8612182224267280[目标区服],表2_9713192325277381[[#This Row],[合区区服]],表1_8612182224267280[目标国家（映射）],表2_9713192325277381[[#This Row],[国家]])</f>
        <v>0</v>
      </c>
      <c r="L49" s="510">
        <f>表2_9713192325277381[[#This Row],[活跃Coin]]+表2_9713192325277381[[#This Row],[共计补偿Coin]]</f>
        <v>0</v>
      </c>
      <c r="M49" s="510">
        <f>SUMIFS(表1_8612182224267280[综合国力],表1_8612182224267280[目标区服],表2_9713192325277381[[#This Row],[合区区服]],表1_8612182224267280[目标国家（映射）],表2_9713192325277381[[#This Row],[国家]])</f>
        <v>0</v>
      </c>
      <c r="N49" s="513">
        <f t="array" ref="N49">MAX((表1_8612182224267280[目标区服]=表2_9713192325277381[[#This Row],[合区区服]])*(表1_8612182224267280[目标国家（映射）]=表2_9713192325277381[[#This Row],[国家]])*表1_8612182224267280[单将最高战力])</f>
        <v>0</v>
      </c>
    </row>
    <row r="55" ht="27" spans="2:14">
      <c r="B55" s="49"/>
      <c r="C55" s="50" t="s">
        <v>9</v>
      </c>
      <c r="D55" s="50" t="s">
        <v>10</v>
      </c>
      <c r="E55" s="50" t="s">
        <v>11</v>
      </c>
      <c r="F55" s="50" t="s">
        <v>12</v>
      </c>
      <c r="G55" s="50" t="s">
        <v>13</v>
      </c>
      <c r="H55" s="50" t="s">
        <v>14</v>
      </c>
      <c r="I55" s="50" t="s">
        <v>15</v>
      </c>
      <c r="J55" s="50" t="s">
        <v>18</v>
      </c>
      <c r="K55" s="50" t="s">
        <v>19</v>
      </c>
      <c r="L55" s="50" t="s">
        <v>20</v>
      </c>
      <c r="M55" s="50" t="s">
        <v>21</v>
      </c>
      <c r="N55" s="50" t="s">
        <v>82</v>
      </c>
    </row>
    <row r="56" spans="1:14">
      <c r="A56">
        <v>162</v>
      </c>
      <c r="B56" s="50" t="s">
        <v>25</v>
      </c>
      <c r="C56" s="50">
        <v>0</v>
      </c>
      <c r="D56" s="50">
        <v>57</v>
      </c>
      <c r="E56" s="50">
        <v>1</v>
      </c>
      <c r="F56" s="50">
        <v>7</v>
      </c>
      <c r="G56" s="50">
        <v>35813</v>
      </c>
      <c r="H56" s="50">
        <v>1525009</v>
      </c>
      <c r="I56" s="50">
        <v>5815846</v>
      </c>
      <c r="J56" s="50">
        <v>8914</v>
      </c>
      <c r="K56" s="50">
        <v>0</v>
      </c>
      <c r="L56" s="50">
        <v>27655</v>
      </c>
      <c r="M56" s="50">
        <v>3136</v>
      </c>
      <c r="N56" s="50">
        <v>452372</v>
      </c>
    </row>
    <row r="57" spans="2:14">
      <c r="B57" s="50" t="s">
        <v>26</v>
      </c>
      <c r="C57" s="50">
        <v>6</v>
      </c>
      <c r="D57" s="50">
        <v>247</v>
      </c>
      <c r="E57" s="50">
        <v>7</v>
      </c>
      <c r="F57" s="50">
        <v>15</v>
      </c>
      <c r="G57" s="50">
        <v>151718</v>
      </c>
      <c r="H57" s="50">
        <v>4299186</v>
      </c>
      <c r="I57" s="50">
        <v>32895110</v>
      </c>
      <c r="J57" s="50">
        <v>266552</v>
      </c>
      <c r="K57" s="50">
        <v>0</v>
      </c>
      <c r="L57" s="50">
        <v>1276003</v>
      </c>
      <c r="M57" s="50">
        <v>20051</v>
      </c>
      <c r="N57" s="50">
        <v>1103217</v>
      </c>
    </row>
    <row r="58" spans="2:14">
      <c r="B58" s="50" t="s">
        <v>27</v>
      </c>
      <c r="C58" s="50">
        <v>3</v>
      </c>
      <c r="D58" s="50">
        <v>91</v>
      </c>
      <c r="E58" s="50">
        <v>2</v>
      </c>
      <c r="F58" s="50">
        <v>12</v>
      </c>
      <c r="G58" s="50">
        <v>65052</v>
      </c>
      <c r="H58" s="50">
        <v>2396501</v>
      </c>
      <c r="I58" s="50">
        <v>11208948</v>
      </c>
      <c r="J58" s="50">
        <v>22124</v>
      </c>
      <c r="K58" s="50">
        <v>0</v>
      </c>
      <c r="L58" s="50">
        <v>252674</v>
      </c>
      <c r="M58" s="50">
        <v>5842</v>
      </c>
      <c r="N58" s="50">
        <v>733621</v>
      </c>
    </row>
    <row r="59" spans="1:14">
      <c r="A59">
        <v>163</v>
      </c>
      <c r="B59" s="50" t="s">
        <v>25</v>
      </c>
      <c r="C59" s="50">
        <v>4</v>
      </c>
      <c r="D59" s="50">
        <v>112</v>
      </c>
      <c r="E59" s="50">
        <v>2</v>
      </c>
      <c r="F59" s="50">
        <v>13</v>
      </c>
      <c r="G59" s="50">
        <v>65227</v>
      </c>
      <c r="H59" s="50">
        <v>3424904</v>
      </c>
      <c r="I59" s="50">
        <v>16146475</v>
      </c>
      <c r="J59" s="50">
        <v>118920</v>
      </c>
      <c r="K59" s="50">
        <v>0</v>
      </c>
      <c r="L59" s="50">
        <v>588215</v>
      </c>
      <c r="M59" s="50">
        <v>10747</v>
      </c>
      <c r="N59" s="50">
        <v>1166663</v>
      </c>
    </row>
    <row r="60" spans="2:14">
      <c r="B60" s="50" t="s">
        <v>26</v>
      </c>
      <c r="C60" s="50">
        <v>2</v>
      </c>
      <c r="D60" s="50">
        <v>169</v>
      </c>
      <c r="E60" s="50">
        <v>5</v>
      </c>
      <c r="F60" s="50">
        <v>15</v>
      </c>
      <c r="G60" s="50">
        <v>107352</v>
      </c>
      <c r="H60" s="50">
        <v>3156740</v>
      </c>
      <c r="I60" s="50">
        <v>22450894</v>
      </c>
      <c r="J60" s="50">
        <v>99710</v>
      </c>
      <c r="K60" s="50">
        <v>0</v>
      </c>
      <c r="L60" s="50">
        <v>504698</v>
      </c>
      <c r="M60" s="50">
        <v>11072</v>
      </c>
      <c r="N60" s="50">
        <v>798921</v>
      </c>
    </row>
    <row r="61" spans="2:14">
      <c r="B61" s="50" t="s">
        <v>27</v>
      </c>
      <c r="C61" s="50">
        <v>3</v>
      </c>
      <c r="D61" s="50">
        <v>114</v>
      </c>
      <c r="E61" s="50">
        <v>3</v>
      </c>
      <c r="F61" s="50">
        <v>15</v>
      </c>
      <c r="G61" s="50">
        <v>91338</v>
      </c>
      <c r="H61" s="50">
        <v>2534902</v>
      </c>
      <c r="I61" s="50">
        <v>17636169</v>
      </c>
      <c r="J61" s="50">
        <v>39646</v>
      </c>
      <c r="K61" s="50">
        <v>0</v>
      </c>
      <c r="L61" s="50">
        <v>249148</v>
      </c>
      <c r="M61" s="50">
        <v>7509</v>
      </c>
      <c r="N61" s="50">
        <v>821450</v>
      </c>
    </row>
    <row r="62" spans="1:14">
      <c r="A62">
        <v>164</v>
      </c>
      <c r="B62" s="50" t="s">
        <v>25</v>
      </c>
      <c r="C62" s="50">
        <v>7</v>
      </c>
      <c r="D62" s="50">
        <v>260</v>
      </c>
      <c r="E62" s="50">
        <v>7</v>
      </c>
      <c r="F62" s="50">
        <v>25</v>
      </c>
      <c r="G62" s="50">
        <v>160426</v>
      </c>
      <c r="H62" s="50">
        <v>3747615</v>
      </c>
      <c r="I62" s="50">
        <v>37119463</v>
      </c>
      <c r="J62" s="50">
        <v>245780</v>
      </c>
      <c r="K62" s="50">
        <v>0</v>
      </c>
      <c r="L62" s="50">
        <v>996554</v>
      </c>
      <c r="M62" s="50">
        <v>19433</v>
      </c>
      <c r="N62" s="50">
        <v>1127997</v>
      </c>
    </row>
    <row r="63" spans="2:14">
      <c r="B63" s="50" t="s">
        <v>26</v>
      </c>
      <c r="C63" s="50">
        <v>1</v>
      </c>
      <c r="D63" s="50">
        <v>65</v>
      </c>
      <c r="E63" s="50">
        <v>2</v>
      </c>
      <c r="F63" s="50">
        <v>10</v>
      </c>
      <c r="G63" s="50">
        <v>63710</v>
      </c>
      <c r="H63" s="50">
        <v>1822827</v>
      </c>
      <c r="I63" s="50">
        <v>12462188</v>
      </c>
      <c r="J63" s="50">
        <v>51662</v>
      </c>
      <c r="K63" s="50">
        <v>0</v>
      </c>
      <c r="L63" s="50">
        <v>191539</v>
      </c>
      <c r="M63" s="50">
        <v>5783</v>
      </c>
      <c r="N63" s="50">
        <v>558296</v>
      </c>
    </row>
    <row r="64" spans="2:14">
      <c r="B64" s="50" t="s">
        <v>27</v>
      </c>
      <c r="C64" s="50">
        <v>1</v>
      </c>
      <c r="D64" s="50">
        <v>70</v>
      </c>
      <c r="E64" s="50">
        <v>1</v>
      </c>
      <c r="F64" s="50">
        <v>23</v>
      </c>
      <c r="G64" s="50">
        <v>80964</v>
      </c>
      <c r="H64" s="50">
        <v>1918925</v>
      </c>
      <c r="I64" s="50">
        <v>18564378</v>
      </c>
      <c r="J64" s="50">
        <v>40208</v>
      </c>
      <c r="K64" s="50">
        <v>0</v>
      </c>
      <c r="L64" s="50">
        <v>221696</v>
      </c>
      <c r="M64" s="50">
        <v>6297</v>
      </c>
      <c r="N64" s="50">
        <v>707703</v>
      </c>
    </row>
    <row r="65" spans="1:14">
      <c r="A65">
        <v>165</v>
      </c>
      <c r="B65" s="50" t="s">
        <v>25</v>
      </c>
      <c r="C65" s="50">
        <v>3</v>
      </c>
      <c r="D65" s="50">
        <v>120</v>
      </c>
      <c r="E65" s="50">
        <v>2</v>
      </c>
      <c r="F65" s="50">
        <v>8</v>
      </c>
      <c r="G65" s="50">
        <v>54862</v>
      </c>
      <c r="H65" s="50">
        <v>1409488</v>
      </c>
      <c r="I65" s="50">
        <v>8335800</v>
      </c>
      <c r="J65" s="50">
        <v>13462</v>
      </c>
      <c r="K65" s="50">
        <v>0</v>
      </c>
      <c r="L65" s="50">
        <v>264811</v>
      </c>
      <c r="M65" s="50">
        <v>4553</v>
      </c>
      <c r="N65" s="50">
        <v>922192</v>
      </c>
    </row>
    <row r="66" spans="2:14">
      <c r="B66" s="50" t="s">
        <v>26</v>
      </c>
      <c r="C66" s="50">
        <v>3</v>
      </c>
      <c r="D66" s="50">
        <v>167</v>
      </c>
      <c r="E66" s="50">
        <v>2</v>
      </c>
      <c r="F66" s="50">
        <v>17</v>
      </c>
      <c r="G66" s="50">
        <v>94263</v>
      </c>
      <c r="H66" s="50">
        <v>1668285</v>
      </c>
      <c r="I66" s="50">
        <v>15199688</v>
      </c>
      <c r="J66" s="50">
        <v>20360</v>
      </c>
      <c r="K66" s="50">
        <v>0</v>
      </c>
      <c r="L66" s="50">
        <v>279279</v>
      </c>
      <c r="M66" s="50">
        <v>6380</v>
      </c>
      <c r="N66" s="50">
        <v>923094</v>
      </c>
    </row>
    <row r="67" spans="2:14">
      <c r="B67" s="50" t="s">
        <v>27</v>
      </c>
      <c r="C67" s="50">
        <v>3</v>
      </c>
      <c r="D67" s="50">
        <v>108</v>
      </c>
      <c r="E67" s="50">
        <v>3</v>
      </c>
      <c r="F67" s="50">
        <v>14</v>
      </c>
      <c r="G67" s="50">
        <v>93497</v>
      </c>
      <c r="H67" s="50">
        <v>2256878</v>
      </c>
      <c r="I67" s="50">
        <v>15992268</v>
      </c>
      <c r="J67" s="50">
        <v>92614</v>
      </c>
      <c r="K67" s="50">
        <v>0</v>
      </c>
      <c r="L67" s="50">
        <v>346698</v>
      </c>
      <c r="M67" s="50">
        <v>8655</v>
      </c>
      <c r="N67" s="50">
        <v>921384</v>
      </c>
    </row>
    <row r="68" spans="1:14">
      <c r="A68">
        <v>166</v>
      </c>
      <c r="B68" s="50" t="s">
        <v>25</v>
      </c>
      <c r="C68" s="50">
        <v>3</v>
      </c>
      <c r="D68" s="50">
        <v>100</v>
      </c>
      <c r="E68" s="50">
        <v>1</v>
      </c>
      <c r="F68" s="50">
        <v>13</v>
      </c>
      <c r="G68" s="50">
        <v>57927</v>
      </c>
      <c r="H68" s="50">
        <v>2341053</v>
      </c>
      <c r="I68" s="50">
        <v>10291113</v>
      </c>
      <c r="J68" s="50">
        <v>25756</v>
      </c>
      <c r="K68" s="50">
        <v>0</v>
      </c>
      <c r="L68" s="50">
        <v>411200</v>
      </c>
      <c r="M68" s="50">
        <v>5938</v>
      </c>
      <c r="N68" s="50">
        <v>837099</v>
      </c>
    </row>
    <row r="69" spans="2:14">
      <c r="B69" s="50" t="s">
        <v>26</v>
      </c>
      <c r="C69" s="50">
        <v>2</v>
      </c>
      <c r="D69" s="50">
        <v>130</v>
      </c>
      <c r="E69" s="50">
        <v>4</v>
      </c>
      <c r="F69" s="50">
        <v>23</v>
      </c>
      <c r="G69" s="50">
        <v>137838</v>
      </c>
      <c r="H69" s="50">
        <v>2966724</v>
      </c>
      <c r="I69" s="50">
        <v>24482921</v>
      </c>
      <c r="J69" s="50">
        <v>54346</v>
      </c>
      <c r="K69" s="50">
        <v>0</v>
      </c>
      <c r="L69" s="50">
        <v>306097</v>
      </c>
      <c r="M69" s="50">
        <v>9387</v>
      </c>
      <c r="N69" s="50">
        <v>828503</v>
      </c>
    </row>
    <row r="70" spans="2:14">
      <c r="B70" s="50" t="s">
        <v>27</v>
      </c>
      <c r="C70" s="50">
        <v>4</v>
      </c>
      <c r="D70" s="50">
        <v>165</v>
      </c>
      <c r="E70" s="50">
        <v>5</v>
      </c>
      <c r="F70" s="50">
        <v>11</v>
      </c>
      <c r="G70" s="50">
        <v>85335</v>
      </c>
      <c r="H70" s="50">
        <v>3054982</v>
      </c>
      <c r="I70" s="50">
        <v>16306276</v>
      </c>
      <c r="J70" s="50">
        <v>61524</v>
      </c>
      <c r="K70" s="50">
        <v>0</v>
      </c>
      <c r="L70" s="50">
        <v>501598</v>
      </c>
      <c r="M70" s="50">
        <v>9258</v>
      </c>
      <c r="N70" s="50">
        <v>1002695</v>
      </c>
    </row>
    <row r="71" spans="1:14">
      <c r="A71">
        <v>167</v>
      </c>
      <c r="B71" s="50" t="s">
        <v>25</v>
      </c>
      <c r="C71" s="50">
        <v>4</v>
      </c>
      <c r="D71" s="50">
        <v>133</v>
      </c>
      <c r="E71" s="50">
        <v>4</v>
      </c>
      <c r="F71" s="50">
        <v>27</v>
      </c>
      <c r="G71" s="50">
        <v>122487</v>
      </c>
      <c r="H71" s="50">
        <v>3869748</v>
      </c>
      <c r="I71" s="50">
        <v>36222122</v>
      </c>
      <c r="J71" s="50">
        <v>137692</v>
      </c>
      <c r="K71" s="50">
        <v>0</v>
      </c>
      <c r="L71" s="50">
        <v>736288</v>
      </c>
      <c r="M71" s="50">
        <v>14333</v>
      </c>
      <c r="N71" s="50">
        <v>1034559</v>
      </c>
    </row>
    <row r="72" spans="2:14">
      <c r="B72" s="50" t="s">
        <v>26</v>
      </c>
      <c r="C72" s="50">
        <v>2</v>
      </c>
      <c r="D72" s="50">
        <v>131</v>
      </c>
      <c r="E72" s="50">
        <v>0</v>
      </c>
      <c r="F72" s="50">
        <v>24</v>
      </c>
      <c r="G72" s="50">
        <v>62074</v>
      </c>
      <c r="H72" s="50">
        <v>2066310</v>
      </c>
      <c r="I72" s="50">
        <v>21759786</v>
      </c>
      <c r="J72" s="50">
        <v>15590</v>
      </c>
      <c r="K72" s="50">
        <v>0</v>
      </c>
      <c r="L72" s="50">
        <v>303631</v>
      </c>
      <c r="M72" s="50">
        <v>6682</v>
      </c>
      <c r="N72" s="50">
        <v>599433</v>
      </c>
    </row>
    <row r="73" spans="2:14">
      <c r="B73" s="50" t="s">
        <v>27</v>
      </c>
      <c r="C73" s="50">
        <v>3</v>
      </c>
      <c r="D73" s="50">
        <v>131</v>
      </c>
      <c r="E73" s="50">
        <v>5</v>
      </c>
      <c r="F73" s="50">
        <v>25</v>
      </c>
      <c r="G73" s="50">
        <v>125653</v>
      </c>
      <c r="H73" s="50">
        <v>3489672</v>
      </c>
      <c r="I73" s="50">
        <v>34760641</v>
      </c>
      <c r="J73" s="50">
        <v>113230</v>
      </c>
      <c r="K73" s="50">
        <v>0</v>
      </c>
      <c r="L73" s="50">
        <v>632566</v>
      </c>
      <c r="M73" s="50">
        <v>12917</v>
      </c>
      <c r="N73" s="50">
        <v>1053820</v>
      </c>
    </row>
    <row r="74" spans="1:14">
      <c r="A74">
        <v>168</v>
      </c>
      <c r="B74" s="50" t="s">
        <v>25</v>
      </c>
      <c r="C74" s="50">
        <v>0</v>
      </c>
      <c r="D74" s="50">
        <v>43</v>
      </c>
      <c r="E74" s="50">
        <v>1</v>
      </c>
      <c r="F74" s="50">
        <v>11</v>
      </c>
      <c r="G74" s="50">
        <v>40007</v>
      </c>
      <c r="H74" s="50">
        <v>1470300</v>
      </c>
      <c r="I74" s="50">
        <v>8146881</v>
      </c>
      <c r="J74" s="50">
        <v>2028</v>
      </c>
      <c r="K74" s="50">
        <v>0</v>
      </c>
      <c r="L74" s="50">
        <v>92024</v>
      </c>
      <c r="M74" s="50">
        <v>3021</v>
      </c>
      <c r="N74" s="50">
        <v>502150</v>
      </c>
    </row>
    <row r="75" spans="2:14">
      <c r="B75" s="50" t="s">
        <v>26</v>
      </c>
      <c r="C75" s="50">
        <v>0</v>
      </c>
      <c r="D75" s="50">
        <v>52</v>
      </c>
      <c r="E75" s="50">
        <v>2</v>
      </c>
      <c r="F75" s="50">
        <v>20</v>
      </c>
      <c r="G75" s="50">
        <v>85160</v>
      </c>
      <c r="H75" s="50">
        <v>1881690</v>
      </c>
      <c r="I75" s="50">
        <v>16127665</v>
      </c>
      <c r="J75" s="50">
        <v>12090</v>
      </c>
      <c r="K75" s="50">
        <v>0</v>
      </c>
      <c r="L75" s="50">
        <v>304841</v>
      </c>
      <c r="M75" s="50">
        <v>4955</v>
      </c>
      <c r="N75" s="50">
        <v>606490</v>
      </c>
    </row>
    <row r="76" spans="2:14">
      <c r="B76" s="50" t="s">
        <v>27</v>
      </c>
      <c r="C76" s="50">
        <v>9</v>
      </c>
      <c r="D76" s="50">
        <v>300</v>
      </c>
      <c r="E76" s="50">
        <v>7</v>
      </c>
      <c r="F76" s="50">
        <v>19</v>
      </c>
      <c r="G76" s="50">
        <v>157802</v>
      </c>
      <c r="H76" s="50">
        <v>3084672</v>
      </c>
      <c r="I76" s="50">
        <v>30750295</v>
      </c>
      <c r="J76" s="50">
        <v>112070</v>
      </c>
      <c r="K76" s="50">
        <v>0</v>
      </c>
      <c r="L76" s="50">
        <v>892639</v>
      </c>
      <c r="M76" s="50">
        <v>14657</v>
      </c>
      <c r="N76" s="50">
        <v>1002735</v>
      </c>
    </row>
    <row r="77" spans="1:14">
      <c r="A77">
        <v>169</v>
      </c>
      <c r="B77" s="50" t="s">
        <v>25</v>
      </c>
      <c r="C77" s="50">
        <v>3</v>
      </c>
      <c r="D77" s="50">
        <v>105</v>
      </c>
      <c r="E77" s="50">
        <v>3</v>
      </c>
      <c r="F77" s="50">
        <v>18</v>
      </c>
      <c r="G77" s="50">
        <v>79955</v>
      </c>
      <c r="H77" s="50">
        <v>2558215</v>
      </c>
      <c r="I77" s="50">
        <v>19374271</v>
      </c>
      <c r="J77" s="50">
        <v>36940</v>
      </c>
      <c r="K77" s="50">
        <v>0</v>
      </c>
      <c r="L77" s="50">
        <v>203990</v>
      </c>
      <c r="M77" s="50">
        <v>7455</v>
      </c>
      <c r="N77" s="50">
        <v>697449</v>
      </c>
    </row>
    <row r="78" spans="2:14">
      <c r="B78" s="50" t="s">
        <v>26</v>
      </c>
      <c r="C78" s="50">
        <v>2</v>
      </c>
      <c r="D78" s="50">
        <v>117</v>
      </c>
      <c r="E78" s="50">
        <v>3</v>
      </c>
      <c r="F78" s="50">
        <v>17</v>
      </c>
      <c r="G78" s="50">
        <v>77384</v>
      </c>
      <c r="H78" s="50">
        <v>3444529</v>
      </c>
      <c r="I78" s="50">
        <v>21478060</v>
      </c>
      <c r="J78" s="50">
        <v>180546</v>
      </c>
      <c r="K78" s="50">
        <v>0</v>
      </c>
      <c r="L78" s="50">
        <v>294631</v>
      </c>
      <c r="M78" s="50">
        <v>12912</v>
      </c>
      <c r="N78" s="50">
        <v>969405</v>
      </c>
    </row>
    <row r="79" spans="2:14">
      <c r="B79" s="50" t="s">
        <v>27</v>
      </c>
      <c r="C79" s="50">
        <v>4</v>
      </c>
      <c r="D79" s="50">
        <v>173</v>
      </c>
      <c r="E79" s="50">
        <v>3</v>
      </c>
      <c r="F79" s="50">
        <v>29</v>
      </c>
      <c r="G79" s="50">
        <v>133698</v>
      </c>
      <c r="H79" s="50">
        <v>4180410</v>
      </c>
      <c r="I79" s="50">
        <v>34474962</v>
      </c>
      <c r="J79" s="50">
        <v>163284</v>
      </c>
      <c r="K79" s="50">
        <v>0</v>
      </c>
      <c r="L79" s="50">
        <v>361159</v>
      </c>
      <c r="M79" s="50">
        <v>15505</v>
      </c>
      <c r="N79" s="50">
        <v>1171334</v>
      </c>
    </row>
    <row r="80" spans="1:14">
      <c r="A80">
        <v>170</v>
      </c>
      <c r="B80" s="50" t="s">
        <v>25</v>
      </c>
      <c r="C80" s="50">
        <v>1</v>
      </c>
      <c r="D80" s="50">
        <v>59</v>
      </c>
      <c r="E80" s="50">
        <v>4</v>
      </c>
      <c r="F80" s="50">
        <v>28</v>
      </c>
      <c r="G80" s="50">
        <v>123955</v>
      </c>
      <c r="H80" s="50">
        <v>3480525</v>
      </c>
      <c r="I80" s="50">
        <v>33006373</v>
      </c>
      <c r="J80" s="50">
        <v>152636</v>
      </c>
      <c r="K80" s="50">
        <v>0</v>
      </c>
      <c r="L80" s="50">
        <v>1332892</v>
      </c>
      <c r="M80" s="50">
        <v>13336</v>
      </c>
      <c r="N80" s="50">
        <v>1131283</v>
      </c>
    </row>
    <row r="81" spans="2:14">
      <c r="B81" s="50" t="s">
        <v>26</v>
      </c>
      <c r="C81" s="50">
        <v>3</v>
      </c>
      <c r="D81" s="50">
        <v>173</v>
      </c>
      <c r="E81" s="50">
        <v>3</v>
      </c>
      <c r="F81" s="50">
        <v>18</v>
      </c>
      <c r="G81" s="50">
        <v>80275</v>
      </c>
      <c r="H81" s="50">
        <v>3376771</v>
      </c>
      <c r="I81" s="50">
        <v>22378304</v>
      </c>
      <c r="J81" s="50">
        <v>104366</v>
      </c>
      <c r="K81" s="50">
        <v>0</v>
      </c>
      <c r="L81" s="50">
        <v>651268</v>
      </c>
      <c r="M81" s="50">
        <v>11502</v>
      </c>
      <c r="N81" s="50">
        <v>1151271</v>
      </c>
    </row>
    <row r="82" spans="2:14">
      <c r="B82" s="50" t="s">
        <v>27</v>
      </c>
      <c r="C82" s="50">
        <v>5</v>
      </c>
      <c r="D82" s="50">
        <v>163</v>
      </c>
      <c r="E82" s="50">
        <v>3</v>
      </c>
      <c r="F82" s="50">
        <v>24</v>
      </c>
      <c r="G82" s="50">
        <v>122554</v>
      </c>
      <c r="H82" s="50">
        <v>2884357</v>
      </c>
      <c r="I82" s="50">
        <v>28934804</v>
      </c>
      <c r="J82" s="50">
        <v>60488</v>
      </c>
      <c r="K82" s="50">
        <v>0</v>
      </c>
      <c r="L82" s="50">
        <v>303380</v>
      </c>
      <c r="M82" s="50">
        <v>10486</v>
      </c>
      <c r="N82" s="50">
        <v>827975</v>
      </c>
    </row>
    <row r="83" spans="1:14">
      <c r="A83">
        <v>171</v>
      </c>
      <c r="B83" s="50" t="s">
        <v>25</v>
      </c>
      <c r="C83" s="50">
        <v>3</v>
      </c>
      <c r="D83" s="50">
        <v>165</v>
      </c>
      <c r="E83" s="50">
        <v>6</v>
      </c>
      <c r="F83" s="50">
        <v>18</v>
      </c>
      <c r="G83" s="50">
        <v>143301</v>
      </c>
      <c r="H83" s="50">
        <v>3861113</v>
      </c>
      <c r="I83" s="50">
        <v>25371831</v>
      </c>
      <c r="J83" s="50">
        <v>101812</v>
      </c>
      <c r="K83" s="50">
        <v>0</v>
      </c>
      <c r="L83" s="50">
        <v>963594</v>
      </c>
      <c r="M83" s="50">
        <v>12600</v>
      </c>
      <c r="N83" s="50">
        <v>1306638</v>
      </c>
    </row>
    <row r="84" spans="2:14">
      <c r="B84" s="50" t="s">
        <v>26</v>
      </c>
      <c r="C84" s="50">
        <v>4</v>
      </c>
      <c r="D84" s="50">
        <v>162</v>
      </c>
      <c r="E84" s="50">
        <v>4</v>
      </c>
      <c r="F84" s="50">
        <v>11</v>
      </c>
      <c r="G84" s="50">
        <v>96155</v>
      </c>
      <c r="H84" s="50">
        <v>2986802</v>
      </c>
      <c r="I84" s="50">
        <v>16196233</v>
      </c>
      <c r="J84" s="50">
        <v>49904</v>
      </c>
      <c r="K84" s="50">
        <v>0</v>
      </c>
      <c r="L84" s="50">
        <v>428615</v>
      </c>
      <c r="M84" s="50">
        <v>8818</v>
      </c>
      <c r="N84" s="50">
        <v>939606</v>
      </c>
    </row>
    <row r="85" spans="2:14">
      <c r="B85" s="50" t="s">
        <v>27</v>
      </c>
      <c r="C85" s="50">
        <v>2</v>
      </c>
      <c r="D85" s="50">
        <v>68</v>
      </c>
      <c r="E85" s="50">
        <v>0</v>
      </c>
      <c r="F85" s="50">
        <v>10</v>
      </c>
      <c r="G85" s="50">
        <v>29337</v>
      </c>
      <c r="H85" s="50">
        <v>1073807</v>
      </c>
      <c r="I85" s="50">
        <v>5055360</v>
      </c>
      <c r="J85" s="50">
        <v>4864</v>
      </c>
      <c r="K85" s="50">
        <v>0</v>
      </c>
      <c r="L85" s="50">
        <v>171156</v>
      </c>
      <c r="M85" s="50">
        <v>2837</v>
      </c>
      <c r="N85" s="50">
        <v>384289</v>
      </c>
    </row>
  </sheetData>
  <conditionalFormatting sqref="F35:F37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{07875942-06fe-444d-bead-3dcb09ba8b3f}</x14:id>
        </ext>
      </extLst>
    </cfRule>
  </conditionalFormatting>
  <conditionalFormatting sqref="F38:F40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{659e6689-c4bf-430b-97d9-9ada062d37bd}</x14:id>
        </ext>
      </extLst>
    </cfRule>
  </conditionalFormatting>
  <conditionalFormatting sqref="F41:F4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{dc10cd6f-6523-410a-9ff1-677b7f088423}</x14:id>
        </ext>
      </extLst>
    </cfRule>
  </conditionalFormatting>
  <conditionalFormatting sqref="F44:F46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{1bc892c8-4d54-49cf-8106-88adf1c2961d}</x14:id>
        </ext>
      </extLst>
    </cfRule>
  </conditionalFormatting>
  <conditionalFormatting sqref="F47:F49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{0b96953f-aa68-4918-ac45-e6afa0e3c4a3}</x14:id>
        </ext>
      </extLst>
    </cfRule>
  </conditionalFormatting>
  <conditionalFormatting sqref="G35:G37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{f093df31-27fe-48ac-936a-2622c5a6dffd}</x14:id>
        </ext>
      </extLst>
    </cfRule>
  </conditionalFormatting>
  <conditionalFormatting sqref="G38:G40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{c17ab10d-c3fd-49ca-a82e-ca8d5b400377}</x14:id>
        </ext>
      </extLst>
    </cfRule>
  </conditionalFormatting>
  <conditionalFormatting sqref="G41:G43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{8826271a-cb59-4ba5-8724-c140bcf3b800}</x14:id>
        </ext>
      </extLst>
    </cfRule>
  </conditionalFormatting>
  <conditionalFormatting sqref="G44:G46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{15e41d00-b71b-4359-bd9d-dd8516859e59}</x14:id>
        </ext>
      </extLst>
    </cfRule>
  </conditionalFormatting>
  <conditionalFormatting sqref="G47:G4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{783851c1-9a94-4502-aae4-7a800be7a8e8}</x14:id>
        </ext>
      </extLst>
    </cfRule>
  </conditionalFormatting>
  <conditionalFormatting sqref="N41:N43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{eebbddce-8b9f-4548-b39d-45a9f987cec2}</x14:id>
        </ext>
      </extLst>
    </cfRule>
  </conditionalFormatting>
  <conditionalFormatting sqref="N47:N49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{6a9f9b34-3446-48b5-9690-c7fcd204805d}</x14:id>
        </ext>
      </extLst>
    </cfRule>
  </conditionalFormatting>
  <conditionalFormatting sqref="O2:O19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{37f441dc-0e39-4656-8af5-c3232b895a4f}</x14:id>
        </ext>
      </extLst>
    </cfRule>
  </conditionalFormatting>
  <conditionalFormatting sqref="O20:O31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{2c2e62b8-596f-4139-a4fd-54df68b141cb}</x14:id>
        </ext>
      </extLst>
    </cfRule>
  </conditionalFormatting>
  <conditionalFormatting sqref="P2:P19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{6967b60c-bdf0-4a61-a76c-3f546f50ce79}</x14:id>
        </ext>
      </extLst>
    </cfRule>
  </conditionalFormatting>
  <conditionalFormatting sqref="P20:P31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{7f2b6fac-6fc8-4c87-9364-8287702e1c13}</x14:id>
        </ext>
      </extLst>
    </cfRule>
  </conditionalFormatting>
  <conditionalFormatting sqref="P35:P45">
    <cfRule type="cellIs" dxfId="37" priority="7" operator="equal">
      <formula>$S$35</formula>
    </cfRule>
  </conditionalFormatting>
  <conditionalFormatting sqref="Q2:Q31">
    <cfRule type="cellIs" dxfId="38" priority="14" operator="equal">
      <formula>配置!$D$4</formula>
    </cfRule>
    <cfRule type="cellIs" dxfId="39" priority="15" operator="equal">
      <formula>配置!$D$3</formula>
    </cfRule>
    <cfRule type="cellIs" dxfId="37" priority="16" operator="equal">
      <formula>配置!$D$2</formula>
    </cfRule>
  </conditionalFormatting>
  <conditionalFormatting sqref="R35:R39">
    <cfRule type="cellIs" dxfId="37" priority="8" operator="equal">
      <formula>$S$35</formula>
    </cfRule>
  </conditionalFormatting>
  <conditionalFormatting sqref="O32:O33 Q1:R1 Q2 Q4:Q5 Q7:Q8 Q10:Q11 Q13:Q14 Q16:Q17 Q19:Q20 Q22:Q31">
    <cfRule type="cellIs" dxfId="37" priority="24" operator="equal">
      <formula>配置!$D$2</formula>
    </cfRule>
  </conditionalFormatting>
  <conditionalFormatting sqref="Q2 Q4:Q5 Q7:Q8 Q10:Q11 Q13:Q14 Q16:Q17 Q19:Q20 Q22:Q31">
    <cfRule type="cellIs" dxfId="38" priority="23" operator="equal">
      <formula>配置!$D$4</formula>
    </cfRule>
  </conditionalFormatting>
  <conditionalFormatting sqref="N35:N40 N44:N46">
    <cfRule type="dataBar" priority="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{46b70c57-f04a-438e-bec9-d3ffded6c9a2}</x14:id>
        </ext>
      </extLst>
    </cfRule>
  </conditionalFormatting>
  <dataValidations count="1">
    <dataValidation type="list" allowBlank="1" showInputMessage="1" showErrorMessage="1" sqref="Q2:Q31">
      <formula1>配置!$D$2:$D$4</formula1>
    </dataValidation>
  </dataValidations>
  <pageMargins left="0.7" right="0.7" top="0.75" bottom="0.75" header="0.3" footer="0.3"/>
  <pageSetup paperSize="9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7875942-06fe-444d-bead-3dcb09ba8b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F35:F37</xm:sqref>
        </x14:conditionalFormatting>
        <x14:conditionalFormatting xmlns:xm="http://schemas.microsoft.com/office/excel/2006/main">
          <x14:cfRule type="dataBar" id="{659e6689-c4bf-430b-97d9-9ada062d37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F38:F40</xm:sqref>
        </x14:conditionalFormatting>
        <x14:conditionalFormatting xmlns:xm="http://schemas.microsoft.com/office/excel/2006/main">
          <x14:cfRule type="dataBar" id="{dc10cd6f-6523-410a-9ff1-677b7f0884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F41:F43</xm:sqref>
        </x14:conditionalFormatting>
        <x14:conditionalFormatting xmlns:xm="http://schemas.microsoft.com/office/excel/2006/main">
          <x14:cfRule type="dataBar" id="{1bc892c8-4d54-49cf-8106-88adf1c296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F44:F46</xm:sqref>
        </x14:conditionalFormatting>
        <x14:conditionalFormatting xmlns:xm="http://schemas.microsoft.com/office/excel/2006/main">
          <x14:cfRule type="dataBar" id="{0b96953f-aa68-4918-ac45-e6afa0e3c4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F47:F49</xm:sqref>
        </x14:conditionalFormatting>
        <x14:conditionalFormatting xmlns:xm="http://schemas.microsoft.com/office/excel/2006/main">
          <x14:cfRule type="dataBar" id="{f093df31-27fe-48ac-936a-2622c5a6df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G35:G37</xm:sqref>
        </x14:conditionalFormatting>
        <x14:conditionalFormatting xmlns:xm="http://schemas.microsoft.com/office/excel/2006/main">
          <x14:cfRule type="dataBar" id="{c17ab10d-c3fd-49ca-a82e-ca8d5b4003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G38:G40</xm:sqref>
        </x14:conditionalFormatting>
        <x14:conditionalFormatting xmlns:xm="http://schemas.microsoft.com/office/excel/2006/main">
          <x14:cfRule type="dataBar" id="{8826271a-cb59-4ba5-8724-c140bcf3b8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G41:G43</xm:sqref>
        </x14:conditionalFormatting>
        <x14:conditionalFormatting xmlns:xm="http://schemas.microsoft.com/office/excel/2006/main">
          <x14:cfRule type="dataBar" id="{15e41d00-b71b-4359-bd9d-dd8516859e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G44:G46</xm:sqref>
        </x14:conditionalFormatting>
        <x14:conditionalFormatting xmlns:xm="http://schemas.microsoft.com/office/excel/2006/main">
          <x14:cfRule type="dataBar" id="{783851c1-9a94-4502-aae4-7a800be7a8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G47:G49</xm:sqref>
        </x14:conditionalFormatting>
        <x14:conditionalFormatting xmlns:xm="http://schemas.microsoft.com/office/excel/2006/main">
          <x14:cfRule type="dataBar" id="{eebbddce-8b9f-4548-b39d-45a9f987ce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N41:N43</xm:sqref>
        </x14:conditionalFormatting>
        <x14:conditionalFormatting xmlns:xm="http://schemas.microsoft.com/office/excel/2006/main">
          <x14:cfRule type="dataBar" id="{6a9f9b34-3446-48b5-9690-c7fcd20480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N47:N49</xm:sqref>
        </x14:conditionalFormatting>
        <x14:conditionalFormatting xmlns:xm="http://schemas.microsoft.com/office/excel/2006/main">
          <x14:cfRule type="dataBar" id="{37f441dc-0e39-4656-8af5-c3232b895a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2c2e62b8-596f-4139-a4fd-54df68b141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O20:O31</xm:sqref>
        </x14:conditionalFormatting>
        <x14:conditionalFormatting xmlns:xm="http://schemas.microsoft.com/office/excel/2006/main">
          <x14:cfRule type="dataBar" id="{6967b60c-bdf0-4a61-a76c-3f546f50ce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7f2b6fac-6fc8-4c87-9364-8287702e1c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P20:P31</xm:sqref>
        </x14:conditionalFormatting>
        <x14:conditionalFormatting xmlns:xm="http://schemas.microsoft.com/office/excel/2006/main">
          <x14:cfRule type="dataBar" id="{46b70c57-f04a-438e-bec9-d3ffded6c9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N35:N40 N44:N46</xm:sqref>
        </x14:conditionalFormatting>
      </x14:conditionalFormatting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42"/>
  <sheetViews>
    <sheetView topLeftCell="A37" workbookViewId="0">
      <selection activeCell="J72" sqref="J72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1">
        <v>5083</v>
      </c>
      <c r="B2" s="371">
        <f>VLOOKUP(表1_8612182224267282[[#This Row],[区服]],$P$59:$Q$76,2,FALSE)</f>
        <v>47</v>
      </c>
      <c r="C2" s="372" t="s">
        <v>157</v>
      </c>
      <c r="D2" s="373" t="str">
        <f>表1_8612182224267282[[#This Row],[目标国家]]</f>
        <v>吴</v>
      </c>
      <c r="E2" s="374">
        <f>(VLOOKUP(表1_8612182224267282[[#This Row],[目标区服]],$R$59:$S$66,2,FALSE)-表1_8612182224267282[[#This Row],[开服天数]])*配置!$B$1</f>
        <v>1000</v>
      </c>
      <c r="F2" s="374">
        <f>表1_8612182224267282[[#This Row],[补偿Coin]]*(表1_8612182224267282[[#This Row],[活跃高战玩家数]]+表1_8612182224267282[[#This Row],[活跃中坚玩家数]])</f>
        <v>15000</v>
      </c>
      <c r="G2" s="374">
        <f>(VLOOKUP(表1_8612182224267282[[#This Row],[目标区服]],$R$59:$S$66,2,FALSE)-表1_8612182224267282[[#This Row],[开服天数]])*配置!$B$2</f>
        <v>10</v>
      </c>
      <c r="H2" s="376" t="s">
        <v>25</v>
      </c>
      <c r="I2" s="376">
        <f>IF(表1_8612182224267282[[#This Row],[原国家]]="魏",0,IF(表1_8612182224267282[[#This Row],[原国家]]="蜀",1,2))</f>
        <v>0</v>
      </c>
      <c r="J2" s="380">
        <v>3</v>
      </c>
      <c r="K2" s="380">
        <v>66</v>
      </c>
      <c r="L2" s="380">
        <v>3</v>
      </c>
      <c r="M2" s="380">
        <v>12</v>
      </c>
      <c r="N2" s="380">
        <v>85161</v>
      </c>
      <c r="O2" s="380">
        <v>2181098</v>
      </c>
      <c r="P2" s="381">
        <v>13100225</v>
      </c>
      <c r="Q2" s="31" t="s">
        <v>27</v>
      </c>
      <c r="R2" s="376">
        <f>IF(表1_8612182224267282[[#This Row],[目标国家]]="魏",0,IF(表1_8612182224267282[[#This Row],[目标国家]]="蜀",1,2))</f>
        <v>2</v>
      </c>
      <c r="S2" s="380">
        <v>38062</v>
      </c>
      <c r="T2" s="380">
        <v>0</v>
      </c>
      <c r="U2" s="380">
        <v>146890</v>
      </c>
      <c r="V2" s="380">
        <v>6092</v>
      </c>
      <c r="W2" s="374">
        <v>629220</v>
      </c>
      <c r="X2" s="387" t="str">
        <f>"{"&amp;"'coin':"&amp;表1_8612182224267282[[#This Row],[补偿Coin]]&amp;",'"&amp;配置!$A$2&amp;"':"&amp;表1_8612182224267282[[#This Row],[补偿辎重]]&amp;"},"</f>
        <v>{'coin':1000,'item036':10},</v>
      </c>
      <c r="Y2" s="388" t="str">
        <f>"      '"&amp;表1_8612182224267282[[#This Row],[区服]]&amp;"':{"</f>
        <v>      '5083':{</v>
      </c>
    </row>
    <row r="3" s="354" customFormat="1" ht="14.25" customHeight="1" spans="1:25">
      <c r="A3" s="371">
        <v>5083</v>
      </c>
      <c r="B3" s="371">
        <f>VLOOKUP(表1_8612182224267282[[#This Row],[区服]],$P$59:$Q$76,2,FALSE)</f>
        <v>47</v>
      </c>
      <c r="C3" s="372" t="s">
        <v>157</v>
      </c>
      <c r="D3" s="376" t="str">
        <f>表1_8612182224267282[[#This Row],[目标国家]]</f>
        <v>吴</v>
      </c>
      <c r="E3" s="380">
        <f>(VLOOKUP(表1_8612182224267282[[#This Row],[目标区服]],$R$59:$S$66,2,FALSE)-表1_8612182224267282[[#This Row],[开服天数]])*配置!$B$1</f>
        <v>1000</v>
      </c>
      <c r="F3" s="380">
        <f>表1_8612182224267282[[#This Row],[补偿Coin]]*(表1_8612182224267282[[#This Row],[活跃高战玩家数]]+表1_8612182224267282[[#This Row],[活跃中坚玩家数]])</f>
        <v>9000</v>
      </c>
      <c r="G3" s="380">
        <f>(VLOOKUP(表1_8612182224267282[[#This Row],[目标区服]],$R$59:$S$66,2,FALSE)-表1_8612182224267282[[#This Row],[开服天数]])*配置!$B$2</f>
        <v>10</v>
      </c>
      <c r="H3" s="376" t="s">
        <v>26</v>
      </c>
      <c r="I3" s="376">
        <f>IF(表1_8612182224267282[[#This Row],[原国家]]="魏",0,IF(表1_8612182224267282[[#This Row],[原国家]]="蜀",1,2))</f>
        <v>1</v>
      </c>
      <c r="J3" s="380">
        <v>2</v>
      </c>
      <c r="K3" s="380">
        <v>68</v>
      </c>
      <c r="L3" s="380">
        <v>1</v>
      </c>
      <c r="M3" s="380">
        <v>8</v>
      </c>
      <c r="N3" s="380">
        <v>36317</v>
      </c>
      <c r="O3" s="380">
        <v>1843342</v>
      </c>
      <c r="P3" s="381">
        <v>5772046</v>
      </c>
      <c r="Q3" s="31" t="s">
        <v>27</v>
      </c>
      <c r="R3" s="376">
        <f>IF(表1_8612182224267282[[#This Row],[目标国家]]="魏",0,IF(表1_8612182224267282[[#This Row],[目标国家]]="蜀",1,2))</f>
        <v>2</v>
      </c>
      <c r="S3" s="380">
        <v>19544</v>
      </c>
      <c r="T3" s="380">
        <v>0</v>
      </c>
      <c r="U3" s="380">
        <v>126214</v>
      </c>
      <c r="V3" s="380">
        <v>4131</v>
      </c>
      <c r="W3" s="374">
        <v>645123</v>
      </c>
      <c r="X3" s="387" t="str">
        <f>"{"&amp;"'coin':"&amp;表1_8612182224267282[[#This Row],[补偿Coin]]&amp;",'"&amp;配置!$A$2&amp;"':"&amp;表1_8612182224267282[[#This Row],[补偿辎重]]&amp;"},"</f>
        <v>{'coin':1000,'item036':10},</v>
      </c>
      <c r="Y3" s="388" t="str">
        <f>"            'to_zone':'"&amp;表1_8612182224267282[[#This Row],[目标区服]]&amp;"',
            'reward':"&amp;表1_8612182224267282[[#This Row],[辅助导出]]&amp;"
            'country':["&amp;R2&amp;","&amp;R3&amp;","&amp;R4&amp;"],"</f>
        <v>            'to_zone':'h1_538',
            'reward':{'coin':1000,'item036':10},
            'country':[2,2,2],</v>
      </c>
    </row>
    <row r="4" s="354" customFormat="1" ht="14.25" customHeight="1" spans="1:25">
      <c r="A4" s="371">
        <v>5083</v>
      </c>
      <c r="B4" s="371">
        <f>VLOOKUP(表1_8612182224267282[[#This Row],[区服]],$P$59:$Q$76,2,FALSE)</f>
        <v>47</v>
      </c>
      <c r="C4" s="372" t="s">
        <v>157</v>
      </c>
      <c r="D4" s="376" t="str">
        <f>表1_8612182224267282[[#This Row],[目标国家]]</f>
        <v>吴</v>
      </c>
      <c r="E4" s="380">
        <f>(VLOOKUP(表1_8612182224267282[[#This Row],[目标区服]],$R$59:$S$66,2,FALSE)-表1_8612182224267282[[#This Row],[开服天数]])*配置!$B$1</f>
        <v>1000</v>
      </c>
      <c r="F4" s="380">
        <f>表1_8612182224267282[[#This Row],[补偿Coin]]*(表1_8612182224267282[[#This Row],[活跃高战玩家数]]+表1_8612182224267282[[#This Row],[活跃中坚玩家数]])</f>
        <v>22000</v>
      </c>
      <c r="G4" s="380">
        <f>(VLOOKUP(表1_8612182224267282[[#This Row],[目标区服]],$R$59:$S$66,2,FALSE)-表1_8612182224267282[[#This Row],[开服天数]])*配置!$B$2</f>
        <v>10</v>
      </c>
      <c r="H4" s="376" t="s">
        <v>27</v>
      </c>
      <c r="I4" s="376">
        <f>IF(表1_8612182224267282[[#This Row],[原国家]]="魏",0,IF(表1_8612182224267282[[#This Row],[原国家]]="蜀",1,2))</f>
        <v>2</v>
      </c>
      <c r="J4" s="380">
        <v>4</v>
      </c>
      <c r="K4" s="380">
        <v>261</v>
      </c>
      <c r="L4" s="380">
        <v>6</v>
      </c>
      <c r="M4" s="380">
        <v>16</v>
      </c>
      <c r="N4" s="380">
        <v>130987</v>
      </c>
      <c r="O4" s="380">
        <v>3160522</v>
      </c>
      <c r="P4" s="381">
        <v>21945092</v>
      </c>
      <c r="Q4" s="31" t="s">
        <v>27</v>
      </c>
      <c r="R4" s="376">
        <f>IF(表1_8612182224267282[[#This Row],[目标国家]]="魏",0,IF(表1_8612182224267282[[#This Row],[目标国家]]="蜀",1,2))</f>
        <v>2</v>
      </c>
      <c r="S4" s="380">
        <v>121744</v>
      </c>
      <c r="T4" s="380">
        <v>0</v>
      </c>
      <c r="U4" s="380">
        <v>491153</v>
      </c>
      <c r="V4" s="380">
        <v>12917</v>
      </c>
      <c r="W4" s="374">
        <v>949582</v>
      </c>
      <c r="X4" s="387" t="str">
        <f>"{"&amp;"'coin':"&amp;表1_8612182224267282[[#This Row],[补偿Coin]]&amp;",'"&amp;配置!$A$2&amp;"':"&amp;表1_8612182224267282[[#This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1">
        <v>5084</v>
      </c>
      <c r="B5" s="371">
        <f>VLOOKUP(表1_8612182224267282[[#This Row],[区服]],$P$59:$Q$76,2,FALSE)</f>
        <v>47</v>
      </c>
      <c r="C5" s="372" t="s">
        <v>157</v>
      </c>
      <c r="D5" s="376" t="str">
        <f>表1_8612182224267282[[#This Row],[目标国家]]</f>
        <v>魏</v>
      </c>
      <c r="E5" s="380">
        <f>(VLOOKUP(表1_8612182224267282[[#This Row],[目标区服]],$R$59:$S$66,2,FALSE)-表1_8612182224267282[[#This Row],[开服天数]])*配置!$B$1</f>
        <v>1000</v>
      </c>
      <c r="F5" s="380">
        <f>表1_8612182224267282[[#This Row],[补偿Coin]]*(表1_8612182224267282[[#This Row],[活跃高战玩家数]]+表1_8612182224267282[[#This Row],[活跃中坚玩家数]])</f>
        <v>23000</v>
      </c>
      <c r="G5" s="380">
        <f>(VLOOKUP(表1_8612182224267282[[#This Row],[目标区服]],$R$59:$S$66,2,FALSE)-表1_8612182224267282[[#This Row],[开服天数]])*配置!$B$2</f>
        <v>10</v>
      </c>
      <c r="H5" s="376" t="s">
        <v>25</v>
      </c>
      <c r="I5" s="376">
        <f>IF(表1_8612182224267282[[#This Row],[原国家]]="魏",0,IF(表1_8612182224267282[[#This Row],[原国家]]="蜀",1,2))</f>
        <v>0</v>
      </c>
      <c r="J5" s="380">
        <v>6</v>
      </c>
      <c r="K5" s="380">
        <v>188</v>
      </c>
      <c r="L5" s="380">
        <v>5</v>
      </c>
      <c r="M5" s="380">
        <v>18</v>
      </c>
      <c r="N5" s="380">
        <v>125518</v>
      </c>
      <c r="O5" s="380">
        <v>4583510</v>
      </c>
      <c r="P5" s="381">
        <v>26803695</v>
      </c>
      <c r="Q5" s="31" t="s">
        <v>25</v>
      </c>
      <c r="R5" s="376">
        <f>IF(表1_8612182224267282[[#This Row],[目标国家]]="魏",0,IF(表1_8612182224267282[[#This Row],[目标国家]]="蜀",1,2))</f>
        <v>0</v>
      </c>
      <c r="S5" s="380">
        <v>166534</v>
      </c>
      <c r="T5" s="380">
        <v>167504</v>
      </c>
      <c r="U5" s="380">
        <v>1190520</v>
      </c>
      <c r="V5" s="380">
        <v>17637</v>
      </c>
      <c r="W5" s="374">
        <v>1408809</v>
      </c>
      <c r="X5" s="387" t="str">
        <f>"{"&amp;"'coin':"&amp;表1_8612182224267282[[#This Row],[补偿Coin]]&amp;",'"&amp;配置!$A$2&amp;"':"&amp;表1_8612182224267282[[#This Row],[补偿辎重]]&amp;"},"</f>
        <v>{'coin':1000,'item036':10},</v>
      </c>
      <c r="Y5" s="388" t="str">
        <f>"      '"&amp;表1_8612182224267282[[#This Row],[区服]]&amp;"':{"</f>
        <v>      '5084':{</v>
      </c>
    </row>
    <row r="6" s="354" customFormat="1" ht="14.25" customHeight="1" spans="1:25">
      <c r="A6" s="371">
        <v>5084</v>
      </c>
      <c r="B6" s="371">
        <f>VLOOKUP(表1_8612182224267282[[#This Row],[区服]],$P$59:$Q$76,2,FALSE)</f>
        <v>47</v>
      </c>
      <c r="C6" s="372" t="s">
        <v>157</v>
      </c>
      <c r="D6" s="376" t="str">
        <f>表1_8612182224267282[[#This Row],[目标国家]]</f>
        <v>蜀</v>
      </c>
      <c r="E6" s="380">
        <f>(VLOOKUP(表1_8612182224267282[[#This Row],[目标区服]],$R$59:$S$66,2,FALSE)-表1_8612182224267282[[#This Row],[开服天数]])*配置!$B$1</f>
        <v>1000</v>
      </c>
      <c r="F6" s="380">
        <f>表1_8612182224267282[[#This Row],[补偿Coin]]*(表1_8612182224267282[[#This Row],[活跃高战玩家数]]+表1_8612182224267282[[#This Row],[活跃中坚玩家数]])</f>
        <v>21000</v>
      </c>
      <c r="G6" s="380">
        <f>(VLOOKUP(表1_8612182224267282[[#This Row],[目标区服]],$R$59:$S$66,2,FALSE)-表1_8612182224267282[[#This Row],[开服天数]])*配置!$B$2</f>
        <v>10</v>
      </c>
      <c r="H6" s="376" t="s">
        <v>26</v>
      </c>
      <c r="I6" s="376">
        <f>IF(表1_8612182224267282[[#This Row],[原国家]]="魏",0,IF(表1_8612182224267282[[#This Row],[原国家]]="蜀",1,2))</f>
        <v>1</v>
      </c>
      <c r="J6" s="380">
        <v>1</v>
      </c>
      <c r="K6" s="380">
        <v>123</v>
      </c>
      <c r="L6" s="380">
        <v>3</v>
      </c>
      <c r="M6" s="380">
        <v>18</v>
      </c>
      <c r="N6" s="380">
        <v>84088</v>
      </c>
      <c r="O6" s="380">
        <v>1675316</v>
      </c>
      <c r="P6" s="381">
        <v>13819326</v>
      </c>
      <c r="Q6" s="31" t="s">
        <v>26</v>
      </c>
      <c r="R6" s="376">
        <f>IF(表1_8612182224267282[[#This Row],[目标国家]]="魏",0,IF(表1_8612182224267282[[#This Row],[目标国家]]="蜀",1,2))</f>
        <v>1</v>
      </c>
      <c r="S6" s="380">
        <v>30640</v>
      </c>
      <c r="T6" s="380">
        <v>0</v>
      </c>
      <c r="U6" s="380">
        <v>180986</v>
      </c>
      <c r="V6" s="380">
        <v>5817</v>
      </c>
      <c r="W6" s="374">
        <v>461736</v>
      </c>
      <c r="X6" s="387" t="str">
        <f>"{"&amp;"'coin':"&amp;表1_8612182224267282[[#This Row],[补偿Coin]]&amp;",'"&amp;配置!$A$2&amp;"':"&amp;表1_8612182224267282[[#This Row],[补偿辎重]]&amp;"},"</f>
        <v>{'coin':1000,'item036':10},</v>
      </c>
      <c r="Y6" s="388" t="str">
        <f>"            'to_zone':'"&amp;表1_8612182224267282[[#This Row],[目标区服]]&amp;"',
            'reward':"&amp;表1_8612182224267282[[#This Row],[辅助导出]]&amp;"
            'country':["&amp;R5&amp;","&amp;R6&amp;","&amp;R7&amp;"],"</f>
        <v>            'to_zone':'h1_538',
            'reward':{'coin':1000,'item036':10},
            'country':[0,1,1],</v>
      </c>
    </row>
    <row r="7" s="354" customFormat="1" ht="14.25" customHeight="1" spans="1:25">
      <c r="A7" s="371">
        <v>5084</v>
      </c>
      <c r="B7" s="371">
        <f>VLOOKUP(表1_8612182224267282[[#This Row],[区服]],$P$59:$Q$76,2,FALSE)</f>
        <v>47</v>
      </c>
      <c r="C7" s="372" t="s">
        <v>157</v>
      </c>
      <c r="D7" s="376" t="str">
        <f>表1_8612182224267282[[#This Row],[目标国家]]</f>
        <v>蜀</v>
      </c>
      <c r="E7" s="380">
        <f>(VLOOKUP(表1_8612182224267282[[#This Row],[目标区服]],$R$59:$S$66,2,FALSE)-表1_8612182224267282[[#This Row],[开服天数]])*配置!$B$1</f>
        <v>1000</v>
      </c>
      <c r="F7" s="380">
        <f>表1_8612182224267282[[#This Row],[补偿Coin]]*(表1_8612182224267282[[#This Row],[活跃高战玩家数]]+表1_8612182224267282[[#This Row],[活跃中坚玩家数]])</f>
        <v>18000</v>
      </c>
      <c r="G7" s="380">
        <f>(VLOOKUP(表1_8612182224267282[[#This Row],[目标区服]],$R$59:$S$66,2,FALSE)-表1_8612182224267282[[#This Row],[开服天数]])*配置!$B$2</f>
        <v>10</v>
      </c>
      <c r="H7" s="376" t="s">
        <v>27</v>
      </c>
      <c r="I7" s="376">
        <f>IF(表1_8612182224267282[[#This Row],[原国家]]="魏",0,IF(表1_8612182224267282[[#This Row],[原国家]]="蜀",1,2))</f>
        <v>2</v>
      </c>
      <c r="J7" s="380">
        <v>2</v>
      </c>
      <c r="K7" s="380">
        <v>84</v>
      </c>
      <c r="L7" s="380">
        <v>1</v>
      </c>
      <c r="M7" s="380">
        <v>17</v>
      </c>
      <c r="N7" s="380">
        <v>79246</v>
      </c>
      <c r="O7" s="380">
        <v>2186028</v>
      </c>
      <c r="P7" s="381">
        <v>14157387</v>
      </c>
      <c r="Q7" s="31" t="s">
        <v>26</v>
      </c>
      <c r="R7" s="376">
        <f>IF(表1_8612182224267282[[#This Row],[目标国家]]="魏",0,IF(表1_8612182224267282[[#This Row],[目标国家]]="蜀",1,2))</f>
        <v>1</v>
      </c>
      <c r="S7" s="380">
        <v>4810</v>
      </c>
      <c r="T7" s="380">
        <v>61770</v>
      </c>
      <c r="U7" s="380">
        <v>478639</v>
      </c>
      <c r="V7" s="380">
        <v>6039</v>
      </c>
      <c r="W7" s="374">
        <v>963314</v>
      </c>
      <c r="X7" s="387" t="str">
        <f>"{"&amp;"'coin':"&amp;表1_8612182224267282[[#This Row],[补偿Coin]]&amp;",'"&amp;配置!$A$2&amp;"':"&amp;表1_8612182224267282[[#This Row],[补偿辎重]]&amp;"},"</f>
        <v>{'coin':1000,'item036':10},</v>
      </c>
      <c r="Y7" s="388" t="str">
        <f t="shared" ref="Y7" si="0">"      },"</f>
        <v>      },</v>
      </c>
    </row>
    <row r="8" s="354" customFormat="1" ht="14.25" customHeight="1" spans="1:25">
      <c r="A8" s="375">
        <v>5085</v>
      </c>
      <c r="B8" s="371">
        <f>VLOOKUP(表1_8612182224267282[[#This Row],[区服]],$P$59:$Q$76,2,FALSE)</f>
        <v>46</v>
      </c>
      <c r="C8" s="372" t="s">
        <v>157</v>
      </c>
      <c r="D8" s="376" t="str">
        <f>表1_8612182224267282[[#This Row],[目标国家]]</f>
        <v>魏</v>
      </c>
      <c r="E8" s="380">
        <f>(VLOOKUP(表1_8612182224267282[[#This Row],[目标区服]],$R$59:$S$66,2,FALSE)-表1_8612182224267282[[#This Row],[开服天数]])*配置!$B$1</f>
        <v>1500</v>
      </c>
      <c r="F8" s="380">
        <f>表1_8612182224267282[[#This Row],[补偿Coin]]*(表1_8612182224267282[[#This Row],[活跃高战玩家数]]+表1_8612182224267282[[#This Row],[活跃中坚玩家数]])</f>
        <v>27000</v>
      </c>
      <c r="G8" s="490">
        <f>(VLOOKUP(表1_8612182224267282[[#This Row],[目标区服]],$R$59:$S$66,2,FALSE)-表1_8612182224267282[[#This Row],[开服天数]])*配置!$B$2</f>
        <v>15</v>
      </c>
      <c r="H8" s="376" t="s">
        <v>25</v>
      </c>
      <c r="I8" s="491">
        <f>IF(表1_8612182224267282[[#This Row],[原国家]]="魏",0,IF(表1_8612182224267282[[#This Row],[原国家]]="蜀",1,2))</f>
        <v>0</v>
      </c>
      <c r="J8" s="380">
        <v>6</v>
      </c>
      <c r="K8" s="380">
        <v>183</v>
      </c>
      <c r="L8" s="380">
        <v>3</v>
      </c>
      <c r="M8" s="380">
        <v>15</v>
      </c>
      <c r="N8" s="380">
        <v>87619</v>
      </c>
      <c r="O8" s="492">
        <v>1892508</v>
      </c>
      <c r="P8" s="381">
        <v>14345013</v>
      </c>
      <c r="Q8" s="493" t="s">
        <v>25</v>
      </c>
      <c r="R8" s="376">
        <f>IF(表1_8612182224267282[[#This Row],[目标国家]]="魏",0,IF(表1_8612182224267282[[#This Row],[目标国家]]="蜀",1,2))</f>
        <v>0</v>
      </c>
      <c r="S8" s="380">
        <v>13422</v>
      </c>
      <c r="T8" s="380">
        <v>0</v>
      </c>
      <c r="U8" s="380">
        <v>329751</v>
      </c>
      <c r="V8" s="380">
        <v>6762</v>
      </c>
      <c r="W8" s="380">
        <v>596103</v>
      </c>
      <c r="X8" s="494" t="str">
        <f>"{"&amp;"'coin':"&amp;表1_8612182224267282[[#This Row],[补偿Coin]]&amp;",'"&amp;配置!$A$2&amp;"':"&amp;表1_8612182224267282[[#This Row],[补偿辎重]]&amp;"},"</f>
        <v>{'coin':1500,'item036':15},</v>
      </c>
      <c r="Y8" s="494" t="str">
        <f>"      '"&amp;表1_8612182224267282[[#This Row],[区服]]&amp;"':{"</f>
        <v>      '5085':{</v>
      </c>
    </row>
    <row r="9" s="354" customFormat="1" ht="14.25" customHeight="1" spans="1:25">
      <c r="A9" s="375">
        <v>5085</v>
      </c>
      <c r="B9" s="371">
        <f>VLOOKUP(表1_8612182224267282[[#This Row],[区服]],$P$59:$Q$76,2,FALSE)</f>
        <v>46</v>
      </c>
      <c r="C9" s="372" t="s">
        <v>157</v>
      </c>
      <c r="D9" s="376" t="str">
        <f>表1_8612182224267282[[#This Row],[目标国家]]</f>
        <v>蜀</v>
      </c>
      <c r="E9" s="380">
        <f>(VLOOKUP(表1_8612182224267282[[#This Row],[目标区服]],$R$59:$S$66,2,FALSE)-表1_8612182224267282[[#This Row],[开服天数]])*配置!$B$1</f>
        <v>1500</v>
      </c>
      <c r="F9" s="380">
        <f>表1_8612182224267282[[#This Row],[补偿Coin]]*(表1_8612182224267282[[#This Row],[活跃高战玩家数]]+表1_8612182224267282[[#This Row],[活跃中坚玩家数]])</f>
        <v>27000</v>
      </c>
      <c r="G9" s="490">
        <f>(VLOOKUP(表1_8612182224267282[[#This Row],[目标区服]],$R$59:$S$66,2,FALSE)-表1_8612182224267282[[#This Row],[开服天数]])*配置!$B$2</f>
        <v>15</v>
      </c>
      <c r="H9" s="376" t="s">
        <v>26</v>
      </c>
      <c r="I9" s="491">
        <f>IF(表1_8612182224267282[[#This Row],[原国家]]="魏",0,IF(表1_8612182224267282[[#This Row],[原国家]]="蜀",1,2))</f>
        <v>1</v>
      </c>
      <c r="J9" s="380">
        <v>3</v>
      </c>
      <c r="K9" s="380">
        <v>151</v>
      </c>
      <c r="L9" s="380">
        <v>2</v>
      </c>
      <c r="M9" s="380">
        <v>16</v>
      </c>
      <c r="N9" s="380">
        <v>85352</v>
      </c>
      <c r="O9" s="492">
        <v>2191966</v>
      </c>
      <c r="P9" s="381">
        <v>14305709</v>
      </c>
      <c r="Q9" s="493" t="s">
        <v>26</v>
      </c>
      <c r="R9" s="376">
        <f>IF(表1_8612182224267282[[#This Row],[目标国家]]="魏",0,IF(表1_8612182224267282[[#This Row],[目标国家]]="蜀",1,2))</f>
        <v>1</v>
      </c>
      <c r="S9" s="380">
        <v>21104</v>
      </c>
      <c r="T9" s="380">
        <v>0</v>
      </c>
      <c r="U9" s="380">
        <v>215884</v>
      </c>
      <c r="V9" s="380">
        <v>6600</v>
      </c>
      <c r="W9" s="380">
        <v>610879</v>
      </c>
      <c r="X9" s="494" t="str">
        <f>"{"&amp;"'coin':"&amp;表1_8612182224267282[[#This Row],[补偿Coin]]&amp;",'"&amp;配置!$A$2&amp;"':"&amp;表1_8612182224267282[[#This Row],[补偿辎重]]&amp;"},"</f>
        <v>{'coin':1500,'item036':15},</v>
      </c>
      <c r="Y9" s="494" t="str">
        <f>"            'to_zone':'"&amp;表1_8612182224267282[[#This Row],[目标区服]]&amp;"',
            'reward':"&amp;表1_8612182224267282[[#This Row],[辅助导出]]&amp;"
            'country':["&amp;R8&amp;","&amp;R9&amp;","&amp;R10&amp;"],"</f>
        <v>            'to_zone':'h1_538',
            'reward':{'coin':1500,'item036':15},
            'country':[0,1,1],</v>
      </c>
    </row>
    <row r="10" s="354" customFormat="1" ht="14.25" customHeight="1" spans="1:25">
      <c r="A10" s="375">
        <v>5085</v>
      </c>
      <c r="B10" s="371">
        <f>VLOOKUP(表1_8612182224267282[[#This Row],[区服]],$P$59:$Q$76,2,FALSE)</f>
        <v>46</v>
      </c>
      <c r="C10" s="372" t="s">
        <v>157</v>
      </c>
      <c r="D10" s="376" t="str">
        <f>表1_8612182224267282[[#This Row],[目标国家]]</f>
        <v>蜀</v>
      </c>
      <c r="E10" s="380">
        <f>(VLOOKUP(表1_8612182224267282[[#This Row],[目标区服]],$R$59:$S$66,2,FALSE)-表1_8612182224267282[[#This Row],[开服天数]])*配置!$B$1</f>
        <v>1500</v>
      </c>
      <c r="F10" s="380">
        <f>表1_8612182224267282[[#This Row],[补偿Coin]]*(表1_8612182224267282[[#This Row],[活跃高战玩家数]]+表1_8612182224267282[[#This Row],[活跃中坚玩家数]])</f>
        <v>40500</v>
      </c>
      <c r="G10" s="490">
        <f>(VLOOKUP(表1_8612182224267282[[#This Row],[目标区服]],$R$59:$S$66,2,FALSE)-表1_8612182224267282[[#This Row],[开服天数]])*配置!$B$2</f>
        <v>15</v>
      </c>
      <c r="H10" s="376" t="s">
        <v>27</v>
      </c>
      <c r="I10" s="491">
        <f>IF(表1_8612182224267282[[#This Row],[原国家]]="魏",0,IF(表1_8612182224267282[[#This Row],[原国家]]="蜀",1,2))</f>
        <v>2</v>
      </c>
      <c r="J10" s="380">
        <v>0</v>
      </c>
      <c r="K10" s="380">
        <v>61</v>
      </c>
      <c r="L10" s="380">
        <v>5</v>
      </c>
      <c r="M10" s="380">
        <v>22</v>
      </c>
      <c r="N10" s="380">
        <v>129296</v>
      </c>
      <c r="O10" s="492">
        <v>2208436</v>
      </c>
      <c r="P10" s="381">
        <v>22082643</v>
      </c>
      <c r="Q10" s="493" t="s">
        <v>26</v>
      </c>
      <c r="R10" s="376">
        <f>IF(表1_8612182224267282[[#This Row],[目标国家]]="魏",0,IF(表1_8612182224267282[[#This Row],[目标国家]]="蜀",1,2))</f>
        <v>1</v>
      </c>
      <c r="S10" s="380">
        <v>28954</v>
      </c>
      <c r="T10" s="380">
        <v>0</v>
      </c>
      <c r="U10" s="380">
        <v>744760</v>
      </c>
      <c r="V10" s="380">
        <v>6914</v>
      </c>
      <c r="W10" s="380">
        <v>595215</v>
      </c>
      <c r="X10" s="494" t="str">
        <f>"{"&amp;"'coin':"&amp;表1_8612182224267282[[#This Row],[补偿Coin]]&amp;",'"&amp;配置!$A$2&amp;"':"&amp;表1_8612182224267282[[#This Row],[补偿辎重]]&amp;"},"</f>
        <v>{'coin':1500,'item036':15},</v>
      </c>
      <c r="Y10" s="494" t="str">
        <f>"      },"</f>
        <v>      },</v>
      </c>
    </row>
    <row r="11" s="354" customFormat="1" ht="14.25" customHeight="1" spans="1:25">
      <c r="A11" s="259">
        <v>5086</v>
      </c>
      <c r="B11" s="210">
        <f>VLOOKUP(表1_8612182224267282[[#This Row],[区服]],$P$59:$Q$76,2,FALSE)</f>
        <v>46</v>
      </c>
      <c r="C11" s="296" t="s">
        <v>158</v>
      </c>
      <c r="D11" s="212" t="str">
        <f>表1_8612182224267282[[#This Row],[目标国家]]</f>
        <v>魏</v>
      </c>
      <c r="E11" s="213">
        <f>(VLOOKUP(表1_8612182224267282[[#This Row],[目标区服]],$R$59:$S$66,2,FALSE)-表1_8612182224267282[[#This Row],[开服天数]])*配置!$B$1</f>
        <v>1000</v>
      </c>
      <c r="F11" s="213">
        <f>表1_8612182224267282[[#This Row],[补偿Coin]]*(表1_8612182224267282[[#This Row],[活跃高战玩家数]]+表1_8612182224267282[[#This Row],[活跃中坚玩家数]])</f>
        <v>17000</v>
      </c>
      <c r="G11" s="260">
        <f>(VLOOKUP(表1_8612182224267282[[#This Row],[目标区服]],$R$59:$S$66,2,FALSE)-表1_8612182224267282[[#This Row],[开服天数]])*配置!$B$2</f>
        <v>10</v>
      </c>
      <c r="H11" s="212" t="s">
        <v>25</v>
      </c>
      <c r="I11" s="268">
        <f>IF(表1_8612182224267282[[#This Row],[原国家]]="魏",0,IF(表1_8612182224267282[[#This Row],[原国家]]="蜀",1,2))</f>
        <v>0</v>
      </c>
      <c r="J11" s="213">
        <v>3</v>
      </c>
      <c r="K11" s="213">
        <v>86</v>
      </c>
      <c r="L11" s="213">
        <v>2</v>
      </c>
      <c r="M11" s="213">
        <v>15</v>
      </c>
      <c r="N11" s="213">
        <v>68314</v>
      </c>
      <c r="O11" s="419">
        <v>2309176</v>
      </c>
      <c r="P11" s="420">
        <v>14716273</v>
      </c>
      <c r="Q11" s="243" t="s">
        <v>25</v>
      </c>
      <c r="R11" s="212">
        <f>IF(表1_8612182224267282[[#This Row],[目标国家]]="魏",0,IF(表1_8612182224267282[[#This Row],[目标国家]]="蜀",1,2))</f>
        <v>0</v>
      </c>
      <c r="S11" s="213">
        <v>82880</v>
      </c>
      <c r="T11" s="213">
        <v>0</v>
      </c>
      <c r="U11" s="213">
        <v>432819</v>
      </c>
      <c r="V11" s="213">
        <v>7985</v>
      </c>
      <c r="W11" s="213">
        <v>758610</v>
      </c>
      <c r="X11" s="278" t="str">
        <f>"{"&amp;"'coin':"&amp;表1_8612182224267282[[#This Row],[补偿Coin]]&amp;",'"&amp;配置!$A$2&amp;"':"&amp;表1_8612182224267282[[#This Row],[补偿辎重]]&amp;"},"</f>
        <v>{'coin':1000,'item036':10},</v>
      </c>
      <c r="Y11" s="278" t="str">
        <f>"      '"&amp;表1_8612182224267282[[#This Row],[区服]]&amp;"':{"</f>
        <v>      '5086':{</v>
      </c>
    </row>
    <row r="12" s="354" customFormat="1" ht="14.25" customHeight="1" spans="1:25">
      <c r="A12" s="259">
        <v>5086</v>
      </c>
      <c r="B12" s="210">
        <f>VLOOKUP(表1_8612182224267282[[#This Row],[区服]],$P$59:$Q$76,2,FALSE)</f>
        <v>46</v>
      </c>
      <c r="C12" s="296" t="s">
        <v>158</v>
      </c>
      <c r="D12" s="212" t="str">
        <f>表1_8612182224267282[[#This Row],[目标国家]]</f>
        <v>蜀</v>
      </c>
      <c r="E12" s="213">
        <f>(VLOOKUP(表1_8612182224267282[[#This Row],[目标区服]],$R$59:$S$66,2,FALSE)-表1_8612182224267282[[#This Row],[开服天数]])*配置!$B$1</f>
        <v>1000</v>
      </c>
      <c r="F12" s="213">
        <f>表1_8612182224267282[[#This Row],[补偿Coin]]*(表1_8612182224267282[[#This Row],[活跃高战玩家数]]+表1_8612182224267282[[#This Row],[活跃中坚玩家数]])</f>
        <v>28000</v>
      </c>
      <c r="G12" s="260">
        <f>(VLOOKUP(表1_8612182224267282[[#This Row],[目标区服]],$R$59:$S$66,2,FALSE)-表1_8612182224267282[[#This Row],[开服天数]])*配置!$B$2</f>
        <v>10</v>
      </c>
      <c r="H12" s="212" t="s">
        <v>26</v>
      </c>
      <c r="I12" s="268">
        <f>IF(表1_8612182224267282[[#This Row],[原国家]]="魏",0,IF(表1_8612182224267282[[#This Row],[原国家]]="蜀",1,2))</f>
        <v>1</v>
      </c>
      <c r="J12" s="213">
        <v>3</v>
      </c>
      <c r="K12" s="213">
        <v>166</v>
      </c>
      <c r="L12" s="213">
        <v>4</v>
      </c>
      <c r="M12" s="213">
        <v>24</v>
      </c>
      <c r="N12" s="213">
        <v>114253</v>
      </c>
      <c r="O12" s="419">
        <v>2929099</v>
      </c>
      <c r="P12" s="420">
        <v>23583506</v>
      </c>
      <c r="Q12" s="243" t="s">
        <v>26</v>
      </c>
      <c r="R12" s="212">
        <f>IF(表1_8612182224267282[[#This Row],[目标国家]]="魏",0,IF(表1_8612182224267282[[#This Row],[目标国家]]="蜀",1,2))</f>
        <v>1</v>
      </c>
      <c r="S12" s="213">
        <v>83590</v>
      </c>
      <c r="T12" s="213">
        <v>0</v>
      </c>
      <c r="U12" s="213">
        <v>296661</v>
      </c>
      <c r="V12" s="213">
        <v>10474</v>
      </c>
      <c r="W12" s="213">
        <v>761250</v>
      </c>
      <c r="X12" s="278" t="str">
        <f>"{"&amp;"'coin':"&amp;表1_8612182224267282[[#This Row],[补偿Coin]]&amp;",'"&amp;配置!$A$2&amp;"':"&amp;表1_8612182224267282[[#This Row],[补偿辎重]]&amp;"},"</f>
        <v>{'coin':1000,'item036':10},</v>
      </c>
      <c r="Y12" s="278" t="str">
        <f>"            'to_zone':'"&amp;表1_8612182224267282[[#This Row],[目标区服]]&amp;"',
            'reward':"&amp;表1_8612182224267282[[#This Row],[辅助导出]]&amp;"
            'country':["&amp;R11&amp;","&amp;R12&amp;","&amp;R13&amp;"],"</f>
        <v>            'to_zone':'h1_539',
            'reward':{'coin':1000,'item036':10},
            'country':[0,1,0],</v>
      </c>
    </row>
    <row r="13" s="354" customFormat="1" ht="14.25" customHeight="1" spans="1:25">
      <c r="A13" s="259">
        <v>5086</v>
      </c>
      <c r="B13" s="210">
        <f>VLOOKUP(表1_8612182224267282[[#This Row],[区服]],$P$59:$Q$76,2,FALSE)</f>
        <v>46</v>
      </c>
      <c r="C13" s="296" t="s">
        <v>158</v>
      </c>
      <c r="D13" s="212" t="str">
        <f>表1_8612182224267282[[#This Row],[目标国家]]</f>
        <v>魏</v>
      </c>
      <c r="E13" s="213">
        <f>(VLOOKUP(表1_8612182224267282[[#This Row],[目标区服]],$R$59:$S$66,2,FALSE)-表1_8612182224267282[[#This Row],[开服天数]])*配置!$B$1</f>
        <v>1000</v>
      </c>
      <c r="F13" s="213">
        <f>表1_8612182224267282[[#This Row],[补偿Coin]]*(表1_8612182224267282[[#This Row],[活跃高战玩家数]]+表1_8612182224267282[[#This Row],[活跃中坚玩家数]])</f>
        <v>27000</v>
      </c>
      <c r="G13" s="260">
        <f>(VLOOKUP(表1_8612182224267282[[#This Row],[目标区服]],$R$59:$S$66,2,FALSE)-表1_8612182224267282[[#This Row],[开服天数]])*配置!$B$2</f>
        <v>10</v>
      </c>
      <c r="H13" s="212" t="s">
        <v>27</v>
      </c>
      <c r="I13" s="268">
        <f>IF(表1_8612182224267282[[#This Row],[原国家]]="魏",0,IF(表1_8612182224267282[[#This Row],[原国家]]="蜀",1,2))</f>
        <v>2</v>
      </c>
      <c r="J13" s="213">
        <v>3</v>
      </c>
      <c r="K13" s="213">
        <v>143</v>
      </c>
      <c r="L13" s="213">
        <v>4</v>
      </c>
      <c r="M13" s="213">
        <v>23</v>
      </c>
      <c r="N13" s="213">
        <v>125809</v>
      </c>
      <c r="O13" s="419">
        <v>2276520</v>
      </c>
      <c r="P13" s="420">
        <v>24347854</v>
      </c>
      <c r="Q13" s="243" t="s">
        <v>25</v>
      </c>
      <c r="R13" s="212">
        <f>IF(表1_8612182224267282[[#This Row],[目标国家]]="魏",0,IF(表1_8612182224267282[[#This Row],[目标国家]]="蜀",1,2))</f>
        <v>0</v>
      </c>
      <c r="S13" s="213">
        <v>65206</v>
      </c>
      <c r="T13" s="213">
        <v>0</v>
      </c>
      <c r="U13" s="213">
        <v>315515</v>
      </c>
      <c r="V13" s="213">
        <v>9184</v>
      </c>
      <c r="W13" s="213">
        <v>628026</v>
      </c>
      <c r="X13" s="278" t="str">
        <f>"{"&amp;"'coin':"&amp;表1_8612182224267282[[#This Row],[补偿Coin]]&amp;",'"&amp;配置!$A$2&amp;"':"&amp;表1_8612182224267282[[#This Row],[补偿辎重]]&amp;"},"</f>
        <v>{'coin':1000,'item036':10},</v>
      </c>
      <c r="Y13" s="278" t="str">
        <f t="shared" ref="Y13" si="1">"      },"</f>
        <v>      },</v>
      </c>
    </row>
    <row r="14" ht="14.25" customHeight="1" spans="1:25">
      <c r="A14" s="210">
        <v>5087</v>
      </c>
      <c r="B14" s="210">
        <f>VLOOKUP(表1_8612182224267282[[#This Row],[区服]],$P$59:$Q$76,2,FALSE)</f>
        <v>45</v>
      </c>
      <c r="C14" s="296" t="s">
        <v>158</v>
      </c>
      <c r="D14" s="212" t="str">
        <f>表1_8612182224267282[[#This Row],[目标国家]]</f>
        <v>魏</v>
      </c>
      <c r="E14" s="213">
        <f>(VLOOKUP(表1_8612182224267282[[#This Row],[目标区服]],$R$59:$S$66,2,FALSE)-表1_8612182224267282[[#This Row],[开服天数]])*配置!$B$1</f>
        <v>1500</v>
      </c>
      <c r="F14" s="213">
        <f>表1_8612182224267282[[#This Row],[补偿Coin]]*(表1_8612182224267282[[#This Row],[活跃高战玩家数]]+表1_8612182224267282[[#This Row],[活跃中坚玩家数]])</f>
        <v>24000</v>
      </c>
      <c r="G14" s="213">
        <f>(VLOOKUP(表1_8612182224267282[[#This Row],[目标区服]],$R$59:$S$66,2,FALSE)-表1_8612182224267282[[#This Row],[开服天数]])*配置!$B$2</f>
        <v>15</v>
      </c>
      <c r="H14" s="212" t="s">
        <v>25</v>
      </c>
      <c r="I14" s="212">
        <f>IF(表1_8612182224267282[[#This Row],[原国家]]="魏",0,IF(表1_8612182224267282[[#This Row],[原国家]]="蜀",1,2))</f>
        <v>0</v>
      </c>
      <c r="J14" s="213">
        <v>0</v>
      </c>
      <c r="K14" s="213">
        <v>44</v>
      </c>
      <c r="L14" s="213">
        <v>2</v>
      </c>
      <c r="M14" s="213">
        <v>14</v>
      </c>
      <c r="N14" s="213">
        <v>55811</v>
      </c>
      <c r="O14" s="213">
        <v>2190172</v>
      </c>
      <c r="P14" s="420">
        <v>11681024</v>
      </c>
      <c r="Q14" s="243" t="s">
        <v>25</v>
      </c>
      <c r="R14" s="212">
        <f>IF(表1_8612182224267282[[#This Row],[目标国家]]="魏",0,IF(表1_8612182224267282[[#This Row],[目标国家]]="蜀",1,2))</f>
        <v>0</v>
      </c>
      <c r="S14" s="213">
        <v>48122</v>
      </c>
      <c r="T14" s="213">
        <v>0</v>
      </c>
      <c r="U14" s="213">
        <v>216893</v>
      </c>
      <c r="V14" s="213">
        <v>5629</v>
      </c>
      <c r="W14" s="68">
        <v>752500</v>
      </c>
      <c r="X14" s="245" t="str">
        <f>"{"&amp;"'coin':"&amp;表1_8612182224267282[[#This Row],[补偿Coin]]&amp;",'"&amp;配置!$A$2&amp;"':"&amp;表1_8612182224267282[[#This Row],[补偿辎重]]&amp;"},"</f>
        <v>{'coin':1500,'item036':15},</v>
      </c>
      <c r="Y14" s="254" t="str">
        <f>"      '"&amp;表1_8612182224267282[[#This Row],[区服]]&amp;"':{"</f>
        <v>      '5087':{</v>
      </c>
    </row>
    <row r="15" ht="14.25" customHeight="1" spans="1:25">
      <c r="A15" s="210">
        <v>5087</v>
      </c>
      <c r="B15" s="210">
        <f>VLOOKUP(表1_8612182224267282[[#This Row],[区服]],$P$59:$Q$76,2,FALSE)</f>
        <v>45</v>
      </c>
      <c r="C15" s="296" t="s">
        <v>158</v>
      </c>
      <c r="D15" s="212" t="str">
        <f>表1_8612182224267282[[#This Row],[目标国家]]</f>
        <v>蜀</v>
      </c>
      <c r="E15" s="213">
        <f>(VLOOKUP(表1_8612182224267282[[#This Row],[目标区服]],$R$59:$S$66,2,FALSE)-表1_8612182224267282[[#This Row],[开服天数]])*配置!$B$1</f>
        <v>1500</v>
      </c>
      <c r="F15" s="213">
        <f>表1_8612182224267282[[#This Row],[补偿Coin]]*(表1_8612182224267282[[#This Row],[活跃高战玩家数]]+表1_8612182224267282[[#This Row],[活跃中坚玩家数]])</f>
        <v>31500</v>
      </c>
      <c r="G15" s="213">
        <f>(VLOOKUP(表1_8612182224267282[[#This Row],[目标区服]],$R$59:$S$66,2,FALSE)-表1_8612182224267282[[#This Row],[开服天数]])*配置!$B$2</f>
        <v>15</v>
      </c>
      <c r="H15" s="212" t="s">
        <v>26</v>
      </c>
      <c r="I15" s="212">
        <f>IF(表1_8612182224267282[[#This Row],[原国家]]="魏",0,IF(表1_8612182224267282[[#This Row],[原国家]]="蜀",1,2))</f>
        <v>1</v>
      </c>
      <c r="J15" s="213">
        <v>0</v>
      </c>
      <c r="K15" s="213">
        <v>50</v>
      </c>
      <c r="L15" s="213">
        <v>2</v>
      </c>
      <c r="M15" s="213">
        <v>19</v>
      </c>
      <c r="N15" s="213">
        <v>81299</v>
      </c>
      <c r="O15" s="213">
        <v>2471690</v>
      </c>
      <c r="P15" s="420">
        <v>15894419</v>
      </c>
      <c r="Q15" s="243" t="s">
        <v>26</v>
      </c>
      <c r="R15" s="212">
        <f>IF(表1_8612182224267282[[#This Row],[目标国家]]="魏",0,IF(表1_8612182224267282[[#This Row],[目标国家]]="蜀",1,2))</f>
        <v>1</v>
      </c>
      <c r="S15" s="213">
        <v>67756</v>
      </c>
      <c r="T15" s="213">
        <v>0</v>
      </c>
      <c r="U15" s="213">
        <v>161529</v>
      </c>
      <c r="V15" s="213">
        <v>7081</v>
      </c>
      <c r="W15" s="68">
        <v>766555</v>
      </c>
      <c r="X15" s="245" t="str">
        <f>"{"&amp;"'coin':"&amp;表1_8612182224267282[[#This Row],[补偿Coin]]&amp;",'"&amp;配置!$A$2&amp;"':"&amp;表1_8612182224267282[[#This Row],[补偿辎重]]&amp;"},"</f>
        <v>{'coin':1500,'item036':15},</v>
      </c>
      <c r="Y15" s="254" t="str">
        <f>"            'to_zone':'"&amp;表1_8612182224267282[[#This Row],[目标区服]]&amp;"',
            'reward':"&amp;表1_8612182224267282[[#This Row],[辅助导出]]&amp;"
            'country':["&amp;R14&amp;","&amp;R15&amp;","&amp;R16&amp;"],"</f>
        <v>            'to_zone':'h1_539',
            'reward':{'coin':1500,'item036':15},
            'country':[0,1,2],</v>
      </c>
    </row>
    <row r="16" ht="14.25" customHeight="1" spans="1:25">
      <c r="A16" s="210">
        <v>5087</v>
      </c>
      <c r="B16" s="210">
        <f>VLOOKUP(表1_8612182224267282[[#This Row],[区服]],$P$59:$Q$76,2,FALSE)</f>
        <v>45</v>
      </c>
      <c r="C16" s="296" t="s">
        <v>158</v>
      </c>
      <c r="D16" s="212" t="str">
        <f>表1_8612182224267282[[#This Row],[目标国家]]</f>
        <v>吴</v>
      </c>
      <c r="E16" s="213">
        <f>(VLOOKUP(表1_8612182224267282[[#This Row],[目标区服]],$R$59:$S$66,2,FALSE)-表1_8612182224267282[[#This Row],[开服天数]])*配置!$B$1</f>
        <v>1500</v>
      </c>
      <c r="F16" s="213">
        <f>表1_8612182224267282[[#This Row],[补偿Coin]]*(表1_8612182224267282[[#This Row],[活跃高战玩家数]]+表1_8612182224267282[[#This Row],[活跃中坚玩家数]])</f>
        <v>45000</v>
      </c>
      <c r="G16" s="213">
        <f>(VLOOKUP(表1_8612182224267282[[#This Row],[目标区服]],$R$59:$S$66,2,FALSE)-表1_8612182224267282[[#This Row],[开服天数]])*配置!$B$2</f>
        <v>15</v>
      </c>
      <c r="H16" s="212" t="s">
        <v>27</v>
      </c>
      <c r="I16" s="212">
        <f>IF(表1_8612182224267282[[#This Row],[原国家]]="魏",0,IF(表1_8612182224267282[[#This Row],[原国家]]="蜀",1,2))</f>
        <v>2</v>
      </c>
      <c r="J16" s="213">
        <v>9</v>
      </c>
      <c r="K16" s="213">
        <v>301</v>
      </c>
      <c r="L16" s="213">
        <v>6</v>
      </c>
      <c r="M16" s="213">
        <v>24</v>
      </c>
      <c r="N16" s="213">
        <v>149667</v>
      </c>
      <c r="O16" s="213">
        <v>4430783</v>
      </c>
      <c r="P16" s="420">
        <v>30880422</v>
      </c>
      <c r="Q16" s="243" t="s">
        <v>27</v>
      </c>
      <c r="R16" s="212">
        <f>IF(表1_8612182224267282[[#This Row],[目标国家]]="魏",0,IF(表1_8612182224267282[[#This Row],[目标国家]]="蜀",1,2))</f>
        <v>2</v>
      </c>
      <c r="S16" s="213">
        <v>228748</v>
      </c>
      <c r="T16" s="213">
        <v>0</v>
      </c>
      <c r="U16" s="213">
        <v>1161609</v>
      </c>
      <c r="V16" s="213">
        <v>19620</v>
      </c>
      <c r="W16" s="68">
        <v>1141228</v>
      </c>
      <c r="X16" s="245" t="str">
        <f>"{"&amp;"'coin':"&amp;表1_8612182224267282[[#This Row],[补偿Coin]]&amp;",'"&amp;配置!$A$2&amp;"':"&amp;表1_8612182224267282[[#This Row],[补偿辎重]]&amp;"},"</f>
        <v>{'coin':1500,'item036':15},</v>
      </c>
      <c r="Y16" s="254" t="str">
        <f t="shared" ref="Y16" si="2">"      },"</f>
        <v>      },</v>
      </c>
    </row>
    <row r="17" ht="14.25" customHeight="1" spans="1:25">
      <c r="A17" s="17">
        <v>5088</v>
      </c>
      <c r="B17" s="17">
        <f>VLOOKUP(表1_8612182224267282[[#This Row],[区服]],$P$59:$Q$76,2,FALSE)</f>
        <v>45</v>
      </c>
      <c r="C17" s="18" t="s">
        <v>159</v>
      </c>
      <c r="D17" s="19" t="str">
        <f>表1_8612182224267282[[#This Row],[目标国家]]</f>
        <v>魏</v>
      </c>
      <c r="E17" s="20">
        <f>(VLOOKUP(表1_8612182224267282[[#This Row],[目标区服]],$R$59:$S$66,2,FALSE)-表1_8612182224267282[[#This Row],[开服天数]])*配置!$B$1</f>
        <v>1000</v>
      </c>
      <c r="F17" s="20">
        <f>表1_8612182224267282[[#This Row],[补偿Coin]]*(表1_8612182224267282[[#This Row],[活跃高战玩家数]]+表1_8612182224267282[[#This Row],[活跃中坚玩家数]])</f>
        <v>19000</v>
      </c>
      <c r="G17" s="20">
        <f>(VLOOKUP(表1_8612182224267282[[#This Row],[目标区服]],$R$59:$S$66,2,FALSE)-表1_8612182224267282[[#This Row],[开服天数]])*配置!$B$2</f>
        <v>10</v>
      </c>
      <c r="H17" s="19" t="s">
        <v>25</v>
      </c>
      <c r="I17" s="19">
        <f>IF(表1_8612182224267282[[#This Row],[原国家]]="魏",0,IF(表1_8612182224267282[[#This Row],[原国家]]="蜀",1,2))</f>
        <v>0</v>
      </c>
      <c r="J17" s="20">
        <v>3</v>
      </c>
      <c r="K17" s="20">
        <v>121</v>
      </c>
      <c r="L17" s="20">
        <v>2</v>
      </c>
      <c r="M17" s="20">
        <v>17</v>
      </c>
      <c r="N17" s="20">
        <v>85927</v>
      </c>
      <c r="O17" s="20">
        <v>2583365</v>
      </c>
      <c r="P17" s="26">
        <v>13899314</v>
      </c>
      <c r="Q17" s="31" t="s">
        <v>25</v>
      </c>
      <c r="R17" s="19">
        <f>IF(表1_8612182224267282[[#This Row],[目标国家]]="魏",0,IF(表1_8612182224267282[[#This Row],[目标国家]]="蜀",1,2))</f>
        <v>0</v>
      </c>
      <c r="S17" s="20">
        <v>52428</v>
      </c>
      <c r="T17" s="20">
        <v>0</v>
      </c>
      <c r="U17" s="20">
        <v>485724</v>
      </c>
      <c r="V17" s="20">
        <v>7728</v>
      </c>
      <c r="W17" s="32">
        <v>925728</v>
      </c>
      <c r="X17" s="33" t="str">
        <f>"{"&amp;"'coin':"&amp;表1_8612182224267282[[#This Row],[补偿Coin]]&amp;",'"&amp;配置!$A$2&amp;"':"&amp;表1_8612182224267282[[#This Row],[补偿辎重]]&amp;"},"</f>
        <v>{'coin':1000,'item036':10},</v>
      </c>
      <c r="Y17" s="34" t="str">
        <f>"      '"&amp;表1_8612182224267282[[#This Row],[区服]]&amp;"':{"</f>
        <v>      '5088':{</v>
      </c>
    </row>
    <row r="18" ht="14.25" customHeight="1" spans="1:25">
      <c r="A18" s="17">
        <v>5088</v>
      </c>
      <c r="B18" s="17">
        <f>VLOOKUP(表1_8612182224267282[[#This Row],[区服]],$P$59:$Q$76,2,FALSE)</f>
        <v>45</v>
      </c>
      <c r="C18" s="18" t="s">
        <v>159</v>
      </c>
      <c r="D18" s="19" t="str">
        <f>表1_8612182224267282[[#This Row],[目标国家]]</f>
        <v>吴</v>
      </c>
      <c r="E18" s="20">
        <f>(VLOOKUP(表1_8612182224267282[[#This Row],[目标区服]],$R$59:$S$66,2,FALSE)-表1_8612182224267282[[#This Row],[开服天数]])*配置!$B$1</f>
        <v>1000</v>
      </c>
      <c r="F18" s="20">
        <f>表1_8612182224267282[[#This Row],[补偿Coin]]*(表1_8612182224267282[[#This Row],[活跃高战玩家数]]+表1_8612182224267282[[#This Row],[活跃中坚玩家数]])</f>
        <v>23000</v>
      </c>
      <c r="G18" s="20">
        <f>(VLOOKUP(表1_8612182224267282[[#This Row],[目标区服]],$R$59:$S$66,2,FALSE)-表1_8612182224267282[[#This Row],[开服天数]])*配置!$B$2</f>
        <v>10</v>
      </c>
      <c r="H18" s="19" t="s">
        <v>26</v>
      </c>
      <c r="I18" s="19">
        <f>IF(表1_8612182224267282[[#This Row],[原国家]]="魏",0,IF(表1_8612182224267282[[#This Row],[原国家]]="蜀",1,2))</f>
        <v>1</v>
      </c>
      <c r="J18" s="20">
        <v>3</v>
      </c>
      <c r="K18" s="20">
        <v>160</v>
      </c>
      <c r="L18" s="20">
        <v>5</v>
      </c>
      <c r="M18" s="20">
        <v>18</v>
      </c>
      <c r="N18" s="20">
        <v>114611</v>
      </c>
      <c r="O18" s="20">
        <v>1806940</v>
      </c>
      <c r="P18" s="26">
        <v>16163149</v>
      </c>
      <c r="Q18" s="31" t="s">
        <v>27</v>
      </c>
      <c r="R18" s="19">
        <f>IF(表1_8612182224267282[[#This Row],[目标国家]]="魏",0,IF(表1_8612182224267282[[#This Row],[目标国家]]="蜀",1,2))</f>
        <v>2</v>
      </c>
      <c r="S18" s="20">
        <v>37878</v>
      </c>
      <c r="T18" s="20">
        <v>0</v>
      </c>
      <c r="U18" s="20">
        <v>365966</v>
      </c>
      <c r="V18" s="20">
        <v>7215</v>
      </c>
      <c r="W18" s="32">
        <v>530244</v>
      </c>
      <c r="X18" s="33" t="str">
        <f>"{"&amp;"'coin':"&amp;表1_8612182224267282[[#This Row],[补偿Coin]]&amp;",'"&amp;配置!$A$2&amp;"':"&amp;表1_8612182224267282[[#This Row],[补偿辎重]]&amp;"},"</f>
        <v>{'coin':1000,'item036':10},</v>
      </c>
      <c r="Y18" s="34" t="str">
        <f>"            'to_zone':'"&amp;表1_8612182224267282[[#This Row],[目标区服]]&amp;"',
            'reward':"&amp;表1_8612182224267282[[#This Row],[辅助导出]]&amp;"
            'country':["&amp;R17&amp;","&amp;R18&amp;","&amp;R19&amp;"],"</f>
        <v>            'to_zone':'h1_540',
            'reward':{'coin':1000,'item036':10},
            'country':[0,2,2],</v>
      </c>
    </row>
    <row r="19" ht="14.25" customHeight="1" spans="1:25">
      <c r="A19" s="17">
        <v>5088</v>
      </c>
      <c r="B19" s="17">
        <f>VLOOKUP(表1_8612182224267282[[#This Row],[区服]],$P$59:$Q$76,2,FALSE)</f>
        <v>45</v>
      </c>
      <c r="C19" s="18" t="s">
        <v>159</v>
      </c>
      <c r="D19" s="19" t="str">
        <f>表1_8612182224267282[[#This Row],[目标国家]]</f>
        <v>吴</v>
      </c>
      <c r="E19" s="20">
        <f>(VLOOKUP(表1_8612182224267282[[#This Row],[目标区服]],$R$59:$S$66,2,FALSE)-表1_8612182224267282[[#This Row],[开服天数]])*配置!$B$1</f>
        <v>1000</v>
      </c>
      <c r="F19" s="20">
        <f>表1_8612182224267282[[#This Row],[补偿Coin]]*(表1_8612182224267282[[#This Row],[活跃高战玩家数]]+表1_8612182224267282[[#This Row],[活跃中坚玩家数]])</f>
        <v>19000</v>
      </c>
      <c r="G19" s="20">
        <f>(VLOOKUP(表1_8612182224267282[[#This Row],[目标区服]],$R$59:$S$66,2,FALSE)-表1_8612182224267282[[#This Row],[开服天数]])*配置!$B$2</f>
        <v>10</v>
      </c>
      <c r="H19" s="19" t="s">
        <v>27</v>
      </c>
      <c r="I19" s="19">
        <f>IF(表1_8612182224267282[[#This Row],[原国家]]="魏",0,IF(表1_8612182224267282[[#This Row],[原国家]]="蜀",1,2))</f>
        <v>2</v>
      </c>
      <c r="J19" s="20">
        <v>3</v>
      </c>
      <c r="K19" s="20">
        <v>114</v>
      </c>
      <c r="L19" s="20">
        <v>3</v>
      </c>
      <c r="M19" s="20">
        <v>16</v>
      </c>
      <c r="N19" s="20">
        <v>92072</v>
      </c>
      <c r="O19" s="20">
        <v>2490936</v>
      </c>
      <c r="P19" s="26">
        <v>14445975</v>
      </c>
      <c r="Q19" s="31" t="s">
        <v>27</v>
      </c>
      <c r="R19" s="19">
        <f>IF(表1_8612182224267282[[#This Row],[目标国家]]="魏",0,IF(表1_8612182224267282[[#This Row],[目标国家]]="蜀",1,2))</f>
        <v>2</v>
      </c>
      <c r="S19" s="20">
        <v>96862</v>
      </c>
      <c r="T19" s="20">
        <v>0</v>
      </c>
      <c r="U19" s="20">
        <v>287126</v>
      </c>
      <c r="V19" s="20">
        <v>8885</v>
      </c>
      <c r="W19" s="32">
        <v>915826</v>
      </c>
      <c r="X19" s="33" t="str">
        <f>"{"&amp;"'coin':"&amp;表1_8612182224267282[[#This Row],[补偿Coin]]&amp;",'"&amp;配置!$A$2&amp;"':"&amp;表1_8612182224267282[[#This Row],[补偿辎重]]&amp;"},"</f>
        <v>{'coin':1000,'item036':10},</v>
      </c>
      <c r="Y19" s="34" t="str">
        <f t="shared" ref="Y19" si="3">"      },"</f>
        <v>      },</v>
      </c>
    </row>
    <row r="20" ht="14.25" customHeight="1" spans="1:25">
      <c r="A20" s="17">
        <v>5089</v>
      </c>
      <c r="B20" s="17">
        <f>VLOOKUP(表1_8612182224267282[[#This Row],[区服]],$P$59:$Q$76,2,FALSE)</f>
        <v>45</v>
      </c>
      <c r="C20" s="18" t="s">
        <v>159</v>
      </c>
      <c r="D20" s="19" t="str">
        <f>表1_8612182224267282[[#This Row],[目标国家]]</f>
        <v>蜀</v>
      </c>
      <c r="E20" s="20">
        <f>(VLOOKUP(表1_8612182224267282[[#This Row],[目标区服]],$R$59:$S$66,2,FALSE)-表1_8612182224267282[[#This Row],[开服天数]])*配置!$B$1</f>
        <v>1000</v>
      </c>
      <c r="F20" s="20">
        <f>表1_8612182224267282[[#This Row],[补偿Coin]]*(表1_8612182224267282[[#This Row],[活跃高战玩家数]]+表1_8612182224267282[[#This Row],[活跃中坚玩家数]])</f>
        <v>16000</v>
      </c>
      <c r="G20" s="20">
        <f>(VLOOKUP(表1_8612182224267282[[#This Row],[目标区服]],$R$59:$S$66,2,FALSE)-表1_8612182224267282[[#This Row],[开服天数]])*配置!$B$2</f>
        <v>10</v>
      </c>
      <c r="H20" s="19" t="s">
        <v>25</v>
      </c>
      <c r="I20" s="19">
        <f>IF(表1_8612182224267282[[#This Row],[原国家]]="魏",0,IF(表1_8612182224267282[[#This Row],[原国家]]="蜀",1,2))</f>
        <v>0</v>
      </c>
      <c r="J20" s="20">
        <v>0</v>
      </c>
      <c r="K20" s="20">
        <v>70</v>
      </c>
      <c r="L20" s="20">
        <v>0</v>
      </c>
      <c r="M20" s="20">
        <v>16</v>
      </c>
      <c r="N20" s="20">
        <v>41340</v>
      </c>
      <c r="O20" s="20">
        <v>1239790</v>
      </c>
      <c r="P20" s="26">
        <v>7854882</v>
      </c>
      <c r="Q20" s="31" t="s">
        <v>26</v>
      </c>
      <c r="R20" s="19">
        <f>IF(表1_8612182224267282[[#This Row],[目标国家]]="魏",0,IF(表1_8612182224267282[[#This Row],[目标国家]]="蜀",1,2))</f>
        <v>1</v>
      </c>
      <c r="S20" s="20">
        <v>9136</v>
      </c>
      <c r="T20" s="20">
        <v>0</v>
      </c>
      <c r="U20" s="20">
        <v>76874</v>
      </c>
      <c r="V20" s="20">
        <v>3244</v>
      </c>
      <c r="W20" s="32">
        <v>387924</v>
      </c>
      <c r="X20" s="33" t="str">
        <f>"{"&amp;"'coin':"&amp;表1_8612182224267282[[#This Row],[补偿Coin]]&amp;",'"&amp;配置!$A$2&amp;"':"&amp;表1_8612182224267282[[#This Row],[补偿辎重]]&amp;"},"</f>
        <v>{'coin':1000,'item036':10},</v>
      </c>
      <c r="Y20" s="34" t="str">
        <f>"      '"&amp;表1_8612182224267282[[#This Row],[区服]]&amp;"':{"</f>
        <v>      '5089':{</v>
      </c>
    </row>
    <row r="21" ht="14.25" customHeight="1" spans="1:25">
      <c r="A21" s="17">
        <v>5089</v>
      </c>
      <c r="B21" s="17">
        <f>VLOOKUP(表1_8612182224267282[[#This Row],[区服]],$P$59:$Q$76,2,FALSE)</f>
        <v>45</v>
      </c>
      <c r="C21" s="18" t="s">
        <v>159</v>
      </c>
      <c r="D21" s="19" t="str">
        <f>表1_8612182224267282[[#This Row],[目标国家]]</f>
        <v>魏</v>
      </c>
      <c r="E21" s="20">
        <f>(VLOOKUP(表1_8612182224267282[[#This Row],[目标区服]],$R$59:$S$66,2,FALSE)-表1_8612182224267282[[#This Row],[开服天数]])*配置!$B$1</f>
        <v>1000</v>
      </c>
      <c r="F21" s="20">
        <f>表1_8612182224267282[[#This Row],[补偿Coin]]*(表1_8612182224267282[[#This Row],[活跃高战玩家数]]+表1_8612182224267282[[#This Row],[活跃中坚玩家数]])</f>
        <v>30000</v>
      </c>
      <c r="G21" s="20">
        <f>(VLOOKUP(表1_8612182224267282[[#This Row],[目标区服]],$R$59:$S$66,2,FALSE)-表1_8612182224267282[[#This Row],[开服天数]])*配置!$B$2</f>
        <v>10</v>
      </c>
      <c r="H21" s="19" t="s">
        <v>26</v>
      </c>
      <c r="I21" s="19">
        <f>IF(表1_8612182224267282[[#This Row],[原国家]]="魏",0,IF(表1_8612182224267282[[#This Row],[原国家]]="蜀",1,2))</f>
        <v>1</v>
      </c>
      <c r="J21" s="20">
        <v>5</v>
      </c>
      <c r="K21" s="20">
        <v>205</v>
      </c>
      <c r="L21" s="20">
        <v>5</v>
      </c>
      <c r="M21" s="20">
        <v>25</v>
      </c>
      <c r="N21" s="20">
        <v>135770</v>
      </c>
      <c r="O21" s="20">
        <v>3284227</v>
      </c>
      <c r="P21" s="26">
        <v>25323519</v>
      </c>
      <c r="Q21" s="31" t="s">
        <v>25</v>
      </c>
      <c r="R21" s="19">
        <f>IF(表1_8612182224267282[[#This Row],[目标国家]]="魏",0,IF(表1_8612182224267282[[#This Row],[目标国家]]="蜀",1,2))</f>
        <v>0</v>
      </c>
      <c r="S21" s="20">
        <v>107652</v>
      </c>
      <c r="T21" s="20">
        <v>0</v>
      </c>
      <c r="U21" s="20">
        <v>717624</v>
      </c>
      <c r="V21" s="20">
        <v>12633</v>
      </c>
      <c r="W21" s="32">
        <v>858025</v>
      </c>
      <c r="X21" s="33" t="str">
        <f>"{"&amp;"'coin':"&amp;表1_8612182224267282[[#This Row],[补偿Coin]]&amp;",'"&amp;配置!$A$2&amp;"':"&amp;表1_8612182224267282[[#This Row],[补偿辎重]]&amp;"},"</f>
        <v>{'coin':1000,'item036':10},</v>
      </c>
      <c r="Y21" s="34" t="str">
        <f>"            'to_zone':'"&amp;表1_8612182224267282[[#This Row],[目标区服]]&amp;"',
            'reward':"&amp;表1_8612182224267282[[#This Row],[辅助导出]]&amp;"
            'country':["&amp;R20&amp;","&amp;R21&amp;","&amp;R22&amp;"],"</f>
        <v>            'to_zone':'h1_540',
            'reward':{'coin':1000,'item036':10},
            'country':[1,0,1],</v>
      </c>
    </row>
    <row r="22" ht="14.25" customHeight="1" spans="1:25">
      <c r="A22" s="17">
        <v>5089</v>
      </c>
      <c r="B22" s="17">
        <f>VLOOKUP(表1_8612182224267282[[#This Row],[区服]],$P$59:$Q$76,2,FALSE)</f>
        <v>45</v>
      </c>
      <c r="C22" s="18" t="s">
        <v>159</v>
      </c>
      <c r="D22" s="19" t="str">
        <f>表1_8612182224267282[[#This Row],[目标国家]]</f>
        <v>蜀</v>
      </c>
      <c r="E22" s="20">
        <f>(VLOOKUP(表1_8612182224267282[[#This Row],[目标区服]],$R$59:$S$66,2,FALSE)-表1_8612182224267282[[#This Row],[开服天数]])*配置!$B$1</f>
        <v>1000</v>
      </c>
      <c r="F22" s="20">
        <f>表1_8612182224267282[[#This Row],[补偿Coin]]*(表1_8612182224267282[[#This Row],[活跃高战玩家数]]+表1_8612182224267282[[#This Row],[活跃中坚玩家数]])</f>
        <v>29000</v>
      </c>
      <c r="G22" s="20">
        <f>(VLOOKUP(表1_8612182224267282[[#This Row],[目标区服]],$R$59:$S$66,2,FALSE)-表1_8612182224267282[[#This Row],[开服天数]])*配置!$B$2</f>
        <v>10</v>
      </c>
      <c r="H22" s="19" t="s">
        <v>27</v>
      </c>
      <c r="I22" s="19">
        <f>IF(表1_8612182224267282[[#This Row],[原国家]]="魏",0,IF(表1_8612182224267282[[#This Row],[原国家]]="蜀",1,2))</f>
        <v>2</v>
      </c>
      <c r="J22" s="20">
        <v>4</v>
      </c>
      <c r="K22" s="20">
        <v>120</v>
      </c>
      <c r="L22" s="20">
        <v>5</v>
      </c>
      <c r="M22" s="20">
        <v>24</v>
      </c>
      <c r="N22" s="20">
        <v>126286</v>
      </c>
      <c r="O22" s="20">
        <v>3149077</v>
      </c>
      <c r="P22" s="26">
        <v>23352141</v>
      </c>
      <c r="Q22" s="31" t="s">
        <v>26</v>
      </c>
      <c r="R22" s="19">
        <f>IF(表1_8612182224267282[[#This Row],[目标国家]]="魏",0,IF(表1_8612182224267282[[#This Row],[目标国家]]="蜀",1,2))</f>
        <v>1</v>
      </c>
      <c r="S22" s="20">
        <v>154140</v>
      </c>
      <c r="T22" s="20">
        <v>0</v>
      </c>
      <c r="U22" s="20">
        <v>476261</v>
      </c>
      <c r="V22" s="20">
        <v>12578</v>
      </c>
      <c r="W22" s="32">
        <v>947176</v>
      </c>
      <c r="X22" s="33" t="str">
        <f>"{"&amp;"'coin':"&amp;表1_8612182224267282[[#This Row],[补偿Coin]]&amp;",'"&amp;配置!$A$2&amp;"':"&amp;表1_8612182224267282[[#This Row],[补偿辎重]]&amp;"},"</f>
        <v>{'coin':1000,'item036':10},</v>
      </c>
      <c r="Y22" s="34" t="str">
        <f t="shared" ref="Y22" si="4">"      },"</f>
        <v>      },</v>
      </c>
    </row>
    <row r="23" ht="14.25" customHeight="1" spans="1:25">
      <c r="A23" s="371">
        <v>5090</v>
      </c>
      <c r="B23" s="371">
        <f>VLOOKUP(表1_8612182224267282[[#This Row],[区服]],$P$59:$Q$76,2,FALSE)</f>
        <v>44</v>
      </c>
      <c r="C23" s="537" t="s">
        <v>160</v>
      </c>
      <c r="D23" s="376" t="str">
        <f>表1_8612182224267282[[#This Row],[目标国家]]</f>
        <v>魏</v>
      </c>
      <c r="E23" s="499">
        <f>(VLOOKUP(表1_8612182224267282[[#This Row],[目标区服]],$R$59:$S$66,2,FALSE)-表1_8612182224267282[[#This Row],[开服天数]])*配置!$B$1</f>
        <v>1000</v>
      </c>
      <c r="F23" s="380">
        <f>表1_8612182224267282[[#This Row],[补偿Coin]]*(表1_8612182224267282[[#This Row],[活跃高战玩家数]]+表1_8612182224267282[[#This Row],[活跃中坚玩家数]])</f>
        <v>6000</v>
      </c>
      <c r="G23" s="490">
        <f>(VLOOKUP(表1_8612182224267282[[#This Row],[目标区服]],$R$59:$S$66,2,FALSE)-表1_8612182224267282[[#This Row],[开服天数]])*配置!$B$2</f>
        <v>10</v>
      </c>
      <c r="H23" s="376" t="s">
        <v>25</v>
      </c>
      <c r="I23" s="491">
        <f>IF(表1_8612182224267282[[#This Row],[原国家]]="魏",0,IF(表1_8612182224267282[[#This Row],[原国家]]="蜀",1,2))</f>
        <v>0</v>
      </c>
      <c r="J23" s="380">
        <v>0</v>
      </c>
      <c r="K23" s="380">
        <v>15</v>
      </c>
      <c r="L23" s="380">
        <v>0</v>
      </c>
      <c r="M23" s="380">
        <v>6</v>
      </c>
      <c r="N23" s="380">
        <v>29331</v>
      </c>
      <c r="O23" s="492">
        <v>1014007</v>
      </c>
      <c r="P23" s="381">
        <v>3660399</v>
      </c>
      <c r="Q23" s="493" t="s">
        <v>25</v>
      </c>
      <c r="R23" s="376">
        <f>IF(表1_8612182224267282[[#This Row],[目标国家]]="魏",0,IF(表1_8612182224267282[[#This Row],[目标国家]]="蜀",1,2))</f>
        <v>0</v>
      </c>
      <c r="S23" s="380">
        <v>5306</v>
      </c>
      <c r="T23" s="380">
        <v>0</v>
      </c>
      <c r="U23" s="380">
        <v>104493</v>
      </c>
      <c r="V23" s="380">
        <v>1888</v>
      </c>
      <c r="W23" s="505">
        <v>332897</v>
      </c>
      <c r="X23" s="494" t="str">
        <f>"{"&amp;"'coin':"&amp;表1_8612182224267282[[#This Row],[补偿Coin]]&amp;",'"&amp;配置!$A$2&amp;"':"&amp;表1_8612182224267282[[#This Row],[补偿辎重]]&amp;"},"</f>
        <v>{'coin':1000,'item036':10},</v>
      </c>
      <c r="Y23" s="388" t="str">
        <f>"      '"&amp;表1_8612182224267282[[#This Row],[区服]]&amp;"':{"</f>
        <v>      '5090':{</v>
      </c>
    </row>
    <row r="24" ht="14.25" customHeight="1" spans="1:25">
      <c r="A24" s="371">
        <v>5090</v>
      </c>
      <c r="B24" s="371">
        <f>VLOOKUP(表1_8612182224267282[[#This Row],[区服]],$P$59:$Q$76,2,FALSE)</f>
        <v>44</v>
      </c>
      <c r="C24" s="537" t="s">
        <v>160</v>
      </c>
      <c r="D24" s="376" t="str">
        <f>表1_8612182224267282[[#This Row],[目标国家]]</f>
        <v>蜀</v>
      </c>
      <c r="E24" s="499">
        <f>(VLOOKUP(表1_8612182224267282[[#This Row],[目标区服]],$R$59:$S$66,2,FALSE)-表1_8612182224267282[[#This Row],[开服天数]])*配置!$B$1</f>
        <v>1000</v>
      </c>
      <c r="F24" s="380">
        <f>表1_8612182224267282[[#This Row],[补偿Coin]]*(表1_8612182224267282[[#This Row],[活跃高战玩家数]]+表1_8612182224267282[[#This Row],[活跃中坚玩家数]])</f>
        <v>25000</v>
      </c>
      <c r="G24" s="490">
        <f>(VLOOKUP(表1_8612182224267282[[#This Row],[目标区服]],$R$59:$S$66,2,FALSE)-表1_8612182224267282[[#This Row],[开服天数]])*配置!$B$2</f>
        <v>10</v>
      </c>
      <c r="H24" s="376" t="s">
        <v>26</v>
      </c>
      <c r="I24" s="491">
        <f>IF(表1_8612182224267282[[#This Row],[原国家]]="魏",0,IF(表1_8612182224267282[[#This Row],[原国家]]="蜀",1,2))</f>
        <v>1</v>
      </c>
      <c r="J24" s="380">
        <v>9</v>
      </c>
      <c r="K24" s="380">
        <v>350</v>
      </c>
      <c r="L24" s="380">
        <v>8</v>
      </c>
      <c r="M24" s="380">
        <v>17</v>
      </c>
      <c r="N24" s="380">
        <v>155489</v>
      </c>
      <c r="O24" s="492">
        <v>3051060</v>
      </c>
      <c r="P24" s="381">
        <v>24797280</v>
      </c>
      <c r="Q24" s="493" t="s">
        <v>26</v>
      </c>
      <c r="R24" s="376">
        <f>IF(表1_8612182224267282[[#This Row],[目标国家]]="魏",0,IF(表1_8612182224267282[[#This Row],[目标国家]]="蜀",1,2))</f>
        <v>1</v>
      </c>
      <c r="S24" s="380">
        <v>113428</v>
      </c>
      <c r="T24" s="380">
        <v>0</v>
      </c>
      <c r="U24" s="380">
        <v>694061</v>
      </c>
      <c r="V24" s="380">
        <v>14458</v>
      </c>
      <c r="W24" s="505">
        <v>796483</v>
      </c>
      <c r="X24" s="494" t="str">
        <f>"{"&amp;"'coin':"&amp;表1_8612182224267282[[#This Row],[补偿Coin]]&amp;",'"&amp;配置!$A$2&amp;"':"&amp;表1_8612182224267282[[#This Row],[补偿辎重]]&amp;"},"</f>
        <v>{'coin':1000,'item036':10},</v>
      </c>
      <c r="Y24" s="388" t="str">
        <f>"            'to_zone':'"&amp;表1_8612182224267282[[#This Row],[目标区服]]&amp;"',
            'reward':"&amp;表1_8612182224267282[[#This Row],[辅助导出]]&amp;"
            'country':["&amp;R23&amp;","&amp;R24&amp;","&amp;R25&amp;"],"</f>
        <v>            'to_zone':'h1_541',
            'reward':{'coin':1000,'item036':10},
            'country':[0,1,2],</v>
      </c>
    </row>
    <row r="25" ht="14.25" customHeight="1" spans="1:25">
      <c r="A25" s="371">
        <v>5090</v>
      </c>
      <c r="B25" s="371">
        <f>VLOOKUP(表1_8612182224267282[[#This Row],[区服]],$P$59:$Q$76,2,FALSE)</f>
        <v>44</v>
      </c>
      <c r="C25" s="537" t="s">
        <v>160</v>
      </c>
      <c r="D25" s="376" t="str">
        <f>表1_8612182224267282[[#This Row],[目标国家]]</f>
        <v>吴</v>
      </c>
      <c r="E25" s="499">
        <f>(VLOOKUP(表1_8612182224267282[[#This Row],[目标区服]],$R$59:$S$66,2,FALSE)-表1_8612182224267282[[#This Row],[开服天数]])*配置!$B$1</f>
        <v>1000</v>
      </c>
      <c r="F25" s="380">
        <f>表1_8612182224267282[[#This Row],[补偿Coin]]*(表1_8612182224267282[[#This Row],[活跃高战玩家数]]+表1_8612182224267282[[#This Row],[活跃中坚玩家数]])</f>
        <v>11000</v>
      </c>
      <c r="G25" s="490">
        <f>(VLOOKUP(表1_8612182224267282[[#This Row],[目标区服]],$R$59:$S$66,2,FALSE)-表1_8612182224267282[[#This Row],[开服天数]])*配置!$B$2</f>
        <v>10</v>
      </c>
      <c r="H25" s="376" t="s">
        <v>27</v>
      </c>
      <c r="I25" s="491">
        <f>IF(表1_8612182224267282[[#This Row],[原国家]]="魏",0,IF(表1_8612182224267282[[#This Row],[原国家]]="蜀",1,2))</f>
        <v>2</v>
      </c>
      <c r="J25" s="380">
        <v>0</v>
      </c>
      <c r="K25" s="380">
        <v>30</v>
      </c>
      <c r="L25" s="380">
        <v>2</v>
      </c>
      <c r="M25" s="380">
        <v>9</v>
      </c>
      <c r="N25" s="380">
        <v>49906</v>
      </c>
      <c r="O25" s="492">
        <v>1673925</v>
      </c>
      <c r="P25" s="381">
        <v>6570270</v>
      </c>
      <c r="Q25" s="493" t="s">
        <v>27</v>
      </c>
      <c r="R25" s="376">
        <f>IF(表1_8612182224267282[[#This Row],[目标国家]]="魏",0,IF(表1_8612182224267282[[#This Row],[目标国家]]="蜀",1,2))</f>
        <v>2</v>
      </c>
      <c r="S25" s="380">
        <v>6470</v>
      </c>
      <c r="T25" s="380">
        <v>0</v>
      </c>
      <c r="U25" s="380">
        <v>119771</v>
      </c>
      <c r="V25" s="380">
        <v>3134</v>
      </c>
      <c r="W25" s="505">
        <v>518952</v>
      </c>
      <c r="X25" s="494" t="str">
        <f>"{"&amp;"'coin':"&amp;表1_8612182224267282[[#This Row],[补偿Coin]]&amp;",'"&amp;配置!$A$2&amp;"':"&amp;表1_8612182224267282[[#This Row],[补偿辎重]]&amp;"},"</f>
        <v>{'coin':1000,'item036':10},</v>
      </c>
      <c r="Y25" s="388" t="str">
        <f t="shared" ref="Y25:Y55" si="5">"      },"</f>
        <v>      },</v>
      </c>
    </row>
    <row r="26" ht="14.25" customHeight="1" spans="1:25">
      <c r="A26" s="371">
        <v>5091</v>
      </c>
      <c r="B26" s="371">
        <f>VLOOKUP(表1_8612182224267282[[#This Row],[区服]],$P$59:$Q$76,2,FALSE)</f>
        <v>44</v>
      </c>
      <c r="C26" s="537" t="s">
        <v>160</v>
      </c>
      <c r="D26" s="376" t="str">
        <f>表1_8612182224267282[[#This Row],[目标国家]]</f>
        <v>魏</v>
      </c>
      <c r="E26" s="499">
        <f>(VLOOKUP(表1_8612182224267282[[#This Row],[目标区服]],$R$59:$S$66,2,FALSE)-表1_8612182224267282[[#This Row],[开服天数]])*配置!$B$1</f>
        <v>1000</v>
      </c>
      <c r="F26" s="380">
        <f>表1_8612182224267282[[#This Row],[补偿Coin]]*(表1_8612182224267282[[#This Row],[活跃高战玩家数]]+表1_8612182224267282[[#This Row],[活跃中坚玩家数]])</f>
        <v>19000</v>
      </c>
      <c r="G26" s="490">
        <f>(VLOOKUP(表1_8612182224267282[[#This Row],[目标区服]],$R$59:$S$66,2,FALSE)-表1_8612182224267282[[#This Row],[开服天数]])*配置!$B$2</f>
        <v>10</v>
      </c>
      <c r="H26" s="376" t="s">
        <v>25</v>
      </c>
      <c r="I26" s="491">
        <f>IF(表1_8612182224267282[[#This Row],[原国家]]="魏",0,IF(表1_8612182224267282[[#This Row],[原国家]]="蜀",1,2))</f>
        <v>0</v>
      </c>
      <c r="J26" s="380">
        <v>4</v>
      </c>
      <c r="K26" s="380">
        <v>187</v>
      </c>
      <c r="L26" s="380">
        <v>5</v>
      </c>
      <c r="M26" s="380">
        <v>14</v>
      </c>
      <c r="N26" s="380">
        <v>110412</v>
      </c>
      <c r="O26" s="492">
        <v>2485206</v>
      </c>
      <c r="P26" s="381">
        <v>16125588</v>
      </c>
      <c r="Q26" s="493" t="s">
        <v>25</v>
      </c>
      <c r="R26" s="376">
        <f>IF(表1_8612182224267282[[#This Row],[目标国家]]="魏",0,IF(表1_8612182224267282[[#This Row],[目标国家]]="蜀",1,2))</f>
        <v>0</v>
      </c>
      <c r="S26" s="380">
        <v>89592</v>
      </c>
      <c r="T26" s="380">
        <v>0</v>
      </c>
      <c r="U26" s="380">
        <v>346986</v>
      </c>
      <c r="V26" s="380">
        <v>9781</v>
      </c>
      <c r="W26" s="505">
        <v>839829</v>
      </c>
      <c r="X26" s="494" t="str">
        <f>"{"&amp;"'coin':"&amp;表1_8612182224267282[[#This Row],[补偿Coin]]&amp;",'"&amp;配置!$A$2&amp;"':"&amp;表1_8612182224267282[[#This Row],[补偿辎重]]&amp;"},"</f>
        <v>{'coin':1000,'item036':10},</v>
      </c>
      <c r="Y26" s="388" t="str">
        <f>"      '"&amp;表1_8612182224267282[[#This Row],[区服]]&amp;"':{"</f>
        <v>      '5091':{</v>
      </c>
    </row>
    <row r="27" ht="14.25" customHeight="1" spans="1:25">
      <c r="A27" s="371">
        <v>5091</v>
      </c>
      <c r="B27" s="371">
        <f>VLOOKUP(表1_8612182224267282[[#This Row],[区服]],$P$59:$Q$76,2,FALSE)</f>
        <v>44</v>
      </c>
      <c r="C27" s="537" t="s">
        <v>160</v>
      </c>
      <c r="D27" s="376" t="str">
        <f>表1_8612182224267282[[#This Row],[目标国家]]</f>
        <v>魏</v>
      </c>
      <c r="E27" s="499">
        <f>(VLOOKUP(表1_8612182224267282[[#This Row],[目标区服]],$R$59:$S$66,2,FALSE)-表1_8612182224267282[[#This Row],[开服天数]])*配置!$B$1</f>
        <v>1000</v>
      </c>
      <c r="F27" s="380">
        <f>表1_8612182224267282[[#This Row],[补偿Coin]]*(表1_8612182224267282[[#This Row],[活跃高战玩家数]]+表1_8612182224267282[[#This Row],[活跃中坚玩家数]])</f>
        <v>18000</v>
      </c>
      <c r="G27" s="490">
        <f>(VLOOKUP(表1_8612182224267282[[#This Row],[目标区服]],$R$59:$S$66,2,FALSE)-表1_8612182224267282[[#This Row],[开服天数]])*配置!$B$2</f>
        <v>10</v>
      </c>
      <c r="H27" s="376" t="s">
        <v>26</v>
      </c>
      <c r="I27" s="491">
        <f>IF(表1_8612182224267282[[#This Row],[原国家]]="魏",0,IF(表1_8612182224267282[[#This Row],[原国家]]="蜀",1,2))</f>
        <v>1</v>
      </c>
      <c r="J27" s="380">
        <v>3</v>
      </c>
      <c r="K27" s="380">
        <v>141</v>
      </c>
      <c r="L27" s="380">
        <v>3</v>
      </c>
      <c r="M27" s="380">
        <v>15</v>
      </c>
      <c r="N27" s="380">
        <v>84780</v>
      </c>
      <c r="O27" s="492">
        <v>1677751</v>
      </c>
      <c r="P27" s="381">
        <v>11483206</v>
      </c>
      <c r="Q27" s="493" t="s">
        <v>25</v>
      </c>
      <c r="R27" s="376">
        <f>IF(表1_8612182224267282[[#This Row],[目标国家]]="魏",0,IF(表1_8612182224267282[[#This Row],[目标国家]]="蜀",1,2))</f>
        <v>0</v>
      </c>
      <c r="S27" s="380">
        <v>30848</v>
      </c>
      <c r="T27" s="380">
        <v>0</v>
      </c>
      <c r="U27" s="380">
        <v>207128</v>
      </c>
      <c r="V27" s="380">
        <v>5988</v>
      </c>
      <c r="W27" s="505">
        <v>534975</v>
      </c>
      <c r="X27" s="494" t="str">
        <f>"{"&amp;"'coin':"&amp;表1_8612182224267282[[#This Row],[补偿Coin]]&amp;",'"&amp;配置!$A$2&amp;"':"&amp;表1_8612182224267282[[#This Row],[补偿辎重]]&amp;"},"</f>
        <v>{'coin':1000,'item036':10},</v>
      </c>
      <c r="Y27" s="388" t="str">
        <f>"            'to_zone':'"&amp;表1_8612182224267282[[#This Row],[目标区服]]&amp;"',
            'reward':"&amp;表1_8612182224267282[[#This Row],[辅助导出]]&amp;"
            'country':["&amp;R26&amp;","&amp;R27&amp;","&amp;R28&amp;"],"</f>
        <v>            'to_zone':'h1_541',
            'reward':{'coin':1000,'item036':10},
            'country':[0,0,1],</v>
      </c>
    </row>
    <row r="28" ht="14.25" customHeight="1" spans="1:25">
      <c r="A28" s="371">
        <v>5091</v>
      </c>
      <c r="B28" s="371">
        <f>VLOOKUP(表1_8612182224267282[[#This Row],[区服]],$P$59:$Q$76,2,FALSE)</f>
        <v>44</v>
      </c>
      <c r="C28" s="537" t="s">
        <v>160</v>
      </c>
      <c r="D28" s="376" t="str">
        <f>表1_8612182224267282[[#This Row],[目标国家]]</f>
        <v>蜀</v>
      </c>
      <c r="E28" s="499">
        <f>(VLOOKUP(表1_8612182224267282[[#This Row],[目标区服]],$R$59:$S$66,2,FALSE)-表1_8612182224267282[[#This Row],[开服天数]])*配置!$B$1</f>
        <v>1000</v>
      </c>
      <c r="F28" s="380">
        <f>表1_8612182224267282[[#This Row],[补偿Coin]]*(表1_8612182224267282[[#This Row],[活跃高战玩家数]]+表1_8612182224267282[[#This Row],[活跃中坚玩家数]])</f>
        <v>20000</v>
      </c>
      <c r="G28" s="490">
        <f>(VLOOKUP(表1_8612182224267282[[#This Row],[目标区服]],$R$59:$S$66,2,FALSE)-表1_8612182224267282[[#This Row],[开服天数]])*配置!$B$2</f>
        <v>10</v>
      </c>
      <c r="H28" s="376" t="s">
        <v>27</v>
      </c>
      <c r="I28" s="491">
        <f>IF(表1_8612182224267282[[#This Row],[原国家]]="魏",0,IF(表1_8612182224267282[[#This Row],[原国家]]="蜀",1,2))</f>
        <v>2</v>
      </c>
      <c r="J28" s="380">
        <v>2</v>
      </c>
      <c r="K28" s="380">
        <v>67</v>
      </c>
      <c r="L28" s="380">
        <v>1</v>
      </c>
      <c r="M28" s="380">
        <v>19</v>
      </c>
      <c r="N28" s="380">
        <v>87666</v>
      </c>
      <c r="O28" s="492">
        <v>1151808</v>
      </c>
      <c r="P28" s="381">
        <v>10839201</v>
      </c>
      <c r="Q28" s="493" t="s">
        <v>26</v>
      </c>
      <c r="R28" s="376">
        <f>IF(表1_8612182224267282[[#This Row],[目标国家]]="魏",0,IF(表1_8612182224267282[[#This Row],[目标国家]]="蜀",1,2))</f>
        <v>1</v>
      </c>
      <c r="S28" s="380">
        <v>2104</v>
      </c>
      <c r="T28" s="380">
        <v>0</v>
      </c>
      <c r="U28" s="380">
        <v>207457</v>
      </c>
      <c r="V28" s="380">
        <v>3710</v>
      </c>
      <c r="W28" s="505">
        <v>367665</v>
      </c>
      <c r="X28" s="494" t="str">
        <f>"{"&amp;"'coin':"&amp;表1_8612182224267282[[#This Row],[补偿Coin]]&amp;",'"&amp;配置!$A$2&amp;"':"&amp;表1_8612182224267282[[#This Row],[补偿辎重]]&amp;"},"</f>
        <v>{'coin':1000,'item036':10},</v>
      </c>
      <c r="Y28" s="388" t="str">
        <f t="shared" ref="Y28:Y52" si="6">"      },"</f>
        <v>      },</v>
      </c>
    </row>
    <row r="29" ht="14.25" customHeight="1" spans="1:25">
      <c r="A29" s="371">
        <v>5092</v>
      </c>
      <c r="B29" s="371">
        <f>VLOOKUP(表1_8612182224267282[[#This Row],[区服]],$P$59:$Q$76,2,FALSE)</f>
        <v>44</v>
      </c>
      <c r="C29" s="537" t="s">
        <v>160</v>
      </c>
      <c r="D29" s="376" t="str">
        <f>表1_8612182224267282[[#This Row],[目标国家]]</f>
        <v>吴</v>
      </c>
      <c r="E29" s="499">
        <f>(VLOOKUP(表1_8612182224267282[[#This Row],[目标区服]],$R$59:$S$66,2,FALSE)-表1_8612182224267282[[#This Row],[开服天数]])*配置!$B$1</f>
        <v>1000</v>
      </c>
      <c r="F29" s="380">
        <f>表1_8612182224267282[[#This Row],[补偿Coin]]*(表1_8612182224267282[[#This Row],[活跃高战玩家数]]+表1_8612182224267282[[#This Row],[活跃中坚玩家数]])</f>
        <v>25000</v>
      </c>
      <c r="G29" s="490">
        <f>(VLOOKUP(表1_8612182224267282[[#This Row],[目标区服]],$R$59:$S$66,2,FALSE)-表1_8612182224267282[[#This Row],[开服天数]])*配置!$B$2</f>
        <v>10</v>
      </c>
      <c r="H29" s="376" t="s">
        <v>25</v>
      </c>
      <c r="I29" s="491">
        <f>IF(表1_8612182224267282[[#This Row],[原国家]]="魏",0,IF(表1_8612182224267282[[#This Row],[原国家]]="蜀",1,2))</f>
        <v>0</v>
      </c>
      <c r="J29" s="380">
        <v>9</v>
      </c>
      <c r="K29" s="380">
        <v>350</v>
      </c>
      <c r="L29" s="380">
        <v>9</v>
      </c>
      <c r="M29" s="380">
        <v>16</v>
      </c>
      <c r="N29" s="380">
        <v>165442</v>
      </c>
      <c r="O29" s="492">
        <v>2936094</v>
      </c>
      <c r="P29" s="381">
        <v>24222734</v>
      </c>
      <c r="Q29" s="493" t="s">
        <v>27</v>
      </c>
      <c r="R29" s="376">
        <f>IF(表1_8612182224267282[[#This Row],[目标国家]]="魏",0,IF(表1_8612182224267282[[#This Row],[目标国家]]="蜀",1,2))</f>
        <v>2</v>
      </c>
      <c r="S29" s="380">
        <v>108510</v>
      </c>
      <c r="T29" s="380">
        <v>0</v>
      </c>
      <c r="U29" s="380">
        <v>939533</v>
      </c>
      <c r="V29" s="380">
        <v>14310</v>
      </c>
      <c r="W29" s="505">
        <v>892826</v>
      </c>
      <c r="X29" s="494" t="str">
        <f>"{"&amp;"'coin':"&amp;表1_8612182224267282[[#This Row],[补偿Coin]]&amp;",'"&amp;配置!$A$2&amp;"':"&amp;表1_8612182224267282[[#This Row],[补偿辎重]]&amp;"},"</f>
        <v>{'coin':1000,'item036':10},</v>
      </c>
      <c r="Y29" s="388" t="str">
        <f>"      '"&amp;表1_8612182224267282[[#This Row],[区服]]&amp;"':{"</f>
        <v>      '5092':{</v>
      </c>
    </row>
    <row r="30" ht="14.25" customHeight="1" spans="1:25">
      <c r="A30" s="371">
        <v>5092</v>
      </c>
      <c r="B30" s="371">
        <f>VLOOKUP(表1_8612182224267282[[#This Row],[区服]],$P$59:$Q$76,2,FALSE)</f>
        <v>44</v>
      </c>
      <c r="C30" s="537" t="s">
        <v>160</v>
      </c>
      <c r="D30" s="376" t="str">
        <f>表1_8612182224267282[[#This Row],[目标国家]]</f>
        <v>蜀</v>
      </c>
      <c r="E30" s="499">
        <f>(VLOOKUP(表1_8612182224267282[[#This Row],[目标区服]],$R$59:$S$66,2,FALSE)-表1_8612182224267282[[#This Row],[开服天数]])*配置!$B$1</f>
        <v>1000</v>
      </c>
      <c r="F30" s="380">
        <f>表1_8612182224267282[[#This Row],[补偿Coin]]*(表1_8612182224267282[[#This Row],[活跃高战玩家数]]+表1_8612182224267282[[#This Row],[活跃中坚玩家数]])</f>
        <v>11000</v>
      </c>
      <c r="G30" s="490">
        <f>(VLOOKUP(表1_8612182224267282[[#This Row],[目标区服]],$R$59:$S$66,2,FALSE)-表1_8612182224267282[[#This Row],[开服天数]])*配置!$B$2</f>
        <v>10</v>
      </c>
      <c r="H30" s="376" t="s">
        <v>26</v>
      </c>
      <c r="I30" s="491">
        <f>IF(表1_8612182224267282[[#This Row],[原国家]]="魏",0,IF(表1_8612182224267282[[#This Row],[原国家]]="蜀",1,2))</f>
        <v>1</v>
      </c>
      <c r="J30" s="380">
        <v>0</v>
      </c>
      <c r="K30" s="380">
        <v>22</v>
      </c>
      <c r="L30" s="380">
        <v>0</v>
      </c>
      <c r="M30" s="380">
        <v>11</v>
      </c>
      <c r="N30" s="380">
        <v>47849</v>
      </c>
      <c r="O30" s="492">
        <v>904781</v>
      </c>
      <c r="P30" s="381">
        <v>5359801</v>
      </c>
      <c r="Q30" s="493" t="s">
        <v>26</v>
      </c>
      <c r="R30" s="376">
        <f>IF(表1_8612182224267282[[#This Row],[目标国家]]="魏",0,IF(表1_8612182224267282[[#This Row],[目标国家]]="蜀",1,2))</f>
        <v>1</v>
      </c>
      <c r="S30" s="380">
        <v>3056</v>
      </c>
      <c r="T30" s="380">
        <v>0</v>
      </c>
      <c r="U30" s="380">
        <v>107106</v>
      </c>
      <c r="V30" s="380">
        <v>2045</v>
      </c>
      <c r="W30" s="505">
        <v>435537</v>
      </c>
      <c r="X30" s="494" t="str">
        <f>"{"&amp;"'coin':"&amp;表1_8612182224267282[[#This Row],[补偿Coin]]&amp;",'"&amp;配置!$A$2&amp;"':"&amp;表1_8612182224267282[[#This Row],[补偿辎重]]&amp;"},"</f>
        <v>{'coin':1000,'item036':10},</v>
      </c>
      <c r="Y30" s="388" t="str">
        <f>"            'to_zone':'"&amp;表1_8612182224267282[[#This Row],[目标区服]]&amp;"',
            'reward':"&amp;表1_8612182224267282[[#This Row],[辅助导出]]&amp;"
            'country':["&amp;R29&amp;","&amp;R30&amp;","&amp;R31&amp;"],"</f>
        <v>            'to_zone':'h1_541',
            'reward':{'coin':1000,'item036':10},
            'country':[2,1,2],</v>
      </c>
    </row>
    <row r="31" ht="14.25" customHeight="1" spans="1:25">
      <c r="A31" s="371">
        <v>5092</v>
      </c>
      <c r="B31" s="371">
        <f>VLOOKUP(表1_8612182224267282[[#This Row],[区服]],$P$59:$Q$76,2,FALSE)</f>
        <v>44</v>
      </c>
      <c r="C31" s="537" t="s">
        <v>160</v>
      </c>
      <c r="D31" s="376" t="str">
        <f>表1_8612182224267282[[#This Row],[目标国家]]</f>
        <v>吴</v>
      </c>
      <c r="E31" s="499">
        <f>(VLOOKUP(表1_8612182224267282[[#This Row],[目标区服]],$R$59:$S$66,2,FALSE)-表1_8612182224267282[[#This Row],[开服天数]])*配置!$B$1</f>
        <v>1000</v>
      </c>
      <c r="F31" s="380">
        <f>表1_8612182224267282[[#This Row],[补偿Coin]]*(表1_8612182224267282[[#This Row],[活跃高战玩家数]]+表1_8612182224267282[[#This Row],[活跃中坚玩家数]])</f>
        <v>11000</v>
      </c>
      <c r="G31" s="490">
        <f>(VLOOKUP(表1_8612182224267282[[#This Row],[目标区服]],$R$59:$S$66,2,FALSE)-表1_8612182224267282[[#This Row],[开服天数]])*配置!$B$2</f>
        <v>10</v>
      </c>
      <c r="H31" s="376" t="s">
        <v>27</v>
      </c>
      <c r="I31" s="491">
        <f>IF(表1_8612182224267282[[#This Row],[原国家]]="魏",0,IF(表1_8612182224267282[[#This Row],[原国家]]="蜀",1,2))</f>
        <v>2</v>
      </c>
      <c r="J31" s="380">
        <v>0</v>
      </c>
      <c r="K31" s="380">
        <v>23</v>
      </c>
      <c r="L31" s="380">
        <v>0</v>
      </c>
      <c r="M31" s="380">
        <v>11</v>
      </c>
      <c r="N31" s="380">
        <v>43772</v>
      </c>
      <c r="O31" s="492">
        <v>784237</v>
      </c>
      <c r="P31" s="381">
        <v>4763791</v>
      </c>
      <c r="Q31" s="493" t="s">
        <v>27</v>
      </c>
      <c r="R31" s="376">
        <f>IF(表1_8612182224267282[[#This Row],[目标国家]]="魏",0,IF(表1_8612182224267282[[#This Row],[目标国家]]="蜀",1,2))</f>
        <v>2</v>
      </c>
      <c r="S31" s="380">
        <v>4500</v>
      </c>
      <c r="T31" s="380">
        <v>0</v>
      </c>
      <c r="U31" s="380">
        <v>93394</v>
      </c>
      <c r="V31" s="380">
        <v>1891</v>
      </c>
      <c r="W31" s="505">
        <v>237881</v>
      </c>
      <c r="X31" s="494" t="str">
        <f>"{"&amp;"'coin':"&amp;表1_8612182224267282[[#This Row],[补偿Coin]]&amp;",'"&amp;配置!$A$2&amp;"':"&amp;表1_8612182224267282[[#This Row],[补偿辎重]]&amp;"},"</f>
        <v>{'coin':1000,'item036':10},</v>
      </c>
      <c r="Y31" s="388" t="str">
        <f t="shared" si="5"/>
        <v>      },</v>
      </c>
    </row>
    <row r="32" ht="14.25" customHeight="1" spans="1:25">
      <c r="A32" s="210">
        <v>5093</v>
      </c>
      <c r="B32" s="210">
        <f>VLOOKUP(表1_8612182224267282[[#This Row],[区服]],$P$59:$Q$76,2,FALSE)</f>
        <v>43</v>
      </c>
      <c r="C32" s="538" t="s">
        <v>161</v>
      </c>
      <c r="D32" s="212" t="str">
        <f>表1_8612182224267282[[#This Row],[目标国家]]</f>
        <v>吴</v>
      </c>
      <c r="E32" s="437">
        <f>(VLOOKUP(表1_8612182224267282[[#This Row],[目标区服]],$R$59:$S$66,2,FALSE)-表1_8612182224267282[[#This Row],[开服天数]])*配置!$B$1</f>
        <v>1000</v>
      </c>
      <c r="F32" s="213">
        <f>表1_8612182224267282[[#This Row],[补偿Coin]]*(表1_8612182224267282[[#This Row],[活跃高战玩家数]]+表1_8612182224267282[[#This Row],[活跃中坚玩家数]])</f>
        <v>17000</v>
      </c>
      <c r="G32" s="260">
        <f>(VLOOKUP(表1_8612182224267282[[#This Row],[目标区服]],$R$59:$S$66,2,FALSE)-表1_8612182224267282[[#This Row],[开服天数]])*配置!$B$2</f>
        <v>10</v>
      </c>
      <c r="H32" s="212" t="s">
        <v>25</v>
      </c>
      <c r="I32" s="268">
        <f>IF(表1_8612182224267282[[#This Row],[原国家]]="魏",0,IF(表1_8612182224267282[[#This Row],[原国家]]="蜀",1,2))</f>
        <v>0</v>
      </c>
      <c r="J32" s="213">
        <v>3</v>
      </c>
      <c r="K32" s="213">
        <v>140</v>
      </c>
      <c r="L32" s="213">
        <v>5</v>
      </c>
      <c r="M32" s="213">
        <v>12</v>
      </c>
      <c r="N32" s="213">
        <v>94664</v>
      </c>
      <c r="O32" s="419">
        <v>2301263</v>
      </c>
      <c r="P32" s="420">
        <v>15669859</v>
      </c>
      <c r="Q32" s="243" t="s">
        <v>27</v>
      </c>
      <c r="R32" s="212">
        <f>IF(表1_8612182224267282[[#This Row],[目标国家]]="魏",0,IF(表1_8612182224267282[[#This Row],[目标国家]]="蜀",1,2))</f>
        <v>2</v>
      </c>
      <c r="S32" s="213">
        <v>52108</v>
      </c>
      <c r="T32" s="213">
        <v>0</v>
      </c>
      <c r="U32" s="213">
        <v>437286</v>
      </c>
      <c r="V32" s="213">
        <v>7823</v>
      </c>
      <c r="W32" s="506">
        <v>710864</v>
      </c>
      <c r="X32" s="278" t="str">
        <f>"{"&amp;"'coin':"&amp;表1_8612182224267282[[#This Row],[补偿Coin]]&amp;",'"&amp;配置!$A$2&amp;"':"&amp;表1_8612182224267282[[#This Row],[补偿辎重]]&amp;"},"</f>
        <v>{'coin':1000,'item036':10},</v>
      </c>
      <c r="Y32" s="254" t="str">
        <f>"      '"&amp;表1_8612182224267282[[#This Row],[区服]]&amp;"':{"</f>
        <v>      '5093':{</v>
      </c>
    </row>
    <row r="33" ht="14.25" customHeight="1" spans="1:25">
      <c r="A33" s="210">
        <v>5093</v>
      </c>
      <c r="B33" s="210">
        <f>VLOOKUP(表1_8612182224267282[[#This Row],[区服]],$P$59:$Q$76,2,FALSE)</f>
        <v>43</v>
      </c>
      <c r="C33" s="538" t="s">
        <v>161</v>
      </c>
      <c r="D33" s="212" t="str">
        <f>表1_8612182224267282[[#This Row],[目标国家]]</f>
        <v>蜀</v>
      </c>
      <c r="E33" s="437">
        <f>(VLOOKUP(表1_8612182224267282[[#This Row],[目标区服]],$R$59:$S$66,2,FALSE)-表1_8612182224267282[[#This Row],[开服天数]])*配置!$B$1</f>
        <v>1000</v>
      </c>
      <c r="F33" s="213">
        <f>表1_8612182224267282[[#This Row],[补偿Coin]]*(表1_8612182224267282[[#This Row],[活跃高战玩家数]]+表1_8612182224267282[[#This Row],[活跃中坚玩家数]])</f>
        <v>33000</v>
      </c>
      <c r="G33" s="260">
        <f>(VLOOKUP(表1_8612182224267282[[#This Row],[目标区服]],$R$59:$S$66,2,FALSE)-表1_8612182224267282[[#This Row],[开服天数]])*配置!$B$2</f>
        <v>10</v>
      </c>
      <c r="H33" s="212" t="s">
        <v>26</v>
      </c>
      <c r="I33" s="268">
        <f>IF(表1_8612182224267282[[#This Row],[原国家]]="魏",0,IF(表1_8612182224267282[[#This Row],[原国家]]="蜀",1,2))</f>
        <v>1</v>
      </c>
      <c r="J33" s="213">
        <v>5</v>
      </c>
      <c r="K33" s="213">
        <v>195</v>
      </c>
      <c r="L33" s="213">
        <v>5</v>
      </c>
      <c r="M33" s="213">
        <v>28</v>
      </c>
      <c r="N33" s="213">
        <v>170187</v>
      </c>
      <c r="O33" s="419">
        <v>2589035</v>
      </c>
      <c r="P33" s="420">
        <v>27352110</v>
      </c>
      <c r="Q33" s="243" t="s">
        <v>26</v>
      </c>
      <c r="R33" s="212">
        <f>IF(表1_8612182224267282[[#This Row],[目标国家]]="魏",0,IF(表1_8612182224267282[[#This Row],[目标国家]]="蜀",1,2))</f>
        <v>1</v>
      </c>
      <c r="S33" s="213">
        <v>85736</v>
      </c>
      <c r="T33" s="213">
        <v>0</v>
      </c>
      <c r="U33" s="213">
        <v>693581</v>
      </c>
      <c r="V33" s="213">
        <v>11544</v>
      </c>
      <c r="W33" s="506">
        <v>778724</v>
      </c>
      <c r="X33" s="278" t="str">
        <f>"{"&amp;"'coin':"&amp;表1_8612182224267282[[#This Row],[补偿Coin]]&amp;",'"&amp;配置!$A$2&amp;"':"&amp;表1_8612182224267282[[#This Row],[补偿辎重]]&amp;"},"</f>
        <v>{'coin':1000,'item036':10},</v>
      </c>
      <c r="Y33" s="254" t="str">
        <f>"            'to_zone':'"&amp;表1_8612182224267282[[#This Row],[目标区服]]&amp;"',
            'reward':"&amp;表1_8612182224267282[[#This Row],[辅助导出]]&amp;"
            'country':["&amp;R32&amp;","&amp;R33&amp;","&amp;R34&amp;"],"</f>
        <v>            'to_zone':'h1_542',
            'reward':{'coin':1000,'item036':10},
            'country':[2,1,1],</v>
      </c>
    </row>
    <row r="34" ht="14.25" customHeight="1" spans="1:25">
      <c r="A34" s="210">
        <v>5093</v>
      </c>
      <c r="B34" s="210">
        <f>VLOOKUP(表1_8612182224267282[[#This Row],[区服]],$P$59:$Q$76,2,FALSE)</f>
        <v>43</v>
      </c>
      <c r="C34" s="538" t="s">
        <v>161</v>
      </c>
      <c r="D34" s="212" t="str">
        <f>表1_8612182224267282[[#This Row],[目标国家]]</f>
        <v>蜀</v>
      </c>
      <c r="E34" s="437">
        <f>(VLOOKUP(表1_8612182224267282[[#This Row],[目标区服]],$R$59:$S$66,2,FALSE)-表1_8612182224267282[[#This Row],[开服天数]])*配置!$B$1</f>
        <v>1000</v>
      </c>
      <c r="F34" s="213">
        <f>表1_8612182224267282[[#This Row],[补偿Coin]]*(表1_8612182224267282[[#This Row],[活跃高战玩家数]]+表1_8612182224267282[[#This Row],[活跃中坚玩家数]])</f>
        <v>16000</v>
      </c>
      <c r="G34" s="260">
        <f>(VLOOKUP(表1_8612182224267282[[#This Row],[目标区服]],$R$59:$S$66,2,FALSE)-表1_8612182224267282[[#This Row],[开服天数]])*配置!$B$2</f>
        <v>10</v>
      </c>
      <c r="H34" s="212" t="s">
        <v>27</v>
      </c>
      <c r="I34" s="268">
        <f>IF(表1_8612182224267282[[#This Row],[原国家]]="魏",0,IF(表1_8612182224267282[[#This Row],[原国家]]="蜀",1,2))</f>
        <v>2</v>
      </c>
      <c r="J34" s="213">
        <v>1</v>
      </c>
      <c r="K34" s="213">
        <v>60</v>
      </c>
      <c r="L34" s="213">
        <v>0</v>
      </c>
      <c r="M34" s="213">
        <v>16</v>
      </c>
      <c r="N34" s="213">
        <v>40861</v>
      </c>
      <c r="O34" s="419">
        <v>983260</v>
      </c>
      <c r="P34" s="420">
        <v>7460050</v>
      </c>
      <c r="Q34" s="243" t="s">
        <v>26</v>
      </c>
      <c r="R34" s="212">
        <f>IF(表1_8612182224267282[[#This Row],[目标国家]]="魏",0,IF(表1_8612182224267282[[#This Row],[目标国家]]="蜀",1,2))</f>
        <v>1</v>
      </c>
      <c r="S34" s="213">
        <v>6392</v>
      </c>
      <c r="T34" s="213">
        <v>0</v>
      </c>
      <c r="U34" s="213">
        <v>113922</v>
      </c>
      <c r="V34" s="213">
        <v>2882</v>
      </c>
      <c r="W34" s="506">
        <v>296505</v>
      </c>
      <c r="X34" s="278" t="str">
        <f>"{"&amp;"'coin':"&amp;表1_8612182224267282[[#This Row],[补偿Coin]]&amp;",'"&amp;配置!$A$2&amp;"':"&amp;表1_8612182224267282[[#This Row],[补偿辎重]]&amp;"},"</f>
        <v>{'coin':1000,'item036':10},</v>
      </c>
      <c r="Y34" s="254" t="str">
        <f t="shared" si="6"/>
        <v>      },</v>
      </c>
    </row>
    <row r="35" ht="14.25" customHeight="1" spans="1:25">
      <c r="A35" s="210">
        <v>5094</v>
      </c>
      <c r="B35" s="210">
        <f>VLOOKUP(表1_8612182224267282[[#This Row],[区服]],$P$59:$Q$76,2,FALSE)</f>
        <v>43</v>
      </c>
      <c r="C35" s="538" t="s">
        <v>161</v>
      </c>
      <c r="D35" s="212" t="str">
        <f>表1_8612182224267282[[#This Row],[目标国家]]</f>
        <v>魏</v>
      </c>
      <c r="E35" s="437">
        <f>(VLOOKUP(表1_8612182224267282[[#This Row],[目标区服]],$R$59:$S$66,2,FALSE)-表1_8612182224267282[[#This Row],[开服天数]])*配置!$B$1</f>
        <v>1000</v>
      </c>
      <c r="F35" s="213">
        <f>表1_8612182224267282[[#This Row],[补偿Coin]]*(表1_8612182224267282[[#This Row],[活跃高战玩家数]]+表1_8612182224267282[[#This Row],[活跃中坚玩家数]])</f>
        <v>31000</v>
      </c>
      <c r="G35" s="260">
        <f>(VLOOKUP(表1_8612182224267282[[#This Row],[目标区服]],$R$59:$S$66,2,FALSE)-表1_8612182224267282[[#This Row],[开服天数]])*配置!$B$2</f>
        <v>10</v>
      </c>
      <c r="H35" s="212" t="s">
        <v>25</v>
      </c>
      <c r="I35" s="268">
        <f>IF(表1_8612182224267282[[#This Row],[原国家]]="魏",0,IF(表1_8612182224267282[[#This Row],[原国家]]="蜀",1,2))</f>
        <v>0</v>
      </c>
      <c r="J35" s="213">
        <v>9</v>
      </c>
      <c r="K35" s="213">
        <v>308</v>
      </c>
      <c r="L35" s="213">
        <v>8</v>
      </c>
      <c r="M35" s="213">
        <v>23</v>
      </c>
      <c r="N35" s="213">
        <v>189925</v>
      </c>
      <c r="O35" s="419">
        <v>2938708</v>
      </c>
      <c r="P35" s="420">
        <v>29001867</v>
      </c>
      <c r="Q35" s="243" t="s">
        <v>25</v>
      </c>
      <c r="R35" s="212">
        <f>IF(表1_8612182224267282[[#This Row],[目标国家]]="魏",0,IF(表1_8612182224267282[[#This Row],[目标国家]]="蜀",1,2))</f>
        <v>0</v>
      </c>
      <c r="S35" s="213">
        <v>21264</v>
      </c>
      <c r="T35" s="213">
        <v>206982</v>
      </c>
      <c r="U35" s="213">
        <v>831596</v>
      </c>
      <c r="V35" s="213">
        <v>13892</v>
      </c>
      <c r="W35" s="506">
        <v>931939</v>
      </c>
      <c r="X35" s="278" t="str">
        <f>"{"&amp;"'coin':"&amp;表1_8612182224267282[[#This Row],[补偿Coin]]&amp;",'"&amp;配置!$A$2&amp;"':"&amp;表1_8612182224267282[[#This Row],[补偿辎重]]&amp;"},"</f>
        <v>{'coin':1000,'item036':10},</v>
      </c>
      <c r="Y35" s="254" t="str">
        <f>"      '"&amp;表1_8612182224267282[[#This Row],[区服]]&amp;"':{"</f>
        <v>      '5094':{</v>
      </c>
    </row>
    <row r="36" ht="14.25" customHeight="1" spans="1:25">
      <c r="A36" s="210">
        <v>5094</v>
      </c>
      <c r="B36" s="210">
        <f>VLOOKUP(表1_8612182224267282[[#This Row],[区服]],$P$59:$Q$76,2,FALSE)</f>
        <v>43</v>
      </c>
      <c r="C36" s="538" t="s">
        <v>161</v>
      </c>
      <c r="D36" s="212" t="str">
        <f>表1_8612182224267282[[#This Row],[目标国家]]</f>
        <v>魏</v>
      </c>
      <c r="E36" s="437">
        <f>(VLOOKUP(表1_8612182224267282[[#This Row],[目标区服]],$R$59:$S$66,2,FALSE)-表1_8612182224267282[[#This Row],[开服天数]])*配置!$B$1</f>
        <v>1000</v>
      </c>
      <c r="F36" s="213">
        <f>表1_8612182224267282[[#This Row],[补偿Coin]]*(表1_8612182224267282[[#This Row],[活跃高战玩家数]]+表1_8612182224267282[[#This Row],[活跃中坚玩家数]])</f>
        <v>10000</v>
      </c>
      <c r="G36" s="260">
        <f>(VLOOKUP(表1_8612182224267282[[#This Row],[目标区服]],$R$59:$S$66,2,FALSE)-表1_8612182224267282[[#This Row],[开服天数]])*配置!$B$2</f>
        <v>10</v>
      </c>
      <c r="H36" s="212" t="s">
        <v>26</v>
      </c>
      <c r="I36" s="268">
        <f>IF(表1_8612182224267282[[#This Row],[原国家]]="魏",0,IF(表1_8612182224267282[[#This Row],[原国家]]="蜀",1,2))</f>
        <v>1</v>
      </c>
      <c r="J36" s="213">
        <v>0</v>
      </c>
      <c r="K36" s="213">
        <v>30</v>
      </c>
      <c r="L36" s="213">
        <v>0</v>
      </c>
      <c r="M36" s="213">
        <v>10</v>
      </c>
      <c r="N36" s="213">
        <v>37818</v>
      </c>
      <c r="O36" s="419">
        <v>1113460</v>
      </c>
      <c r="P36" s="420">
        <v>5250710</v>
      </c>
      <c r="Q36" s="243" t="s">
        <v>25</v>
      </c>
      <c r="R36" s="212">
        <f>IF(表1_8612182224267282[[#This Row],[目标国家]]="魏",0,IF(表1_8612182224267282[[#This Row],[目标国家]]="蜀",1,2))</f>
        <v>0</v>
      </c>
      <c r="S36" s="213">
        <v>10596</v>
      </c>
      <c r="T36" s="213">
        <v>0</v>
      </c>
      <c r="U36" s="213">
        <v>60616</v>
      </c>
      <c r="V36" s="213">
        <v>2475</v>
      </c>
      <c r="W36" s="506">
        <v>386322</v>
      </c>
      <c r="X36" s="278" t="str">
        <f>"{"&amp;"'coin':"&amp;表1_8612182224267282[[#This Row],[补偿Coin]]&amp;",'"&amp;配置!$A$2&amp;"':"&amp;表1_8612182224267282[[#This Row],[补偿辎重]]&amp;"},"</f>
        <v>{'coin':1000,'item036':10},</v>
      </c>
      <c r="Y36" s="254" t="str">
        <f>"            'to_zone':'"&amp;表1_8612182224267282[[#This Row],[目标区服]]&amp;"',
            'reward':"&amp;表1_8612182224267282[[#This Row],[辅助导出]]&amp;"
            'country':["&amp;R35&amp;","&amp;R36&amp;","&amp;R37&amp;"],"</f>
        <v>            'to_zone':'h1_542',
            'reward':{'coin':1000,'item036':10},
            'country':[0,0,2],</v>
      </c>
    </row>
    <row r="37" ht="14.25" customHeight="1" spans="1:25">
      <c r="A37" s="210">
        <v>5094</v>
      </c>
      <c r="B37" s="210">
        <f>VLOOKUP(表1_8612182224267282[[#This Row],[区服]],$P$59:$Q$76,2,FALSE)</f>
        <v>43</v>
      </c>
      <c r="C37" s="538" t="s">
        <v>161</v>
      </c>
      <c r="D37" s="212" t="str">
        <f>表1_8612182224267282[[#This Row],[目标国家]]</f>
        <v>吴</v>
      </c>
      <c r="E37" s="437">
        <f>(VLOOKUP(表1_8612182224267282[[#This Row],[目标区服]],$R$59:$S$66,2,FALSE)-表1_8612182224267282[[#This Row],[开服天数]])*配置!$B$1</f>
        <v>1000</v>
      </c>
      <c r="F37" s="213">
        <f>表1_8612182224267282[[#This Row],[补偿Coin]]*(表1_8612182224267282[[#This Row],[活跃高战玩家数]]+表1_8612182224267282[[#This Row],[活跃中坚玩家数]])</f>
        <v>23000</v>
      </c>
      <c r="G37" s="260">
        <f>(VLOOKUP(表1_8612182224267282[[#This Row],[目标区服]],$R$59:$S$66,2,FALSE)-表1_8612182224267282[[#This Row],[开服天数]])*配置!$B$2</f>
        <v>10</v>
      </c>
      <c r="H37" s="212" t="s">
        <v>27</v>
      </c>
      <c r="I37" s="268">
        <f>IF(表1_8612182224267282[[#This Row],[原国家]]="魏",0,IF(表1_8612182224267282[[#This Row],[原国家]]="蜀",1,2))</f>
        <v>2</v>
      </c>
      <c r="J37" s="213">
        <v>0</v>
      </c>
      <c r="K37" s="213">
        <v>57</v>
      </c>
      <c r="L37" s="213">
        <v>1</v>
      </c>
      <c r="M37" s="213">
        <v>22</v>
      </c>
      <c r="N37" s="213">
        <v>75576</v>
      </c>
      <c r="O37" s="419">
        <v>1978063</v>
      </c>
      <c r="P37" s="420">
        <v>12997231</v>
      </c>
      <c r="Q37" s="243" t="s">
        <v>27</v>
      </c>
      <c r="R37" s="212">
        <f>IF(表1_8612182224267282[[#This Row],[目标国家]]="魏",0,IF(表1_8612182224267282[[#This Row],[目标国家]]="蜀",1,2))</f>
        <v>2</v>
      </c>
      <c r="S37" s="213">
        <v>50960</v>
      </c>
      <c r="T37" s="213">
        <v>0</v>
      </c>
      <c r="U37" s="213">
        <v>162827</v>
      </c>
      <c r="V37" s="213">
        <v>5835</v>
      </c>
      <c r="W37" s="506">
        <v>808206</v>
      </c>
      <c r="X37" s="278" t="str">
        <f>"{"&amp;"'coin':"&amp;表1_8612182224267282[[#This Row],[补偿Coin]]&amp;",'"&amp;配置!$A$2&amp;"':"&amp;表1_8612182224267282[[#This Row],[补偿辎重]]&amp;"},"</f>
        <v>{'coin':1000,'item036':10},</v>
      </c>
      <c r="Y37" s="254" t="str">
        <f t="shared" si="5"/>
        <v>      },</v>
      </c>
    </row>
    <row r="38" ht="14.25" customHeight="1" spans="1:25">
      <c r="A38" s="17">
        <v>5095</v>
      </c>
      <c r="B38" s="17">
        <f>VLOOKUP(表1_8612182224267282[[#This Row],[区服]],$P$59:$Q$76,2,FALSE)</f>
        <v>42</v>
      </c>
      <c r="C38" s="539" t="s">
        <v>162</v>
      </c>
      <c r="D38" s="19" t="str">
        <f>表1_8612182224267282[[#This Row],[目标国家]]</f>
        <v>魏</v>
      </c>
      <c r="E38" s="501">
        <f>(VLOOKUP(表1_8612182224267282[[#This Row],[目标区服]],$R$59:$S$66,2,FALSE)-表1_8612182224267282[[#This Row],[开服天数]])*配置!$B$1</f>
        <v>1000</v>
      </c>
      <c r="F38" s="20">
        <f>表1_8612182224267282[[#This Row],[补偿Coin]]*(表1_8612182224267282[[#This Row],[活跃高战玩家数]]+表1_8612182224267282[[#This Row],[活跃中坚玩家数]])</f>
        <v>18000</v>
      </c>
      <c r="G38" s="502">
        <f>(VLOOKUP(表1_8612182224267282[[#This Row],[目标区服]],$R$59:$S$66,2,FALSE)-表1_8612182224267282[[#This Row],[开服天数]])*配置!$B$2</f>
        <v>10</v>
      </c>
      <c r="H38" s="19" t="s">
        <v>25</v>
      </c>
      <c r="I38" s="503">
        <f>IF(表1_8612182224267282[[#This Row],[原国家]]="魏",0,IF(表1_8612182224267282[[#This Row],[原国家]]="蜀",1,2))</f>
        <v>0</v>
      </c>
      <c r="J38" s="20">
        <v>2</v>
      </c>
      <c r="K38" s="20">
        <v>67</v>
      </c>
      <c r="L38" s="20">
        <v>2</v>
      </c>
      <c r="M38" s="20">
        <v>16</v>
      </c>
      <c r="N38" s="20">
        <v>98187</v>
      </c>
      <c r="O38" s="504">
        <v>1508442</v>
      </c>
      <c r="P38" s="26">
        <v>12476037</v>
      </c>
      <c r="Q38" s="496" t="s">
        <v>25</v>
      </c>
      <c r="R38" s="19">
        <f>IF(表1_8612182224267282[[#This Row],[目标国家]]="魏",0,IF(表1_8612182224267282[[#This Row],[目标国家]]="蜀",1,2))</f>
        <v>0</v>
      </c>
      <c r="S38" s="20">
        <v>19166</v>
      </c>
      <c r="T38" s="20">
        <v>0</v>
      </c>
      <c r="U38" s="20">
        <v>301111</v>
      </c>
      <c r="V38" s="20">
        <v>4842</v>
      </c>
      <c r="W38" s="507">
        <v>451738</v>
      </c>
      <c r="X38" s="508" t="str">
        <f>"{"&amp;"'coin':"&amp;表1_8612182224267282[[#This Row],[补偿Coin]]&amp;",'"&amp;配置!$A$2&amp;"':"&amp;表1_8612182224267282[[#This Row],[补偿辎重]]&amp;"},"</f>
        <v>{'coin':1000,'item036':10},</v>
      </c>
      <c r="Y38" s="34" t="str">
        <f>"      '"&amp;表1_8612182224267282[[#This Row],[区服]]&amp;"':{"</f>
        <v>      '5095':{</v>
      </c>
    </row>
    <row r="39" ht="14.25" customHeight="1" spans="1:25">
      <c r="A39" s="17">
        <v>5095</v>
      </c>
      <c r="B39" s="17">
        <f>VLOOKUP(表1_8612182224267282[[#This Row],[区服]],$P$59:$Q$76,2,FALSE)</f>
        <v>42</v>
      </c>
      <c r="C39" s="539" t="s">
        <v>162</v>
      </c>
      <c r="D39" s="19" t="str">
        <f>表1_8612182224267282[[#This Row],[目标国家]]</f>
        <v>蜀</v>
      </c>
      <c r="E39" s="501">
        <f>(VLOOKUP(表1_8612182224267282[[#This Row],[目标区服]],$R$59:$S$66,2,FALSE)-表1_8612182224267282[[#This Row],[开服天数]])*配置!$B$1</f>
        <v>1000</v>
      </c>
      <c r="F39" s="20">
        <f>表1_8612182224267282[[#This Row],[补偿Coin]]*(表1_8612182224267282[[#This Row],[活跃高战玩家数]]+表1_8612182224267282[[#This Row],[活跃中坚玩家数]])</f>
        <v>27000</v>
      </c>
      <c r="G39" s="502">
        <f>(VLOOKUP(表1_8612182224267282[[#This Row],[目标区服]],$R$59:$S$66,2,FALSE)-表1_8612182224267282[[#This Row],[开服天数]])*配置!$B$2</f>
        <v>10</v>
      </c>
      <c r="H39" s="19" t="s">
        <v>26</v>
      </c>
      <c r="I39" s="503">
        <f>IF(表1_8612182224267282[[#This Row],[原国家]]="魏",0,IF(表1_8612182224267282[[#This Row],[原国家]]="蜀",1,2))</f>
        <v>1</v>
      </c>
      <c r="J39" s="20">
        <v>5</v>
      </c>
      <c r="K39" s="20">
        <v>252</v>
      </c>
      <c r="L39" s="20">
        <v>7</v>
      </c>
      <c r="M39" s="20">
        <v>20</v>
      </c>
      <c r="N39" s="20">
        <v>145198</v>
      </c>
      <c r="O39" s="504">
        <v>2400112</v>
      </c>
      <c r="P39" s="26">
        <v>21578082</v>
      </c>
      <c r="Q39" s="496" t="s">
        <v>26</v>
      </c>
      <c r="R39" s="19">
        <f>IF(表1_8612182224267282[[#This Row],[目标国家]]="魏",0,IF(表1_8612182224267282[[#This Row],[目标国家]]="蜀",1,2))</f>
        <v>1</v>
      </c>
      <c r="S39" s="20">
        <v>53832</v>
      </c>
      <c r="T39" s="20">
        <v>0</v>
      </c>
      <c r="U39" s="20">
        <v>383976</v>
      </c>
      <c r="V39" s="20">
        <v>10110</v>
      </c>
      <c r="W39" s="507">
        <v>619535</v>
      </c>
      <c r="X39" s="508" t="str">
        <f>"{"&amp;"'coin':"&amp;表1_8612182224267282[[#This Row],[补偿Coin]]&amp;",'"&amp;配置!$A$2&amp;"':"&amp;表1_8612182224267282[[#This Row],[补偿辎重]]&amp;"},"</f>
        <v>{'coin':1000,'item036':10},</v>
      </c>
      <c r="Y39" s="34" t="str">
        <f>"            'to_zone':'"&amp;表1_8612182224267282[[#This Row],[目标区服]]&amp;"',
            'reward':"&amp;表1_8612182224267282[[#This Row],[辅助导出]]&amp;"
            'country':["&amp;R38&amp;","&amp;R39&amp;","&amp;R40&amp;"],"</f>
        <v>            'to_zone':'h1_543',
            'reward':{'coin':1000,'item036':10},
            'country':[0,1,1],</v>
      </c>
    </row>
    <row r="40" ht="14.25" customHeight="1" spans="1:25">
      <c r="A40" s="17">
        <v>5095</v>
      </c>
      <c r="B40" s="17">
        <f>VLOOKUP(表1_8612182224267282[[#This Row],[区服]],$P$59:$Q$76,2,FALSE)</f>
        <v>42</v>
      </c>
      <c r="C40" s="539" t="s">
        <v>162</v>
      </c>
      <c r="D40" s="19" t="str">
        <f>表1_8612182224267282[[#This Row],[目标国家]]</f>
        <v>蜀</v>
      </c>
      <c r="E40" s="501">
        <f>(VLOOKUP(表1_8612182224267282[[#This Row],[目标区服]],$R$59:$S$66,2,FALSE)-表1_8612182224267282[[#This Row],[开服天数]])*配置!$B$1</f>
        <v>1000</v>
      </c>
      <c r="F40" s="20">
        <f>表1_8612182224267282[[#This Row],[补偿Coin]]*(表1_8612182224267282[[#This Row],[活跃高战玩家数]]+表1_8612182224267282[[#This Row],[活跃中坚玩家数]])</f>
        <v>11000</v>
      </c>
      <c r="G40" s="502">
        <f>(VLOOKUP(表1_8612182224267282[[#This Row],[目标区服]],$R$59:$S$66,2,FALSE)-表1_8612182224267282[[#This Row],[开服天数]])*配置!$B$2</f>
        <v>10</v>
      </c>
      <c r="H40" s="19" t="s">
        <v>27</v>
      </c>
      <c r="I40" s="503">
        <f>IF(表1_8612182224267282[[#This Row],[原国家]]="魏",0,IF(表1_8612182224267282[[#This Row],[原国家]]="蜀",1,2))</f>
        <v>2</v>
      </c>
      <c r="J40" s="20">
        <v>2</v>
      </c>
      <c r="K40" s="20">
        <v>76</v>
      </c>
      <c r="L40" s="20">
        <v>1</v>
      </c>
      <c r="M40" s="20">
        <v>10</v>
      </c>
      <c r="N40" s="20">
        <v>43303</v>
      </c>
      <c r="O40" s="504">
        <v>1140044</v>
      </c>
      <c r="P40" s="26">
        <v>5706848</v>
      </c>
      <c r="Q40" s="496" t="s">
        <v>26</v>
      </c>
      <c r="R40" s="19">
        <f>IF(表1_8612182224267282[[#This Row],[目标国家]]="魏",0,IF(表1_8612182224267282[[#This Row],[目标国家]]="蜀",1,2))</f>
        <v>1</v>
      </c>
      <c r="S40" s="20">
        <v>8186</v>
      </c>
      <c r="T40" s="20">
        <v>0</v>
      </c>
      <c r="U40" s="20">
        <v>141871</v>
      </c>
      <c r="V40" s="20">
        <v>3203</v>
      </c>
      <c r="W40" s="507">
        <v>456718</v>
      </c>
      <c r="X40" s="508" t="str">
        <f>"{"&amp;"'coin':"&amp;表1_8612182224267282[[#This Row],[补偿Coin]]&amp;",'"&amp;配置!$A$2&amp;"':"&amp;表1_8612182224267282[[#This Row],[补偿辎重]]&amp;"},"</f>
        <v>{'coin':1000,'item036':10},</v>
      </c>
      <c r="Y40" s="34" t="str">
        <f t="shared" si="6"/>
        <v>      },</v>
      </c>
    </row>
    <row r="41" ht="14.25" customHeight="1" spans="1:25">
      <c r="A41" s="17">
        <v>5096</v>
      </c>
      <c r="B41" s="17">
        <f>VLOOKUP(表1_8612182224267282[[#This Row],[区服]],$P$59:$Q$76,2,FALSE)</f>
        <v>42</v>
      </c>
      <c r="C41" s="539" t="s">
        <v>162</v>
      </c>
      <c r="D41" s="19" t="str">
        <f>表1_8612182224267282[[#This Row],[目标国家]]</f>
        <v>吴</v>
      </c>
      <c r="E41" s="501">
        <f>(VLOOKUP(表1_8612182224267282[[#This Row],[目标区服]],$R$59:$S$66,2,FALSE)-表1_8612182224267282[[#This Row],[开服天数]])*配置!$B$1</f>
        <v>1000</v>
      </c>
      <c r="F41" s="20">
        <f>表1_8612182224267282[[#This Row],[补偿Coin]]*(表1_8612182224267282[[#This Row],[活跃高战玩家数]]+表1_8612182224267282[[#This Row],[活跃中坚玩家数]])</f>
        <v>27000</v>
      </c>
      <c r="G41" s="502">
        <f>(VLOOKUP(表1_8612182224267282[[#This Row],[目标区服]],$R$59:$S$66,2,FALSE)-表1_8612182224267282[[#This Row],[开服天数]])*配置!$B$2</f>
        <v>10</v>
      </c>
      <c r="H41" s="19" t="s">
        <v>25</v>
      </c>
      <c r="I41" s="503">
        <f>IF(表1_8612182224267282[[#This Row],[原国家]]="魏",0,IF(表1_8612182224267282[[#This Row],[原国家]]="蜀",1,2))</f>
        <v>0</v>
      </c>
      <c r="J41" s="20">
        <v>2</v>
      </c>
      <c r="K41" s="20">
        <v>78</v>
      </c>
      <c r="L41" s="20">
        <v>4</v>
      </c>
      <c r="M41" s="20">
        <v>23</v>
      </c>
      <c r="N41" s="20">
        <v>141429</v>
      </c>
      <c r="O41" s="504">
        <v>2116056</v>
      </c>
      <c r="P41" s="26">
        <v>20017078</v>
      </c>
      <c r="Q41" s="496" t="s">
        <v>27</v>
      </c>
      <c r="R41" s="19">
        <f>IF(表1_8612182224267282[[#This Row],[目标国家]]="魏",0,IF(表1_8612182224267282[[#This Row],[目标国家]]="蜀",1,2))</f>
        <v>2</v>
      </c>
      <c r="S41" s="20">
        <v>26924</v>
      </c>
      <c r="T41" s="20">
        <v>0</v>
      </c>
      <c r="U41" s="20">
        <v>302493</v>
      </c>
      <c r="V41" s="20">
        <v>6763</v>
      </c>
      <c r="W41" s="507">
        <v>564134</v>
      </c>
      <c r="X41" s="508" t="str">
        <f>"{"&amp;"'coin':"&amp;表1_8612182224267282[[#This Row],[补偿Coin]]&amp;",'"&amp;配置!$A$2&amp;"':"&amp;表1_8612182224267282[[#This Row],[补偿辎重]]&amp;"},"</f>
        <v>{'coin':1000,'item036':10},</v>
      </c>
      <c r="Y41" s="34" t="str">
        <f>"      '"&amp;表1_8612182224267282[[#This Row],[区服]]&amp;"':{"</f>
        <v>      '5096':{</v>
      </c>
    </row>
    <row r="42" ht="14.25" customHeight="1" spans="1:25">
      <c r="A42" s="17">
        <v>5096</v>
      </c>
      <c r="B42" s="17">
        <f>VLOOKUP(表1_8612182224267282[[#This Row],[区服]],$P$59:$Q$76,2,FALSE)</f>
        <v>42</v>
      </c>
      <c r="C42" s="539" t="s">
        <v>162</v>
      </c>
      <c r="D42" s="19" t="str">
        <f>表1_8612182224267282[[#This Row],[目标国家]]</f>
        <v>魏</v>
      </c>
      <c r="E42" s="501">
        <f>(VLOOKUP(表1_8612182224267282[[#This Row],[目标区服]],$R$59:$S$66,2,FALSE)-表1_8612182224267282[[#This Row],[开服天数]])*配置!$B$1</f>
        <v>1000</v>
      </c>
      <c r="F42" s="20">
        <f>表1_8612182224267282[[#This Row],[补偿Coin]]*(表1_8612182224267282[[#This Row],[活跃高战玩家数]]+表1_8612182224267282[[#This Row],[活跃中坚玩家数]])</f>
        <v>27000</v>
      </c>
      <c r="G42" s="502">
        <f>(VLOOKUP(表1_8612182224267282[[#This Row],[目标区服]],$R$59:$S$66,2,FALSE)-表1_8612182224267282[[#This Row],[开服天数]])*配置!$B$2</f>
        <v>10</v>
      </c>
      <c r="H42" s="19" t="s">
        <v>26</v>
      </c>
      <c r="I42" s="503">
        <f>IF(表1_8612182224267282[[#This Row],[原国家]]="魏",0,IF(表1_8612182224267282[[#This Row],[原国家]]="蜀",1,2))</f>
        <v>1</v>
      </c>
      <c r="J42" s="20">
        <v>4</v>
      </c>
      <c r="K42" s="20">
        <v>181</v>
      </c>
      <c r="L42" s="20">
        <v>3</v>
      </c>
      <c r="M42" s="20">
        <v>24</v>
      </c>
      <c r="N42" s="20">
        <v>103112</v>
      </c>
      <c r="O42" s="504">
        <v>2187097</v>
      </c>
      <c r="P42" s="26">
        <v>16617402</v>
      </c>
      <c r="Q42" s="496" t="s">
        <v>25</v>
      </c>
      <c r="R42" s="19">
        <f>IF(表1_8612182224267282[[#This Row],[目标国家]]="魏",0,IF(表1_8612182224267282[[#This Row],[目标国家]]="蜀",1,2))</f>
        <v>0</v>
      </c>
      <c r="S42" s="20">
        <v>30352</v>
      </c>
      <c r="T42" s="20">
        <v>0</v>
      </c>
      <c r="U42" s="20">
        <v>220674</v>
      </c>
      <c r="V42" s="20">
        <v>7595</v>
      </c>
      <c r="W42" s="507">
        <v>619174</v>
      </c>
      <c r="X42" s="508" t="str">
        <f>"{"&amp;"'coin':"&amp;表1_8612182224267282[[#This Row],[补偿Coin]]&amp;",'"&amp;配置!$A$2&amp;"':"&amp;表1_8612182224267282[[#This Row],[补偿辎重]]&amp;"},"</f>
        <v>{'coin':1000,'item036':10},</v>
      </c>
      <c r="Y42" s="34" t="str">
        <f>"            'to_zone':'"&amp;表1_8612182224267282[[#This Row],[目标区服]]&amp;"',
            'reward':"&amp;表1_8612182224267282[[#This Row],[辅助导出]]&amp;"
            'country':["&amp;R41&amp;","&amp;R42&amp;","&amp;R43&amp;"],"</f>
        <v>            'to_zone':'h1_543',
            'reward':{'coin':1000,'item036':10},
            'country':[2,0,2],</v>
      </c>
    </row>
    <row r="43" ht="14.25" customHeight="1" spans="1:25">
      <c r="A43" s="17">
        <v>5096</v>
      </c>
      <c r="B43" s="17">
        <f>VLOOKUP(表1_8612182224267282[[#This Row],[区服]],$P$59:$Q$76,2,FALSE)</f>
        <v>42</v>
      </c>
      <c r="C43" s="539" t="s">
        <v>162</v>
      </c>
      <c r="D43" s="19" t="str">
        <f>表1_8612182224267282[[#This Row],[目标国家]]</f>
        <v>吴</v>
      </c>
      <c r="E43" s="501">
        <f>(VLOOKUP(表1_8612182224267282[[#This Row],[目标区服]],$R$59:$S$66,2,FALSE)-表1_8612182224267282[[#This Row],[开服天数]])*配置!$B$1</f>
        <v>1000</v>
      </c>
      <c r="F43" s="20">
        <f>表1_8612182224267282[[#This Row],[补偿Coin]]*(表1_8612182224267282[[#This Row],[活跃高战玩家数]]+表1_8612182224267282[[#This Row],[活跃中坚玩家数]])</f>
        <v>14000</v>
      </c>
      <c r="G43" s="502">
        <f>(VLOOKUP(表1_8612182224267282[[#This Row],[目标区服]],$R$59:$S$66,2,FALSE)-表1_8612182224267282[[#This Row],[开服天数]])*配置!$B$2</f>
        <v>10</v>
      </c>
      <c r="H43" s="19" t="s">
        <v>27</v>
      </c>
      <c r="I43" s="503">
        <f>IF(表1_8612182224267282[[#This Row],[原国家]]="魏",0,IF(表1_8612182224267282[[#This Row],[原国家]]="蜀",1,2))</f>
        <v>2</v>
      </c>
      <c r="J43" s="20">
        <v>3</v>
      </c>
      <c r="K43" s="20">
        <v>136</v>
      </c>
      <c r="L43" s="20">
        <v>3</v>
      </c>
      <c r="M43" s="20">
        <v>11</v>
      </c>
      <c r="N43" s="20">
        <v>60642</v>
      </c>
      <c r="O43" s="504">
        <v>2066951</v>
      </c>
      <c r="P43" s="26">
        <v>9949828</v>
      </c>
      <c r="Q43" s="496" t="s">
        <v>27</v>
      </c>
      <c r="R43" s="19">
        <f>IF(表1_8612182224267282[[#This Row],[目标国家]]="魏",0,IF(表1_8612182224267282[[#This Row],[目标国家]]="蜀",1,2))</f>
        <v>2</v>
      </c>
      <c r="S43" s="20">
        <v>49194</v>
      </c>
      <c r="T43" s="20">
        <v>0</v>
      </c>
      <c r="U43" s="20">
        <v>266913</v>
      </c>
      <c r="V43" s="20">
        <v>6634</v>
      </c>
      <c r="W43" s="507">
        <v>618899</v>
      </c>
      <c r="X43" s="508" t="str">
        <f>"{"&amp;"'coin':"&amp;表1_8612182224267282[[#This Row],[补偿Coin]]&amp;",'"&amp;配置!$A$2&amp;"':"&amp;表1_8612182224267282[[#This Row],[补偿辎重]]&amp;"},"</f>
        <v>{'coin':1000,'item036':10},</v>
      </c>
      <c r="Y43" s="34" t="str">
        <f t="shared" si="5"/>
        <v>      },</v>
      </c>
    </row>
    <row r="44" ht="14.25" customHeight="1" spans="1:25">
      <c r="A44" s="371">
        <v>5097</v>
      </c>
      <c r="B44" s="371">
        <f>VLOOKUP(表1_8612182224267282[[#This Row],[区服]],$P$59:$Q$76,2,FALSE)</f>
        <v>42</v>
      </c>
      <c r="C44" s="537" t="s">
        <v>163</v>
      </c>
      <c r="D44" s="376" t="str">
        <f>表1_8612182224267282[[#This Row],[目标国家]]</f>
        <v>魏</v>
      </c>
      <c r="E44" s="499">
        <f>(VLOOKUP(表1_8612182224267282[[#This Row],[目标区服]],$R$59:$S$66,2,FALSE)-表1_8612182224267282[[#This Row],[开服天数]])*配置!$B$1</f>
        <v>1000</v>
      </c>
      <c r="F44" s="380">
        <f>表1_8612182224267282[[#This Row],[补偿Coin]]*(表1_8612182224267282[[#This Row],[活跃高战玩家数]]+表1_8612182224267282[[#This Row],[活跃中坚玩家数]])</f>
        <v>27000</v>
      </c>
      <c r="G44" s="490">
        <f>(VLOOKUP(表1_8612182224267282[[#This Row],[目标区服]],$R$59:$S$66,2,FALSE)-表1_8612182224267282[[#This Row],[开服天数]])*配置!$B$2</f>
        <v>10</v>
      </c>
      <c r="H44" s="376" t="s">
        <v>25</v>
      </c>
      <c r="I44" s="491">
        <f>IF(表1_8612182224267282[[#This Row],[原国家]]="魏",0,IF(表1_8612182224267282[[#This Row],[原国家]]="蜀",1,2))</f>
        <v>0</v>
      </c>
      <c r="J44" s="380">
        <v>5</v>
      </c>
      <c r="K44" s="380">
        <v>218</v>
      </c>
      <c r="L44" s="380">
        <v>6</v>
      </c>
      <c r="M44" s="380">
        <v>21</v>
      </c>
      <c r="N44" s="380">
        <v>152011</v>
      </c>
      <c r="O44" s="492">
        <v>2643360</v>
      </c>
      <c r="P44" s="381">
        <v>22157932</v>
      </c>
      <c r="Q44" s="493" t="s">
        <v>25</v>
      </c>
      <c r="R44" s="376">
        <f>IF(表1_8612182224267282[[#This Row],[目标国家]]="魏",0,IF(表1_8612182224267282[[#This Row],[目标国家]]="蜀",1,2))</f>
        <v>0</v>
      </c>
      <c r="S44" s="380">
        <v>57800</v>
      </c>
      <c r="T44" s="380">
        <v>0</v>
      </c>
      <c r="U44" s="380">
        <v>738023</v>
      </c>
      <c r="V44" s="380">
        <v>10402</v>
      </c>
      <c r="W44" s="505">
        <v>887905</v>
      </c>
      <c r="X44" s="494" t="str">
        <f>"{"&amp;"'coin':"&amp;表1_8612182224267282[[#This Row],[补偿Coin]]&amp;",'"&amp;配置!$A$2&amp;"':"&amp;表1_8612182224267282[[#This Row],[补偿辎重]]&amp;"},"</f>
        <v>{'coin':1000,'item036':10},</v>
      </c>
      <c r="Y44" s="388" t="str">
        <f>"      '"&amp;表1_8612182224267282[[#This Row],[区服]]&amp;"':{"</f>
        <v>      '5097':{</v>
      </c>
    </row>
    <row r="45" ht="14.25" customHeight="1" spans="1:25">
      <c r="A45" s="371">
        <v>5097</v>
      </c>
      <c r="B45" s="371">
        <f>VLOOKUP(表1_8612182224267282[[#This Row],[区服]],$P$59:$Q$76,2,FALSE)</f>
        <v>42</v>
      </c>
      <c r="C45" s="537" t="s">
        <v>163</v>
      </c>
      <c r="D45" s="376" t="str">
        <f>表1_8612182224267282[[#This Row],[目标国家]]</f>
        <v>吴</v>
      </c>
      <c r="E45" s="499">
        <f>(VLOOKUP(表1_8612182224267282[[#This Row],[目标区服]],$R$59:$S$66,2,FALSE)-表1_8612182224267282[[#This Row],[开服天数]])*配置!$B$1</f>
        <v>1000</v>
      </c>
      <c r="F45" s="380">
        <f>表1_8612182224267282[[#This Row],[补偿Coin]]*(表1_8612182224267282[[#This Row],[活跃高战玩家数]]+表1_8612182224267282[[#This Row],[活跃中坚玩家数]])</f>
        <v>26000</v>
      </c>
      <c r="G45" s="490">
        <f>(VLOOKUP(表1_8612182224267282[[#This Row],[目标区服]],$R$59:$S$66,2,FALSE)-表1_8612182224267282[[#This Row],[开服天数]])*配置!$B$2</f>
        <v>10</v>
      </c>
      <c r="H45" s="376" t="s">
        <v>26</v>
      </c>
      <c r="I45" s="491">
        <f>IF(表1_8612182224267282[[#This Row],[原国家]]="魏",0,IF(表1_8612182224267282[[#This Row],[原国家]]="蜀",1,2))</f>
        <v>1</v>
      </c>
      <c r="J45" s="380">
        <v>4</v>
      </c>
      <c r="K45" s="380">
        <v>161</v>
      </c>
      <c r="L45" s="380">
        <v>4</v>
      </c>
      <c r="M45" s="380">
        <v>22</v>
      </c>
      <c r="N45" s="380">
        <v>121858</v>
      </c>
      <c r="O45" s="492">
        <v>3045662</v>
      </c>
      <c r="P45" s="381">
        <v>20406194</v>
      </c>
      <c r="Q45" s="493" t="s">
        <v>27</v>
      </c>
      <c r="R45" s="376">
        <f>IF(表1_8612182224267282[[#This Row],[目标国家]]="魏",0,IF(表1_8612182224267282[[#This Row],[目标国家]]="蜀",1,2))</f>
        <v>2</v>
      </c>
      <c r="S45" s="380">
        <v>85798</v>
      </c>
      <c r="T45" s="380">
        <v>0</v>
      </c>
      <c r="U45" s="380">
        <v>749885</v>
      </c>
      <c r="V45" s="380">
        <v>10654</v>
      </c>
      <c r="W45" s="505">
        <v>884345</v>
      </c>
      <c r="X45" s="494" t="str">
        <f>"{"&amp;"'coin':"&amp;表1_8612182224267282[[#This Row],[补偿Coin]]&amp;",'"&amp;配置!$A$2&amp;"':"&amp;表1_8612182224267282[[#This Row],[补偿辎重]]&amp;"},"</f>
        <v>{'coin':1000,'item036':10},</v>
      </c>
      <c r="Y45" s="388" t="str">
        <f>"            'to_zone':'"&amp;表1_8612182224267282[[#This Row],[目标区服]]&amp;"',
            'reward':"&amp;表1_8612182224267282[[#This Row],[辅助导出]]&amp;"
            'country':["&amp;R44&amp;","&amp;R45&amp;","&amp;R46&amp;"],"</f>
        <v>            'to_zone':'h1_544',
            'reward':{'coin':1000,'item036':10},
            'country':[0,2,0],</v>
      </c>
    </row>
    <row r="46" ht="14.25" customHeight="1" spans="1:25">
      <c r="A46" s="371">
        <v>5097</v>
      </c>
      <c r="B46" s="371">
        <f>VLOOKUP(表1_8612182224267282[[#This Row],[区服]],$P$59:$Q$76,2,FALSE)</f>
        <v>42</v>
      </c>
      <c r="C46" s="537" t="s">
        <v>163</v>
      </c>
      <c r="D46" s="376" t="str">
        <f>表1_8612182224267282[[#This Row],[目标国家]]</f>
        <v>魏</v>
      </c>
      <c r="E46" s="499">
        <f>(VLOOKUP(表1_8612182224267282[[#This Row],[目标区服]],$R$59:$S$66,2,FALSE)-表1_8612182224267282[[#This Row],[开服天数]])*配置!$B$1</f>
        <v>1000</v>
      </c>
      <c r="F46" s="380">
        <f>表1_8612182224267282[[#This Row],[补偿Coin]]*(表1_8612182224267282[[#This Row],[活跃高战玩家数]]+表1_8612182224267282[[#This Row],[活跃中坚玩家数]])</f>
        <v>8000</v>
      </c>
      <c r="G46" s="490">
        <f>(VLOOKUP(表1_8612182224267282[[#This Row],[目标区服]],$R$59:$S$66,2,FALSE)-表1_8612182224267282[[#This Row],[开服天数]])*配置!$B$2</f>
        <v>10</v>
      </c>
      <c r="H46" s="376" t="s">
        <v>27</v>
      </c>
      <c r="I46" s="491">
        <f>IF(表1_8612182224267282[[#This Row],[原国家]]="魏",0,IF(表1_8612182224267282[[#This Row],[原国家]]="蜀",1,2))</f>
        <v>2</v>
      </c>
      <c r="J46" s="380">
        <v>0</v>
      </c>
      <c r="K46" s="380">
        <v>16</v>
      </c>
      <c r="L46" s="380">
        <v>0</v>
      </c>
      <c r="M46" s="380">
        <v>8</v>
      </c>
      <c r="N46" s="380">
        <v>17942</v>
      </c>
      <c r="O46" s="492">
        <v>664842</v>
      </c>
      <c r="P46" s="381">
        <v>3410508</v>
      </c>
      <c r="Q46" s="493" t="s">
        <v>25</v>
      </c>
      <c r="R46" s="376">
        <f>IF(表1_8612182224267282[[#This Row],[目标国家]]="魏",0,IF(表1_8612182224267282[[#This Row],[目标国家]]="蜀",1,2))</f>
        <v>0</v>
      </c>
      <c r="S46" s="380">
        <v>2108</v>
      </c>
      <c r="T46" s="380">
        <v>0</v>
      </c>
      <c r="U46" s="380">
        <v>60794</v>
      </c>
      <c r="V46" s="380">
        <v>1349</v>
      </c>
      <c r="W46" s="505">
        <v>323315</v>
      </c>
      <c r="X46" s="494" t="str">
        <f>"{"&amp;"'coin':"&amp;表1_8612182224267282[[#This Row],[补偿Coin]]&amp;",'"&amp;配置!$A$2&amp;"':"&amp;表1_8612182224267282[[#This Row],[补偿辎重]]&amp;"},"</f>
        <v>{'coin':1000,'item036':10},</v>
      </c>
      <c r="Y46" s="388" t="str">
        <f t="shared" si="6"/>
        <v>      },</v>
      </c>
    </row>
    <row r="47" ht="14.25" customHeight="1" spans="1:25">
      <c r="A47" s="371">
        <v>5098</v>
      </c>
      <c r="B47" s="371">
        <f>VLOOKUP(表1_8612182224267282[[#This Row],[区服]],$P$59:$Q$76,2,FALSE)</f>
        <v>41</v>
      </c>
      <c r="C47" s="537" t="s">
        <v>163</v>
      </c>
      <c r="D47" s="376" t="str">
        <f>表1_8612182224267282[[#This Row],[目标国家]]</f>
        <v>魏</v>
      </c>
      <c r="E47" s="499">
        <f>(VLOOKUP(表1_8612182224267282[[#This Row],[目标区服]],$R$59:$S$66,2,FALSE)-表1_8612182224267282[[#This Row],[开服天数]])*配置!$B$1</f>
        <v>1500</v>
      </c>
      <c r="F47" s="380">
        <f>表1_8612182224267282[[#This Row],[补偿Coin]]*(表1_8612182224267282[[#This Row],[活跃高战玩家数]]+表1_8612182224267282[[#This Row],[活跃中坚玩家数]])</f>
        <v>30000</v>
      </c>
      <c r="G47" s="490">
        <f>(VLOOKUP(表1_8612182224267282[[#This Row],[目标区服]],$R$59:$S$66,2,FALSE)-表1_8612182224267282[[#This Row],[开服天数]])*配置!$B$2</f>
        <v>15</v>
      </c>
      <c r="H47" s="376" t="s">
        <v>25</v>
      </c>
      <c r="I47" s="491">
        <f>IF(表1_8612182224267282[[#This Row],[原国家]]="魏",0,IF(表1_8612182224267282[[#This Row],[原国家]]="蜀",1,2))</f>
        <v>0</v>
      </c>
      <c r="J47" s="380">
        <v>1</v>
      </c>
      <c r="K47" s="380">
        <v>78</v>
      </c>
      <c r="L47" s="380">
        <v>0</v>
      </c>
      <c r="M47" s="380">
        <v>20</v>
      </c>
      <c r="N47" s="380">
        <v>53324</v>
      </c>
      <c r="O47" s="492">
        <v>1528140</v>
      </c>
      <c r="P47" s="381">
        <v>11583866</v>
      </c>
      <c r="Q47" s="493" t="s">
        <v>25</v>
      </c>
      <c r="R47" s="376">
        <f>IF(表1_8612182224267282[[#This Row],[目标国家]]="魏",0,IF(表1_8612182224267282[[#This Row],[目标国家]]="蜀",1,2))</f>
        <v>0</v>
      </c>
      <c r="S47" s="380">
        <v>18620</v>
      </c>
      <c r="T47" s="380">
        <v>0</v>
      </c>
      <c r="U47" s="380">
        <v>228887</v>
      </c>
      <c r="V47" s="380">
        <v>4506</v>
      </c>
      <c r="W47" s="505">
        <v>457744</v>
      </c>
      <c r="X47" s="494" t="str">
        <f>"{"&amp;"'coin':"&amp;表1_8612182224267282[[#This Row],[补偿Coin]]&amp;",'"&amp;配置!$A$2&amp;"':"&amp;表1_8612182224267282[[#This Row],[补偿辎重]]&amp;"},"</f>
        <v>{'coin':1500,'item036':15},</v>
      </c>
      <c r="Y47" s="388" t="str">
        <f>"      '"&amp;表1_8612182224267282[[#This Row],[区服]]&amp;"':{"</f>
        <v>      '5098':{</v>
      </c>
    </row>
    <row r="48" ht="14.25" customHeight="1" spans="1:25">
      <c r="A48" s="371">
        <v>5098</v>
      </c>
      <c r="B48" s="371">
        <f>VLOOKUP(表1_8612182224267282[[#This Row],[区服]],$P$59:$Q$76,2,FALSE)</f>
        <v>41</v>
      </c>
      <c r="C48" s="537" t="s">
        <v>163</v>
      </c>
      <c r="D48" s="376" t="str">
        <f>表1_8612182224267282[[#This Row],[目标国家]]</f>
        <v>蜀</v>
      </c>
      <c r="E48" s="499">
        <f>(VLOOKUP(表1_8612182224267282[[#This Row],[目标区服]],$R$59:$S$66,2,FALSE)-表1_8612182224267282[[#This Row],[开服天数]])*配置!$B$1</f>
        <v>1500</v>
      </c>
      <c r="F48" s="380">
        <f>表1_8612182224267282[[#This Row],[补偿Coin]]*(表1_8612182224267282[[#This Row],[活跃高战玩家数]]+表1_8612182224267282[[#This Row],[活跃中坚玩家数]])</f>
        <v>46500</v>
      </c>
      <c r="G48" s="490">
        <f>(VLOOKUP(表1_8612182224267282[[#This Row],[目标区服]],$R$59:$S$66,2,FALSE)-表1_8612182224267282[[#This Row],[开服天数]])*配置!$B$2</f>
        <v>15</v>
      </c>
      <c r="H48" s="376" t="s">
        <v>26</v>
      </c>
      <c r="I48" s="491">
        <f>IF(表1_8612182224267282[[#This Row],[原国家]]="魏",0,IF(表1_8612182224267282[[#This Row],[原国家]]="蜀",1,2))</f>
        <v>1</v>
      </c>
      <c r="J48" s="380">
        <v>4</v>
      </c>
      <c r="K48" s="380">
        <v>167</v>
      </c>
      <c r="L48" s="380">
        <v>5</v>
      </c>
      <c r="M48" s="380">
        <v>26</v>
      </c>
      <c r="N48" s="380">
        <v>151417</v>
      </c>
      <c r="O48" s="492">
        <v>3001542</v>
      </c>
      <c r="P48" s="381">
        <v>29176502</v>
      </c>
      <c r="Q48" s="493" t="s">
        <v>26</v>
      </c>
      <c r="R48" s="376">
        <f>IF(表1_8612182224267282[[#This Row],[目标国家]]="魏",0,IF(表1_8612182224267282[[#This Row],[目标国家]]="蜀",1,2))</f>
        <v>1</v>
      </c>
      <c r="S48" s="380">
        <v>158362</v>
      </c>
      <c r="T48" s="380">
        <v>0</v>
      </c>
      <c r="U48" s="380">
        <v>908962</v>
      </c>
      <c r="V48" s="380">
        <v>13951</v>
      </c>
      <c r="W48" s="505">
        <v>854691</v>
      </c>
      <c r="X48" s="494" t="str">
        <f>"{"&amp;"'coin':"&amp;表1_8612182224267282[[#This Row],[补偿Coin]]&amp;",'"&amp;配置!$A$2&amp;"':"&amp;表1_8612182224267282[[#This Row],[补偿辎重]]&amp;"},"</f>
        <v>{'coin':1500,'item036':15},</v>
      </c>
      <c r="Y48" s="388" t="str">
        <f>"            'to_zone':'"&amp;表1_8612182224267282[[#This Row],[目标区服]]&amp;"',
            'reward':"&amp;表1_8612182224267282[[#This Row],[辅助导出]]&amp;"
            'country':["&amp;R47&amp;","&amp;R48&amp;","&amp;R49&amp;"],"</f>
        <v>            'to_zone':'h1_544',
            'reward':{'coin':1500,'item036':15},
            'country':[0,1,2],</v>
      </c>
    </row>
    <row r="49" ht="14.25" customHeight="1" spans="1:25">
      <c r="A49" s="371">
        <v>5098</v>
      </c>
      <c r="B49" s="371">
        <f>VLOOKUP(表1_8612182224267282[[#This Row],[区服]],$P$59:$Q$76,2,FALSE)</f>
        <v>41</v>
      </c>
      <c r="C49" s="537" t="s">
        <v>163</v>
      </c>
      <c r="D49" s="376" t="str">
        <f>表1_8612182224267282[[#This Row],[目标国家]]</f>
        <v>吴</v>
      </c>
      <c r="E49" s="499">
        <f>(VLOOKUP(表1_8612182224267282[[#This Row],[目标区服]],$R$59:$S$66,2,FALSE)-表1_8612182224267282[[#This Row],[开服天数]])*配置!$B$1</f>
        <v>1500</v>
      </c>
      <c r="F49" s="380">
        <f>表1_8612182224267282[[#This Row],[补偿Coin]]*(表1_8612182224267282[[#This Row],[活跃高战玩家数]]+表1_8612182224267282[[#This Row],[活跃中坚玩家数]])</f>
        <v>31500</v>
      </c>
      <c r="G49" s="490">
        <f>(VLOOKUP(表1_8612182224267282[[#This Row],[目标区服]],$R$59:$S$66,2,FALSE)-表1_8612182224267282[[#This Row],[开服天数]])*配置!$B$2</f>
        <v>15</v>
      </c>
      <c r="H49" s="376" t="s">
        <v>27</v>
      </c>
      <c r="I49" s="491">
        <f>IF(表1_8612182224267282[[#This Row],[原国家]]="魏",0,IF(表1_8612182224267282[[#This Row],[原国家]]="蜀",1,2))</f>
        <v>2</v>
      </c>
      <c r="J49" s="380">
        <v>4</v>
      </c>
      <c r="K49" s="380">
        <v>150</v>
      </c>
      <c r="L49" s="380">
        <v>5</v>
      </c>
      <c r="M49" s="380">
        <v>16</v>
      </c>
      <c r="N49" s="380">
        <v>98232</v>
      </c>
      <c r="O49" s="492">
        <v>2579684</v>
      </c>
      <c r="P49" s="381">
        <v>18554283</v>
      </c>
      <c r="Q49" s="493" t="s">
        <v>27</v>
      </c>
      <c r="R49" s="376">
        <f>IF(表1_8612182224267282[[#This Row],[目标国家]]="魏",0,IF(表1_8612182224267282[[#This Row],[目标国家]]="蜀",1,2))</f>
        <v>2</v>
      </c>
      <c r="S49" s="380">
        <v>62444</v>
      </c>
      <c r="T49" s="380">
        <v>0</v>
      </c>
      <c r="U49" s="380">
        <v>367286</v>
      </c>
      <c r="V49" s="380">
        <v>8883</v>
      </c>
      <c r="W49" s="505">
        <v>756976</v>
      </c>
      <c r="X49" s="494" t="str">
        <f>"{"&amp;"'coin':"&amp;表1_8612182224267282[[#This Row],[补偿Coin]]&amp;",'"&amp;配置!$A$2&amp;"':"&amp;表1_8612182224267282[[#This Row],[补偿辎重]]&amp;"},"</f>
        <v>{'coin':1500,'item036':15},</v>
      </c>
      <c r="Y49" s="388" t="str">
        <f t="shared" si="5"/>
        <v>      },</v>
      </c>
    </row>
    <row r="50" ht="14.25" customHeight="1" spans="1:25">
      <c r="A50" s="210">
        <v>5099</v>
      </c>
      <c r="B50" s="210">
        <f>VLOOKUP(表1_8612182224267282[[#This Row],[区服]],$P$59:$Q$76,2,FALSE)</f>
        <v>41</v>
      </c>
      <c r="C50" s="538" t="s">
        <v>164</v>
      </c>
      <c r="D50" s="212" t="str">
        <f>表1_8612182224267282[[#This Row],[目标国家]]</f>
        <v>魏</v>
      </c>
      <c r="E50" s="437">
        <f>(VLOOKUP(表1_8612182224267282[[#This Row],[目标区服]],$R$59:$S$66,2,FALSE)-表1_8612182224267282[[#This Row],[开服天数]])*配置!$B$1</f>
        <v>1000</v>
      </c>
      <c r="F50" s="213">
        <f>表1_8612182224267282[[#This Row],[补偿Coin]]*(表1_8612182224267282[[#This Row],[活跃高战玩家数]]+表1_8612182224267282[[#This Row],[活跃中坚玩家数]])</f>
        <v>25000</v>
      </c>
      <c r="G50" s="260">
        <f>(VLOOKUP(表1_8612182224267282[[#This Row],[目标区服]],$R$59:$S$66,2,FALSE)-表1_8612182224267282[[#This Row],[开服天数]])*配置!$B$2</f>
        <v>10</v>
      </c>
      <c r="H50" s="212" t="s">
        <v>25</v>
      </c>
      <c r="I50" s="268">
        <f>IF(表1_8612182224267282[[#This Row],[原国家]]="魏",0,IF(表1_8612182224267282[[#This Row],[原国家]]="蜀",1,2))</f>
        <v>0</v>
      </c>
      <c r="J50" s="213">
        <v>3</v>
      </c>
      <c r="K50" s="213">
        <v>120</v>
      </c>
      <c r="L50" s="213">
        <v>3</v>
      </c>
      <c r="M50" s="213">
        <v>22</v>
      </c>
      <c r="N50" s="213">
        <v>100305</v>
      </c>
      <c r="O50" s="419">
        <v>2865318</v>
      </c>
      <c r="P50" s="420">
        <v>16496933</v>
      </c>
      <c r="Q50" s="243" t="s">
        <v>25</v>
      </c>
      <c r="R50" s="212">
        <f>IF(表1_8612182224267282[[#This Row],[目标国家]]="魏",0,IF(表1_8612182224267282[[#This Row],[目标国家]]="蜀",1,2))</f>
        <v>0</v>
      </c>
      <c r="S50" s="213">
        <v>50904</v>
      </c>
      <c r="T50" s="213">
        <v>0</v>
      </c>
      <c r="U50" s="213">
        <v>245135</v>
      </c>
      <c r="V50" s="213">
        <v>8166</v>
      </c>
      <c r="W50" s="506">
        <v>818020</v>
      </c>
      <c r="X50" s="278" t="str">
        <f>"{"&amp;"'coin':"&amp;表1_8612182224267282[[#This Row],[补偿Coin]]&amp;",'"&amp;配置!$A$2&amp;"':"&amp;表1_8612182224267282[[#This Row],[补偿辎重]]&amp;"},"</f>
        <v>{'coin':1000,'item036':10},</v>
      </c>
      <c r="Y50" s="254" t="str">
        <f>"      '"&amp;表1_8612182224267282[[#This Row],[区服]]&amp;"':{"</f>
        <v>      '5099':{</v>
      </c>
    </row>
    <row r="51" ht="14.25" customHeight="1" spans="1:25">
      <c r="A51" s="210">
        <v>5099</v>
      </c>
      <c r="B51" s="210">
        <f>VLOOKUP(表1_8612182224267282[[#This Row],[区服]],$P$59:$Q$76,2,FALSE)</f>
        <v>41</v>
      </c>
      <c r="C51" s="538" t="s">
        <v>164</v>
      </c>
      <c r="D51" s="212" t="str">
        <f>表1_8612182224267282[[#This Row],[目标国家]]</f>
        <v>蜀</v>
      </c>
      <c r="E51" s="437">
        <f>(VLOOKUP(表1_8612182224267282[[#This Row],[目标区服]],$R$59:$S$66,2,FALSE)-表1_8612182224267282[[#This Row],[开服天数]])*配置!$B$1</f>
        <v>1000</v>
      </c>
      <c r="F51" s="213">
        <f>表1_8612182224267282[[#This Row],[补偿Coin]]*(表1_8612182224267282[[#This Row],[活跃高战玩家数]]+表1_8612182224267282[[#This Row],[活跃中坚玩家数]])</f>
        <v>26000</v>
      </c>
      <c r="G51" s="260">
        <f>(VLOOKUP(表1_8612182224267282[[#This Row],[目标区服]],$R$59:$S$66,2,FALSE)-表1_8612182224267282[[#This Row],[开服天数]])*配置!$B$2</f>
        <v>10</v>
      </c>
      <c r="H51" s="212" t="s">
        <v>26</v>
      </c>
      <c r="I51" s="268">
        <f>IF(表1_8612182224267282[[#This Row],[原国家]]="魏",0,IF(表1_8612182224267282[[#This Row],[原国家]]="蜀",1,2))</f>
        <v>1</v>
      </c>
      <c r="J51" s="213">
        <v>2</v>
      </c>
      <c r="K51" s="213">
        <v>121</v>
      </c>
      <c r="L51" s="213">
        <v>5</v>
      </c>
      <c r="M51" s="213">
        <v>21</v>
      </c>
      <c r="N51" s="213">
        <v>114743</v>
      </c>
      <c r="O51" s="419">
        <v>2327985</v>
      </c>
      <c r="P51" s="420">
        <v>17754574</v>
      </c>
      <c r="Q51" s="243" t="s">
        <v>26</v>
      </c>
      <c r="R51" s="212">
        <f>IF(表1_8612182224267282[[#This Row],[目标国家]]="魏",0,IF(表1_8612182224267282[[#This Row],[目标国家]]="蜀",1,2))</f>
        <v>1</v>
      </c>
      <c r="S51" s="213">
        <v>51540</v>
      </c>
      <c r="T51" s="213">
        <v>0</v>
      </c>
      <c r="U51" s="213">
        <v>344146</v>
      </c>
      <c r="V51" s="213">
        <v>7805</v>
      </c>
      <c r="W51" s="506">
        <v>711648</v>
      </c>
      <c r="X51" s="278" t="str">
        <f>"{"&amp;"'coin':"&amp;表1_8612182224267282[[#This Row],[补偿Coin]]&amp;",'"&amp;配置!$A$2&amp;"':"&amp;表1_8612182224267282[[#This Row],[补偿辎重]]&amp;"},"</f>
        <v>{'coin':1000,'item036':10},</v>
      </c>
      <c r="Y51" s="254" t="str">
        <f>"            'to_zone':'"&amp;表1_8612182224267282[[#This Row],[目标区服]]&amp;"',
            'reward':"&amp;表1_8612182224267282[[#This Row],[辅助导出]]&amp;"
            'country':["&amp;R50&amp;","&amp;R51&amp;","&amp;R52&amp;"],"</f>
        <v>            'to_zone':'h1_545',
            'reward':{'coin':1000,'item036':10},
            'country':[0,1,1],</v>
      </c>
    </row>
    <row r="52" ht="14.25" customHeight="1" spans="1:25">
      <c r="A52" s="210">
        <v>5099</v>
      </c>
      <c r="B52" s="210">
        <f>VLOOKUP(表1_8612182224267282[[#This Row],[区服]],$P$59:$Q$76,2,FALSE)</f>
        <v>41</v>
      </c>
      <c r="C52" s="538" t="s">
        <v>164</v>
      </c>
      <c r="D52" s="212" t="str">
        <f>表1_8612182224267282[[#This Row],[目标国家]]</f>
        <v>蜀</v>
      </c>
      <c r="E52" s="437">
        <f>(VLOOKUP(表1_8612182224267282[[#This Row],[目标区服]],$R$59:$S$66,2,FALSE)-表1_8612182224267282[[#This Row],[开服天数]])*配置!$B$1</f>
        <v>1000</v>
      </c>
      <c r="F52" s="213">
        <f>表1_8612182224267282[[#This Row],[补偿Coin]]*(表1_8612182224267282[[#This Row],[活跃高战玩家数]]+表1_8612182224267282[[#This Row],[活跃中坚玩家数]])</f>
        <v>24000</v>
      </c>
      <c r="G52" s="260">
        <f>(VLOOKUP(表1_8612182224267282[[#This Row],[目标区服]],$R$59:$S$66,2,FALSE)-表1_8612182224267282[[#This Row],[开服天数]])*配置!$B$2</f>
        <v>10</v>
      </c>
      <c r="H52" s="212" t="s">
        <v>27</v>
      </c>
      <c r="I52" s="268">
        <f>IF(表1_8612182224267282[[#This Row],[原国家]]="魏",0,IF(表1_8612182224267282[[#This Row],[原国家]]="蜀",1,2))</f>
        <v>2</v>
      </c>
      <c r="J52" s="213">
        <v>4</v>
      </c>
      <c r="K52" s="213">
        <v>154</v>
      </c>
      <c r="L52" s="213">
        <v>1</v>
      </c>
      <c r="M52" s="213">
        <v>23</v>
      </c>
      <c r="N52" s="213">
        <v>86353</v>
      </c>
      <c r="O52" s="419">
        <v>2472705</v>
      </c>
      <c r="P52" s="420">
        <v>14693123</v>
      </c>
      <c r="Q52" s="243" t="s">
        <v>26</v>
      </c>
      <c r="R52" s="212">
        <f>IF(表1_8612182224267282[[#This Row],[目标国家]]="魏",0,IF(表1_8612182224267282[[#This Row],[目标国家]]="蜀",1,2))</f>
        <v>1</v>
      </c>
      <c r="S52" s="213">
        <v>51358</v>
      </c>
      <c r="T52" s="213">
        <v>0</v>
      </c>
      <c r="U52" s="213">
        <v>307076</v>
      </c>
      <c r="V52" s="213">
        <v>8008</v>
      </c>
      <c r="W52" s="506">
        <v>994715</v>
      </c>
      <c r="X52" s="278" t="str">
        <f>"{"&amp;"'coin':"&amp;表1_8612182224267282[[#This Row],[补偿Coin]]&amp;",'"&amp;配置!$A$2&amp;"':"&amp;表1_8612182224267282[[#This Row],[补偿辎重]]&amp;"},"</f>
        <v>{'coin':1000,'item036':10},</v>
      </c>
      <c r="Y52" s="254" t="str">
        <f t="shared" si="6"/>
        <v>      },</v>
      </c>
    </row>
    <row r="53" ht="14.25" customHeight="1" spans="1:25">
      <c r="A53" s="210">
        <v>5100</v>
      </c>
      <c r="B53" s="210">
        <f>VLOOKUP(表1_8612182224267282[[#This Row],[区服]],$P$59:$Q$76,2,FALSE)</f>
        <v>41</v>
      </c>
      <c r="C53" s="538" t="s">
        <v>164</v>
      </c>
      <c r="D53" s="212" t="str">
        <f>表1_8612182224267282[[#This Row],[目标国家]]</f>
        <v>吴</v>
      </c>
      <c r="E53" s="437">
        <f>(VLOOKUP(表1_8612182224267282[[#This Row],[目标区服]],$R$59:$S$66,2,FALSE)-表1_8612182224267282[[#This Row],[开服天数]])*配置!$B$1</f>
        <v>1000</v>
      </c>
      <c r="F53" s="213">
        <f>表1_8612182224267282[[#This Row],[补偿Coin]]*(表1_8612182224267282[[#This Row],[活跃高战玩家数]]+表1_8612182224267282[[#This Row],[活跃中坚玩家数]])</f>
        <v>13000</v>
      </c>
      <c r="G53" s="260">
        <f>(VLOOKUP(表1_8612182224267282[[#This Row],[目标区服]],$R$59:$S$66,2,FALSE)-表1_8612182224267282[[#This Row],[开服天数]])*配置!$B$2</f>
        <v>10</v>
      </c>
      <c r="H53" s="212" t="s">
        <v>25</v>
      </c>
      <c r="I53" s="268">
        <f>IF(表1_8612182224267282[[#This Row],[原国家]]="魏",0,IF(表1_8612182224267282[[#This Row],[原国家]]="蜀",1,2))</f>
        <v>0</v>
      </c>
      <c r="J53" s="213">
        <v>0</v>
      </c>
      <c r="K53" s="213">
        <v>59</v>
      </c>
      <c r="L53" s="213">
        <v>1</v>
      </c>
      <c r="M53" s="213">
        <v>12</v>
      </c>
      <c r="N53" s="213">
        <v>49363</v>
      </c>
      <c r="O53" s="419">
        <v>1634291</v>
      </c>
      <c r="P53" s="420">
        <v>7505240</v>
      </c>
      <c r="Q53" s="243" t="s">
        <v>27</v>
      </c>
      <c r="R53" s="212">
        <f>IF(表1_8612182224267282[[#This Row],[目标国家]]="魏",0,IF(表1_8612182224267282[[#This Row],[目标国家]]="蜀",1,2))</f>
        <v>2</v>
      </c>
      <c r="S53" s="213">
        <v>6674</v>
      </c>
      <c r="T53" s="213">
        <v>0</v>
      </c>
      <c r="U53" s="213">
        <v>143287</v>
      </c>
      <c r="V53" s="213">
        <v>3493</v>
      </c>
      <c r="W53" s="506">
        <v>583496</v>
      </c>
      <c r="X53" s="278" t="str">
        <f>"{"&amp;"'coin':"&amp;表1_8612182224267282[[#This Row],[补偿Coin]]&amp;",'"&amp;配置!$A$2&amp;"':"&amp;表1_8612182224267282[[#This Row],[补偿辎重]]&amp;"},"</f>
        <v>{'coin':1000,'item036':10},</v>
      </c>
      <c r="Y53" s="254" t="str">
        <f>"      '"&amp;表1_8612182224267282[[#This Row],[区服]]&amp;"':{"</f>
        <v>      '5100':{</v>
      </c>
    </row>
    <row r="54" ht="14.25" customHeight="1" spans="1:25">
      <c r="A54" s="210">
        <v>5100</v>
      </c>
      <c r="B54" s="210">
        <f>VLOOKUP(表1_8612182224267282[[#This Row],[区服]],$P$59:$Q$76,2,FALSE)</f>
        <v>41</v>
      </c>
      <c r="C54" s="538" t="s">
        <v>164</v>
      </c>
      <c r="D54" s="212" t="str">
        <f>表1_8612182224267282[[#This Row],[目标国家]]</f>
        <v>魏</v>
      </c>
      <c r="E54" s="437">
        <f>(VLOOKUP(表1_8612182224267282[[#This Row],[目标区服]],$R$59:$S$66,2,FALSE)-表1_8612182224267282[[#This Row],[开服天数]])*配置!$B$1</f>
        <v>1000</v>
      </c>
      <c r="F54" s="213">
        <f>表1_8612182224267282[[#This Row],[补偿Coin]]*(表1_8612182224267282[[#This Row],[活跃高战玩家数]]+表1_8612182224267282[[#This Row],[活跃中坚玩家数]])</f>
        <v>23000</v>
      </c>
      <c r="G54" s="260">
        <f>(VLOOKUP(表1_8612182224267282[[#This Row],[目标区服]],$R$59:$S$66,2,FALSE)-表1_8612182224267282[[#This Row],[开服天数]])*配置!$B$2</f>
        <v>10</v>
      </c>
      <c r="H54" s="212" t="s">
        <v>26</v>
      </c>
      <c r="I54" s="268">
        <f>IF(表1_8612182224267282[[#This Row],[原国家]]="魏",0,IF(表1_8612182224267282[[#This Row],[原国家]]="蜀",1,2))</f>
        <v>1</v>
      </c>
      <c r="J54" s="213">
        <v>2</v>
      </c>
      <c r="K54" s="213">
        <v>156</v>
      </c>
      <c r="L54" s="213">
        <v>2</v>
      </c>
      <c r="M54" s="213">
        <v>21</v>
      </c>
      <c r="N54" s="213">
        <v>93295</v>
      </c>
      <c r="O54" s="419">
        <v>1861843</v>
      </c>
      <c r="P54" s="420">
        <v>13907386</v>
      </c>
      <c r="Q54" s="243" t="s">
        <v>25</v>
      </c>
      <c r="R54" s="212">
        <f>IF(表1_8612182224267282[[#This Row],[目标国家]]="魏",0,IF(表1_8612182224267282[[#This Row],[目标国家]]="蜀",1,2))</f>
        <v>0</v>
      </c>
      <c r="S54" s="213">
        <v>19828</v>
      </c>
      <c r="T54" s="213">
        <v>0</v>
      </c>
      <c r="U54" s="213">
        <v>125923</v>
      </c>
      <c r="V54" s="213">
        <v>6136</v>
      </c>
      <c r="W54" s="506">
        <v>523702</v>
      </c>
      <c r="X54" s="278" t="str">
        <f>"{"&amp;"'coin':"&amp;表1_8612182224267282[[#This Row],[补偿Coin]]&amp;",'"&amp;配置!$A$2&amp;"':"&amp;表1_8612182224267282[[#This Row],[补偿辎重]]&amp;"},"</f>
        <v>{'coin':1000,'item036':10},</v>
      </c>
      <c r="Y54" s="254" t="str">
        <f>"            'to_zone':'"&amp;表1_8612182224267282[[#This Row],[目标区服]]&amp;"',
            'reward':"&amp;表1_8612182224267282[[#This Row],[辅助导出]]&amp;"
            'country':["&amp;R53&amp;","&amp;R54&amp;","&amp;R55&amp;"],"</f>
        <v>            'to_zone':'h1_545',
            'reward':{'coin':1000,'item036':10},
            'country':[2,0,2],</v>
      </c>
    </row>
    <row r="55" ht="14.25" customHeight="1" spans="1:25">
      <c r="A55" s="210">
        <v>5100</v>
      </c>
      <c r="B55" s="210">
        <f>VLOOKUP(表1_8612182224267282[[#This Row],[区服]],$P$59:$Q$76,2,FALSE)</f>
        <v>41</v>
      </c>
      <c r="C55" s="538" t="s">
        <v>164</v>
      </c>
      <c r="D55" s="212" t="str">
        <f>表1_8612182224267282[[#This Row],[目标国家]]</f>
        <v>吴</v>
      </c>
      <c r="E55" s="437">
        <f>(VLOOKUP(表1_8612182224267282[[#This Row],[目标区服]],$R$59:$S$66,2,FALSE)-表1_8612182224267282[[#This Row],[开服天数]])*配置!$B$1</f>
        <v>1000</v>
      </c>
      <c r="F55" s="213">
        <f>表1_8612182224267282[[#This Row],[补偿Coin]]*(表1_8612182224267282[[#This Row],[活跃高战玩家数]]+表1_8612182224267282[[#This Row],[活跃中坚玩家数]])</f>
        <v>27000</v>
      </c>
      <c r="G55" s="260">
        <f>(VLOOKUP(表1_8612182224267282[[#This Row],[目标区服]],$R$59:$S$66,2,FALSE)-表1_8612182224267282[[#This Row],[开服天数]])*配置!$B$2</f>
        <v>10</v>
      </c>
      <c r="H55" s="212" t="s">
        <v>27</v>
      </c>
      <c r="I55" s="268">
        <f>IF(表1_8612182224267282[[#This Row],[原国家]]="魏",0,IF(表1_8612182224267282[[#This Row],[原国家]]="蜀",1,2))</f>
        <v>2</v>
      </c>
      <c r="J55" s="213">
        <v>7</v>
      </c>
      <c r="K55" s="213">
        <v>180</v>
      </c>
      <c r="L55" s="213">
        <v>6</v>
      </c>
      <c r="M55" s="213">
        <v>21</v>
      </c>
      <c r="N55" s="213">
        <v>142701</v>
      </c>
      <c r="O55" s="419">
        <v>2800530</v>
      </c>
      <c r="P55" s="420">
        <v>22830351</v>
      </c>
      <c r="Q55" s="243" t="s">
        <v>27</v>
      </c>
      <c r="R55" s="212">
        <f>IF(表1_8612182224267282[[#This Row],[目标国家]]="魏",0,IF(表1_8612182224267282[[#This Row],[目标国家]]="蜀",1,2))</f>
        <v>2</v>
      </c>
      <c r="S55" s="213">
        <v>112280</v>
      </c>
      <c r="T55" s="213">
        <v>0</v>
      </c>
      <c r="U55" s="213">
        <v>437515</v>
      </c>
      <c r="V55" s="213">
        <v>11884</v>
      </c>
      <c r="W55" s="68">
        <v>770565</v>
      </c>
      <c r="X55" s="278" t="str">
        <f>"{"&amp;"'coin':"&amp;表1_8612182224267282[[#This Row],[补偿Coin]]&amp;",'"&amp;配置!$A$2&amp;"':"&amp;表1_8612182224267282[[#This Row],[补偿辎重]]&amp;"},"</f>
        <v>{'coin':1000,'item036':10},</v>
      </c>
      <c r="Y55" s="254" t="str">
        <f t="shared" si="5"/>
        <v>      },</v>
      </c>
    </row>
    <row r="58" ht="27" spans="1:19">
      <c r="A58" s="36" t="s">
        <v>28</v>
      </c>
      <c r="B58" s="37" t="s">
        <v>29</v>
      </c>
      <c r="C58" s="38" t="s">
        <v>30</v>
      </c>
      <c r="D58" s="38" t="s">
        <v>31</v>
      </c>
      <c r="E58" s="38" t="s">
        <v>32</v>
      </c>
      <c r="F58" s="38" t="s">
        <v>33</v>
      </c>
      <c r="G58" s="38" t="s">
        <v>15</v>
      </c>
      <c r="H58" s="37" t="s">
        <v>18</v>
      </c>
      <c r="I58" s="37" t="s">
        <v>19</v>
      </c>
      <c r="J58" s="37" t="s">
        <v>34</v>
      </c>
      <c r="K58" s="38" t="s">
        <v>35</v>
      </c>
      <c r="L58" s="38" t="s">
        <v>36</v>
      </c>
      <c r="M58" s="38" t="s">
        <v>37</v>
      </c>
      <c r="N58" s="38" t="s">
        <v>88</v>
      </c>
      <c r="P58" s="51" t="s">
        <v>0</v>
      </c>
      <c r="Q58" s="51" t="s">
        <v>1</v>
      </c>
      <c r="R58" s="51"/>
      <c r="S58" s="51" t="s">
        <v>38</v>
      </c>
    </row>
    <row r="59" ht="15" spans="1:19">
      <c r="A59" s="372" t="s">
        <v>157</v>
      </c>
      <c r="B59" s="39" t="s">
        <v>25</v>
      </c>
      <c r="C59" s="39">
        <f>COUNTIFS(表1_8612182224267282[目标区服],表2_9713192325277383[[#This Row],[合区区服]],表1_8612182224267282[目标国家（映射）],表2_9713192325277383[[#This Row],[国家]])</f>
        <v>2</v>
      </c>
      <c r="D59" s="39">
        <f>SUMIFS(表1_8612182224267282[活跃高战玩家数],表1_8612182224267282[目标区服],表2_9713192325277383[[#This Row],[合区区服]],表1_8612182224267282[目标国家（映射）],表2_9713192325277383[[#This Row],[国家]])</f>
        <v>8</v>
      </c>
      <c r="E59" s="39">
        <f>SUMIFS(表1_8612182224267282[活跃中坚玩家数],表1_8612182224267282[目标区服],表2_9713192325277383[[#This Row],[合区区服]],表1_8612182224267282[目标国家（映射）],表2_9713192325277383[[#This Row],[国家]])</f>
        <v>33</v>
      </c>
      <c r="F59" s="39">
        <f t="array" ref="F59">MAX((表1_8612182224267282[目标区服]=表2_9713192325277383[[#This Row],[合区区服]])*(表1_8612182224267282[目标国家（映射）]=表2_9713192325277383[[#This Row],[国家]])*表1_8612182224267282[活跃尖端战力])</f>
        <v>4583510</v>
      </c>
      <c r="G59" s="40">
        <f>SUMIFS(表1_8612182224267282[活跃总战力],表1_8612182224267282[目标区服],表2_9713192325277383[[#This Row],[合区区服]],表1_8612182224267282[目标国家（映射）],表2_9713192325277383[[#This Row],[国家]])</f>
        <v>41148708</v>
      </c>
      <c r="H59" s="39">
        <f>SUMIFS(表1_8612182224267282[活跃实际充值],表1_8612182224267282[目标区服],表2_9713192325277383[[#This Row],[合区区服]],表1_8612182224267282[目标国家（映射）],表2_9713192325277383[[#This Row],[国家]])</f>
        <v>179956</v>
      </c>
      <c r="I59" s="39">
        <f>SUMIFS(表1_8612182224267282[活跃虚拟充值],表1_8612182224267282[目标区服],表2_9713192325277383[[#This Row],[合区区服]],表1_8612182224267282[目标国家（映射）],表2_9713192325277383[[#This Row],[国家]])</f>
        <v>167504</v>
      </c>
      <c r="J59" s="39">
        <f>SUMIFS(表1_8612182224267282[活跃Coin],表1_8612182224267282[目标区服],表2_9713192325277383[[#This Row],[合区区服]],表1_8612182224267282[目标国家（映射）],表2_9713192325277383[[#This Row],[国家]])</f>
        <v>1520271</v>
      </c>
      <c r="K59" s="39">
        <f>SUMIFS(表1_8612182224267282[共计补偿Coin],表1_8612182224267282[目标区服],表2_9713192325277383[[#This Row],[合区区服]],表1_8612182224267282[目标国家（映射）],表2_9713192325277383[[#This Row],[国家]])</f>
        <v>50000</v>
      </c>
      <c r="L59" s="39">
        <f>表2_9713192325277383[[#This Row],[活跃Coin]]+表2_9713192325277383[[#This Row],[共计补偿Coin]]</f>
        <v>1570271</v>
      </c>
      <c r="M59" s="39">
        <f>SUMIFS(表1_8612182224267282[综合国力],表1_8612182224267282[目标区服],表2_9713192325277383[[#This Row],[合区区服]],表1_8612182224267282[目标国家（映射）],表2_9713192325277383[[#This Row],[国家]])</f>
        <v>24399</v>
      </c>
      <c r="N59" s="39">
        <f t="array" ref="N59">MAX((表1_8612182224267282[目标区服]=表2_9713192325277383[[#This Row],[合区区服]])*(表1_8612182224267282[目标国家（映射）]=表2_9713192325277383[[#This Row],[国家]])*表1_8612182224267282[单将最高战力])</f>
        <v>1408809</v>
      </c>
      <c r="P59" s="51">
        <v>5083</v>
      </c>
      <c r="Q59" s="51">
        <v>47</v>
      </c>
      <c r="R59" s="51" t="s">
        <v>157</v>
      </c>
      <c r="S59" s="51">
        <v>49</v>
      </c>
    </row>
    <row r="60" ht="15" spans="1:19">
      <c r="A60" s="372" t="s">
        <v>157</v>
      </c>
      <c r="B60" s="39" t="s">
        <v>26</v>
      </c>
      <c r="C60" s="39">
        <f>COUNTIFS(表1_8612182224267282[目标区服],表2_9713192325277383[[#This Row],[合区区服]],表1_8612182224267282[目标国家（映射）],表2_9713192325277383[[#This Row],[国家]])</f>
        <v>4</v>
      </c>
      <c r="D60" s="39">
        <f>SUMIFS(表1_8612182224267282[活跃高战玩家数],表1_8612182224267282[目标区服],表2_9713192325277383[[#This Row],[合区区服]],表1_8612182224267282[目标国家（映射）],表2_9713192325277383[[#This Row],[国家]])</f>
        <v>11</v>
      </c>
      <c r="E60" s="39">
        <f>SUMIFS(表1_8612182224267282[活跃中坚玩家数],表1_8612182224267282[目标区服],表2_9713192325277383[[#This Row],[合区区服]],表1_8612182224267282[目标国家（映射）],表2_9713192325277383[[#This Row],[国家]])</f>
        <v>73</v>
      </c>
      <c r="F60" s="39">
        <f t="array" ref="F60">MAX((表1_8612182224267282[目标区服]=表2_9713192325277383[[#This Row],[合区区服]])*(表1_8612182224267282[目标国家（映射）]=表2_9713192325277383[[#This Row],[国家]])*表1_8612182224267282[活跃尖端战力])</f>
        <v>2208436</v>
      </c>
      <c r="G60" s="40">
        <f>SUMIFS(表1_8612182224267282[活跃总战力],表1_8612182224267282[目标区服],表2_9713192325277383[[#This Row],[合区区服]],表1_8612182224267282[目标国家（映射）],表2_9713192325277383[[#This Row],[国家]])</f>
        <v>64365065</v>
      </c>
      <c r="H60" s="39">
        <f>SUMIFS(表1_8612182224267282[活跃实际充值],表1_8612182224267282[目标区服],表2_9713192325277383[[#This Row],[合区区服]],表1_8612182224267282[目标国家（映射）],表2_9713192325277383[[#This Row],[国家]])</f>
        <v>85508</v>
      </c>
      <c r="I60" s="39">
        <f>SUMIFS(表1_8612182224267282[活跃虚拟充值],表1_8612182224267282[目标区服],表2_9713192325277383[[#This Row],[合区区服]],表1_8612182224267282[目标国家（映射）],表2_9713192325277383[[#This Row],[国家]])</f>
        <v>61770</v>
      </c>
      <c r="J60" s="39">
        <f>SUMIFS(表1_8612182224267282[活跃Coin],表1_8612182224267282[目标区服],表2_9713192325277383[[#This Row],[合区区服]],表1_8612182224267282[目标国家（映射）],表2_9713192325277383[[#This Row],[国家]])</f>
        <v>1620269</v>
      </c>
      <c r="K60" s="39">
        <f>SUMIFS(表1_8612182224267282[共计补偿Coin],表1_8612182224267282[目标区服],表2_9713192325277383[[#This Row],[合区区服]],表1_8612182224267282[目标国家（映射）],表2_9713192325277383[[#This Row],[国家]])</f>
        <v>106500</v>
      </c>
      <c r="L60" s="39">
        <f>表2_9713192325277383[[#This Row],[活跃Coin]]+表2_9713192325277383[[#This Row],[共计补偿Coin]]</f>
        <v>1726769</v>
      </c>
      <c r="M60" s="39">
        <f>SUMIFS(表1_8612182224267282[综合国力],表1_8612182224267282[目标区服],表2_9713192325277383[[#This Row],[合区区服]],表1_8612182224267282[目标国家（映射）],表2_9713192325277383[[#This Row],[国家]])</f>
        <v>25370</v>
      </c>
      <c r="N60" s="39">
        <f t="array" ref="N60">MAX((表1_8612182224267282[目标区服]=表2_9713192325277383[[#This Row],[合区区服]])*(表1_8612182224267282[目标国家（映射）]=表2_9713192325277383[[#This Row],[国家]])*表1_8612182224267282[单将最高战力])</f>
        <v>963314</v>
      </c>
      <c r="P60" s="51">
        <v>5084</v>
      </c>
      <c r="Q60" s="51">
        <v>47</v>
      </c>
      <c r="R60" s="51" t="s">
        <v>158</v>
      </c>
      <c r="S60" s="51">
        <v>48</v>
      </c>
    </row>
    <row r="61" ht="15" spans="1:19">
      <c r="A61" s="372" t="s">
        <v>157</v>
      </c>
      <c r="B61" s="39" t="s">
        <v>27</v>
      </c>
      <c r="C61" s="39">
        <f>COUNTIFS(表1_8612182224267282[目标区服],表2_9713192325277383[[#This Row],[合区区服]],表1_8612182224267282[目标国家（映射）],表2_9713192325277383[[#This Row],[国家]])</f>
        <v>3</v>
      </c>
      <c r="D61" s="39">
        <f>SUMIFS(表1_8612182224267282[活跃高战玩家数],表1_8612182224267282[目标区服],表2_9713192325277383[[#This Row],[合区区服]],表1_8612182224267282[目标国家（映射）],表2_9713192325277383[[#This Row],[国家]])</f>
        <v>10</v>
      </c>
      <c r="E61" s="39">
        <f>SUMIFS(表1_8612182224267282[活跃中坚玩家数],表1_8612182224267282[目标区服],表2_9713192325277383[[#This Row],[合区区服]],表1_8612182224267282[目标国家（映射）],表2_9713192325277383[[#This Row],[国家]])</f>
        <v>36</v>
      </c>
      <c r="F61" s="39">
        <f t="array" ref="F61">MAX((表1_8612182224267282[目标区服]=表2_9713192325277383[[#This Row],[合区区服]])*(表1_8612182224267282[目标国家（映射）]=表2_9713192325277383[[#This Row],[国家]])*表1_8612182224267282[活跃尖端战力])</f>
        <v>3160522</v>
      </c>
      <c r="G61" s="40">
        <f>SUMIFS(表1_8612182224267282[活跃总战力],表1_8612182224267282[目标区服],表2_9713192325277383[[#This Row],[合区区服]],表1_8612182224267282[目标国家（映射）],表2_9713192325277383[[#This Row],[国家]])</f>
        <v>40817363</v>
      </c>
      <c r="H61" s="39">
        <f>SUMIFS(表1_8612182224267282[活跃实际充值],表1_8612182224267282[目标区服],表2_9713192325277383[[#This Row],[合区区服]],表1_8612182224267282[目标国家（映射）],表2_9713192325277383[[#This Row],[国家]])</f>
        <v>179350</v>
      </c>
      <c r="I61" s="39">
        <f>SUMIFS(表1_8612182224267282[活跃虚拟充值],表1_8612182224267282[目标区服],表2_9713192325277383[[#This Row],[合区区服]],表1_8612182224267282[目标国家（映射）],表2_9713192325277383[[#This Row],[国家]])</f>
        <v>0</v>
      </c>
      <c r="J61" s="39">
        <f>SUMIFS(表1_8612182224267282[活跃Coin],表1_8612182224267282[目标区服],表2_9713192325277383[[#This Row],[合区区服]],表1_8612182224267282[目标国家（映射）],表2_9713192325277383[[#This Row],[国家]])</f>
        <v>764257</v>
      </c>
      <c r="K61" s="39">
        <f>SUMIFS(表1_8612182224267282[共计补偿Coin],表1_8612182224267282[目标区服],表2_9713192325277383[[#This Row],[合区区服]],表1_8612182224267282[目标国家（映射）],表2_9713192325277383[[#This Row],[国家]])</f>
        <v>46000</v>
      </c>
      <c r="L61" s="39">
        <f>表2_9713192325277383[[#This Row],[活跃Coin]]+表2_9713192325277383[[#This Row],[共计补偿Coin]]</f>
        <v>810257</v>
      </c>
      <c r="M61" s="39">
        <f>SUMIFS(表1_8612182224267282[综合国力],表1_8612182224267282[目标区服],表2_9713192325277383[[#This Row],[合区区服]],表1_8612182224267282[目标国家（映射）],表2_9713192325277383[[#This Row],[国家]])</f>
        <v>23140</v>
      </c>
      <c r="N61" s="39">
        <f t="array" ref="N61">MAX((表1_8612182224267282[目标区服]=表2_9713192325277383[[#This Row],[合区区服]])*(表1_8612182224267282[目标国家（映射）]=表2_9713192325277383[[#This Row],[国家]])*表1_8612182224267282[单将最高战力])</f>
        <v>949582</v>
      </c>
      <c r="P61" s="51">
        <v>5085</v>
      </c>
      <c r="Q61" s="51">
        <v>46</v>
      </c>
      <c r="R61" s="51" t="s">
        <v>159</v>
      </c>
      <c r="S61" s="51">
        <v>47</v>
      </c>
    </row>
    <row r="62" ht="15" spans="1:19">
      <c r="A62" s="296" t="s">
        <v>158</v>
      </c>
      <c r="B62" s="41" t="s">
        <v>25</v>
      </c>
      <c r="C62" s="41">
        <f>COUNTIFS(表1_8612182224267282[目标区服],表2_9713192325277383[[#This Row],[合区区服]],表1_8612182224267282[目标国家（映射）],表2_9713192325277383[[#This Row],[国家]])</f>
        <v>3</v>
      </c>
      <c r="D62" s="41">
        <f>SUMIFS(表1_8612182224267282[活跃高战玩家数],表1_8612182224267282[目标区服],表2_9713192325277383[[#This Row],[合区区服]],表1_8612182224267282[目标国家（映射）],表2_9713192325277383[[#This Row],[国家]])</f>
        <v>8</v>
      </c>
      <c r="E62" s="41">
        <f>SUMIFS(表1_8612182224267282[活跃中坚玩家数],表1_8612182224267282[目标区服],表2_9713192325277383[[#This Row],[合区区服]],表1_8612182224267282[目标国家（映射）],表2_9713192325277383[[#This Row],[国家]])</f>
        <v>52</v>
      </c>
      <c r="F62" s="41">
        <f t="array" ref="F62">MAX((表1_8612182224267282[目标区服]=表2_9713192325277383[[#This Row],[合区区服]])*(表1_8612182224267282[目标国家（映射）]=表2_9713192325277383[[#This Row],[国家]])*表1_8612182224267282[活跃尖端战力])</f>
        <v>2309176</v>
      </c>
      <c r="G62" s="42">
        <f>SUMIFS(表1_8612182224267282[活跃总战力],表1_8612182224267282[目标区服],表2_9713192325277383[[#This Row],[合区区服]],表1_8612182224267282[目标国家（映射）],表2_9713192325277383[[#This Row],[国家]])</f>
        <v>50745151</v>
      </c>
      <c r="H62" s="41">
        <f>SUMIFS(表1_8612182224267282[活跃实际充值],表1_8612182224267282[目标区服],表2_9713192325277383[[#This Row],[合区区服]],表1_8612182224267282[目标国家（映射）],表2_9713192325277383[[#This Row],[国家]])</f>
        <v>196208</v>
      </c>
      <c r="I62" s="41">
        <f>SUMIFS(表1_8612182224267282[活跃虚拟充值],表1_8612182224267282[目标区服],表2_9713192325277383[[#This Row],[合区区服]],表1_8612182224267282[目标国家（映射）],表2_9713192325277383[[#This Row],[国家]])</f>
        <v>0</v>
      </c>
      <c r="J62" s="41">
        <f>SUMIFS(表1_8612182224267282[活跃Coin],表1_8612182224267282[目标区服],表2_9713192325277383[[#This Row],[合区区服]],表1_8612182224267282[目标国家（映射）],表2_9713192325277383[[#This Row],[国家]])</f>
        <v>965227</v>
      </c>
      <c r="K62" s="41">
        <f>SUMIFS(表1_8612182224267282[共计补偿Coin],表1_8612182224267282[目标区服],表2_9713192325277383[[#This Row],[合区区服]],表1_8612182224267282[目标国家（映射）],表2_9713192325277383[[#This Row],[国家]])</f>
        <v>68000</v>
      </c>
      <c r="L62" s="41">
        <f>表2_9713192325277383[[#This Row],[活跃Coin]]+表2_9713192325277383[[#This Row],[共计补偿Coin]]</f>
        <v>1033227</v>
      </c>
      <c r="M62" s="41">
        <f>SUMIFS(表1_8612182224267282[综合国力],表1_8612182224267282[目标区服],表2_9713192325277383[[#This Row],[合区区服]],表1_8612182224267282[目标国家（映射）],表2_9713192325277383[[#This Row],[国家]])</f>
        <v>22798</v>
      </c>
      <c r="N62" s="41">
        <f t="array" ref="N62">MAX((表1_8612182224267282[目标区服]=表2_9713192325277383[[#This Row],[合区区服]])*(表1_8612182224267282[目标国家（映射）]=表2_9713192325277383[[#This Row],[国家]])*表1_8612182224267282[单将最高战力])</f>
        <v>758610</v>
      </c>
      <c r="P62" s="51">
        <v>5086</v>
      </c>
      <c r="Q62" s="51">
        <v>46</v>
      </c>
      <c r="R62" s="51" t="s">
        <v>160</v>
      </c>
      <c r="S62" s="51">
        <v>46</v>
      </c>
    </row>
    <row r="63" ht="15" spans="1:19">
      <c r="A63" s="296" t="s">
        <v>158</v>
      </c>
      <c r="B63" s="41" t="s">
        <v>26</v>
      </c>
      <c r="C63" s="41">
        <f>COUNTIFS(表1_8612182224267282[目标区服],表2_9713192325277383[[#This Row],[合区区服]],表1_8612182224267282[目标国家（映射）],表2_9713192325277383[[#This Row],[国家]])</f>
        <v>2</v>
      </c>
      <c r="D63" s="41">
        <f>SUMIFS(表1_8612182224267282[活跃高战玩家数],表1_8612182224267282[目标区服],表2_9713192325277383[[#This Row],[合区区服]],表1_8612182224267282[目标国家（映射）],表2_9713192325277383[[#This Row],[国家]])</f>
        <v>6</v>
      </c>
      <c r="E63" s="41">
        <f>SUMIFS(表1_8612182224267282[活跃中坚玩家数],表1_8612182224267282[目标区服],表2_9713192325277383[[#This Row],[合区区服]],表1_8612182224267282[目标国家（映射）],表2_9713192325277383[[#This Row],[国家]])</f>
        <v>43</v>
      </c>
      <c r="F63" s="41">
        <f t="array" ref="F63">MAX((表1_8612182224267282[目标区服]=表2_9713192325277383[[#This Row],[合区区服]])*(表1_8612182224267282[目标国家（映射）]=表2_9713192325277383[[#This Row],[国家]])*表1_8612182224267282[活跃尖端战力])</f>
        <v>2929099</v>
      </c>
      <c r="G63" s="42">
        <f>SUMIFS(表1_8612182224267282[活跃总战力],表1_8612182224267282[目标区服],表2_9713192325277383[[#This Row],[合区区服]],表1_8612182224267282[目标国家（映射）],表2_9713192325277383[[#This Row],[国家]])</f>
        <v>39477925</v>
      </c>
      <c r="H63" s="41">
        <f>SUMIFS(表1_8612182224267282[活跃实际充值],表1_8612182224267282[目标区服],表2_9713192325277383[[#This Row],[合区区服]],表1_8612182224267282[目标国家（映射）],表2_9713192325277383[[#This Row],[国家]])</f>
        <v>151346</v>
      </c>
      <c r="I63" s="41">
        <f>SUMIFS(表1_8612182224267282[活跃虚拟充值],表1_8612182224267282[目标区服],表2_9713192325277383[[#This Row],[合区区服]],表1_8612182224267282[目标国家（映射）],表2_9713192325277383[[#This Row],[国家]])</f>
        <v>0</v>
      </c>
      <c r="J63" s="41">
        <f>SUMIFS(表1_8612182224267282[活跃Coin],表1_8612182224267282[目标区服],表2_9713192325277383[[#This Row],[合区区服]],表1_8612182224267282[目标国家（映射）],表2_9713192325277383[[#This Row],[国家]])</f>
        <v>458190</v>
      </c>
      <c r="K63" s="41">
        <f>SUMIFS(表1_8612182224267282[共计补偿Coin],表1_8612182224267282[目标区服],表2_9713192325277383[[#This Row],[合区区服]],表1_8612182224267282[目标国家（映射）],表2_9713192325277383[[#This Row],[国家]])</f>
        <v>59500</v>
      </c>
      <c r="L63" s="41">
        <f>表2_9713192325277383[[#This Row],[活跃Coin]]+表2_9713192325277383[[#This Row],[共计补偿Coin]]</f>
        <v>517690</v>
      </c>
      <c r="M63" s="41">
        <f>SUMIFS(表1_8612182224267282[综合国力],表1_8612182224267282[目标区服],表2_9713192325277383[[#This Row],[合区区服]],表1_8612182224267282[目标国家（映射）],表2_9713192325277383[[#This Row],[国家]])</f>
        <v>17555</v>
      </c>
      <c r="N63" s="41">
        <f t="array" ref="N63">MAX((表1_8612182224267282[目标区服]=表2_9713192325277383[[#This Row],[合区区服]])*(表1_8612182224267282[目标国家（映射）]=表2_9713192325277383[[#This Row],[国家]])*表1_8612182224267282[单将最高战力])</f>
        <v>766555</v>
      </c>
      <c r="P63" s="51">
        <v>5087</v>
      </c>
      <c r="Q63" s="51">
        <v>45</v>
      </c>
      <c r="R63" s="51" t="s">
        <v>161</v>
      </c>
      <c r="S63" s="51">
        <v>45</v>
      </c>
    </row>
    <row r="64" ht="15" spans="1:19">
      <c r="A64" s="296" t="s">
        <v>158</v>
      </c>
      <c r="B64" s="43" t="s">
        <v>27</v>
      </c>
      <c r="C64" s="43">
        <f>COUNTIFS(表1_8612182224267282[目标区服],表2_9713192325277383[[#This Row],[合区区服]],表1_8612182224267282[目标国家（映射）],表2_9713192325277383[[#This Row],[国家]])</f>
        <v>1</v>
      </c>
      <c r="D64" s="43">
        <f>SUMIFS(表1_8612182224267282[活跃高战玩家数],表1_8612182224267282[目标区服],表2_9713192325277383[[#This Row],[合区区服]],表1_8612182224267282[目标国家（映射）],表2_9713192325277383[[#This Row],[国家]])</f>
        <v>6</v>
      </c>
      <c r="E64" s="43">
        <f>SUMIFS(表1_8612182224267282[活跃中坚玩家数],表1_8612182224267282[目标区服],表2_9713192325277383[[#This Row],[合区区服]],表1_8612182224267282[目标国家（映射）],表2_9713192325277383[[#This Row],[国家]])</f>
        <v>24</v>
      </c>
      <c r="F64" s="43">
        <f t="array" ref="F64">MAX((表1_8612182224267282[目标区服]=表2_9713192325277383[[#This Row],[合区区服]])*(表1_8612182224267282[目标国家（映射）]=表2_9713192325277383[[#This Row],[国家]])*表1_8612182224267282[活跃尖端战力])</f>
        <v>4430783</v>
      </c>
      <c r="G64" s="44">
        <f>SUMIFS(表1_8612182224267282[活跃总战力],表1_8612182224267282[目标区服],表2_9713192325277383[[#This Row],[合区区服]],表1_8612182224267282[目标国家（映射）],表2_9713192325277383[[#This Row],[国家]])</f>
        <v>30880422</v>
      </c>
      <c r="H64" s="43">
        <f>SUMIFS(表1_8612182224267282[活跃实际充值],表1_8612182224267282[目标区服],表2_9713192325277383[[#This Row],[合区区服]],表1_8612182224267282[目标国家（映射）],表2_9713192325277383[[#This Row],[国家]])</f>
        <v>228748</v>
      </c>
      <c r="I64" s="43">
        <f>SUMIFS(表1_8612182224267282[活跃虚拟充值],表1_8612182224267282[目标区服],表2_9713192325277383[[#This Row],[合区区服]],表1_8612182224267282[目标国家（映射）],表2_9713192325277383[[#This Row],[国家]])</f>
        <v>0</v>
      </c>
      <c r="J64" s="43">
        <f>SUMIFS(表1_8612182224267282[活跃Coin],表1_8612182224267282[目标区服],表2_9713192325277383[[#This Row],[合区区服]],表1_8612182224267282[目标国家（映射）],表2_9713192325277383[[#This Row],[国家]])</f>
        <v>1161609</v>
      </c>
      <c r="K64" s="43">
        <f>SUMIFS(表1_8612182224267282[共计补偿Coin],表1_8612182224267282[目标区服],表2_9713192325277383[[#This Row],[合区区服]],表1_8612182224267282[目标国家（映射）],表2_9713192325277383[[#This Row],[国家]])</f>
        <v>45000</v>
      </c>
      <c r="L64" s="43">
        <f>表2_9713192325277383[[#This Row],[活跃Coin]]+表2_9713192325277383[[#This Row],[共计补偿Coin]]</f>
        <v>1206609</v>
      </c>
      <c r="M64" s="43">
        <f>SUMIFS(表1_8612182224267282[综合国力],表1_8612182224267282[目标区服],表2_9713192325277383[[#This Row],[合区区服]],表1_8612182224267282[目标国家（映射）],表2_9713192325277383[[#This Row],[国家]])</f>
        <v>19620</v>
      </c>
      <c r="N64" s="41">
        <f t="array" ref="N64">MAX((表1_8612182224267282[目标区服]=表2_9713192325277383[[#This Row],[合区区服]])*(表1_8612182224267282[目标国家（映射）]=表2_9713192325277383[[#This Row],[国家]])*表1_8612182224267282[单将最高战力])</f>
        <v>1141228</v>
      </c>
      <c r="P64" s="51">
        <v>5088</v>
      </c>
      <c r="Q64" s="51">
        <v>45</v>
      </c>
      <c r="R64" s="51" t="s">
        <v>162</v>
      </c>
      <c r="S64" s="51">
        <v>44</v>
      </c>
    </row>
    <row r="65" ht="15" spans="1:19">
      <c r="A65" s="18" t="s">
        <v>159</v>
      </c>
      <c r="B65" s="46" t="s">
        <v>25</v>
      </c>
      <c r="C65" s="46">
        <f>COUNTIFS(表1_8612182224267282[目标区服],表2_9713192325277383[[#This Row],[合区区服]],表1_8612182224267282[目标国家（映射）],表2_9713192325277383[[#This Row],[国家]])</f>
        <v>2</v>
      </c>
      <c r="D65" s="46">
        <f>SUMIFS(表1_8612182224267282[活跃高战玩家数],表1_8612182224267282[目标区服],表2_9713192325277383[[#This Row],[合区区服]],表1_8612182224267282[目标国家（映射）],表2_9713192325277383[[#This Row],[国家]])</f>
        <v>7</v>
      </c>
      <c r="E65" s="46">
        <f>SUMIFS(表1_8612182224267282[活跃中坚玩家数],表1_8612182224267282[目标区服],表2_9713192325277383[[#This Row],[合区区服]],表1_8612182224267282[目标国家（映射）],表2_9713192325277383[[#This Row],[国家]])</f>
        <v>42</v>
      </c>
      <c r="F65" s="46">
        <f t="array" ref="F65">MAX((表1_8612182224267282[目标区服]=表2_9713192325277383[[#This Row],[合区区服]])*(表1_8612182224267282[目标国家（映射）]=表2_9713192325277383[[#This Row],[国家]])*表1_8612182224267282[活跃尖端战力])</f>
        <v>3284227</v>
      </c>
      <c r="G65" s="47">
        <f>SUMIFS(表1_8612182224267282[活跃总战力],表1_8612182224267282[目标区服],表2_9713192325277383[[#This Row],[合区区服]],表1_8612182224267282[目标国家（映射）],表2_9713192325277383[[#This Row],[国家]])</f>
        <v>39222833</v>
      </c>
      <c r="H65" s="46">
        <f>SUMIFS(表1_8612182224267282[活跃实际充值],表1_8612182224267282[目标区服],表2_9713192325277383[[#This Row],[合区区服]],表1_8612182224267282[目标国家（映射）],表2_9713192325277383[[#This Row],[国家]])</f>
        <v>160080</v>
      </c>
      <c r="I65" s="46">
        <f>SUMIFS(表1_8612182224267282[活跃虚拟充值],表1_8612182224267282[目标区服],表2_9713192325277383[[#This Row],[合区区服]],表1_8612182224267282[目标国家（映射）],表2_9713192325277383[[#This Row],[国家]])</f>
        <v>0</v>
      </c>
      <c r="J65" s="46">
        <f>SUMIFS(表1_8612182224267282[活跃Coin],表1_8612182224267282[目标区服],表2_9713192325277383[[#This Row],[合区区服]],表1_8612182224267282[目标国家（映射）],表2_9713192325277383[[#This Row],[国家]])</f>
        <v>1203348</v>
      </c>
      <c r="K65" s="46">
        <f>SUMIFS(表1_8612182224267282[共计补偿Coin],表1_8612182224267282[目标区服],表2_9713192325277383[[#This Row],[合区区服]],表1_8612182224267282[目标国家（映射）],表2_9713192325277383[[#This Row],[国家]])</f>
        <v>49000</v>
      </c>
      <c r="L65" s="46">
        <f>表2_9713192325277383[[#This Row],[活跃Coin]]+表2_9713192325277383[[#This Row],[共计补偿Coin]]</f>
        <v>1252348</v>
      </c>
      <c r="M65" s="46">
        <f>SUMIFS(表1_8612182224267282[综合国力],表1_8612182224267282[目标区服],表2_9713192325277383[[#This Row],[合区区服]],表1_8612182224267282[目标国家（映射）],表2_9713192325277383[[#This Row],[国家]])</f>
        <v>20361</v>
      </c>
      <c r="N65" s="46">
        <f t="array" ref="N65">MAX((表1_8612182224267282[目标区服]=表2_9713192325277383[[#This Row],[合区区服]])*(表1_8612182224267282[目标国家（映射）]=表2_9713192325277383[[#This Row],[国家]])*表1_8612182224267282[单将最高战力])</f>
        <v>925728</v>
      </c>
      <c r="P65" s="51">
        <v>5089</v>
      </c>
      <c r="Q65" s="51">
        <v>45</v>
      </c>
      <c r="R65" s="51" t="s">
        <v>163</v>
      </c>
      <c r="S65" s="51">
        <v>44</v>
      </c>
    </row>
    <row r="66" ht="15" spans="1:19">
      <c r="A66" s="18" t="s">
        <v>159</v>
      </c>
      <c r="B66" s="46" t="s">
        <v>26</v>
      </c>
      <c r="C66" s="46">
        <f>COUNTIFS(表1_8612182224267282[目标区服],表2_9713192325277383[[#This Row],[合区区服]],表1_8612182224267282[目标国家（映射）],表2_9713192325277383[[#This Row],[国家]])</f>
        <v>2</v>
      </c>
      <c r="D66" s="46">
        <f>SUMIFS(表1_8612182224267282[活跃高战玩家数],表1_8612182224267282[目标区服],表2_9713192325277383[[#This Row],[合区区服]],表1_8612182224267282[目标国家（映射）],表2_9713192325277383[[#This Row],[国家]])</f>
        <v>5</v>
      </c>
      <c r="E66" s="46">
        <f>SUMIFS(表1_8612182224267282[活跃中坚玩家数],表1_8612182224267282[目标区服],表2_9713192325277383[[#This Row],[合区区服]],表1_8612182224267282[目标国家（映射）],表2_9713192325277383[[#This Row],[国家]])</f>
        <v>40</v>
      </c>
      <c r="F66" s="46">
        <f t="array" ref="F66">MAX((表1_8612182224267282[目标区服]=表2_9713192325277383[[#This Row],[合区区服]])*(表1_8612182224267282[目标国家（映射）]=表2_9713192325277383[[#This Row],[国家]])*表1_8612182224267282[活跃尖端战力])</f>
        <v>3149077</v>
      </c>
      <c r="G66" s="47">
        <f>SUMIFS(表1_8612182224267282[活跃总战力],表1_8612182224267282[目标区服],表2_9713192325277383[[#This Row],[合区区服]],表1_8612182224267282[目标国家（映射）],表2_9713192325277383[[#This Row],[国家]])</f>
        <v>31207023</v>
      </c>
      <c r="H66" s="46">
        <f>SUMIFS(表1_8612182224267282[活跃实际充值],表1_8612182224267282[目标区服],表2_9713192325277383[[#This Row],[合区区服]],表1_8612182224267282[目标国家（映射）],表2_9713192325277383[[#This Row],[国家]])</f>
        <v>163276</v>
      </c>
      <c r="I66" s="46">
        <f>SUMIFS(表1_8612182224267282[活跃虚拟充值],表1_8612182224267282[目标区服],表2_9713192325277383[[#This Row],[合区区服]],表1_8612182224267282[目标国家（映射）],表2_9713192325277383[[#This Row],[国家]])</f>
        <v>0</v>
      </c>
      <c r="J66" s="46">
        <f>SUMIFS(表1_8612182224267282[活跃Coin],表1_8612182224267282[目标区服],表2_9713192325277383[[#This Row],[合区区服]],表1_8612182224267282[目标国家（映射）],表2_9713192325277383[[#This Row],[国家]])</f>
        <v>553135</v>
      </c>
      <c r="K66" s="46">
        <f>SUMIFS(表1_8612182224267282[共计补偿Coin],表1_8612182224267282[目标区服],表2_9713192325277383[[#This Row],[合区区服]],表1_8612182224267282[目标国家（映射）],表2_9713192325277383[[#This Row],[国家]])</f>
        <v>45000</v>
      </c>
      <c r="L66" s="46">
        <f>表2_9713192325277383[[#This Row],[活跃Coin]]+表2_9713192325277383[[#This Row],[共计补偿Coin]]</f>
        <v>598135</v>
      </c>
      <c r="M66" s="46">
        <f>SUMIFS(表1_8612182224267282[综合国力],表1_8612182224267282[目标区服],表2_9713192325277383[[#This Row],[合区区服]],表1_8612182224267282[目标国家（映射）],表2_9713192325277383[[#This Row],[国家]])</f>
        <v>15822</v>
      </c>
      <c r="N66" s="46">
        <f t="array" ref="N66">MAX((表1_8612182224267282[目标区服]=表2_9713192325277383[[#This Row],[合区区服]])*(表1_8612182224267282[目标国家（映射）]=表2_9713192325277383[[#This Row],[国家]])*表1_8612182224267282[单将最高战力])</f>
        <v>947176</v>
      </c>
      <c r="P66" s="51">
        <v>5090</v>
      </c>
      <c r="Q66" s="51">
        <v>44</v>
      </c>
      <c r="R66" s="51" t="s">
        <v>164</v>
      </c>
      <c r="S66" s="51">
        <v>43</v>
      </c>
    </row>
    <row r="67" ht="15" spans="1:17">
      <c r="A67" s="18" t="s">
        <v>159</v>
      </c>
      <c r="B67" s="48" t="s">
        <v>27</v>
      </c>
      <c r="C67" s="48">
        <f>COUNTIFS(表1_8612182224267282[目标区服],表2_9713192325277383[[#This Row],[合区区服]],表1_8612182224267282[目标国家（映射）],表2_9713192325277383[[#This Row],[国家]])</f>
        <v>2</v>
      </c>
      <c r="D67" s="48">
        <f>SUMIFS(表1_8612182224267282[活跃高战玩家数],表1_8612182224267282[目标区服],表2_9713192325277383[[#This Row],[合区区服]],表1_8612182224267282[目标国家（映射）],表2_9713192325277383[[#This Row],[国家]])</f>
        <v>8</v>
      </c>
      <c r="E67" s="48">
        <f>SUMIFS(表1_8612182224267282[活跃中坚玩家数],表1_8612182224267282[目标区服],表2_9713192325277383[[#This Row],[合区区服]],表1_8612182224267282[目标国家（映射）],表2_9713192325277383[[#This Row],[国家]])</f>
        <v>34</v>
      </c>
      <c r="F67" s="48">
        <f t="array" ref="F67">MAX((表1_8612182224267282[目标区服]=表2_9713192325277383[[#This Row],[合区区服]])*(表1_8612182224267282[目标国家（映射）]=表2_9713192325277383[[#This Row],[国家]])*表1_8612182224267282[活跃尖端战力])</f>
        <v>2490936</v>
      </c>
      <c r="G67" s="458">
        <f>SUMIFS(表1_8612182224267282[活跃总战力],表1_8612182224267282[目标区服],表2_9713192325277383[[#This Row],[合区区服]],表1_8612182224267282[目标国家（映射）],表2_9713192325277383[[#This Row],[国家]])</f>
        <v>30609124</v>
      </c>
      <c r="H67" s="48">
        <f>SUMIFS(表1_8612182224267282[活跃实际充值],表1_8612182224267282[目标区服],表2_9713192325277383[[#This Row],[合区区服]],表1_8612182224267282[目标国家（映射）],表2_9713192325277383[[#This Row],[国家]])</f>
        <v>134740</v>
      </c>
      <c r="I67" s="48">
        <f>SUMIFS(表1_8612182224267282[活跃虚拟充值],表1_8612182224267282[目标区服],表2_9713192325277383[[#This Row],[合区区服]],表1_8612182224267282[目标国家（映射）],表2_9713192325277383[[#This Row],[国家]])</f>
        <v>0</v>
      </c>
      <c r="J67" s="48">
        <f>SUMIFS(表1_8612182224267282[活跃Coin],表1_8612182224267282[目标区服],表2_9713192325277383[[#This Row],[合区区服]],表1_8612182224267282[目标国家（映射）],表2_9713192325277383[[#This Row],[国家]])</f>
        <v>653092</v>
      </c>
      <c r="K67" s="48">
        <f>SUMIFS(表1_8612182224267282[共计补偿Coin],表1_8612182224267282[目标区服],表2_9713192325277383[[#This Row],[合区区服]],表1_8612182224267282[目标国家（映射）],表2_9713192325277383[[#This Row],[国家]])</f>
        <v>42000</v>
      </c>
      <c r="L67" s="48">
        <f>表2_9713192325277383[[#This Row],[活跃Coin]]+表2_9713192325277383[[#This Row],[共计补偿Coin]]</f>
        <v>695092</v>
      </c>
      <c r="M67" s="48">
        <f>SUMIFS(表1_8612182224267282[综合国力],表1_8612182224267282[目标区服],表2_9713192325277383[[#This Row],[合区区服]],表1_8612182224267282[目标国家（映射）],表2_9713192325277383[[#This Row],[国家]])</f>
        <v>16100</v>
      </c>
      <c r="N67" s="46">
        <f t="array" ref="N67">MAX((表1_8612182224267282[目标区服]=表2_9713192325277383[[#This Row],[合区区服]])*(表1_8612182224267282[目标国家（映射）]=表2_9713192325277383[[#This Row],[国家]])*表1_8612182224267282[单将最高战力])</f>
        <v>915826</v>
      </c>
      <c r="P67" s="51">
        <v>5091</v>
      </c>
      <c r="Q67" s="51">
        <v>44</v>
      </c>
    </row>
    <row r="68" ht="15" spans="1:17">
      <c r="A68" s="537" t="s">
        <v>160</v>
      </c>
      <c r="B68" s="182" t="s">
        <v>25</v>
      </c>
      <c r="C68" s="182">
        <f>COUNTIFS(表1_8612182224267282[目标区服],表2_9713192325277383[[#This Row],[合区区服]],表1_8612182224267282[目标国家（映射）],表2_9713192325277383[[#This Row],[国家]])</f>
        <v>3</v>
      </c>
      <c r="D68" s="182">
        <f>SUMIFS(表1_8612182224267282[活跃高战玩家数],表1_8612182224267282[目标区服],表2_9713192325277383[[#This Row],[合区区服]],表1_8612182224267282[目标国家（映射）],表2_9713192325277383[[#This Row],[国家]])</f>
        <v>8</v>
      </c>
      <c r="E68" s="182">
        <f>SUMIFS(表1_8612182224267282[活跃中坚玩家数],表1_8612182224267282[目标区服],表2_9713192325277383[[#This Row],[合区区服]],表1_8612182224267282[目标国家（映射）],表2_9713192325277383[[#This Row],[国家]])</f>
        <v>35</v>
      </c>
      <c r="F68" s="182">
        <f t="array" ref="F68">MAX((表1_8612182224267282[目标区服]=表2_9713192325277383[[#This Row],[合区区服]])*(表1_8612182224267282[目标国家（映射）]=表2_9713192325277383[[#This Row],[国家]])*表1_8612182224267282[活跃尖端战力])</f>
        <v>2485206</v>
      </c>
      <c r="G68" s="183">
        <f>SUMIFS(表1_8612182224267282[活跃总战力],表1_8612182224267282[目标区服],表2_9713192325277383[[#This Row],[合区区服]],表1_8612182224267282[目标国家（映射）],表2_9713192325277383[[#This Row],[国家]])</f>
        <v>31269193</v>
      </c>
      <c r="H68" s="182">
        <f>SUMIFS(表1_8612182224267282[活跃实际充值],表1_8612182224267282[目标区服],表2_9713192325277383[[#This Row],[合区区服]],表1_8612182224267282[目标国家（映射）],表2_9713192325277383[[#This Row],[国家]])</f>
        <v>125746</v>
      </c>
      <c r="I68" s="182">
        <f>SUMIFS(表1_8612182224267282[活跃虚拟充值],表1_8612182224267282[目标区服],表2_9713192325277383[[#This Row],[合区区服]],表1_8612182224267282[目标国家（映射）],表2_9713192325277383[[#This Row],[国家]])</f>
        <v>0</v>
      </c>
      <c r="J68" s="182">
        <f>SUMIFS(表1_8612182224267282[活跃Coin],表1_8612182224267282[目标区服],表2_9713192325277383[[#This Row],[合区区服]],表1_8612182224267282[目标国家（映射）],表2_9713192325277383[[#This Row],[国家]])</f>
        <v>658607</v>
      </c>
      <c r="K68" s="182">
        <f>SUMIFS(表1_8612182224267282[共计补偿Coin],表1_8612182224267282[目标区服],表2_9713192325277383[[#This Row],[合区区服]],表1_8612182224267282[目标国家（映射）],表2_9713192325277383[[#This Row],[国家]])</f>
        <v>43000</v>
      </c>
      <c r="L68" s="182">
        <f>表2_9713192325277383[[#This Row],[活跃Coin]]+表2_9713192325277383[[#This Row],[共计补偿Coin]]</f>
        <v>701607</v>
      </c>
      <c r="M68" s="182">
        <f>SUMIFS(表1_8612182224267282[综合国力],表1_8612182224267282[目标区服],表2_9713192325277383[[#This Row],[合区区服]],表1_8612182224267282[目标国家（映射）],表2_9713192325277383[[#This Row],[国家]])</f>
        <v>17657</v>
      </c>
      <c r="N68" s="540">
        <f t="array" ref="N68">MAX((表1_8612182224267282[目标区服]=表2_9713192325277383[[#This Row],[合区区服]])*(表1_8612182224267282[目标国家（映射）]=表2_9713192325277383[[#This Row],[国家]])*表1_8612182224267282[单将最高战力])</f>
        <v>839829</v>
      </c>
      <c r="P68" s="51">
        <v>5092</v>
      </c>
      <c r="Q68" s="51">
        <v>44</v>
      </c>
    </row>
    <row r="69" ht="15" spans="1:17">
      <c r="A69" s="537" t="s">
        <v>160</v>
      </c>
      <c r="B69" s="182" t="s">
        <v>26</v>
      </c>
      <c r="C69" s="182">
        <f>COUNTIFS(表1_8612182224267282[目标区服],表2_9713192325277383[[#This Row],[合区区服]],表1_8612182224267282[目标国家（映射）],表2_9713192325277383[[#This Row],[国家]])</f>
        <v>3</v>
      </c>
      <c r="D69" s="182">
        <f>SUMIFS(表1_8612182224267282[活跃高战玩家数],表1_8612182224267282[目标区服],表2_9713192325277383[[#This Row],[合区区服]],表1_8612182224267282[目标国家（映射）],表2_9713192325277383[[#This Row],[国家]])</f>
        <v>9</v>
      </c>
      <c r="E69" s="182">
        <f>SUMIFS(表1_8612182224267282[活跃中坚玩家数],表1_8612182224267282[目标区服],表2_9713192325277383[[#This Row],[合区区服]],表1_8612182224267282[目标国家（映射）],表2_9713192325277383[[#This Row],[国家]])</f>
        <v>47</v>
      </c>
      <c r="F69" s="182">
        <f t="array" ref="F69">MAX((表1_8612182224267282[目标区服]=表2_9713192325277383[[#This Row],[合区区服]])*(表1_8612182224267282[目标国家（映射）]=表2_9713192325277383[[#This Row],[国家]])*表1_8612182224267282[活跃尖端战力])</f>
        <v>3051060</v>
      </c>
      <c r="G69" s="183">
        <f>SUMIFS(表1_8612182224267282[活跃总战力],表1_8612182224267282[目标区服],表2_9713192325277383[[#This Row],[合区区服]],表1_8612182224267282[目标国家（映射）],表2_9713192325277383[[#This Row],[国家]])</f>
        <v>40996282</v>
      </c>
      <c r="H69" s="182">
        <f>SUMIFS(表1_8612182224267282[活跃实际充值],表1_8612182224267282[目标区服],表2_9713192325277383[[#This Row],[合区区服]],表1_8612182224267282[目标国家（映射）],表2_9713192325277383[[#This Row],[国家]])</f>
        <v>118588</v>
      </c>
      <c r="I69" s="182">
        <f>SUMIFS(表1_8612182224267282[活跃虚拟充值],表1_8612182224267282[目标区服],表2_9713192325277383[[#This Row],[合区区服]],表1_8612182224267282[目标国家（映射）],表2_9713192325277383[[#This Row],[国家]])</f>
        <v>0</v>
      </c>
      <c r="J69" s="182">
        <f>SUMIFS(表1_8612182224267282[活跃Coin],表1_8612182224267282[目标区服],表2_9713192325277383[[#This Row],[合区区服]],表1_8612182224267282[目标国家（映射）],表2_9713192325277383[[#This Row],[国家]])</f>
        <v>1008624</v>
      </c>
      <c r="K69" s="182">
        <f>SUMIFS(表1_8612182224267282[共计补偿Coin],表1_8612182224267282[目标区服],表2_9713192325277383[[#This Row],[合区区服]],表1_8612182224267282[目标国家（映射）],表2_9713192325277383[[#This Row],[国家]])</f>
        <v>56000</v>
      </c>
      <c r="L69" s="182">
        <f>表2_9713192325277383[[#This Row],[活跃Coin]]+表2_9713192325277383[[#This Row],[共计补偿Coin]]</f>
        <v>1064624</v>
      </c>
      <c r="M69" s="182">
        <f>SUMIFS(表1_8612182224267282[综合国力],表1_8612182224267282[目标区服],表2_9713192325277383[[#This Row],[合区区服]],表1_8612182224267282[目标国家（映射）],表2_9713192325277383[[#This Row],[国家]])</f>
        <v>20213</v>
      </c>
      <c r="N69" s="540">
        <f t="array" ref="N69">MAX((表1_8612182224267282[目标区服]=表2_9713192325277383[[#This Row],[合区区服]])*(表1_8612182224267282[目标国家（映射）]=表2_9713192325277383[[#This Row],[国家]])*表1_8612182224267282[单将最高战力])</f>
        <v>796483</v>
      </c>
      <c r="P69" s="51">
        <v>5093</v>
      </c>
      <c r="Q69" s="51">
        <v>43</v>
      </c>
    </row>
    <row r="70" ht="15" spans="1:17">
      <c r="A70" s="537" t="s">
        <v>160</v>
      </c>
      <c r="B70" s="182" t="s">
        <v>27</v>
      </c>
      <c r="C70" s="182">
        <f>COUNTIFS(表1_8612182224267282[目标区服],表2_9713192325277383[[#This Row],[合区区服]],表1_8612182224267282[目标国家（映射）],表2_9713192325277383[[#This Row],[国家]])</f>
        <v>3</v>
      </c>
      <c r="D70" s="182">
        <f>SUMIFS(表1_8612182224267282[活跃高战玩家数],表1_8612182224267282[目标区服],表2_9713192325277383[[#This Row],[合区区服]],表1_8612182224267282[目标国家（映射）],表2_9713192325277383[[#This Row],[国家]])</f>
        <v>11</v>
      </c>
      <c r="E70" s="182">
        <f>SUMIFS(表1_8612182224267282[活跃中坚玩家数],表1_8612182224267282[目标区服],表2_9713192325277383[[#This Row],[合区区服]],表1_8612182224267282[目标国家（映射）],表2_9713192325277383[[#This Row],[国家]])</f>
        <v>36</v>
      </c>
      <c r="F70" s="182">
        <f t="array" ref="F70">MAX((表1_8612182224267282[目标区服]=表2_9713192325277383[[#This Row],[合区区服]])*(表1_8612182224267282[目标国家（映射）]=表2_9713192325277383[[#This Row],[国家]])*表1_8612182224267282[活跃尖端战力])</f>
        <v>2936094</v>
      </c>
      <c r="G70" s="183">
        <f>SUMIFS(表1_8612182224267282[活跃总战力],表1_8612182224267282[目标区服],表2_9713192325277383[[#This Row],[合区区服]],表1_8612182224267282[目标国家（映射）],表2_9713192325277383[[#This Row],[国家]])</f>
        <v>35556795</v>
      </c>
      <c r="H70" s="182">
        <f>SUMIFS(表1_8612182224267282[活跃实际充值],表1_8612182224267282[目标区服],表2_9713192325277383[[#This Row],[合区区服]],表1_8612182224267282[目标国家（映射）],表2_9713192325277383[[#This Row],[国家]])</f>
        <v>119480</v>
      </c>
      <c r="I70" s="182">
        <f>SUMIFS(表1_8612182224267282[活跃虚拟充值],表1_8612182224267282[目标区服],表2_9713192325277383[[#This Row],[合区区服]],表1_8612182224267282[目标国家（映射）],表2_9713192325277383[[#This Row],[国家]])</f>
        <v>0</v>
      </c>
      <c r="J70" s="182">
        <f>SUMIFS(表1_8612182224267282[活跃Coin],表1_8612182224267282[目标区服],表2_9713192325277383[[#This Row],[合区区服]],表1_8612182224267282[目标国家（映射）],表2_9713192325277383[[#This Row],[国家]])</f>
        <v>1152698</v>
      </c>
      <c r="K70" s="182">
        <f>SUMIFS(表1_8612182224267282[共计补偿Coin],表1_8612182224267282[目标区服],表2_9713192325277383[[#This Row],[合区区服]],表1_8612182224267282[目标国家（映射）],表2_9713192325277383[[#This Row],[国家]])</f>
        <v>47000</v>
      </c>
      <c r="L70" s="182">
        <f>表2_9713192325277383[[#This Row],[活跃Coin]]+表2_9713192325277383[[#This Row],[共计补偿Coin]]</f>
        <v>1199698</v>
      </c>
      <c r="M70" s="182">
        <f>SUMIFS(表1_8612182224267282[综合国力],表1_8612182224267282[目标区服],表2_9713192325277383[[#This Row],[合区区服]],表1_8612182224267282[目标国家（映射）],表2_9713192325277383[[#This Row],[国家]])</f>
        <v>19335</v>
      </c>
      <c r="N70" s="540">
        <f t="array" ref="N70">MAX((表1_8612182224267282[目标区服]=表2_9713192325277383[[#This Row],[合区区服]])*(表1_8612182224267282[目标国家（映射）]=表2_9713192325277383[[#This Row],[国家]])*表1_8612182224267282[单将最高战力])</f>
        <v>892826</v>
      </c>
      <c r="P70" s="51">
        <v>5094</v>
      </c>
      <c r="Q70" s="51">
        <v>43</v>
      </c>
    </row>
    <row r="71" ht="15" spans="1:17">
      <c r="A71" s="311" t="s">
        <v>161</v>
      </c>
      <c r="B71" s="41" t="s">
        <v>25</v>
      </c>
      <c r="C71" s="41">
        <f>COUNTIFS(表1_8612182224267282[目标区服],表2_9713192325277383[[#This Row],[合区区服]],表1_8612182224267282[目标国家（映射）],表2_9713192325277383[[#This Row],[国家]])</f>
        <v>2</v>
      </c>
      <c r="D71" s="41">
        <f>SUMIFS(表1_8612182224267282[活跃高战玩家数],表1_8612182224267282[目标区服],表2_9713192325277383[[#This Row],[合区区服]],表1_8612182224267282[目标国家（映射）],表2_9713192325277383[[#This Row],[国家]])</f>
        <v>8</v>
      </c>
      <c r="E71" s="41">
        <f>SUMIFS(表1_8612182224267282[活跃中坚玩家数],表1_8612182224267282[目标区服],表2_9713192325277383[[#This Row],[合区区服]],表1_8612182224267282[目标国家（映射）],表2_9713192325277383[[#This Row],[国家]])</f>
        <v>33</v>
      </c>
      <c r="F71" s="41">
        <f t="array" ref="F71">MAX((表1_8612182224267282[目标区服]=表2_9713192325277383[[#This Row],[合区区服]])*(表1_8612182224267282[目标国家（映射）]=表2_9713192325277383[[#This Row],[国家]])*表1_8612182224267282[活跃尖端战力])</f>
        <v>2938708</v>
      </c>
      <c r="G71" s="42">
        <f>SUMIFS(表1_8612182224267282[活跃总战力],表1_8612182224267282[目标区服],表2_9713192325277383[[#This Row],[合区区服]],表1_8612182224267282[目标国家（映射）],表2_9713192325277383[[#This Row],[国家]])</f>
        <v>34252577</v>
      </c>
      <c r="H71" s="41">
        <f>SUMIFS(表1_8612182224267282[活跃实际充值],表1_8612182224267282[目标区服],表2_9713192325277383[[#This Row],[合区区服]],表1_8612182224267282[目标国家（映射）],表2_9713192325277383[[#This Row],[国家]])</f>
        <v>31860</v>
      </c>
      <c r="I71" s="41">
        <f>SUMIFS(表1_8612182224267282[活跃虚拟充值],表1_8612182224267282[目标区服],表2_9713192325277383[[#This Row],[合区区服]],表1_8612182224267282[目标国家（映射）],表2_9713192325277383[[#This Row],[国家]])</f>
        <v>206982</v>
      </c>
      <c r="J71" s="41">
        <f>SUMIFS(表1_8612182224267282[活跃Coin],表1_8612182224267282[目标区服],表2_9713192325277383[[#This Row],[合区区服]],表1_8612182224267282[目标国家（映射）],表2_9713192325277383[[#This Row],[国家]])</f>
        <v>892212</v>
      </c>
      <c r="K71" s="41">
        <f>SUMIFS(表1_8612182224267282[共计补偿Coin],表1_8612182224267282[目标区服],表2_9713192325277383[[#This Row],[合区区服]],表1_8612182224267282[目标国家（映射）],表2_9713192325277383[[#This Row],[国家]])</f>
        <v>41000</v>
      </c>
      <c r="L71" s="41">
        <f>表2_9713192325277383[[#This Row],[活跃Coin]]+表2_9713192325277383[[#This Row],[共计补偿Coin]]</f>
        <v>933212</v>
      </c>
      <c r="M71" s="41">
        <f>SUMIFS(表1_8612182224267282[综合国力],表1_8612182224267282[目标区服],表2_9713192325277383[[#This Row],[合区区服]],表1_8612182224267282[目标国家（映射）],表2_9713192325277383[[#This Row],[国家]])</f>
        <v>16367</v>
      </c>
      <c r="N71" s="541">
        <f t="array" ref="N71">MAX((表1_8612182224267282[目标区服]=表2_9713192325277383[[#This Row],[合区区服]])*(表1_8612182224267282[目标国家（映射）]=表2_9713192325277383[[#This Row],[国家]])*表1_8612182224267282[单将最高战力])</f>
        <v>931939</v>
      </c>
      <c r="P71" s="51">
        <v>5095</v>
      </c>
      <c r="Q71" s="51">
        <v>42</v>
      </c>
    </row>
    <row r="72" ht="15" spans="1:17">
      <c r="A72" s="311" t="s">
        <v>161</v>
      </c>
      <c r="B72" s="41" t="s">
        <v>26</v>
      </c>
      <c r="C72" s="41">
        <f>COUNTIFS(表1_8612182224267282[目标区服],表2_9713192325277383[[#This Row],[合区区服]],表1_8612182224267282[目标国家（映射）],表2_9713192325277383[[#This Row],[国家]])</f>
        <v>2</v>
      </c>
      <c r="D72" s="41">
        <f>SUMIFS(表1_8612182224267282[活跃高战玩家数],表1_8612182224267282[目标区服],表2_9713192325277383[[#This Row],[合区区服]],表1_8612182224267282[目标国家（映射）],表2_9713192325277383[[#This Row],[国家]])</f>
        <v>5</v>
      </c>
      <c r="E72" s="41">
        <f>SUMIFS(表1_8612182224267282[活跃中坚玩家数],表1_8612182224267282[目标区服],表2_9713192325277383[[#This Row],[合区区服]],表1_8612182224267282[目标国家（映射）],表2_9713192325277383[[#This Row],[国家]])</f>
        <v>44</v>
      </c>
      <c r="F72" s="41">
        <f t="array" ref="F72">MAX((表1_8612182224267282[目标区服]=表2_9713192325277383[[#This Row],[合区区服]])*(表1_8612182224267282[目标国家（映射）]=表2_9713192325277383[[#This Row],[国家]])*表1_8612182224267282[活跃尖端战力])</f>
        <v>2589035</v>
      </c>
      <c r="G72" s="42">
        <f>SUMIFS(表1_8612182224267282[活跃总战力],表1_8612182224267282[目标区服],表2_9713192325277383[[#This Row],[合区区服]],表1_8612182224267282[目标国家（映射）],表2_9713192325277383[[#This Row],[国家]])</f>
        <v>34812160</v>
      </c>
      <c r="H72" s="41">
        <f>SUMIFS(表1_8612182224267282[活跃实际充值],表1_8612182224267282[目标区服],表2_9713192325277383[[#This Row],[合区区服]],表1_8612182224267282[目标国家（映射）],表2_9713192325277383[[#This Row],[国家]])</f>
        <v>92128</v>
      </c>
      <c r="I72" s="41">
        <f>SUMIFS(表1_8612182224267282[活跃虚拟充值],表1_8612182224267282[目标区服],表2_9713192325277383[[#This Row],[合区区服]],表1_8612182224267282[目标国家（映射）],表2_9713192325277383[[#This Row],[国家]])</f>
        <v>0</v>
      </c>
      <c r="J72" s="41">
        <f>SUMIFS(表1_8612182224267282[活跃Coin],表1_8612182224267282[目标区服],表2_9713192325277383[[#This Row],[合区区服]],表1_8612182224267282[目标国家（映射）],表2_9713192325277383[[#This Row],[国家]])</f>
        <v>807503</v>
      </c>
      <c r="K72" s="41">
        <f>SUMIFS(表1_8612182224267282[共计补偿Coin],表1_8612182224267282[目标区服],表2_9713192325277383[[#This Row],[合区区服]],表1_8612182224267282[目标国家（映射）],表2_9713192325277383[[#This Row],[国家]])</f>
        <v>49000</v>
      </c>
      <c r="L72" s="41">
        <f>表2_9713192325277383[[#This Row],[活跃Coin]]+表2_9713192325277383[[#This Row],[共计补偿Coin]]</f>
        <v>856503</v>
      </c>
      <c r="M72" s="41">
        <f>SUMIFS(表1_8612182224267282[综合国力],表1_8612182224267282[目标区服],表2_9713192325277383[[#This Row],[合区区服]],表1_8612182224267282[目标国家（映射）],表2_9713192325277383[[#This Row],[国家]])</f>
        <v>14426</v>
      </c>
      <c r="N72" s="541">
        <f t="array" ref="N72">MAX((表1_8612182224267282[目标区服]=表2_9713192325277383[[#This Row],[合区区服]])*(表1_8612182224267282[目标国家（映射）]=表2_9713192325277383[[#This Row],[国家]])*表1_8612182224267282[单将最高战力])</f>
        <v>778724</v>
      </c>
      <c r="P72" s="51">
        <v>5096</v>
      </c>
      <c r="Q72" s="51">
        <v>42</v>
      </c>
    </row>
    <row r="73" ht="15" spans="1:17">
      <c r="A73" s="311" t="s">
        <v>161</v>
      </c>
      <c r="B73" s="43" t="s">
        <v>27</v>
      </c>
      <c r="C73" s="43">
        <f>COUNTIFS(表1_8612182224267282[目标区服],表2_9713192325277383[[#This Row],[合区区服]],表1_8612182224267282[目标国家（映射）],表2_9713192325277383[[#This Row],[国家]])</f>
        <v>2</v>
      </c>
      <c r="D73" s="43">
        <f>SUMIFS(表1_8612182224267282[活跃高战玩家数],表1_8612182224267282[目标区服],表2_9713192325277383[[#This Row],[合区区服]],表1_8612182224267282[目标国家（映射）],表2_9713192325277383[[#This Row],[国家]])</f>
        <v>6</v>
      </c>
      <c r="E73" s="43">
        <f>SUMIFS(表1_8612182224267282[活跃中坚玩家数],表1_8612182224267282[目标区服],表2_9713192325277383[[#This Row],[合区区服]],表1_8612182224267282[目标国家（映射）],表2_9713192325277383[[#This Row],[国家]])</f>
        <v>34</v>
      </c>
      <c r="F73" s="41">
        <f t="array" ref="F73">MAX((表1_8612182224267282[目标区服]=表2_9713192325277383[[#This Row],[合区区服]])*(表1_8612182224267282[目标国家（映射）]=表2_9713192325277383[[#This Row],[国家]])*表1_8612182224267282[活跃尖端战力])</f>
        <v>2301263</v>
      </c>
      <c r="G73" s="42">
        <f>SUMIFS(表1_8612182224267282[活跃总战力],表1_8612182224267282[目标区服],表2_9713192325277383[[#This Row],[合区区服]],表1_8612182224267282[目标国家（映射）],表2_9713192325277383[[#This Row],[国家]])</f>
        <v>28667090</v>
      </c>
      <c r="H73" s="41">
        <f>SUMIFS(表1_8612182224267282[活跃实际充值],表1_8612182224267282[目标区服],表2_9713192325277383[[#This Row],[合区区服]],表1_8612182224267282[目标国家（映射）],表2_9713192325277383[[#This Row],[国家]])</f>
        <v>103068</v>
      </c>
      <c r="I73" s="41">
        <f>SUMIFS(表1_8612182224267282[活跃虚拟充值],表1_8612182224267282[目标区服],表2_9713192325277383[[#This Row],[合区区服]],表1_8612182224267282[目标国家（映射）],表2_9713192325277383[[#This Row],[国家]])</f>
        <v>0</v>
      </c>
      <c r="J73" s="41">
        <f>SUMIFS(表1_8612182224267282[活跃Coin],表1_8612182224267282[目标区服],表2_9713192325277383[[#This Row],[合区区服]],表1_8612182224267282[目标国家（映射）],表2_9713192325277383[[#This Row],[国家]])</f>
        <v>600113</v>
      </c>
      <c r="K73" s="41">
        <f>SUMIFS(表1_8612182224267282[共计补偿Coin],表1_8612182224267282[目标区服],表2_9713192325277383[[#This Row],[合区区服]],表1_8612182224267282[目标国家（映射）],表2_9713192325277383[[#This Row],[国家]])</f>
        <v>40000</v>
      </c>
      <c r="L73" s="41">
        <f>表2_9713192325277383[[#This Row],[活跃Coin]]+表2_9713192325277383[[#This Row],[共计补偿Coin]]</f>
        <v>640113</v>
      </c>
      <c r="M73" s="41">
        <f>SUMIFS(表1_8612182224267282[综合国力],表1_8612182224267282[目标区服],表2_9713192325277383[[#This Row],[合区区服]],表1_8612182224267282[目标国家（映射）],表2_9713192325277383[[#This Row],[国家]])</f>
        <v>13658</v>
      </c>
      <c r="N73" s="541">
        <f t="array" ref="N73">MAX((表1_8612182224267282[目标区服]=表2_9713192325277383[[#This Row],[合区区服]])*(表1_8612182224267282[目标国家（映射）]=表2_9713192325277383[[#This Row],[国家]])*表1_8612182224267282[单将最高战力])</f>
        <v>808206</v>
      </c>
      <c r="P73" s="51">
        <v>5097</v>
      </c>
      <c r="Q73" s="51">
        <v>42</v>
      </c>
    </row>
    <row r="74" ht="15" spans="1:17">
      <c r="A74" s="539" t="s">
        <v>162</v>
      </c>
      <c r="B74" s="46" t="s">
        <v>25</v>
      </c>
      <c r="C74" s="46">
        <f>COUNTIFS(表1_8612182224267282[目标区服],表2_9713192325277383[[#This Row],[合区区服]],表1_8612182224267282[目标国家（映射）],表2_9713192325277383[[#This Row],[国家]])</f>
        <v>2</v>
      </c>
      <c r="D74" s="46">
        <f>SUMIFS(表1_8612182224267282[活跃高战玩家数],表1_8612182224267282[目标区服],表2_9713192325277383[[#This Row],[合区区服]],表1_8612182224267282[目标国家（映射）],表2_9713192325277383[[#This Row],[国家]])</f>
        <v>5</v>
      </c>
      <c r="E74" s="46">
        <f>SUMIFS(表1_8612182224267282[活跃中坚玩家数],表1_8612182224267282[目标区服],表2_9713192325277383[[#This Row],[合区区服]],表1_8612182224267282[目标国家（映射）],表2_9713192325277383[[#This Row],[国家]])</f>
        <v>40</v>
      </c>
      <c r="F74" s="46">
        <f t="array" ref="F74">MAX((表1_8612182224267282[目标区服]=表2_9713192325277383[[#This Row],[合区区服]])*(表1_8612182224267282[目标国家（映射）]=表2_9713192325277383[[#This Row],[国家]])*表1_8612182224267282[活跃尖端战力])</f>
        <v>2187097</v>
      </c>
      <c r="G74" s="47">
        <f>SUMIFS(表1_8612182224267282[活跃总战力],表1_8612182224267282[目标区服],表2_9713192325277383[[#This Row],[合区区服]],表1_8612182224267282[目标国家（映射）],表2_9713192325277383[[#This Row],[国家]])</f>
        <v>29093439</v>
      </c>
      <c r="H74" s="46">
        <f>SUMIFS(表1_8612182224267282[活跃实际充值],表1_8612182224267282[目标区服],表2_9713192325277383[[#This Row],[合区区服]],表1_8612182224267282[目标国家（映射）],表2_9713192325277383[[#This Row],[国家]])</f>
        <v>49518</v>
      </c>
      <c r="I74" s="46">
        <f>SUMIFS(表1_8612182224267282[活跃虚拟充值],表1_8612182224267282[目标区服],表2_9713192325277383[[#This Row],[合区区服]],表1_8612182224267282[目标国家（映射）],表2_9713192325277383[[#This Row],[国家]])</f>
        <v>0</v>
      </c>
      <c r="J74" s="46">
        <f>SUMIFS(表1_8612182224267282[活跃Coin],表1_8612182224267282[目标区服],表2_9713192325277383[[#This Row],[合区区服]],表1_8612182224267282[目标国家（映射）],表2_9713192325277383[[#This Row],[国家]])</f>
        <v>521785</v>
      </c>
      <c r="K74" s="46">
        <f>SUMIFS(表1_8612182224267282[共计补偿Coin],表1_8612182224267282[目标区服],表2_9713192325277383[[#This Row],[合区区服]],表1_8612182224267282[目标国家（映射）],表2_9713192325277383[[#This Row],[国家]])</f>
        <v>45000</v>
      </c>
      <c r="L74" s="46">
        <f>表2_9713192325277383[[#This Row],[活跃Coin]]+表2_9713192325277383[[#This Row],[共计补偿Coin]]</f>
        <v>566785</v>
      </c>
      <c r="M74" s="46">
        <f>SUMIFS(表1_8612182224267282[综合国力],表1_8612182224267282[目标区服],表2_9713192325277383[[#This Row],[合区区服]],表1_8612182224267282[目标国家（映射）],表2_9713192325277383[[#This Row],[国家]])</f>
        <v>12437</v>
      </c>
      <c r="N74" s="542">
        <f t="array" ref="N74">MAX((表1_8612182224267282[目标区服]=表2_9713192325277383[[#This Row],[合区区服]])*(表1_8612182224267282[目标国家（映射）]=表2_9713192325277383[[#This Row],[国家]])*表1_8612182224267282[单将最高战力])</f>
        <v>619174</v>
      </c>
      <c r="P74" s="51">
        <v>5098</v>
      </c>
      <c r="Q74" s="51">
        <v>41</v>
      </c>
    </row>
    <row r="75" ht="15" spans="1:17">
      <c r="A75" s="539" t="s">
        <v>162</v>
      </c>
      <c r="B75" s="46" t="s">
        <v>26</v>
      </c>
      <c r="C75" s="46">
        <f>COUNTIFS(表1_8612182224267282[目标区服],表2_9713192325277383[[#This Row],[合区区服]],表1_8612182224267282[目标国家（映射）],表2_9713192325277383[[#This Row],[国家]])</f>
        <v>2</v>
      </c>
      <c r="D75" s="46">
        <f>SUMIFS(表1_8612182224267282[活跃高战玩家数],表1_8612182224267282[目标区服],表2_9713192325277383[[#This Row],[合区区服]],表1_8612182224267282[目标国家（映射）],表2_9713192325277383[[#This Row],[国家]])</f>
        <v>8</v>
      </c>
      <c r="E75" s="46">
        <f>SUMIFS(表1_8612182224267282[活跃中坚玩家数],表1_8612182224267282[目标区服],表2_9713192325277383[[#This Row],[合区区服]],表1_8612182224267282[目标国家（映射）],表2_9713192325277383[[#This Row],[国家]])</f>
        <v>30</v>
      </c>
      <c r="F75" s="46">
        <f t="array" ref="F75">MAX((表1_8612182224267282[目标区服]=表2_9713192325277383[[#This Row],[合区区服]])*(表1_8612182224267282[目标国家（映射）]=表2_9713192325277383[[#This Row],[国家]])*表1_8612182224267282[活跃尖端战力])</f>
        <v>2400112</v>
      </c>
      <c r="G75" s="47">
        <f>SUMIFS(表1_8612182224267282[活跃总战力],表1_8612182224267282[目标区服],表2_9713192325277383[[#This Row],[合区区服]],表1_8612182224267282[目标国家（映射）],表2_9713192325277383[[#This Row],[国家]])</f>
        <v>27284930</v>
      </c>
      <c r="H75" s="46">
        <f>SUMIFS(表1_8612182224267282[活跃实际充值],表1_8612182224267282[目标区服],表2_9713192325277383[[#This Row],[合区区服]],表1_8612182224267282[目标国家（映射）],表2_9713192325277383[[#This Row],[国家]])</f>
        <v>62018</v>
      </c>
      <c r="I75" s="46">
        <f>SUMIFS(表1_8612182224267282[活跃虚拟充值],表1_8612182224267282[目标区服],表2_9713192325277383[[#This Row],[合区区服]],表1_8612182224267282[目标国家（映射）],表2_9713192325277383[[#This Row],[国家]])</f>
        <v>0</v>
      </c>
      <c r="J75" s="46">
        <f>SUMIFS(表1_8612182224267282[活跃Coin],表1_8612182224267282[目标区服],表2_9713192325277383[[#This Row],[合区区服]],表1_8612182224267282[目标国家（映射）],表2_9713192325277383[[#This Row],[国家]])</f>
        <v>525847</v>
      </c>
      <c r="K75" s="46">
        <f>SUMIFS(表1_8612182224267282[共计补偿Coin],表1_8612182224267282[目标区服],表2_9713192325277383[[#This Row],[合区区服]],表1_8612182224267282[目标国家（映射）],表2_9713192325277383[[#This Row],[国家]])</f>
        <v>38000</v>
      </c>
      <c r="L75" s="46">
        <f>表2_9713192325277383[[#This Row],[活跃Coin]]+表2_9713192325277383[[#This Row],[共计补偿Coin]]</f>
        <v>563847</v>
      </c>
      <c r="M75" s="46">
        <f>SUMIFS(表1_8612182224267282[综合国力],表1_8612182224267282[目标区服],表2_9713192325277383[[#This Row],[合区区服]],表1_8612182224267282[目标国家（映射）],表2_9713192325277383[[#This Row],[国家]])</f>
        <v>13313</v>
      </c>
      <c r="N75" s="542">
        <f t="array" ref="N75">MAX((表1_8612182224267282[目标区服]=表2_9713192325277383[[#This Row],[合区区服]])*(表1_8612182224267282[目标国家（映射）]=表2_9713192325277383[[#This Row],[国家]])*表1_8612182224267282[单将最高战力])</f>
        <v>619535</v>
      </c>
      <c r="P75" s="51">
        <v>5099</v>
      </c>
      <c r="Q75" s="51">
        <v>41</v>
      </c>
    </row>
    <row r="76" ht="15" spans="1:17">
      <c r="A76" s="539" t="s">
        <v>162</v>
      </c>
      <c r="B76" s="48" t="s">
        <v>27</v>
      </c>
      <c r="C76" s="48">
        <f>COUNTIFS(表1_8612182224267282[目标区服],表2_9713192325277383[[#This Row],[合区区服]],表1_8612182224267282[目标国家（映射）],表2_9713192325277383[[#This Row],[国家]])</f>
        <v>2</v>
      </c>
      <c r="D76" s="48">
        <f>SUMIFS(表1_8612182224267282[活跃高战玩家数],表1_8612182224267282[目标区服],表2_9713192325277383[[#This Row],[合区区服]],表1_8612182224267282[目标国家（映射）],表2_9713192325277383[[#This Row],[国家]])</f>
        <v>7</v>
      </c>
      <c r="E76" s="48">
        <f>SUMIFS(表1_8612182224267282[活跃中坚玩家数],表1_8612182224267282[目标区服],表2_9713192325277383[[#This Row],[合区区服]],表1_8612182224267282[目标国家（映射）],表2_9713192325277383[[#This Row],[国家]])</f>
        <v>34</v>
      </c>
      <c r="F76" s="48">
        <f t="array" ref="F76">MAX((表1_8612182224267282[目标区服]=表2_9713192325277383[[#This Row],[合区区服]])*(表1_8612182224267282[目标国家（映射）]=表2_9713192325277383[[#This Row],[国家]])*表1_8612182224267282[活跃尖端战力])</f>
        <v>2116056</v>
      </c>
      <c r="G76" s="458">
        <f>SUMIFS(表1_8612182224267282[活跃总战力],表1_8612182224267282[目标区服],表2_9713192325277383[[#This Row],[合区区服]],表1_8612182224267282[目标国家（映射）],表2_9713192325277383[[#This Row],[国家]])</f>
        <v>29966906</v>
      </c>
      <c r="H76" s="48">
        <f>SUMIFS(表1_8612182224267282[活跃实际充值],表1_8612182224267282[目标区服],表2_9713192325277383[[#This Row],[合区区服]],表1_8612182224267282[目标国家（映射）],表2_9713192325277383[[#This Row],[国家]])</f>
        <v>76118</v>
      </c>
      <c r="I76" s="48">
        <f>SUMIFS(表1_8612182224267282[活跃虚拟充值],表1_8612182224267282[目标区服],表2_9713192325277383[[#This Row],[合区区服]],表1_8612182224267282[目标国家（映射）],表2_9713192325277383[[#This Row],[国家]])</f>
        <v>0</v>
      </c>
      <c r="J76" s="48">
        <f>SUMIFS(表1_8612182224267282[活跃Coin],表1_8612182224267282[目标区服],表2_9713192325277383[[#This Row],[合区区服]],表1_8612182224267282[目标国家（映射）],表2_9713192325277383[[#This Row],[国家]])</f>
        <v>569406</v>
      </c>
      <c r="K76" s="48">
        <f>SUMIFS(表1_8612182224267282[共计补偿Coin],表1_8612182224267282[目标区服],表2_9713192325277383[[#This Row],[合区区服]],表1_8612182224267282[目标国家（映射）],表2_9713192325277383[[#This Row],[国家]])</f>
        <v>41000</v>
      </c>
      <c r="L76" s="48">
        <f>表2_9713192325277383[[#This Row],[活跃Coin]]+表2_9713192325277383[[#This Row],[共计补偿Coin]]</f>
        <v>610406</v>
      </c>
      <c r="M76" s="48">
        <f>SUMIFS(表1_8612182224267282[综合国力],表1_8612182224267282[目标区服],表2_9713192325277383[[#This Row],[合区区服]],表1_8612182224267282[目标国家（映射）],表2_9713192325277383[[#This Row],[国家]])</f>
        <v>13397</v>
      </c>
      <c r="N76" s="543">
        <f t="array" ref="N76">MAX((表1_8612182224267282[目标区服]=表2_9713192325277383[[#This Row],[合区区服]])*(表1_8612182224267282[目标国家（映射）]=表2_9713192325277383[[#This Row],[国家]])*表1_8612182224267282[单将最高战力])</f>
        <v>618899</v>
      </c>
      <c r="P76" s="51">
        <v>5100</v>
      </c>
      <c r="Q76" s="51">
        <v>41</v>
      </c>
    </row>
    <row r="77" ht="15" spans="1:14">
      <c r="A77" s="537" t="s">
        <v>163</v>
      </c>
      <c r="B77" s="182" t="s">
        <v>25</v>
      </c>
      <c r="C77" s="182">
        <f>COUNTIFS(表1_8612182224267282[目标区服],表2_9713192325277383[[#This Row],[合区区服]],表1_8612182224267282[目标国家（映射）],表2_9713192325277383[[#This Row],[国家]])</f>
        <v>3</v>
      </c>
      <c r="D77" s="182">
        <f>SUMIFS(表1_8612182224267282[活跃高战玩家数],表1_8612182224267282[目标区服],表2_9713192325277383[[#This Row],[合区区服]],表1_8612182224267282[目标国家（映射）],表2_9713192325277383[[#This Row],[国家]])</f>
        <v>6</v>
      </c>
      <c r="E77" s="182">
        <f>SUMIFS(表1_8612182224267282[活跃中坚玩家数],表1_8612182224267282[目标区服],表2_9713192325277383[[#This Row],[合区区服]],表1_8612182224267282[目标国家（映射）],表2_9713192325277383[[#This Row],[国家]])</f>
        <v>49</v>
      </c>
      <c r="F77" s="182">
        <f t="array" ref="F77">MAX((表1_8612182224267282[目标区服]=表2_9713192325277383[[#This Row],[合区区服]])*(表1_8612182224267282[目标国家（映射）]=表2_9713192325277383[[#This Row],[国家]])*表1_8612182224267282[活跃尖端战力])</f>
        <v>2643360</v>
      </c>
      <c r="G77" s="183">
        <f>SUMIFS(表1_8612182224267282[活跃总战力],表1_8612182224267282[目标区服],表2_9713192325277383[[#This Row],[合区区服]],表1_8612182224267282[目标国家（映射）],表2_9713192325277383[[#This Row],[国家]])</f>
        <v>37152306</v>
      </c>
      <c r="H77" s="182">
        <f>SUMIFS(表1_8612182224267282[活跃实际充值],表1_8612182224267282[目标区服],表2_9713192325277383[[#This Row],[合区区服]],表1_8612182224267282[目标国家（映射）],表2_9713192325277383[[#This Row],[国家]])</f>
        <v>78528</v>
      </c>
      <c r="I77" s="182">
        <f>SUMIFS(表1_8612182224267282[活跃虚拟充值],表1_8612182224267282[目标区服],表2_9713192325277383[[#This Row],[合区区服]],表1_8612182224267282[目标国家（映射）],表2_9713192325277383[[#This Row],[国家]])</f>
        <v>0</v>
      </c>
      <c r="J77" s="182">
        <f>SUMIFS(表1_8612182224267282[活跃Coin],表1_8612182224267282[目标区服],表2_9713192325277383[[#This Row],[合区区服]],表1_8612182224267282[目标国家（映射）],表2_9713192325277383[[#This Row],[国家]])</f>
        <v>1027704</v>
      </c>
      <c r="K77" s="182">
        <f>SUMIFS(表1_8612182224267282[共计补偿Coin],表1_8612182224267282[目标区服],表2_9713192325277383[[#This Row],[合区区服]],表1_8612182224267282[目标国家（映射）],表2_9713192325277383[[#This Row],[国家]])</f>
        <v>65000</v>
      </c>
      <c r="L77" s="182">
        <f>表2_9713192325277383[[#This Row],[活跃Coin]]+表2_9713192325277383[[#This Row],[共计补偿Coin]]</f>
        <v>1092704</v>
      </c>
      <c r="M77" s="182">
        <f>SUMIFS(表1_8612182224267282[综合国力],表1_8612182224267282[目标区服],表2_9713192325277383[[#This Row],[合区区服]],表1_8612182224267282[目标国家（映射）],表2_9713192325277383[[#This Row],[国家]])</f>
        <v>16257</v>
      </c>
      <c r="N77" s="540">
        <f t="array" ref="N77">MAX((表1_8612182224267282[目标区服]=表2_9713192325277383[[#This Row],[合区区服]])*(表1_8612182224267282[目标国家（映射）]=表2_9713192325277383[[#This Row],[国家]])*表1_8612182224267282[单将最高战力])</f>
        <v>887905</v>
      </c>
    </row>
    <row r="78" ht="15" spans="1:14">
      <c r="A78" s="537" t="s">
        <v>163</v>
      </c>
      <c r="B78" s="182" t="s">
        <v>26</v>
      </c>
      <c r="C78" s="182">
        <f>COUNTIFS(表1_8612182224267282[目标区服],表2_9713192325277383[[#This Row],[合区区服]],表1_8612182224267282[目标国家（映射）],表2_9713192325277383[[#This Row],[国家]])</f>
        <v>1</v>
      </c>
      <c r="D78" s="182">
        <f>SUMIFS(表1_8612182224267282[活跃高战玩家数],表1_8612182224267282[目标区服],表2_9713192325277383[[#This Row],[合区区服]],表1_8612182224267282[目标国家（映射）],表2_9713192325277383[[#This Row],[国家]])</f>
        <v>5</v>
      </c>
      <c r="E78" s="182">
        <f>SUMIFS(表1_8612182224267282[活跃中坚玩家数],表1_8612182224267282[目标区服],表2_9713192325277383[[#This Row],[合区区服]],表1_8612182224267282[目标国家（映射）],表2_9713192325277383[[#This Row],[国家]])</f>
        <v>26</v>
      </c>
      <c r="F78" s="182">
        <f t="array" ref="F78">MAX((表1_8612182224267282[目标区服]=表2_9713192325277383[[#This Row],[合区区服]])*(表1_8612182224267282[目标国家（映射）]=表2_9713192325277383[[#This Row],[国家]])*表1_8612182224267282[活跃尖端战力])</f>
        <v>3001542</v>
      </c>
      <c r="G78" s="183">
        <f>SUMIFS(表1_8612182224267282[活跃总战力],表1_8612182224267282[目标区服],表2_9713192325277383[[#This Row],[合区区服]],表1_8612182224267282[目标国家（映射）],表2_9713192325277383[[#This Row],[国家]])</f>
        <v>29176502</v>
      </c>
      <c r="H78" s="182">
        <f>SUMIFS(表1_8612182224267282[活跃实际充值],表1_8612182224267282[目标区服],表2_9713192325277383[[#This Row],[合区区服]],表1_8612182224267282[目标国家（映射）],表2_9713192325277383[[#This Row],[国家]])</f>
        <v>158362</v>
      </c>
      <c r="I78" s="182">
        <f>SUMIFS(表1_8612182224267282[活跃虚拟充值],表1_8612182224267282[目标区服],表2_9713192325277383[[#This Row],[合区区服]],表1_8612182224267282[目标国家（映射）],表2_9713192325277383[[#This Row],[国家]])</f>
        <v>0</v>
      </c>
      <c r="J78" s="182">
        <f>SUMIFS(表1_8612182224267282[活跃Coin],表1_8612182224267282[目标区服],表2_9713192325277383[[#This Row],[合区区服]],表1_8612182224267282[目标国家（映射）],表2_9713192325277383[[#This Row],[国家]])</f>
        <v>908962</v>
      </c>
      <c r="K78" s="182">
        <f>SUMIFS(表1_8612182224267282[共计补偿Coin],表1_8612182224267282[目标区服],表2_9713192325277383[[#This Row],[合区区服]],表1_8612182224267282[目标国家（映射）],表2_9713192325277383[[#This Row],[国家]])</f>
        <v>46500</v>
      </c>
      <c r="L78" s="182">
        <f>表2_9713192325277383[[#This Row],[活跃Coin]]+表2_9713192325277383[[#This Row],[共计补偿Coin]]</f>
        <v>955462</v>
      </c>
      <c r="M78" s="182">
        <f>SUMIFS(表1_8612182224267282[综合国力],表1_8612182224267282[目标区服],表2_9713192325277383[[#This Row],[合区区服]],表1_8612182224267282[目标国家（映射）],表2_9713192325277383[[#This Row],[国家]])</f>
        <v>13951</v>
      </c>
      <c r="N78" s="540">
        <f t="array" ref="N78">MAX((表1_8612182224267282[目标区服]=表2_9713192325277383[[#This Row],[合区区服]])*(表1_8612182224267282[目标国家（映射）]=表2_9713192325277383[[#This Row],[国家]])*表1_8612182224267282[单将最高战力])</f>
        <v>854691</v>
      </c>
    </row>
    <row r="79" ht="15" spans="1:14">
      <c r="A79" s="537" t="s">
        <v>163</v>
      </c>
      <c r="B79" s="182" t="s">
        <v>27</v>
      </c>
      <c r="C79" s="182">
        <f>COUNTIFS(表1_8612182224267282[目标区服],表2_9713192325277383[[#This Row],[合区区服]],表1_8612182224267282[目标国家（映射）],表2_9713192325277383[[#This Row],[国家]])</f>
        <v>2</v>
      </c>
      <c r="D79" s="182">
        <f>SUMIFS(表1_8612182224267282[活跃高战玩家数],表1_8612182224267282[目标区服],表2_9713192325277383[[#This Row],[合区区服]],表1_8612182224267282[目标国家（映射）],表2_9713192325277383[[#This Row],[国家]])</f>
        <v>9</v>
      </c>
      <c r="E79" s="182">
        <f>SUMIFS(表1_8612182224267282[活跃中坚玩家数],表1_8612182224267282[目标区服],表2_9713192325277383[[#This Row],[合区区服]],表1_8612182224267282[目标国家（映射）],表2_9713192325277383[[#This Row],[国家]])</f>
        <v>38</v>
      </c>
      <c r="F79" s="182">
        <f t="array" ref="F79">MAX((表1_8612182224267282[目标区服]=表2_9713192325277383[[#This Row],[合区区服]])*(表1_8612182224267282[目标国家（映射）]=表2_9713192325277383[[#This Row],[国家]])*表1_8612182224267282[活跃尖端战力])</f>
        <v>3045662</v>
      </c>
      <c r="G79" s="183">
        <f>SUMIFS(表1_8612182224267282[活跃总战力],表1_8612182224267282[目标区服],表2_9713192325277383[[#This Row],[合区区服]],表1_8612182224267282[目标国家（映射）],表2_9713192325277383[[#This Row],[国家]])</f>
        <v>38960477</v>
      </c>
      <c r="H79" s="182">
        <f>SUMIFS(表1_8612182224267282[活跃实际充值],表1_8612182224267282[目标区服],表2_9713192325277383[[#This Row],[合区区服]],表1_8612182224267282[目标国家（映射）],表2_9713192325277383[[#This Row],[国家]])</f>
        <v>148242</v>
      </c>
      <c r="I79" s="182">
        <f>SUMIFS(表1_8612182224267282[活跃虚拟充值],表1_8612182224267282[目标区服],表2_9713192325277383[[#This Row],[合区区服]],表1_8612182224267282[目标国家（映射）],表2_9713192325277383[[#This Row],[国家]])</f>
        <v>0</v>
      </c>
      <c r="J79" s="182">
        <f>SUMIFS(表1_8612182224267282[活跃Coin],表1_8612182224267282[目标区服],表2_9713192325277383[[#This Row],[合区区服]],表1_8612182224267282[目标国家（映射）],表2_9713192325277383[[#This Row],[国家]])</f>
        <v>1117171</v>
      </c>
      <c r="K79" s="182">
        <f>SUMIFS(表1_8612182224267282[共计补偿Coin],表1_8612182224267282[目标区服],表2_9713192325277383[[#This Row],[合区区服]],表1_8612182224267282[目标国家（映射）],表2_9713192325277383[[#This Row],[国家]])</f>
        <v>57500</v>
      </c>
      <c r="L79" s="182">
        <f>表2_9713192325277383[[#This Row],[活跃Coin]]+表2_9713192325277383[[#This Row],[共计补偿Coin]]</f>
        <v>1174671</v>
      </c>
      <c r="M79" s="182">
        <f>SUMIFS(表1_8612182224267282[综合国力],表1_8612182224267282[目标区服],表2_9713192325277383[[#This Row],[合区区服]],表1_8612182224267282[目标国家（映射）],表2_9713192325277383[[#This Row],[国家]])</f>
        <v>19537</v>
      </c>
      <c r="N79" s="540">
        <f t="array" ref="N79">MAX((表1_8612182224267282[目标区服]=表2_9713192325277383[[#This Row],[合区区服]])*(表1_8612182224267282[目标国家（映射）]=表2_9713192325277383[[#This Row],[国家]])*表1_8612182224267282[单将最高战力])</f>
        <v>884345</v>
      </c>
    </row>
    <row r="80" ht="15" spans="1:14">
      <c r="A80" s="538" t="s">
        <v>164</v>
      </c>
      <c r="B80" s="41" t="s">
        <v>25</v>
      </c>
      <c r="C80" s="41">
        <f>COUNTIFS(表1_8612182224267282[目标区服],表2_9713192325277383[[#This Row],[合区区服]],表1_8612182224267282[目标国家（映射）],表2_9713192325277383[[#This Row],[国家]])</f>
        <v>2</v>
      </c>
      <c r="D80" s="41">
        <f>SUMIFS(表1_8612182224267282[活跃高战玩家数],表1_8612182224267282[目标区服],表2_9713192325277383[[#This Row],[合区区服]],表1_8612182224267282[目标国家（映射）],表2_9713192325277383[[#This Row],[国家]])</f>
        <v>5</v>
      </c>
      <c r="E80" s="41">
        <f>SUMIFS(表1_8612182224267282[活跃中坚玩家数],表1_8612182224267282[目标区服],表2_9713192325277383[[#This Row],[合区区服]],表1_8612182224267282[目标国家（映射）],表2_9713192325277383[[#This Row],[国家]])</f>
        <v>43</v>
      </c>
      <c r="F80" s="41">
        <f t="array" ref="F80">MAX((表1_8612182224267282[目标区服]=表2_9713192325277383[[#This Row],[合区区服]])*(表1_8612182224267282[目标国家（映射）]=表2_9713192325277383[[#This Row],[国家]])*表1_8612182224267282[活跃尖端战力])</f>
        <v>2865318</v>
      </c>
      <c r="G80" s="42">
        <f>SUMIFS(表1_8612182224267282[活跃总战力],表1_8612182224267282[目标区服],表2_9713192325277383[[#This Row],[合区区服]],表1_8612182224267282[目标国家（映射）],表2_9713192325277383[[#This Row],[国家]])</f>
        <v>30404319</v>
      </c>
      <c r="H80" s="41">
        <f>SUMIFS(表1_8612182224267282[活跃实际充值],表1_8612182224267282[目标区服],表2_9713192325277383[[#This Row],[合区区服]],表1_8612182224267282[目标国家（映射）],表2_9713192325277383[[#This Row],[国家]])</f>
        <v>70732</v>
      </c>
      <c r="I80" s="41">
        <f>SUMIFS(表1_8612182224267282[活跃虚拟充值],表1_8612182224267282[目标区服],表2_9713192325277383[[#This Row],[合区区服]],表1_8612182224267282[目标国家（映射）],表2_9713192325277383[[#This Row],[国家]])</f>
        <v>0</v>
      </c>
      <c r="J80" s="41">
        <f>SUMIFS(表1_8612182224267282[活跃Coin],表1_8612182224267282[目标区服],表2_9713192325277383[[#This Row],[合区区服]],表1_8612182224267282[目标国家（映射）],表2_9713192325277383[[#This Row],[国家]])</f>
        <v>371058</v>
      </c>
      <c r="K80" s="41">
        <f>SUMIFS(表1_8612182224267282[共计补偿Coin],表1_8612182224267282[目标区服],表2_9713192325277383[[#This Row],[合区区服]],表1_8612182224267282[目标国家（映射）],表2_9713192325277383[[#This Row],[国家]])</f>
        <v>48000</v>
      </c>
      <c r="L80" s="41">
        <f>表2_9713192325277383[[#This Row],[活跃Coin]]+表2_9713192325277383[[#This Row],[共计补偿Coin]]</f>
        <v>419058</v>
      </c>
      <c r="M80" s="41">
        <f>SUMIFS(表1_8612182224267282[综合国力],表1_8612182224267282[目标区服],表2_9713192325277383[[#This Row],[合区区服]],表1_8612182224267282[目标国家（映射）],表2_9713192325277383[[#This Row],[国家]])</f>
        <v>14302</v>
      </c>
      <c r="N80" s="541">
        <f t="array" ref="N80">MAX((表1_8612182224267282[目标区服]=表2_9713192325277383[[#This Row],[合区区服]])*(表1_8612182224267282[目标国家（映射）]=表2_9713192325277383[[#This Row],[国家]])*表1_8612182224267282[单将最高战力])</f>
        <v>818020</v>
      </c>
    </row>
    <row r="81" ht="15" spans="1:14">
      <c r="A81" s="538" t="s">
        <v>164</v>
      </c>
      <c r="B81" s="41" t="s">
        <v>26</v>
      </c>
      <c r="C81" s="41">
        <f>COUNTIFS(表1_8612182224267282[目标区服],表2_9713192325277383[[#This Row],[合区区服]],表1_8612182224267282[目标国家（映射）],表2_9713192325277383[[#This Row],[国家]])</f>
        <v>2</v>
      </c>
      <c r="D81" s="41">
        <f>SUMIFS(表1_8612182224267282[活跃高战玩家数],表1_8612182224267282[目标区服],表2_9713192325277383[[#This Row],[合区区服]],表1_8612182224267282[目标国家（映射）],表2_9713192325277383[[#This Row],[国家]])</f>
        <v>6</v>
      </c>
      <c r="E81" s="41">
        <f>SUMIFS(表1_8612182224267282[活跃中坚玩家数],表1_8612182224267282[目标区服],表2_9713192325277383[[#This Row],[合区区服]],表1_8612182224267282[目标国家（映射）],表2_9713192325277383[[#This Row],[国家]])</f>
        <v>44</v>
      </c>
      <c r="F81" s="41">
        <f t="array" ref="F81">MAX((表1_8612182224267282[目标区服]=表2_9713192325277383[[#This Row],[合区区服]])*(表1_8612182224267282[目标国家（映射）]=表2_9713192325277383[[#This Row],[国家]])*表1_8612182224267282[活跃尖端战力])</f>
        <v>2472705</v>
      </c>
      <c r="G81" s="42">
        <f>SUMIFS(表1_8612182224267282[活跃总战力],表1_8612182224267282[目标区服],表2_9713192325277383[[#This Row],[合区区服]],表1_8612182224267282[目标国家（映射）],表2_9713192325277383[[#This Row],[国家]])</f>
        <v>32447697</v>
      </c>
      <c r="H81" s="41">
        <f>SUMIFS(表1_8612182224267282[活跃实际充值],表1_8612182224267282[目标区服],表2_9713192325277383[[#This Row],[合区区服]],表1_8612182224267282[目标国家（映射）],表2_9713192325277383[[#This Row],[国家]])</f>
        <v>102898</v>
      </c>
      <c r="I81" s="41">
        <f>SUMIFS(表1_8612182224267282[活跃虚拟充值],表1_8612182224267282[目标区服],表2_9713192325277383[[#This Row],[合区区服]],表1_8612182224267282[目标国家（映射）],表2_9713192325277383[[#This Row],[国家]])</f>
        <v>0</v>
      </c>
      <c r="J81" s="41">
        <f>SUMIFS(表1_8612182224267282[活跃Coin],表1_8612182224267282[目标区服],表2_9713192325277383[[#This Row],[合区区服]],表1_8612182224267282[目标国家（映射）],表2_9713192325277383[[#This Row],[国家]])</f>
        <v>651222</v>
      </c>
      <c r="K81" s="41">
        <f>SUMIFS(表1_8612182224267282[共计补偿Coin],表1_8612182224267282[目标区服],表2_9713192325277383[[#This Row],[合区区服]],表1_8612182224267282[目标国家（映射）],表2_9713192325277383[[#This Row],[国家]])</f>
        <v>50000</v>
      </c>
      <c r="L81" s="41">
        <f>表2_9713192325277383[[#This Row],[活跃Coin]]+表2_9713192325277383[[#This Row],[共计补偿Coin]]</f>
        <v>701222</v>
      </c>
      <c r="M81" s="41">
        <f>SUMIFS(表1_8612182224267282[综合国力],表1_8612182224267282[目标区服],表2_9713192325277383[[#This Row],[合区区服]],表1_8612182224267282[目标国家（映射）],表2_9713192325277383[[#This Row],[国家]])</f>
        <v>15813</v>
      </c>
      <c r="N81" s="541">
        <f t="array" ref="N81">MAX((表1_8612182224267282[目标区服]=表2_9713192325277383[[#This Row],[合区区服]])*(表1_8612182224267282[目标国家（映射）]=表2_9713192325277383[[#This Row],[国家]])*表1_8612182224267282[单将最高战力])</f>
        <v>994715</v>
      </c>
    </row>
    <row r="82" ht="15" spans="1:14">
      <c r="A82" s="538" t="s">
        <v>164</v>
      </c>
      <c r="B82" s="43" t="s">
        <v>27</v>
      </c>
      <c r="C82" s="43">
        <f>COUNTIFS(表1_8612182224267282[目标区服],表2_9713192325277383[[#This Row],[合区区服]],表1_8612182224267282[目标国家（映射）],表2_9713192325277383[[#This Row],[国家]])</f>
        <v>2</v>
      </c>
      <c r="D82" s="43">
        <f>SUMIFS(表1_8612182224267282[活跃高战玩家数],表1_8612182224267282[目标区服],表2_9713192325277383[[#This Row],[合区区服]],表1_8612182224267282[目标国家（映射）],表2_9713192325277383[[#This Row],[国家]])</f>
        <v>7</v>
      </c>
      <c r="E82" s="43">
        <f>SUMIFS(表1_8612182224267282[活跃中坚玩家数],表1_8612182224267282[目标区服],表2_9713192325277383[[#This Row],[合区区服]],表1_8612182224267282[目标国家（映射）],表2_9713192325277383[[#This Row],[国家]])</f>
        <v>33</v>
      </c>
      <c r="F82" s="41">
        <f t="array" ref="F82">MAX((表1_8612182224267282[目标区服]=表2_9713192325277383[[#This Row],[合区区服]])*(表1_8612182224267282[目标国家（映射）]=表2_9713192325277383[[#This Row],[国家]])*表1_8612182224267282[活跃尖端战力])</f>
        <v>2800530</v>
      </c>
      <c r="G82" s="42">
        <f>SUMIFS(表1_8612182224267282[活跃总战力],表1_8612182224267282[目标区服],表2_9713192325277383[[#This Row],[合区区服]],表1_8612182224267282[目标国家（映射）],表2_9713192325277383[[#This Row],[国家]])</f>
        <v>30335591</v>
      </c>
      <c r="H82" s="41">
        <f>SUMIFS(表1_8612182224267282[活跃实际充值],表1_8612182224267282[目标区服],表2_9713192325277383[[#This Row],[合区区服]],表1_8612182224267282[目标国家（映射）],表2_9713192325277383[[#This Row],[国家]])</f>
        <v>118954</v>
      </c>
      <c r="I82" s="41">
        <f>SUMIFS(表1_8612182224267282[活跃虚拟充值],表1_8612182224267282[目标区服],表2_9713192325277383[[#This Row],[合区区服]],表1_8612182224267282[目标国家（映射）],表2_9713192325277383[[#This Row],[国家]])</f>
        <v>0</v>
      </c>
      <c r="J82" s="41">
        <f>SUMIFS(表1_8612182224267282[活跃Coin],表1_8612182224267282[目标区服],表2_9713192325277383[[#This Row],[合区区服]],表1_8612182224267282[目标国家（映射）],表2_9713192325277383[[#This Row],[国家]])</f>
        <v>580802</v>
      </c>
      <c r="K82" s="41">
        <f>SUMIFS(表1_8612182224267282[共计补偿Coin],表1_8612182224267282[目标区服],表2_9713192325277383[[#This Row],[合区区服]],表1_8612182224267282[目标国家（映射）],表2_9713192325277383[[#This Row],[国家]])</f>
        <v>40000</v>
      </c>
      <c r="L82" s="41">
        <f>表2_9713192325277383[[#This Row],[活跃Coin]]+表2_9713192325277383[[#This Row],[共计补偿Coin]]</f>
        <v>620802</v>
      </c>
      <c r="M82" s="41">
        <f>SUMIFS(表1_8612182224267282[综合国力],表1_8612182224267282[目标区服],表2_9713192325277383[[#This Row],[合区区服]],表1_8612182224267282[目标国家（映射）],表2_9713192325277383[[#This Row],[国家]])</f>
        <v>15377</v>
      </c>
      <c r="N82" s="541">
        <f t="array" ref="N82">MAX((表1_8612182224267282[目标区服]=表2_9713192325277383[[#This Row],[合区区服]])*(表1_8612182224267282[目标国家（映射）]=表2_9713192325277383[[#This Row],[国家]])*表1_8612182224267282[单将最高战力])</f>
        <v>770565</v>
      </c>
    </row>
    <row r="88" ht="27" spans="2:14">
      <c r="B88" s="49"/>
      <c r="C88" s="50" t="s">
        <v>9</v>
      </c>
      <c r="D88" s="50" t="s">
        <v>10</v>
      </c>
      <c r="E88" s="50" t="s">
        <v>11</v>
      </c>
      <c r="F88" s="50" t="s">
        <v>12</v>
      </c>
      <c r="G88" s="50" t="s">
        <v>13</v>
      </c>
      <c r="H88" s="50" t="s">
        <v>14</v>
      </c>
      <c r="I88" s="50" t="s">
        <v>15</v>
      </c>
      <c r="J88" s="50" t="s">
        <v>18</v>
      </c>
      <c r="K88" s="50" t="s">
        <v>19</v>
      </c>
      <c r="L88" s="50" t="s">
        <v>20</v>
      </c>
      <c r="M88" s="50" t="s">
        <v>21</v>
      </c>
      <c r="N88" s="50" t="s">
        <v>82</v>
      </c>
    </row>
    <row r="89" spans="1:14">
      <c r="A89">
        <v>5083</v>
      </c>
      <c r="B89" s="50" t="s">
        <v>25</v>
      </c>
      <c r="C89" s="50">
        <v>3</v>
      </c>
      <c r="D89" s="50">
        <v>66</v>
      </c>
      <c r="E89" s="50">
        <v>3</v>
      </c>
      <c r="F89" s="50">
        <v>12</v>
      </c>
      <c r="G89" s="50">
        <v>85161</v>
      </c>
      <c r="H89" s="50">
        <v>2181098</v>
      </c>
      <c r="I89" s="50">
        <v>13100225</v>
      </c>
      <c r="J89" s="50">
        <v>38062</v>
      </c>
      <c r="K89" s="50">
        <v>0</v>
      </c>
      <c r="L89" s="50">
        <v>146890</v>
      </c>
      <c r="M89" s="50">
        <v>6092</v>
      </c>
      <c r="N89" s="50">
        <v>629220</v>
      </c>
    </row>
    <row r="90" spans="2:14">
      <c r="B90" s="50" t="s">
        <v>26</v>
      </c>
      <c r="C90" s="50">
        <v>2</v>
      </c>
      <c r="D90" s="50">
        <v>68</v>
      </c>
      <c r="E90" s="50">
        <v>1</v>
      </c>
      <c r="F90" s="50">
        <v>8</v>
      </c>
      <c r="G90" s="50">
        <v>36317</v>
      </c>
      <c r="H90" s="50">
        <v>1843342</v>
      </c>
      <c r="I90" s="50">
        <v>5772046</v>
      </c>
      <c r="J90" s="50">
        <v>19544</v>
      </c>
      <c r="K90" s="50">
        <v>0</v>
      </c>
      <c r="L90" s="50">
        <v>126214</v>
      </c>
      <c r="M90" s="50">
        <v>4131</v>
      </c>
      <c r="N90" s="50">
        <v>645123</v>
      </c>
    </row>
    <row r="91" spans="2:14">
      <c r="B91" s="50" t="s">
        <v>27</v>
      </c>
      <c r="C91" s="50">
        <v>4</v>
      </c>
      <c r="D91" s="50">
        <v>261</v>
      </c>
      <c r="E91" s="50">
        <v>6</v>
      </c>
      <c r="F91" s="50">
        <v>16</v>
      </c>
      <c r="G91" s="50">
        <v>130987</v>
      </c>
      <c r="H91" s="50">
        <v>3160522</v>
      </c>
      <c r="I91" s="50">
        <v>21945092</v>
      </c>
      <c r="J91" s="50">
        <v>121744</v>
      </c>
      <c r="K91" s="50">
        <v>0</v>
      </c>
      <c r="L91" s="50">
        <v>491153</v>
      </c>
      <c r="M91" s="50">
        <v>12917</v>
      </c>
      <c r="N91" s="50">
        <v>949582</v>
      </c>
    </row>
    <row r="92" spans="1:14">
      <c r="A92">
        <v>5084</v>
      </c>
      <c r="B92" s="50" t="s">
        <v>25</v>
      </c>
      <c r="C92" s="50">
        <v>6</v>
      </c>
      <c r="D92" s="50">
        <v>188</v>
      </c>
      <c r="E92" s="50">
        <v>5</v>
      </c>
      <c r="F92" s="50">
        <v>18</v>
      </c>
      <c r="G92" s="50">
        <v>125518</v>
      </c>
      <c r="H92" s="50">
        <v>4583510</v>
      </c>
      <c r="I92" s="50">
        <v>26803695</v>
      </c>
      <c r="J92" s="50">
        <v>166534</v>
      </c>
      <c r="K92" s="50">
        <v>167504</v>
      </c>
      <c r="L92" s="50">
        <v>1190520</v>
      </c>
      <c r="M92" s="50">
        <v>17637</v>
      </c>
      <c r="N92" s="50">
        <v>1408809</v>
      </c>
    </row>
    <row r="93" spans="2:14">
      <c r="B93" s="50" t="s">
        <v>26</v>
      </c>
      <c r="C93" s="50">
        <v>1</v>
      </c>
      <c r="D93" s="50">
        <v>123</v>
      </c>
      <c r="E93" s="50">
        <v>3</v>
      </c>
      <c r="F93" s="50">
        <v>18</v>
      </c>
      <c r="G93" s="50">
        <v>84088</v>
      </c>
      <c r="H93" s="50">
        <v>1675316</v>
      </c>
      <c r="I93" s="50">
        <v>13819326</v>
      </c>
      <c r="J93" s="50">
        <v>30640</v>
      </c>
      <c r="K93" s="50">
        <v>0</v>
      </c>
      <c r="L93" s="50">
        <v>180986</v>
      </c>
      <c r="M93" s="50">
        <v>5817</v>
      </c>
      <c r="N93" s="50">
        <v>461736</v>
      </c>
    </row>
    <row r="94" spans="2:14">
      <c r="B94" s="50" t="s">
        <v>27</v>
      </c>
      <c r="C94" s="50">
        <v>2</v>
      </c>
      <c r="D94" s="50">
        <v>84</v>
      </c>
      <c r="E94" s="50">
        <v>1</v>
      </c>
      <c r="F94" s="50">
        <v>17</v>
      </c>
      <c r="G94" s="50">
        <v>79246</v>
      </c>
      <c r="H94" s="50">
        <v>2186028</v>
      </c>
      <c r="I94" s="50">
        <v>14157387</v>
      </c>
      <c r="J94" s="50">
        <v>4810</v>
      </c>
      <c r="K94" s="50">
        <v>61770</v>
      </c>
      <c r="L94" s="50">
        <v>478639</v>
      </c>
      <c r="M94" s="50">
        <v>6039</v>
      </c>
      <c r="N94" s="50">
        <v>963314</v>
      </c>
    </row>
    <row r="95" spans="1:14">
      <c r="A95">
        <v>5085</v>
      </c>
      <c r="B95" s="50" t="s">
        <v>25</v>
      </c>
      <c r="C95" s="50">
        <v>6</v>
      </c>
      <c r="D95" s="50">
        <v>183</v>
      </c>
      <c r="E95" s="50">
        <v>3</v>
      </c>
      <c r="F95" s="50">
        <v>15</v>
      </c>
      <c r="G95" s="50">
        <v>87619</v>
      </c>
      <c r="H95" s="50">
        <v>1892508</v>
      </c>
      <c r="I95" s="50">
        <v>14345013</v>
      </c>
      <c r="J95" s="50">
        <v>13422</v>
      </c>
      <c r="K95" s="50">
        <v>0</v>
      </c>
      <c r="L95" s="50">
        <v>329751</v>
      </c>
      <c r="M95" s="50">
        <v>6762</v>
      </c>
      <c r="N95" s="50">
        <v>596103</v>
      </c>
    </row>
    <row r="96" spans="2:14">
      <c r="B96" s="50" t="s">
        <v>26</v>
      </c>
      <c r="C96" s="50">
        <v>3</v>
      </c>
      <c r="D96" s="50">
        <v>151</v>
      </c>
      <c r="E96" s="50">
        <v>2</v>
      </c>
      <c r="F96" s="50">
        <v>16</v>
      </c>
      <c r="G96" s="50">
        <v>85352</v>
      </c>
      <c r="H96" s="50">
        <v>2191966</v>
      </c>
      <c r="I96" s="50">
        <v>14305709</v>
      </c>
      <c r="J96" s="50">
        <v>21104</v>
      </c>
      <c r="K96" s="50">
        <v>0</v>
      </c>
      <c r="L96" s="50">
        <v>215884</v>
      </c>
      <c r="M96" s="50">
        <v>6600</v>
      </c>
      <c r="N96" s="50">
        <v>610879</v>
      </c>
    </row>
    <row r="97" spans="2:14">
      <c r="B97" s="50" t="s">
        <v>27</v>
      </c>
      <c r="C97" s="50">
        <v>0</v>
      </c>
      <c r="D97" s="50">
        <v>61</v>
      </c>
      <c r="E97" s="50">
        <v>5</v>
      </c>
      <c r="F97" s="50">
        <v>22</v>
      </c>
      <c r="G97" s="50">
        <v>129296</v>
      </c>
      <c r="H97" s="50">
        <v>2208436</v>
      </c>
      <c r="I97" s="50">
        <v>22082643</v>
      </c>
      <c r="J97" s="50">
        <v>28954</v>
      </c>
      <c r="K97" s="50">
        <v>0</v>
      </c>
      <c r="L97" s="50">
        <v>744760</v>
      </c>
      <c r="M97" s="50">
        <v>6914</v>
      </c>
      <c r="N97" s="50">
        <v>595215</v>
      </c>
    </row>
    <row r="98" spans="1:14">
      <c r="A98">
        <v>5086</v>
      </c>
      <c r="B98" s="50" t="s">
        <v>25</v>
      </c>
      <c r="C98" s="50">
        <v>3</v>
      </c>
      <c r="D98" s="50">
        <v>86</v>
      </c>
      <c r="E98" s="50">
        <v>2</v>
      </c>
      <c r="F98" s="50">
        <v>15</v>
      </c>
      <c r="G98" s="50">
        <v>68314</v>
      </c>
      <c r="H98" s="50">
        <v>2309176</v>
      </c>
      <c r="I98" s="50">
        <v>14716273</v>
      </c>
      <c r="J98" s="50">
        <v>82880</v>
      </c>
      <c r="K98" s="50">
        <v>0</v>
      </c>
      <c r="L98" s="50">
        <v>432819</v>
      </c>
      <c r="M98" s="50">
        <v>7985</v>
      </c>
      <c r="N98" s="50">
        <v>758610</v>
      </c>
    </row>
    <row r="99" spans="2:14">
      <c r="B99" s="50" t="s">
        <v>26</v>
      </c>
      <c r="C99" s="50">
        <v>3</v>
      </c>
      <c r="D99" s="50">
        <v>166</v>
      </c>
      <c r="E99" s="50">
        <v>4</v>
      </c>
      <c r="F99" s="50">
        <v>24</v>
      </c>
      <c r="G99" s="50">
        <v>114253</v>
      </c>
      <c r="H99" s="50">
        <v>2929099</v>
      </c>
      <c r="I99" s="50">
        <v>23583506</v>
      </c>
      <c r="J99" s="50">
        <v>83590</v>
      </c>
      <c r="K99" s="50">
        <v>0</v>
      </c>
      <c r="L99" s="50">
        <v>296661</v>
      </c>
      <c r="M99" s="50">
        <v>10474</v>
      </c>
      <c r="N99" s="50">
        <v>761250</v>
      </c>
    </row>
    <row r="100" spans="2:14">
      <c r="B100" s="50" t="s">
        <v>27</v>
      </c>
      <c r="C100" s="50">
        <v>3</v>
      </c>
      <c r="D100" s="50">
        <v>143</v>
      </c>
      <c r="E100" s="50">
        <v>4</v>
      </c>
      <c r="F100" s="50">
        <v>23</v>
      </c>
      <c r="G100" s="50">
        <v>125809</v>
      </c>
      <c r="H100" s="50">
        <v>2276520</v>
      </c>
      <c r="I100" s="50">
        <v>24347854</v>
      </c>
      <c r="J100" s="50">
        <v>65206</v>
      </c>
      <c r="K100" s="50">
        <v>0</v>
      </c>
      <c r="L100" s="50">
        <v>315515</v>
      </c>
      <c r="M100" s="50">
        <v>9184</v>
      </c>
      <c r="N100" s="50">
        <v>628026</v>
      </c>
    </row>
    <row r="101" spans="1:14">
      <c r="A101">
        <v>5087</v>
      </c>
      <c r="B101" s="50" t="s">
        <v>25</v>
      </c>
      <c r="C101" s="50">
        <v>0</v>
      </c>
      <c r="D101" s="50">
        <v>44</v>
      </c>
      <c r="E101" s="50">
        <v>2</v>
      </c>
      <c r="F101" s="50">
        <v>14</v>
      </c>
      <c r="G101" s="50">
        <v>55811</v>
      </c>
      <c r="H101" s="50">
        <v>2190172</v>
      </c>
      <c r="I101" s="50">
        <v>11681024</v>
      </c>
      <c r="J101" s="50">
        <v>48122</v>
      </c>
      <c r="K101" s="50">
        <v>0</v>
      </c>
      <c r="L101" s="50">
        <v>216893</v>
      </c>
      <c r="M101" s="50">
        <v>5629</v>
      </c>
      <c r="N101" s="50">
        <v>752500</v>
      </c>
    </row>
    <row r="102" spans="2:14">
      <c r="B102" s="50" t="s">
        <v>26</v>
      </c>
      <c r="C102" s="50">
        <v>0</v>
      </c>
      <c r="D102" s="50">
        <v>50</v>
      </c>
      <c r="E102" s="50">
        <v>2</v>
      </c>
      <c r="F102" s="50">
        <v>19</v>
      </c>
      <c r="G102" s="50">
        <v>81299</v>
      </c>
      <c r="H102" s="50">
        <v>2471690</v>
      </c>
      <c r="I102" s="50">
        <v>15894419</v>
      </c>
      <c r="J102" s="50">
        <v>67756</v>
      </c>
      <c r="K102" s="50">
        <v>0</v>
      </c>
      <c r="L102" s="50">
        <v>161529</v>
      </c>
      <c r="M102" s="50">
        <v>7081</v>
      </c>
      <c r="N102" s="50">
        <v>766555</v>
      </c>
    </row>
    <row r="103" spans="2:14">
      <c r="B103" s="50" t="s">
        <v>27</v>
      </c>
      <c r="C103" s="50">
        <v>9</v>
      </c>
      <c r="D103" s="50">
        <v>301</v>
      </c>
      <c r="E103" s="50">
        <v>6</v>
      </c>
      <c r="F103" s="50">
        <v>24</v>
      </c>
      <c r="G103" s="50">
        <v>149667</v>
      </c>
      <c r="H103" s="50">
        <v>4430783</v>
      </c>
      <c r="I103" s="50">
        <v>30880422</v>
      </c>
      <c r="J103" s="50">
        <v>228748</v>
      </c>
      <c r="K103" s="50">
        <v>0</v>
      </c>
      <c r="L103" s="50">
        <v>1161609</v>
      </c>
      <c r="M103" s="50">
        <v>19620</v>
      </c>
      <c r="N103" s="50">
        <v>1141228</v>
      </c>
    </row>
    <row r="104" spans="1:14">
      <c r="A104">
        <v>5088</v>
      </c>
      <c r="B104" s="50" t="s">
        <v>25</v>
      </c>
      <c r="C104" s="50">
        <v>3</v>
      </c>
      <c r="D104" s="50">
        <v>121</v>
      </c>
      <c r="E104" s="50">
        <v>2</v>
      </c>
      <c r="F104" s="50">
        <v>17</v>
      </c>
      <c r="G104" s="50">
        <v>85927</v>
      </c>
      <c r="H104" s="50">
        <v>2583365</v>
      </c>
      <c r="I104" s="50">
        <v>13899314</v>
      </c>
      <c r="J104" s="50">
        <v>52428</v>
      </c>
      <c r="K104" s="50">
        <v>0</v>
      </c>
      <c r="L104" s="50">
        <v>485724</v>
      </c>
      <c r="M104" s="50">
        <v>7728</v>
      </c>
      <c r="N104" s="50">
        <v>925728</v>
      </c>
    </row>
    <row r="105" spans="2:14">
      <c r="B105" s="50" t="s">
        <v>26</v>
      </c>
      <c r="C105" s="50">
        <v>3</v>
      </c>
      <c r="D105" s="50">
        <v>160</v>
      </c>
      <c r="E105" s="50">
        <v>5</v>
      </c>
      <c r="F105" s="50">
        <v>18</v>
      </c>
      <c r="G105" s="50">
        <v>114611</v>
      </c>
      <c r="H105" s="50">
        <v>1806940</v>
      </c>
      <c r="I105" s="50">
        <v>16163149</v>
      </c>
      <c r="J105" s="50">
        <v>37878</v>
      </c>
      <c r="K105" s="50">
        <v>0</v>
      </c>
      <c r="L105" s="50">
        <v>365966</v>
      </c>
      <c r="M105" s="50">
        <v>7215</v>
      </c>
      <c r="N105" s="50">
        <v>530244</v>
      </c>
    </row>
    <row r="106" spans="2:14">
      <c r="B106" s="50" t="s">
        <v>27</v>
      </c>
      <c r="C106" s="50">
        <v>3</v>
      </c>
      <c r="D106" s="50">
        <v>114</v>
      </c>
      <c r="E106" s="50">
        <v>3</v>
      </c>
      <c r="F106" s="50">
        <v>16</v>
      </c>
      <c r="G106" s="50">
        <v>92072</v>
      </c>
      <c r="H106" s="50">
        <v>2490936</v>
      </c>
      <c r="I106" s="50">
        <v>14445975</v>
      </c>
      <c r="J106" s="50">
        <v>96862</v>
      </c>
      <c r="K106" s="50">
        <v>0</v>
      </c>
      <c r="L106" s="50">
        <v>287126</v>
      </c>
      <c r="M106" s="50">
        <v>8885</v>
      </c>
      <c r="N106" s="50">
        <v>915826</v>
      </c>
    </row>
    <row r="107" spans="1:14">
      <c r="A107">
        <v>5089</v>
      </c>
      <c r="B107" s="50" t="s">
        <v>25</v>
      </c>
      <c r="C107" s="50">
        <v>0</v>
      </c>
      <c r="D107" s="50">
        <v>70</v>
      </c>
      <c r="E107" s="50">
        <v>0</v>
      </c>
      <c r="F107" s="50">
        <v>16</v>
      </c>
      <c r="G107" s="50">
        <v>41340</v>
      </c>
      <c r="H107" s="50">
        <v>1239790</v>
      </c>
      <c r="I107" s="50">
        <v>7854882</v>
      </c>
      <c r="J107" s="50">
        <v>9136</v>
      </c>
      <c r="K107" s="50">
        <v>0</v>
      </c>
      <c r="L107" s="50">
        <v>76874</v>
      </c>
      <c r="M107" s="50">
        <v>3244</v>
      </c>
      <c r="N107" s="50">
        <v>387924</v>
      </c>
    </row>
    <row r="108" spans="2:14">
      <c r="B108" s="50" t="s">
        <v>26</v>
      </c>
      <c r="C108" s="50">
        <v>5</v>
      </c>
      <c r="D108" s="50">
        <v>205</v>
      </c>
      <c r="E108" s="50">
        <v>5</v>
      </c>
      <c r="F108" s="50">
        <v>25</v>
      </c>
      <c r="G108" s="50">
        <v>135770</v>
      </c>
      <c r="H108" s="50">
        <v>3284227</v>
      </c>
      <c r="I108" s="50">
        <v>25323519</v>
      </c>
      <c r="J108" s="50">
        <v>107652</v>
      </c>
      <c r="K108" s="50">
        <v>0</v>
      </c>
      <c r="L108" s="50">
        <v>717624</v>
      </c>
      <c r="M108" s="50">
        <v>12633</v>
      </c>
      <c r="N108" s="50">
        <v>858025</v>
      </c>
    </row>
    <row r="109" spans="2:14">
      <c r="B109" s="50" t="s">
        <v>27</v>
      </c>
      <c r="C109" s="50">
        <v>4</v>
      </c>
      <c r="D109" s="50">
        <v>120</v>
      </c>
      <c r="E109" s="50">
        <v>5</v>
      </c>
      <c r="F109" s="50">
        <v>24</v>
      </c>
      <c r="G109" s="50">
        <v>126286</v>
      </c>
      <c r="H109" s="50">
        <v>3149077</v>
      </c>
      <c r="I109" s="50">
        <v>23352141</v>
      </c>
      <c r="J109" s="50">
        <v>154140</v>
      </c>
      <c r="K109" s="50">
        <v>0</v>
      </c>
      <c r="L109" s="50">
        <v>476261</v>
      </c>
      <c r="M109" s="50">
        <v>12578</v>
      </c>
      <c r="N109" s="50">
        <v>947176</v>
      </c>
    </row>
    <row r="110" spans="1:14">
      <c r="A110">
        <v>5090</v>
      </c>
      <c r="B110" s="50" t="s">
        <v>25</v>
      </c>
      <c r="C110" s="50">
        <v>0</v>
      </c>
      <c r="D110" s="50">
        <v>15</v>
      </c>
      <c r="E110" s="50">
        <v>0</v>
      </c>
      <c r="F110" s="50">
        <v>6</v>
      </c>
      <c r="G110" s="50">
        <v>29331</v>
      </c>
      <c r="H110" s="50">
        <v>1014007</v>
      </c>
      <c r="I110" s="50">
        <v>3660399</v>
      </c>
      <c r="J110" s="50">
        <v>5306</v>
      </c>
      <c r="K110" s="50">
        <v>0</v>
      </c>
      <c r="L110" s="50">
        <v>104493</v>
      </c>
      <c r="M110" s="50">
        <v>1888</v>
      </c>
      <c r="N110" s="50">
        <v>332897</v>
      </c>
    </row>
    <row r="111" spans="2:14">
      <c r="B111" s="50" t="s">
        <v>26</v>
      </c>
      <c r="C111" s="50">
        <v>9</v>
      </c>
      <c r="D111" s="50">
        <v>350</v>
      </c>
      <c r="E111" s="50">
        <v>8</v>
      </c>
      <c r="F111" s="50">
        <v>17</v>
      </c>
      <c r="G111" s="50">
        <v>155489</v>
      </c>
      <c r="H111" s="50">
        <v>3051060</v>
      </c>
      <c r="I111" s="50">
        <v>24797280</v>
      </c>
      <c r="J111" s="50">
        <v>113428</v>
      </c>
      <c r="K111" s="50">
        <v>0</v>
      </c>
      <c r="L111" s="50">
        <v>694061</v>
      </c>
      <c r="M111" s="50">
        <v>14458</v>
      </c>
      <c r="N111" s="50">
        <v>796483</v>
      </c>
    </row>
    <row r="112" spans="2:14">
      <c r="B112" s="50" t="s">
        <v>27</v>
      </c>
      <c r="C112" s="50">
        <v>0</v>
      </c>
      <c r="D112" s="50">
        <v>30</v>
      </c>
      <c r="E112" s="50">
        <v>2</v>
      </c>
      <c r="F112" s="50">
        <v>9</v>
      </c>
      <c r="G112" s="50">
        <v>49906</v>
      </c>
      <c r="H112" s="50">
        <v>1673925</v>
      </c>
      <c r="I112" s="50">
        <v>6570270</v>
      </c>
      <c r="J112" s="50">
        <v>6470</v>
      </c>
      <c r="K112" s="50">
        <v>0</v>
      </c>
      <c r="L112" s="50">
        <v>119771</v>
      </c>
      <c r="M112" s="50">
        <v>3134</v>
      </c>
      <c r="N112" s="50">
        <v>518952</v>
      </c>
    </row>
    <row r="113" spans="1:14">
      <c r="A113">
        <v>5091</v>
      </c>
      <c r="B113" s="50" t="s">
        <v>25</v>
      </c>
      <c r="C113" s="50">
        <v>4</v>
      </c>
      <c r="D113" s="50">
        <v>187</v>
      </c>
      <c r="E113" s="50">
        <v>5</v>
      </c>
      <c r="F113" s="50">
        <v>14</v>
      </c>
      <c r="G113" s="50">
        <v>110412</v>
      </c>
      <c r="H113" s="50">
        <v>2485206</v>
      </c>
      <c r="I113" s="50">
        <v>16125588</v>
      </c>
      <c r="J113" s="50">
        <v>89592</v>
      </c>
      <c r="K113" s="50">
        <v>0</v>
      </c>
      <c r="L113" s="50">
        <v>346986</v>
      </c>
      <c r="M113" s="50">
        <v>9781</v>
      </c>
      <c r="N113" s="50">
        <v>839829</v>
      </c>
    </row>
    <row r="114" spans="2:14">
      <c r="B114" s="50" t="s">
        <v>26</v>
      </c>
      <c r="C114" s="50">
        <v>3</v>
      </c>
      <c r="D114" s="50">
        <v>141</v>
      </c>
      <c r="E114" s="50">
        <v>3</v>
      </c>
      <c r="F114" s="50">
        <v>15</v>
      </c>
      <c r="G114" s="50">
        <v>84780</v>
      </c>
      <c r="H114" s="50">
        <v>1677751</v>
      </c>
      <c r="I114" s="50">
        <v>11483206</v>
      </c>
      <c r="J114" s="50">
        <v>30848</v>
      </c>
      <c r="K114" s="50">
        <v>0</v>
      </c>
      <c r="L114" s="50">
        <v>207128</v>
      </c>
      <c r="M114" s="50">
        <v>5988</v>
      </c>
      <c r="N114" s="50">
        <v>534975</v>
      </c>
    </row>
    <row r="115" spans="2:14">
      <c r="B115" s="50" t="s">
        <v>27</v>
      </c>
      <c r="C115" s="50">
        <v>2</v>
      </c>
      <c r="D115" s="50">
        <v>67</v>
      </c>
      <c r="E115" s="50">
        <v>1</v>
      </c>
      <c r="F115" s="50">
        <v>19</v>
      </c>
      <c r="G115" s="50">
        <v>87666</v>
      </c>
      <c r="H115" s="50">
        <v>1151808</v>
      </c>
      <c r="I115" s="50">
        <v>10839201</v>
      </c>
      <c r="J115" s="50">
        <v>2104</v>
      </c>
      <c r="K115" s="50">
        <v>0</v>
      </c>
      <c r="L115" s="50">
        <v>207457</v>
      </c>
      <c r="M115" s="50">
        <v>3710</v>
      </c>
      <c r="N115" s="50">
        <v>367665</v>
      </c>
    </row>
    <row r="116" spans="1:14">
      <c r="A116">
        <v>5092</v>
      </c>
      <c r="B116" s="50" t="s">
        <v>25</v>
      </c>
      <c r="C116" s="50">
        <v>9</v>
      </c>
      <c r="D116" s="50">
        <v>350</v>
      </c>
      <c r="E116" s="50">
        <v>9</v>
      </c>
      <c r="F116" s="50">
        <v>16</v>
      </c>
      <c r="G116" s="50">
        <v>165442</v>
      </c>
      <c r="H116" s="50">
        <v>2936094</v>
      </c>
      <c r="I116" s="50">
        <v>24222734</v>
      </c>
      <c r="J116" s="50">
        <v>108510</v>
      </c>
      <c r="K116" s="50">
        <v>0</v>
      </c>
      <c r="L116" s="50">
        <v>939533</v>
      </c>
      <c r="M116" s="50">
        <v>14310</v>
      </c>
      <c r="N116" s="50">
        <v>892826</v>
      </c>
    </row>
    <row r="117" spans="2:14">
      <c r="B117" s="50" t="s">
        <v>26</v>
      </c>
      <c r="C117" s="50">
        <v>0</v>
      </c>
      <c r="D117" s="50">
        <v>22</v>
      </c>
      <c r="E117" s="50">
        <v>0</v>
      </c>
      <c r="F117" s="50">
        <v>11</v>
      </c>
      <c r="G117" s="50">
        <v>47849</v>
      </c>
      <c r="H117" s="50">
        <v>904781</v>
      </c>
      <c r="I117" s="50">
        <v>5359801</v>
      </c>
      <c r="J117" s="50">
        <v>3056</v>
      </c>
      <c r="K117" s="50">
        <v>0</v>
      </c>
      <c r="L117" s="50">
        <v>107106</v>
      </c>
      <c r="M117" s="50">
        <v>2045</v>
      </c>
      <c r="N117" s="50">
        <v>435537</v>
      </c>
    </row>
    <row r="118" spans="2:14">
      <c r="B118" s="50" t="s">
        <v>27</v>
      </c>
      <c r="C118" s="50">
        <v>0</v>
      </c>
      <c r="D118" s="50">
        <v>23</v>
      </c>
      <c r="E118" s="50">
        <v>0</v>
      </c>
      <c r="F118" s="50">
        <v>11</v>
      </c>
      <c r="G118" s="50">
        <v>43772</v>
      </c>
      <c r="H118" s="50">
        <v>784237</v>
      </c>
      <c r="I118" s="50">
        <v>4763791</v>
      </c>
      <c r="J118" s="50">
        <v>4500</v>
      </c>
      <c r="K118" s="50">
        <v>0</v>
      </c>
      <c r="L118" s="50">
        <v>93394</v>
      </c>
      <c r="M118" s="50">
        <v>1891</v>
      </c>
      <c r="N118" s="50">
        <v>237881</v>
      </c>
    </row>
    <row r="119" spans="1:14">
      <c r="A119">
        <v>5093</v>
      </c>
      <c r="B119" s="50" t="s">
        <v>25</v>
      </c>
      <c r="C119" s="50">
        <v>3</v>
      </c>
      <c r="D119" s="50">
        <v>140</v>
      </c>
      <c r="E119" s="50">
        <v>5</v>
      </c>
      <c r="F119" s="50">
        <v>12</v>
      </c>
      <c r="G119" s="50">
        <v>94664</v>
      </c>
      <c r="H119" s="50">
        <v>2301263</v>
      </c>
      <c r="I119" s="50">
        <v>15669859</v>
      </c>
      <c r="J119" s="50">
        <v>52108</v>
      </c>
      <c r="K119" s="50">
        <v>0</v>
      </c>
      <c r="L119" s="50">
        <v>437286</v>
      </c>
      <c r="M119" s="50">
        <v>7823</v>
      </c>
      <c r="N119" s="50">
        <v>710864</v>
      </c>
    </row>
    <row r="120" spans="2:14">
      <c r="B120" s="50" t="s">
        <v>26</v>
      </c>
      <c r="C120" s="50">
        <v>5</v>
      </c>
      <c r="D120" s="50">
        <v>195</v>
      </c>
      <c r="E120" s="50">
        <v>5</v>
      </c>
      <c r="F120" s="50">
        <v>28</v>
      </c>
      <c r="G120" s="50">
        <v>170187</v>
      </c>
      <c r="H120" s="50">
        <v>2589035</v>
      </c>
      <c r="I120" s="50">
        <v>27352110</v>
      </c>
      <c r="J120" s="50">
        <v>85736</v>
      </c>
      <c r="K120" s="50">
        <v>0</v>
      </c>
      <c r="L120" s="50">
        <v>693581</v>
      </c>
      <c r="M120" s="50">
        <v>11544</v>
      </c>
      <c r="N120" s="50">
        <v>778724</v>
      </c>
    </row>
    <row r="121" spans="2:14">
      <c r="B121" s="50" t="s">
        <v>27</v>
      </c>
      <c r="C121" s="50">
        <v>1</v>
      </c>
      <c r="D121" s="50">
        <v>60</v>
      </c>
      <c r="E121" s="50">
        <v>0</v>
      </c>
      <c r="F121" s="50">
        <v>16</v>
      </c>
      <c r="G121" s="50">
        <v>40861</v>
      </c>
      <c r="H121" s="50">
        <v>983260</v>
      </c>
      <c r="I121" s="50">
        <v>7460050</v>
      </c>
      <c r="J121" s="50">
        <v>6392</v>
      </c>
      <c r="K121" s="50">
        <v>0</v>
      </c>
      <c r="L121" s="50">
        <v>113922</v>
      </c>
      <c r="M121" s="50">
        <v>2882</v>
      </c>
      <c r="N121" s="50">
        <v>296505</v>
      </c>
    </row>
    <row r="122" spans="1:14">
      <c r="A122">
        <v>5094</v>
      </c>
      <c r="B122" s="50" t="s">
        <v>25</v>
      </c>
      <c r="C122" s="50">
        <v>9</v>
      </c>
      <c r="D122" s="50">
        <v>308</v>
      </c>
      <c r="E122" s="50">
        <v>8</v>
      </c>
      <c r="F122" s="50">
        <v>23</v>
      </c>
      <c r="G122" s="50">
        <v>189925</v>
      </c>
      <c r="H122" s="50">
        <v>2938708</v>
      </c>
      <c r="I122" s="50">
        <v>29001867</v>
      </c>
      <c r="J122" s="50">
        <v>21264</v>
      </c>
      <c r="K122" s="50">
        <v>206982</v>
      </c>
      <c r="L122" s="50">
        <v>831596</v>
      </c>
      <c r="M122" s="50">
        <v>13892</v>
      </c>
      <c r="N122" s="50">
        <v>931939</v>
      </c>
    </row>
    <row r="123" spans="2:14">
      <c r="B123" s="50" t="s">
        <v>26</v>
      </c>
      <c r="C123" s="50">
        <v>0</v>
      </c>
      <c r="D123" s="50">
        <v>30</v>
      </c>
      <c r="E123" s="50">
        <v>0</v>
      </c>
      <c r="F123" s="50">
        <v>10</v>
      </c>
      <c r="G123" s="50">
        <v>37818</v>
      </c>
      <c r="H123" s="50">
        <v>1113460</v>
      </c>
      <c r="I123" s="50">
        <v>5250710</v>
      </c>
      <c r="J123" s="50">
        <v>10596</v>
      </c>
      <c r="K123" s="50">
        <v>0</v>
      </c>
      <c r="L123" s="50">
        <v>60616</v>
      </c>
      <c r="M123" s="50">
        <v>2475</v>
      </c>
      <c r="N123" s="50">
        <v>386322</v>
      </c>
    </row>
    <row r="124" spans="2:14">
      <c r="B124" s="50" t="s">
        <v>27</v>
      </c>
      <c r="C124" s="50">
        <v>0</v>
      </c>
      <c r="D124" s="50">
        <v>57</v>
      </c>
      <c r="E124" s="50">
        <v>1</v>
      </c>
      <c r="F124" s="50">
        <v>22</v>
      </c>
      <c r="G124" s="50">
        <v>75576</v>
      </c>
      <c r="H124" s="50">
        <v>1978063</v>
      </c>
      <c r="I124" s="50">
        <v>12997231</v>
      </c>
      <c r="J124" s="50">
        <v>50960</v>
      </c>
      <c r="K124" s="50">
        <v>0</v>
      </c>
      <c r="L124" s="50">
        <v>162827</v>
      </c>
      <c r="M124" s="50">
        <v>5835</v>
      </c>
      <c r="N124" s="50">
        <v>808206</v>
      </c>
    </row>
    <row r="125" spans="1:14">
      <c r="A125">
        <v>5095</v>
      </c>
      <c r="B125" s="50" t="s">
        <v>25</v>
      </c>
      <c r="C125" s="50">
        <v>2</v>
      </c>
      <c r="D125" s="50">
        <v>67</v>
      </c>
      <c r="E125" s="50">
        <v>2</v>
      </c>
      <c r="F125" s="50">
        <v>16</v>
      </c>
      <c r="G125" s="50">
        <v>98187</v>
      </c>
      <c r="H125" s="50">
        <v>1508442</v>
      </c>
      <c r="I125" s="50">
        <v>12476037</v>
      </c>
      <c r="J125" s="50">
        <v>19166</v>
      </c>
      <c r="K125" s="50">
        <v>0</v>
      </c>
      <c r="L125" s="50">
        <v>301111</v>
      </c>
      <c r="M125" s="50">
        <v>4842</v>
      </c>
      <c r="N125" s="50">
        <v>451738</v>
      </c>
    </row>
    <row r="126" spans="2:14">
      <c r="B126" s="50" t="s">
        <v>26</v>
      </c>
      <c r="C126" s="50">
        <v>5</v>
      </c>
      <c r="D126" s="50">
        <v>252</v>
      </c>
      <c r="E126" s="50">
        <v>7</v>
      </c>
      <c r="F126" s="50">
        <v>20</v>
      </c>
      <c r="G126" s="50">
        <v>145198</v>
      </c>
      <c r="H126" s="50">
        <v>2400112</v>
      </c>
      <c r="I126" s="50">
        <v>21578082</v>
      </c>
      <c r="J126" s="50">
        <v>53832</v>
      </c>
      <c r="K126" s="50">
        <v>0</v>
      </c>
      <c r="L126" s="50">
        <v>383976</v>
      </c>
      <c r="M126" s="50">
        <v>10110</v>
      </c>
      <c r="N126" s="50">
        <v>619535</v>
      </c>
    </row>
    <row r="127" spans="2:14">
      <c r="B127" s="50" t="s">
        <v>27</v>
      </c>
      <c r="C127" s="50">
        <v>2</v>
      </c>
      <c r="D127" s="50">
        <v>76</v>
      </c>
      <c r="E127" s="50">
        <v>1</v>
      </c>
      <c r="F127" s="50">
        <v>10</v>
      </c>
      <c r="G127" s="50">
        <v>43303</v>
      </c>
      <c r="H127" s="50">
        <v>1140044</v>
      </c>
      <c r="I127" s="50">
        <v>5706848</v>
      </c>
      <c r="J127" s="50">
        <v>8186</v>
      </c>
      <c r="K127" s="50">
        <v>0</v>
      </c>
      <c r="L127" s="50">
        <v>141871</v>
      </c>
      <c r="M127" s="50">
        <v>3203</v>
      </c>
      <c r="N127" s="50">
        <v>456718</v>
      </c>
    </row>
    <row r="128" spans="1:14">
      <c r="A128">
        <v>5096</v>
      </c>
      <c r="B128" s="50" t="s">
        <v>25</v>
      </c>
      <c r="C128" s="50">
        <v>2</v>
      </c>
      <c r="D128" s="50">
        <v>78</v>
      </c>
      <c r="E128" s="50">
        <v>4</v>
      </c>
      <c r="F128" s="50">
        <v>23</v>
      </c>
      <c r="G128" s="50">
        <v>141429</v>
      </c>
      <c r="H128" s="50">
        <v>2116056</v>
      </c>
      <c r="I128" s="50">
        <v>20017078</v>
      </c>
      <c r="J128" s="50">
        <v>26924</v>
      </c>
      <c r="K128" s="50">
        <v>0</v>
      </c>
      <c r="L128" s="50">
        <v>302493</v>
      </c>
      <c r="M128" s="50">
        <v>6763</v>
      </c>
      <c r="N128" s="50">
        <v>564134</v>
      </c>
    </row>
    <row r="129" spans="2:14">
      <c r="B129" s="50" t="s">
        <v>26</v>
      </c>
      <c r="C129" s="50">
        <v>4</v>
      </c>
      <c r="D129" s="50">
        <v>181</v>
      </c>
      <c r="E129" s="50">
        <v>3</v>
      </c>
      <c r="F129" s="50">
        <v>24</v>
      </c>
      <c r="G129" s="50">
        <v>103112</v>
      </c>
      <c r="H129" s="50">
        <v>2187097</v>
      </c>
      <c r="I129" s="50">
        <v>16617402</v>
      </c>
      <c r="J129" s="50">
        <v>30352</v>
      </c>
      <c r="K129" s="50">
        <v>0</v>
      </c>
      <c r="L129" s="50">
        <v>220674</v>
      </c>
      <c r="M129" s="50">
        <v>7595</v>
      </c>
      <c r="N129" s="50">
        <v>619174</v>
      </c>
    </row>
    <row r="130" spans="2:14">
      <c r="B130" s="50" t="s">
        <v>27</v>
      </c>
      <c r="C130" s="50">
        <v>3</v>
      </c>
      <c r="D130" s="50">
        <v>136</v>
      </c>
      <c r="E130" s="50">
        <v>3</v>
      </c>
      <c r="F130" s="50">
        <v>11</v>
      </c>
      <c r="G130" s="50">
        <v>60642</v>
      </c>
      <c r="H130" s="50">
        <v>2066951</v>
      </c>
      <c r="I130" s="50">
        <v>9949828</v>
      </c>
      <c r="J130" s="50">
        <v>49194</v>
      </c>
      <c r="K130" s="50">
        <v>0</v>
      </c>
      <c r="L130" s="50">
        <v>266913</v>
      </c>
      <c r="M130" s="50">
        <v>6634</v>
      </c>
      <c r="N130" s="50">
        <v>618899</v>
      </c>
    </row>
    <row r="131" spans="1:14">
      <c r="A131">
        <v>5097</v>
      </c>
      <c r="B131" s="50" t="s">
        <v>25</v>
      </c>
      <c r="C131" s="50">
        <v>5</v>
      </c>
      <c r="D131" s="50">
        <v>218</v>
      </c>
      <c r="E131" s="50">
        <v>6</v>
      </c>
      <c r="F131" s="50">
        <v>21</v>
      </c>
      <c r="G131" s="50">
        <v>152011</v>
      </c>
      <c r="H131" s="50">
        <v>2643360</v>
      </c>
      <c r="I131" s="50">
        <v>22157932</v>
      </c>
      <c r="J131" s="50">
        <v>57800</v>
      </c>
      <c r="K131" s="50">
        <v>0</v>
      </c>
      <c r="L131" s="50">
        <v>738023</v>
      </c>
      <c r="M131" s="50">
        <v>10402</v>
      </c>
      <c r="N131" s="50">
        <v>887905</v>
      </c>
    </row>
    <row r="132" spans="2:14">
      <c r="B132" s="50" t="s">
        <v>26</v>
      </c>
      <c r="C132" s="50">
        <v>4</v>
      </c>
      <c r="D132" s="50">
        <v>161</v>
      </c>
      <c r="E132" s="50">
        <v>4</v>
      </c>
      <c r="F132" s="50">
        <v>22</v>
      </c>
      <c r="G132" s="50">
        <v>121858</v>
      </c>
      <c r="H132" s="50">
        <v>3045662</v>
      </c>
      <c r="I132" s="50">
        <v>20406194</v>
      </c>
      <c r="J132" s="50">
        <v>85798</v>
      </c>
      <c r="K132" s="50">
        <v>0</v>
      </c>
      <c r="L132" s="50">
        <v>749885</v>
      </c>
      <c r="M132" s="50">
        <v>10654</v>
      </c>
      <c r="N132" s="50">
        <v>884345</v>
      </c>
    </row>
    <row r="133" spans="2:14">
      <c r="B133" s="50" t="s">
        <v>27</v>
      </c>
      <c r="C133" s="50">
        <v>0</v>
      </c>
      <c r="D133" s="50">
        <v>16</v>
      </c>
      <c r="E133" s="50">
        <v>0</v>
      </c>
      <c r="F133" s="50">
        <v>8</v>
      </c>
      <c r="G133" s="50">
        <v>17942</v>
      </c>
      <c r="H133" s="50">
        <v>664842</v>
      </c>
      <c r="I133" s="50">
        <v>3410508</v>
      </c>
      <c r="J133" s="50">
        <v>2108</v>
      </c>
      <c r="K133" s="50">
        <v>0</v>
      </c>
      <c r="L133" s="50">
        <v>60794</v>
      </c>
      <c r="M133" s="50">
        <v>1349</v>
      </c>
      <c r="N133" s="50">
        <v>323315</v>
      </c>
    </row>
    <row r="134" spans="1:14">
      <c r="A134">
        <v>5098</v>
      </c>
      <c r="B134" s="50" t="s">
        <v>25</v>
      </c>
      <c r="C134" s="50">
        <v>1</v>
      </c>
      <c r="D134" s="50">
        <v>78</v>
      </c>
      <c r="E134" s="50">
        <v>0</v>
      </c>
      <c r="F134" s="50">
        <v>20</v>
      </c>
      <c r="G134" s="50">
        <v>53324</v>
      </c>
      <c r="H134" s="50">
        <v>1528140</v>
      </c>
      <c r="I134" s="50">
        <v>11583866</v>
      </c>
      <c r="J134" s="50">
        <v>18620</v>
      </c>
      <c r="K134" s="50">
        <v>0</v>
      </c>
      <c r="L134" s="50">
        <v>228887</v>
      </c>
      <c r="M134" s="50">
        <v>4506</v>
      </c>
      <c r="N134" s="50">
        <v>457744</v>
      </c>
    </row>
    <row r="135" spans="2:14">
      <c r="B135" s="50" t="s">
        <v>26</v>
      </c>
      <c r="C135" s="50">
        <v>4</v>
      </c>
      <c r="D135" s="50">
        <v>167</v>
      </c>
      <c r="E135" s="50">
        <v>5</v>
      </c>
      <c r="F135" s="50">
        <v>26</v>
      </c>
      <c r="G135" s="50">
        <v>151417</v>
      </c>
      <c r="H135" s="50">
        <v>3001542</v>
      </c>
      <c r="I135" s="50">
        <v>29176502</v>
      </c>
      <c r="J135" s="50">
        <v>158362</v>
      </c>
      <c r="K135" s="50">
        <v>0</v>
      </c>
      <c r="L135" s="50">
        <v>908962</v>
      </c>
      <c r="M135" s="50">
        <v>13951</v>
      </c>
      <c r="N135" s="50">
        <v>854691</v>
      </c>
    </row>
    <row r="136" spans="2:14">
      <c r="B136" s="50" t="s">
        <v>27</v>
      </c>
      <c r="C136" s="50">
        <v>4</v>
      </c>
      <c r="D136" s="50">
        <v>150</v>
      </c>
      <c r="E136" s="50">
        <v>5</v>
      </c>
      <c r="F136" s="50">
        <v>16</v>
      </c>
      <c r="G136" s="50">
        <v>98232</v>
      </c>
      <c r="H136" s="50">
        <v>2579684</v>
      </c>
      <c r="I136" s="50">
        <v>18554283</v>
      </c>
      <c r="J136" s="50">
        <v>62444</v>
      </c>
      <c r="K136" s="50">
        <v>0</v>
      </c>
      <c r="L136" s="50">
        <v>367286</v>
      </c>
      <c r="M136" s="50">
        <v>8883</v>
      </c>
      <c r="N136" s="50">
        <v>756976</v>
      </c>
    </row>
    <row r="137" spans="1:14">
      <c r="A137">
        <v>5099</v>
      </c>
      <c r="B137" s="50" t="s">
        <v>25</v>
      </c>
      <c r="C137" s="50">
        <v>3</v>
      </c>
      <c r="D137" s="50">
        <v>120</v>
      </c>
      <c r="E137" s="50">
        <v>3</v>
      </c>
      <c r="F137" s="50">
        <v>22</v>
      </c>
      <c r="G137" s="50">
        <v>100305</v>
      </c>
      <c r="H137" s="50">
        <v>2865318</v>
      </c>
      <c r="I137" s="50">
        <v>16496933</v>
      </c>
      <c r="J137" s="50">
        <v>50904</v>
      </c>
      <c r="K137" s="50">
        <v>0</v>
      </c>
      <c r="L137" s="50">
        <v>245135</v>
      </c>
      <c r="M137" s="50">
        <v>8166</v>
      </c>
      <c r="N137" s="50">
        <v>818020</v>
      </c>
    </row>
    <row r="138" spans="2:14">
      <c r="B138" s="50" t="s">
        <v>26</v>
      </c>
      <c r="C138" s="50">
        <v>2</v>
      </c>
      <c r="D138" s="50">
        <v>121</v>
      </c>
      <c r="E138" s="50">
        <v>5</v>
      </c>
      <c r="F138" s="50">
        <v>21</v>
      </c>
      <c r="G138" s="50">
        <v>114743</v>
      </c>
      <c r="H138" s="50">
        <v>2327985</v>
      </c>
      <c r="I138" s="50">
        <v>17754574</v>
      </c>
      <c r="J138" s="50">
        <v>51540</v>
      </c>
      <c r="K138" s="50">
        <v>0</v>
      </c>
      <c r="L138" s="50">
        <v>344146</v>
      </c>
      <c r="M138" s="50">
        <v>7805</v>
      </c>
      <c r="N138" s="50">
        <v>711648</v>
      </c>
    </row>
    <row r="139" spans="2:14">
      <c r="B139" s="50" t="s">
        <v>27</v>
      </c>
      <c r="C139" s="50">
        <v>4</v>
      </c>
      <c r="D139" s="50">
        <v>154</v>
      </c>
      <c r="E139" s="50">
        <v>1</v>
      </c>
      <c r="F139" s="50">
        <v>23</v>
      </c>
      <c r="G139" s="50">
        <v>86353</v>
      </c>
      <c r="H139" s="50">
        <v>2472705</v>
      </c>
      <c r="I139" s="50">
        <v>14693123</v>
      </c>
      <c r="J139" s="50">
        <v>51358</v>
      </c>
      <c r="K139" s="50">
        <v>0</v>
      </c>
      <c r="L139" s="50">
        <v>307076</v>
      </c>
      <c r="M139" s="50">
        <v>8008</v>
      </c>
      <c r="N139" s="50">
        <v>994715</v>
      </c>
    </row>
    <row r="140" spans="1:14">
      <c r="A140">
        <v>5100</v>
      </c>
      <c r="B140" s="50" t="s">
        <v>25</v>
      </c>
      <c r="C140" s="50">
        <v>0</v>
      </c>
      <c r="D140" s="50">
        <v>59</v>
      </c>
      <c r="E140" s="50">
        <v>1</v>
      </c>
      <c r="F140" s="50">
        <v>12</v>
      </c>
      <c r="G140" s="50">
        <v>49363</v>
      </c>
      <c r="H140" s="50">
        <v>1634291</v>
      </c>
      <c r="I140" s="50">
        <v>7505240</v>
      </c>
      <c r="J140" s="50">
        <v>6674</v>
      </c>
      <c r="K140" s="50">
        <v>0</v>
      </c>
      <c r="L140" s="50">
        <v>143287</v>
      </c>
      <c r="M140" s="50">
        <v>3493</v>
      </c>
      <c r="N140" s="50">
        <v>583496</v>
      </c>
    </row>
    <row r="141" spans="2:14">
      <c r="B141" s="50" t="s">
        <v>26</v>
      </c>
      <c r="C141" s="50">
        <v>2</v>
      </c>
      <c r="D141" s="50">
        <v>156</v>
      </c>
      <c r="E141" s="50">
        <v>2</v>
      </c>
      <c r="F141" s="50">
        <v>21</v>
      </c>
      <c r="G141" s="50">
        <v>93295</v>
      </c>
      <c r="H141" s="50">
        <v>1861843</v>
      </c>
      <c r="I141" s="50">
        <v>13907386</v>
      </c>
      <c r="J141" s="50">
        <v>19828</v>
      </c>
      <c r="K141" s="50">
        <v>0</v>
      </c>
      <c r="L141" s="50">
        <v>125923</v>
      </c>
      <c r="M141" s="50">
        <v>6136</v>
      </c>
      <c r="N141" s="50">
        <v>523702</v>
      </c>
    </row>
    <row r="142" spans="2:14">
      <c r="B142" s="50" t="s">
        <v>27</v>
      </c>
      <c r="C142" s="50">
        <v>7</v>
      </c>
      <c r="D142" s="50">
        <v>180</v>
      </c>
      <c r="E142" s="50">
        <v>6</v>
      </c>
      <c r="F142" s="50">
        <v>21</v>
      </c>
      <c r="G142" s="50">
        <v>142701</v>
      </c>
      <c r="H142" s="50">
        <v>2800530</v>
      </c>
      <c r="I142" s="50">
        <v>22830351</v>
      </c>
      <c r="J142" s="50">
        <v>112280</v>
      </c>
      <c r="K142" s="50">
        <v>0</v>
      </c>
      <c r="L142" s="50">
        <v>437515</v>
      </c>
      <c r="M142" s="50">
        <v>11884</v>
      </c>
      <c r="N142" s="50">
        <v>770565</v>
      </c>
    </row>
  </sheetData>
  <conditionalFormatting sqref="F59:F61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{70079595-f183-400b-bdc8-5d2893d2e417}</x14:id>
        </ext>
      </extLst>
    </cfRule>
  </conditionalFormatting>
  <conditionalFormatting sqref="F62:F64">
    <cfRule type="dataBar" priority="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{d013551b-7497-4029-aeae-e55576d0a6e5}</x14:id>
        </ext>
      </extLst>
    </cfRule>
  </conditionalFormatting>
  <conditionalFormatting sqref="F65:F67">
    <cfRule type="dataBar" priority="1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{c649577a-86aa-4194-b07b-927a19d84e25}</x14:id>
        </ext>
      </extLst>
    </cfRule>
  </conditionalFormatting>
  <conditionalFormatting sqref="F68:F7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{754b31a6-6068-42b3-af14-697287e51cc2}</x14:id>
        </ext>
      </extLst>
    </cfRule>
  </conditionalFormatting>
  <conditionalFormatting sqref="F71:F73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{5a111825-4be8-4506-a73d-57b687db0506}</x14:id>
        </ext>
      </extLst>
    </cfRule>
  </conditionalFormatting>
  <conditionalFormatting sqref="F74:F76">
    <cfRule type="dataBar" priority="1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{154e6f55-2a62-4c1d-8083-87bacb8829fc}</x14:id>
        </ext>
      </extLst>
    </cfRule>
  </conditionalFormatting>
  <conditionalFormatting sqref="F77:F7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{0971e8c8-f0f9-40a3-b20d-9e231f67d50b}</x14:id>
        </ext>
      </extLst>
    </cfRule>
  </conditionalFormatting>
  <conditionalFormatting sqref="F80:F82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{37f3ed77-6405-45e2-8439-f258c20e65d2}</x14:id>
        </ext>
      </extLst>
    </cfRule>
  </conditionalFormatting>
  <conditionalFormatting sqref="G59:G61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{6d6860ef-b50a-4ea1-8b61-ed77a0a92464}</x14:id>
        </ext>
      </extLst>
    </cfRule>
  </conditionalFormatting>
  <conditionalFormatting sqref="G62:G64">
    <cfRule type="dataBar" priority="3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{926c6c0c-5271-4378-a32a-4bc5772aaaed}</x14:id>
        </ext>
      </extLst>
    </cfRule>
  </conditionalFormatting>
  <conditionalFormatting sqref="G65:G67">
    <cfRule type="dataBar" priority="1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{2f88b1cb-1260-4988-9fcb-51b44f9a81af}</x14:id>
        </ext>
      </extLst>
    </cfRule>
  </conditionalFormatting>
  <conditionalFormatting sqref="G68:G7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{36b4cf88-a52a-41f2-bf85-79aec02b117e}</x14:id>
        </ext>
      </extLst>
    </cfRule>
  </conditionalFormatting>
  <conditionalFormatting sqref="G71:G73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{e19e6eb7-bfb4-41aa-a35d-fa3187123b67}</x14:id>
        </ext>
      </extLst>
    </cfRule>
  </conditionalFormatting>
  <conditionalFormatting sqref="G74:G76">
    <cfRule type="dataBar" priority="1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{62560b16-30c2-4e71-be1b-84429cce353c}</x14:id>
        </ext>
      </extLst>
    </cfRule>
  </conditionalFormatting>
  <conditionalFormatting sqref="G77:G7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{ba1263d2-fbf6-4647-a0a5-55e871e0004d}</x14:id>
        </ext>
      </extLst>
    </cfRule>
  </conditionalFormatting>
  <conditionalFormatting sqref="G80:G8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{b9573d9d-f33d-4fd9-ba20-b63ec79975d5}</x14:id>
        </ext>
      </extLst>
    </cfRule>
  </conditionalFormatting>
  <conditionalFormatting sqref="N59:N76">
    <cfRule type="dataBar" priority="1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{03d567a7-8d7f-4692-8e80-e1eadab961be}</x14:id>
        </ext>
      </extLst>
    </cfRule>
  </conditionalFormatting>
  <conditionalFormatting sqref="N68:N76">
    <cfRule type="dataBar" priority="1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{0c8b4c1f-819c-443a-b664-355768362311}</x14:id>
        </ext>
      </extLst>
    </cfRule>
  </conditionalFormatting>
  <conditionalFormatting sqref="N77:N8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{d33b2ad2-d0b4-492f-9639-837b68161490}</x14:id>
        </ext>
      </extLst>
    </cfRule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{f1148d87-45e7-497c-aee2-91e16b202367}</x14:id>
        </ext>
      </extLst>
    </cfRule>
  </conditionalFormatting>
  <conditionalFormatting sqref="O2:O19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{442d99ed-dff3-42e1-b8c5-08c887eddc88}</x14:id>
        </ext>
      </extLst>
    </cfRule>
  </conditionalFormatting>
  <conditionalFormatting sqref="O20:O55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{f25035f9-09c8-4c29-95bc-67ef66a86b3b}</x14:id>
        </ext>
      </extLst>
    </cfRule>
  </conditionalFormatting>
  <conditionalFormatting sqref="P2:P19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{0c812676-e199-43b0-98f1-e61a440533c4}</x14:id>
        </ext>
      </extLst>
    </cfRule>
  </conditionalFormatting>
  <conditionalFormatting sqref="P20:P5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{a7d3620e-4045-4024-96b3-21ffaa3fd902}</x14:id>
        </ext>
      </extLst>
    </cfRule>
  </conditionalFormatting>
  <conditionalFormatting sqref="P59:P76">
    <cfRule type="cellIs" dxfId="37" priority="20" operator="equal">
      <formula>$S$59</formula>
    </cfRule>
  </conditionalFormatting>
  <conditionalFormatting sqref="Q2:Q55">
    <cfRule type="cellIs" dxfId="38" priority="27" operator="equal">
      <formula>配置!$D$4</formula>
    </cfRule>
    <cfRule type="cellIs" dxfId="39" priority="28" operator="equal">
      <formula>配置!$D$3</formula>
    </cfRule>
    <cfRule type="cellIs" dxfId="37" priority="29" operator="equal">
      <formula>配置!$D$2</formula>
    </cfRule>
  </conditionalFormatting>
  <conditionalFormatting sqref="R59:R66">
    <cfRule type="cellIs" dxfId="37" priority="21" operator="equal">
      <formula>$S$59</formula>
    </cfRule>
  </conditionalFormatting>
  <conditionalFormatting sqref="O56:O57 Q1:R1 Q2 Q4:Q5 Q7:Q8 Q10:Q11 Q13:Q14 Q16:Q17 Q19:Q20 Q22:Q23 Q25:Q26 Q28:Q29 Q31:Q32 Q34:Q35 Q37:Q38 Q40:Q41 Q43:Q44 Q46:Q47 Q49:Q50 Q52:Q53 Q55">
    <cfRule type="cellIs" dxfId="37" priority="37" operator="equal">
      <formula>配置!$D$2</formula>
    </cfRule>
  </conditionalFormatting>
  <conditionalFormatting sqref="Q2 Q4:Q5 Q7:Q8 Q10:Q11 Q13:Q14 Q16:Q17 Q19:Q20 Q22:Q23 Q25:Q26 Q28:Q29 Q31:Q32 Q34:Q35 Q37:Q38 Q40:Q41 Q43:Q44 Q46:Q47 Q49:Q50 Q52:Q53 Q55">
    <cfRule type="cellIs" dxfId="38" priority="36" operator="equal">
      <formula>配置!$D$4</formula>
    </cfRule>
  </conditionalFormatting>
  <dataValidations count="1">
    <dataValidation type="list" allowBlank="1" showInputMessage="1" showErrorMessage="1" sqref="Q2:Q55">
      <formula1>配置!$D$2:$D$4</formula1>
    </dataValidation>
  </dataValidations>
  <pageMargins left="0.7" right="0.7" top="0.75" bottom="0.75" header="0.3" footer="0.3"/>
  <pageSetup paperSize="9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0079595-f183-400b-bdc8-5d2893d2e4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F59:F61</xm:sqref>
        </x14:conditionalFormatting>
        <x14:conditionalFormatting xmlns:xm="http://schemas.microsoft.com/office/excel/2006/main">
          <x14:cfRule type="dataBar" id="{d013551b-7497-4029-aeae-e55576d0a6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F62:F64</xm:sqref>
        </x14:conditionalFormatting>
        <x14:conditionalFormatting xmlns:xm="http://schemas.microsoft.com/office/excel/2006/main">
          <x14:cfRule type="dataBar" id="{c649577a-86aa-4194-b07b-927a19d84e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F65:F67</xm:sqref>
        </x14:conditionalFormatting>
        <x14:conditionalFormatting xmlns:xm="http://schemas.microsoft.com/office/excel/2006/main">
          <x14:cfRule type="dataBar" id="{754b31a6-6068-42b3-af14-697287e51c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F68:F70</xm:sqref>
        </x14:conditionalFormatting>
        <x14:conditionalFormatting xmlns:xm="http://schemas.microsoft.com/office/excel/2006/main">
          <x14:cfRule type="dataBar" id="{5a111825-4be8-4506-a73d-57b687db05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F71:F73</xm:sqref>
        </x14:conditionalFormatting>
        <x14:conditionalFormatting xmlns:xm="http://schemas.microsoft.com/office/excel/2006/main">
          <x14:cfRule type="dataBar" id="{154e6f55-2a62-4c1d-8083-87bacb8829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F74:F76</xm:sqref>
        </x14:conditionalFormatting>
        <x14:conditionalFormatting xmlns:xm="http://schemas.microsoft.com/office/excel/2006/main">
          <x14:cfRule type="dataBar" id="{0971e8c8-f0f9-40a3-b20d-9e231f67d5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F77:F79</xm:sqref>
        </x14:conditionalFormatting>
        <x14:conditionalFormatting xmlns:xm="http://schemas.microsoft.com/office/excel/2006/main">
          <x14:cfRule type="dataBar" id="{37f3ed77-6405-45e2-8439-f258c20e65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F80:F82</xm:sqref>
        </x14:conditionalFormatting>
        <x14:conditionalFormatting xmlns:xm="http://schemas.microsoft.com/office/excel/2006/main">
          <x14:cfRule type="dataBar" id="{6d6860ef-b50a-4ea1-8b61-ed77a0a924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G59:G61</xm:sqref>
        </x14:conditionalFormatting>
        <x14:conditionalFormatting xmlns:xm="http://schemas.microsoft.com/office/excel/2006/main">
          <x14:cfRule type="dataBar" id="{926c6c0c-5271-4378-a32a-4bc5772aaa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G62:G64</xm:sqref>
        </x14:conditionalFormatting>
        <x14:conditionalFormatting xmlns:xm="http://schemas.microsoft.com/office/excel/2006/main">
          <x14:cfRule type="dataBar" id="{2f88b1cb-1260-4988-9fcb-51b44f9a81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G65:G67</xm:sqref>
        </x14:conditionalFormatting>
        <x14:conditionalFormatting xmlns:xm="http://schemas.microsoft.com/office/excel/2006/main">
          <x14:cfRule type="dataBar" id="{36b4cf88-a52a-41f2-bf85-79aec02b11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G68:G70</xm:sqref>
        </x14:conditionalFormatting>
        <x14:conditionalFormatting xmlns:xm="http://schemas.microsoft.com/office/excel/2006/main">
          <x14:cfRule type="dataBar" id="{e19e6eb7-bfb4-41aa-a35d-fa3187123b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G71:G73</xm:sqref>
        </x14:conditionalFormatting>
        <x14:conditionalFormatting xmlns:xm="http://schemas.microsoft.com/office/excel/2006/main">
          <x14:cfRule type="dataBar" id="{62560b16-30c2-4e71-be1b-84429cce35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G74:G76</xm:sqref>
        </x14:conditionalFormatting>
        <x14:conditionalFormatting xmlns:xm="http://schemas.microsoft.com/office/excel/2006/main">
          <x14:cfRule type="dataBar" id="{ba1263d2-fbf6-4647-a0a5-55e871e000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G77:G79</xm:sqref>
        </x14:conditionalFormatting>
        <x14:conditionalFormatting xmlns:xm="http://schemas.microsoft.com/office/excel/2006/main">
          <x14:cfRule type="dataBar" id="{b9573d9d-f33d-4fd9-ba20-b63ec79975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G80:G82</xm:sqref>
        </x14:conditionalFormatting>
        <x14:conditionalFormatting xmlns:xm="http://schemas.microsoft.com/office/excel/2006/main">
          <x14:cfRule type="dataBar" id="{03d567a7-8d7f-4692-8e80-e1eadab961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N59:N76</xm:sqref>
        </x14:conditionalFormatting>
        <x14:conditionalFormatting xmlns:xm="http://schemas.microsoft.com/office/excel/2006/main">
          <x14:cfRule type="dataBar" id="{0c8b4c1f-819c-443a-b664-3557683623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N68:N76</xm:sqref>
        </x14:conditionalFormatting>
        <x14:conditionalFormatting xmlns:xm="http://schemas.microsoft.com/office/excel/2006/main">
          <x14:cfRule type="dataBar" id="{d33b2ad2-d0b4-492f-9639-837b681614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1148d87-45e7-497c-aee2-91e16b2023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N77:N82</xm:sqref>
        </x14:conditionalFormatting>
        <x14:conditionalFormatting xmlns:xm="http://schemas.microsoft.com/office/excel/2006/main">
          <x14:cfRule type="dataBar" id="{442d99ed-dff3-42e1-b8c5-08c887eddc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f25035f9-09c8-4c29-95bc-67ef66a86b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O20:O55</xm:sqref>
        </x14:conditionalFormatting>
        <x14:conditionalFormatting xmlns:xm="http://schemas.microsoft.com/office/excel/2006/main">
          <x14:cfRule type="dataBar" id="{0c812676-e199-43b0-98f1-e61a440533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a7d3620e-4045-4024-96b3-21ffaa3fd9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P20:P55</xm:sqref>
        </x14:conditionalFormatting>
      </x14:conditionalFormatting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1"/>
  <sheetViews>
    <sheetView workbookViewId="0">
      <selection activeCell="O25" sqref="O25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5">
        <v>7011</v>
      </c>
      <c r="B2" s="371">
        <f>VLOOKUP(表1_8612182224267284[[#This Row],[区服]],$P$26:$Q$33,2,FALSE)</f>
        <v>44</v>
      </c>
      <c r="C2" s="372" t="s">
        <v>165</v>
      </c>
      <c r="D2" s="373" t="str">
        <f>表1_8612182224267284[[#This Row],[目标国家]]</f>
        <v>魏</v>
      </c>
      <c r="E2" s="374">
        <f>(VLOOKUP(表1_8612182224267284[[#This Row],[目标区服]],$R$26:$S$29,2,FALSE)-表1_8612182224267284[[#This Row],[开服天数]])*配置!$B$1</f>
        <v>1000</v>
      </c>
      <c r="F2" s="374">
        <f>表1_8612182224267284[[#This Row],[补偿Coin]]*(表1_8612182224267284[[#This Row],[活跃高战玩家数]]+表1_8612182224267284[[#This Row],[活跃中坚玩家数]])</f>
        <v>22000</v>
      </c>
      <c r="G2" s="374">
        <f>(VLOOKUP(表1_8612182224267284[[#This Row],[目标区服]],$R$26:$S$29,2,FALSE)-表1_8612182224267284[[#This Row],[开服天数]])*配置!$B$2</f>
        <v>10</v>
      </c>
      <c r="H2" s="376" t="s">
        <v>25</v>
      </c>
      <c r="I2" s="376">
        <f>IF(表1_8612182224267284[[#This Row],[原国家]]="魏",0,IF(表1_8612182224267284[[#This Row],[原国家]]="蜀",1,2))</f>
        <v>0</v>
      </c>
      <c r="J2" s="380">
        <v>1</v>
      </c>
      <c r="K2" s="380">
        <v>87</v>
      </c>
      <c r="L2" s="380">
        <v>2</v>
      </c>
      <c r="M2" s="380">
        <v>20</v>
      </c>
      <c r="N2" s="380">
        <v>87176</v>
      </c>
      <c r="O2" s="380">
        <v>2357942</v>
      </c>
      <c r="P2" s="381">
        <v>15581021</v>
      </c>
      <c r="Q2" s="493" t="s">
        <v>25</v>
      </c>
      <c r="R2" s="376">
        <f>IF(表1_8612182224267284[[#This Row],[目标国家]]="魏",0,IF(表1_8612182224267284[[#This Row],[目标国家]]="蜀",1,2))</f>
        <v>0</v>
      </c>
      <c r="S2" s="380">
        <v>19554</v>
      </c>
      <c r="T2" s="380">
        <v>71362</v>
      </c>
      <c r="U2" s="380">
        <v>562302</v>
      </c>
      <c r="V2" s="380">
        <v>6903</v>
      </c>
      <c r="W2" s="374">
        <v>896219</v>
      </c>
      <c r="X2" s="387" t="str">
        <f>"{"&amp;"'coin':"&amp;表1_8612182224267284[[#This Row],[补偿Coin]]&amp;",'"&amp;配置!$A$2&amp;"':"&amp;表1_8612182224267284[[#This Row],[补偿辎重]]&amp;"},"</f>
        <v>{'coin':1000,'item036':10},</v>
      </c>
      <c r="Y2" s="388" t="str">
        <f>"      '"&amp;表1_8612182224267284[[#This Row],[区服]]&amp;"':{"</f>
        <v>      '7011':{</v>
      </c>
    </row>
    <row r="3" s="354" customFormat="1" ht="14.25" customHeight="1" spans="1:25">
      <c r="A3" s="375">
        <v>7011</v>
      </c>
      <c r="B3" s="371">
        <f>VLOOKUP(表1_8612182224267284[[#This Row],[区服]],$P$26:$Q$33,2,FALSE)</f>
        <v>44</v>
      </c>
      <c r="C3" s="372" t="s">
        <v>165</v>
      </c>
      <c r="D3" s="376" t="str">
        <f>表1_8612182224267284[[#This Row],[目标国家]]</f>
        <v>蜀</v>
      </c>
      <c r="E3" s="380">
        <f>(VLOOKUP(表1_8612182224267284[[#This Row],[目标区服]],$R$26:$S$29,2,FALSE)-表1_8612182224267284[[#This Row],[开服天数]])*配置!$B$1</f>
        <v>1000</v>
      </c>
      <c r="F3" s="380">
        <f>表1_8612182224267284[[#This Row],[补偿Coin]]*(表1_8612182224267284[[#This Row],[活跃高战玩家数]]+表1_8612182224267284[[#This Row],[活跃中坚玩家数]])</f>
        <v>24000</v>
      </c>
      <c r="G3" s="380">
        <f>(VLOOKUP(表1_8612182224267284[[#This Row],[目标区服]],$R$26:$S$29,2,FALSE)-表1_8612182224267284[[#This Row],[开服天数]])*配置!$B$2</f>
        <v>10</v>
      </c>
      <c r="H3" s="376" t="s">
        <v>26</v>
      </c>
      <c r="I3" s="376">
        <f>IF(表1_8612182224267284[[#This Row],[原国家]]="魏",0,IF(表1_8612182224267284[[#This Row],[原国家]]="蜀",1,2))</f>
        <v>1</v>
      </c>
      <c r="J3" s="380">
        <v>6</v>
      </c>
      <c r="K3" s="380">
        <v>227</v>
      </c>
      <c r="L3" s="380">
        <v>5</v>
      </c>
      <c r="M3" s="380">
        <v>19</v>
      </c>
      <c r="N3" s="380">
        <v>132566</v>
      </c>
      <c r="O3" s="380">
        <v>3291211</v>
      </c>
      <c r="P3" s="381">
        <v>23695886</v>
      </c>
      <c r="Q3" s="493" t="s">
        <v>26</v>
      </c>
      <c r="R3" s="376">
        <f>IF(表1_8612182224267284[[#This Row],[目标国家]]="魏",0,IF(表1_8612182224267284[[#This Row],[目标国家]]="蜀",1,2))</f>
        <v>1</v>
      </c>
      <c r="S3" s="380">
        <v>138966</v>
      </c>
      <c r="T3" s="380">
        <v>0</v>
      </c>
      <c r="U3" s="380">
        <v>391318</v>
      </c>
      <c r="V3" s="380">
        <v>13558</v>
      </c>
      <c r="W3" s="374">
        <v>875786</v>
      </c>
      <c r="X3" s="387" t="str">
        <f>"{"&amp;"'coin':"&amp;表1_8612182224267284[[#This Row],[补偿Coin]]&amp;",'"&amp;配置!$A$2&amp;"':"&amp;表1_8612182224267284[[#This Row],[补偿辎重]]&amp;"},"</f>
        <v>{'coin':1000,'item036':10},</v>
      </c>
      <c r="Y3" s="388" t="str">
        <f>"            'to_zone':'"&amp;表1_8612182224267284[[#This Row],[目标区服]]&amp;"',
            'reward':"&amp;表1_8612182224267284[[#This Row],[辅助导出]]&amp;"
            'country':["&amp;R2&amp;","&amp;R3&amp;","&amp;R4&amp;"],"</f>
        <v>            'to_zone':'h1_706',
            'reward':{'coin':1000,'item036':10},
            'country':[0,1,2],</v>
      </c>
    </row>
    <row r="4" s="354" customFormat="1" ht="14.25" customHeight="1" spans="1:25">
      <c r="A4" s="375">
        <v>7011</v>
      </c>
      <c r="B4" s="371">
        <f>VLOOKUP(表1_8612182224267284[[#This Row],[区服]],$P$26:$Q$33,2,FALSE)</f>
        <v>44</v>
      </c>
      <c r="C4" s="372" t="s">
        <v>165</v>
      </c>
      <c r="D4" s="376" t="str">
        <f>表1_8612182224267284[[#This Row],[目标国家]]</f>
        <v>吴</v>
      </c>
      <c r="E4" s="380">
        <f>(VLOOKUP(表1_8612182224267284[[#This Row],[目标区服]],$R$26:$S$29,2,FALSE)-表1_8612182224267284[[#This Row],[开服天数]])*配置!$B$1</f>
        <v>1000</v>
      </c>
      <c r="F4" s="380">
        <f>表1_8612182224267284[[#This Row],[补偿Coin]]*(表1_8612182224267284[[#This Row],[活跃高战玩家数]]+表1_8612182224267284[[#This Row],[活跃中坚玩家数]])</f>
        <v>16000</v>
      </c>
      <c r="G4" s="380">
        <f>(VLOOKUP(表1_8612182224267284[[#This Row],[目标区服]],$R$26:$S$29,2,FALSE)-表1_8612182224267284[[#This Row],[开服天数]])*配置!$B$2</f>
        <v>10</v>
      </c>
      <c r="H4" s="376" t="s">
        <v>27</v>
      </c>
      <c r="I4" s="376">
        <f>IF(表1_8612182224267284[[#This Row],[原国家]]="魏",0,IF(表1_8612182224267284[[#This Row],[原国家]]="蜀",1,2))</f>
        <v>2</v>
      </c>
      <c r="J4" s="380">
        <v>2</v>
      </c>
      <c r="K4" s="380">
        <v>81</v>
      </c>
      <c r="L4" s="380">
        <v>3</v>
      </c>
      <c r="M4" s="380">
        <v>13</v>
      </c>
      <c r="N4" s="380">
        <v>63608</v>
      </c>
      <c r="O4" s="380">
        <v>2379108</v>
      </c>
      <c r="P4" s="381">
        <v>12124848</v>
      </c>
      <c r="Q4" s="493" t="s">
        <v>27</v>
      </c>
      <c r="R4" s="376">
        <f>IF(表1_8612182224267284[[#This Row],[目标国家]]="魏",0,IF(表1_8612182224267284[[#This Row],[目标国家]]="蜀",1,2))</f>
        <v>2</v>
      </c>
      <c r="S4" s="380">
        <v>73908</v>
      </c>
      <c r="T4" s="380">
        <v>0</v>
      </c>
      <c r="U4" s="380">
        <v>115922</v>
      </c>
      <c r="V4" s="380">
        <v>7194</v>
      </c>
      <c r="W4" s="374">
        <v>753424</v>
      </c>
      <c r="X4" s="387" t="str">
        <f>"{"&amp;"'coin':"&amp;表1_8612182224267284[[#This Row],[补偿Coin]]&amp;",'"&amp;配置!$A$2&amp;"':"&amp;表1_8612182224267284[[#This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5">
        <v>7012</v>
      </c>
      <c r="B5" s="371">
        <f>VLOOKUP(表1_8612182224267284[[#This Row],[区服]],$P$26:$Q$33,2,FALSE)</f>
        <v>43</v>
      </c>
      <c r="C5" s="372" t="s">
        <v>165</v>
      </c>
      <c r="D5" s="376" t="str">
        <f>表1_8612182224267284[[#This Row],[目标国家]]</f>
        <v>魏</v>
      </c>
      <c r="E5" s="380">
        <f>(VLOOKUP(表1_8612182224267284[[#This Row],[目标区服]],$R$26:$S$29,2,FALSE)-表1_8612182224267284[[#This Row],[开服天数]])*配置!$B$1</f>
        <v>1500</v>
      </c>
      <c r="F5" s="380">
        <f>表1_8612182224267284[[#This Row],[补偿Coin]]*(表1_8612182224267284[[#This Row],[活跃高战玩家数]]+表1_8612182224267284[[#This Row],[活跃中坚玩家数]])</f>
        <v>15000</v>
      </c>
      <c r="G5" s="380">
        <f>(VLOOKUP(表1_8612182224267284[[#This Row],[目标区服]],$R$26:$S$29,2,FALSE)-表1_8612182224267284[[#This Row],[开服天数]])*配置!$B$2</f>
        <v>15</v>
      </c>
      <c r="H5" s="376" t="s">
        <v>25</v>
      </c>
      <c r="I5" s="376">
        <f>IF(表1_8612182224267284[[#This Row],[原国家]]="魏",0,IF(表1_8612182224267284[[#This Row],[原国家]]="蜀",1,2))</f>
        <v>0</v>
      </c>
      <c r="J5" s="380">
        <v>0</v>
      </c>
      <c r="K5" s="380">
        <v>22</v>
      </c>
      <c r="L5" s="380">
        <v>0</v>
      </c>
      <c r="M5" s="380">
        <v>10</v>
      </c>
      <c r="N5" s="380">
        <v>27575</v>
      </c>
      <c r="O5" s="380">
        <v>735360</v>
      </c>
      <c r="P5" s="381">
        <v>3575770</v>
      </c>
      <c r="Q5" s="493" t="s">
        <v>25</v>
      </c>
      <c r="R5" s="376">
        <f>IF(表1_8612182224267284[[#This Row],[目标国家]]="魏",0,IF(表1_8612182224267284[[#This Row],[目标国家]]="蜀",1,2))</f>
        <v>0</v>
      </c>
      <c r="S5" s="380">
        <v>4066</v>
      </c>
      <c r="T5" s="380">
        <v>0</v>
      </c>
      <c r="U5" s="380">
        <v>36375</v>
      </c>
      <c r="V5" s="380">
        <v>1590</v>
      </c>
      <c r="W5" s="374">
        <v>201515</v>
      </c>
      <c r="X5" s="387" t="str">
        <f>"{"&amp;"'coin':"&amp;表1_8612182224267284[[#This Row],[补偿Coin]]&amp;",'"&amp;配置!$A$2&amp;"':"&amp;表1_8612182224267284[[#This Row],[补偿辎重]]&amp;"},"</f>
        <v>{'coin':1500,'item036':15},</v>
      </c>
      <c r="Y5" s="388" t="str">
        <f>"      '"&amp;表1_8612182224267284[[#This Row],[区服]]&amp;"':{"</f>
        <v>      '7012':{</v>
      </c>
    </row>
    <row r="6" s="354" customFormat="1" ht="14.25" customHeight="1" spans="1:25">
      <c r="A6" s="375">
        <v>7012</v>
      </c>
      <c r="B6" s="371">
        <f>VLOOKUP(表1_8612182224267284[[#This Row],[区服]],$P$26:$Q$33,2,FALSE)</f>
        <v>43</v>
      </c>
      <c r="C6" s="372" t="s">
        <v>165</v>
      </c>
      <c r="D6" s="376" t="str">
        <f>表1_8612182224267284[[#This Row],[目标国家]]</f>
        <v>吴</v>
      </c>
      <c r="E6" s="380">
        <f>(VLOOKUP(表1_8612182224267284[[#This Row],[目标区服]],$R$26:$S$29,2,FALSE)-表1_8612182224267284[[#This Row],[开服天数]])*配置!$B$1</f>
        <v>1500</v>
      </c>
      <c r="F6" s="380">
        <f>表1_8612182224267284[[#This Row],[补偿Coin]]*(表1_8612182224267284[[#This Row],[活跃高战玩家数]]+表1_8612182224267284[[#This Row],[活跃中坚玩家数]])</f>
        <v>40500</v>
      </c>
      <c r="G6" s="380">
        <f>(VLOOKUP(表1_8612182224267284[[#This Row],[目标区服]],$R$26:$S$29,2,FALSE)-表1_8612182224267284[[#This Row],[开服天数]])*配置!$B$2</f>
        <v>15</v>
      </c>
      <c r="H6" s="376" t="s">
        <v>26</v>
      </c>
      <c r="I6" s="376">
        <f>IF(表1_8612182224267284[[#This Row],[原国家]]="魏",0,IF(表1_8612182224267284[[#This Row],[原国家]]="蜀",1,2))</f>
        <v>1</v>
      </c>
      <c r="J6" s="380">
        <v>9</v>
      </c>
      <c r="K6" s="380">
        <v>349</v>
      </c>
      <c r="L6" s="380">
        <v>8</v>
      </c>
      <c r="M6" s="380">
        <v>19</v>
      </c>
      <c r="N6" s="380">
        <v>149507</v>
      </c>
      <c r="O6" s="380">
        <v>1636782</v>
      </c>
      <c r="P6" s="381">
        <v>16694330</v>
      </c>
      <c r="Q6" s="493" t="s">
        <v>27</v>
      </c>
      <c r="R6" s="376">
        <f>IF(表1_8612182224267284[[#This Row],[目标国家]]="魏",0,IF(表1_8612182224267284[[#This Row],[目标国家]]="蜀",1,2))</f>
        <v>2</v>
      </c>
      <c r="S6" s="380">
        <v>13816</v>
      </c>
      <c r="T6" s="380">
        <v>0</v>
      </c>
      <c r="U6" s="380">
        <v>453896</v>
      </c>
      <c r="V6" s="380">
        <v>9085</v>
      </c>
      <c r="W6" s="374">
        <v>488444</v>
      </c>
      <c r="X6" s="387" t="str">
        <f>"{"&amp;"'coin':"&amp;表1_8612182224267284[[#This Row],[补偿Coin]]&amp;",'"&amp;配置!$A$2&amp;"':"&amp;表1_8612182224267284[[#This Row],[补偿辎重]]&amp;"},"</f>
        <v>{'coin':1500,'item036':15},</v>
      </c>
      <c r="Y6" s="388" t="str">
        <f>"            'to_zone':'"&amp;表1_8612182224267284[[#This Row],[目标区服]]&amp;"',
            'reward':"&amp;表1_8612182224267284[[#This Row],[辅助导出]]&amp;"
            'country':["&amp;R5&amp;","&amp;R6&amp;","&amp;R7&amp;"],"</f>
        <v>            'to_zone':'h1_706',
            'reward':{'coin':1500,'item036':15},
            'country':[0,2,1],</v>
      </c>
    </row>
    <row r="7" s="354" customFormat="1" ht="14.25" customHeight="1" spans="1:25">
      <c r="A7" s="375">
        <v>7012</v>
      </c>
      <c r="B7" s="371">
        <f>VLOOKUP(表1_8612182224267284[[#This Row],[区服]],$P$26:$Q$33,2,FALSE)</f>
        <v>43</v>
      </c>
      <c r="C7" s="372" t="s">
        <v>165</v>
      </c>
      <c r="D7" s="376" t="str">
        <f>表1_8612182224267284[[#This Row],[目标国家]]</f>
        <v>蜀</v>
      </c>
      <c r="E7" s="380">
        <f>(VLOOKUP(表1_8612182224267284[[#This Row],[目标区服]],$R$26:$S$29,2,FALSE)-表1_8612182224267284[[#This Row],[开服天数]])*配置!$B$1</f>
        <v>1500</v>
      </c>
      <c r="F7" s="380">
        <f>表1_8612182224267284[[#This Row],[补偿Coin]]*(表1_8612182224267284[[#This Row],[活跃高战玩家数]]+表1_8612182224267284[[#This Row],[活跃中坚玩家数]])</f>
        <v>12000</v>
      </c>
      <c r="G7" s="380">
        <f>(VLOOKUP(表1_8612182224267284[[#This Row],[目标区服]],$R$26:$S$29,2,FALSE)-表1_8612182224267284[[#This Row],[开服天数]])*配置!$B$2</f>
        <v>15</v>
      </c>
      <c r="H7" s="376" t="s">
        <v>27</v>
      </c>
      <c r="I7" s="376">
        <f>IF(表1_8612182224267284[[#This Row],[原国家]]="魏",0,IF(表1_8612182224267284[[#This Row],[原国家]]="蜀",1,2))</f>
        <v>2</v>
      </c>
      <c r="J7" s="380">
        <v>0</v>
      </c>
      <c r="K7" s="380">
        <v>24</v>
      </c>
      <c r="L7" s="380">
        <v>1</v>
      </c>
      <c r="M7" s="380">
        <v>7</v>
      </c>
      <c r="N7" s="380">
        <v>42795</v>
      </c>
      <c r="O7" s="380">
        <v>918977</v>
      </c>
      <c r="P7" s="381">
        <v>4293489</v>
      </c>
      <c r="Q7" s="493" t="s">
        <v>26</v>
      </c>
      <c r="R7" s="376">
        <f>IF(表1_8612182224267284[[#This Row],[目标国家]]="魏",0,IF(表1_8612182224267284[[#This Row],[目标国家]]="蜀",1,2))</f>
        <v>1</v>
      </c>
      <c r="S7" s="380">
        <v>6386</v>
      </c>
      <c r="T7" s="380">
        <v>0</v>
      </c>
      <c r="U7" s="380">
        <v>53200</v>
      </c>
      <c r="V7" s="380">
        <v>2020</v>
      </c>
      <c r="W7" s="374">
        <v>291339</v>
      </c>
      <c r="X7" s="387" t="str">
        <f>"{"&amp;"'coin':"&amp;表1_8612182224267284[[#This Row],[补偿Coin]]&amp;",'"&amp;配置!$A$2&amp;"':"&amp;表1_8612182224267284[[#This Row],[补偿辎重]]&amp;"},"</f>
        <v>{'coin':1500,'item036':15},</v>
      </c>
      <c r="Y7" s="388" t="str">
        <f t="shared" ref="Y7" si="0">"      },"</f>
        <v>      },</v>
      </c>
    </row>
    <row r="8" s="354" customFormat="1" ht="14.25" customHeight="1" spans="1:25">
      <c r="A8" s="375">
        <v>7013</v>
      </c>
      <c r="B8" s="371">
        <f>VLOOKUP(表1_8612182224267284[[#This Row],[区服]],$P$26:$Q$33,2,FALSE)</f>
        <v>42</v>
      </c>
      <c r="C8" s="372" t="s">
        <v>165</v>
      </c>
      <c r="D8" s="376" t="str">
        <f>表1_8612182224267284[[#This Row],[目标国家]]</f>
        <v>魏</v>
      </c>
      <c r="E8" s="380">
        <f>(VLOOKUP(表1_8612182224267284[[#This Row],[目标区服]],$R$26:$S$29,2,FALSE)-表1_8612182224267284[[#This Row],[开服天数]])*配置!$B$1</f>
        <v>2000</v>
      </c>
      <c r="F8" s="380">
        <f>表1_8612182224267284[[#This Row],[补偿Coin]]*(表1_8612182224267284[[#This Row],[活跃高战玩家数]]+表1_8612182224267284[[#This Row],[活跃中坚玩家数]])</f>
        <v>58000</v>
      </c>
      <c r="G8" s="490">
        <f>(VLOOKUP(表1_8612182224267284[[#This Row],[目标区服]],$R$26:$S$29,2,FALSE)-表1_8612182224267284[[#This Row],[开服天数]])*配置!$B$2</f>
        <v>20</v>
      </c>
      <c r="H8" s="376" t="s">
        <v>25</v>
      </c>
      <c r="I8" s="491">
        <f>IF(表1_8612182224267284[[#This Row],[原国家]]="魏",0,IF(表1_8612182224267284[[#This Row],[原国家]]="蜀",1,2))</f>
        <v>0</v>
      </c>
      <c r="J8" s="380">
        <v>5</v>
      </c>
      <c r="K8" s="380">
        <v>197</v>
      </c>
      <c r="L8" s="380">
        <v>6</v>
      </c>
      <c r="M8" s="380">
        <v>23</v>
      </c>
      <c r="N8" s="380">
        <v>138699</v>
      </c>
      <c r="O8" s="492">
        <v>1984896</v>
      </c>
      <c r="P8" s="381">
        <v>19273688</v>
      </c>
      <c r="Q8" s="31" t="s">
        <v>25</v>
      </c>
      <c r="R8" s="376">
        <f>IF(表1_8612182224267284[[#This Row],[目标国家]]="魏",0,IF(表1_8612182224267284[[#This Row],[目标国家]]="蜀",1,2))</f>
        <v>0</v>
      </c>
      <c r="S8" s="380">
        <v>46268</v>
      </c>
      <c r="T8" s="380">
        <v>0</v>
      </c>
      <c r="U8" s="380">
        <v>337397</v>
      </c>
      <c r="V8" s="380">
        <v>8632</v>
      </c>
      <c r="W8" s="380">
        <v>639582</v>
      </c>
      <c r="X8" s="494" t="str">
        <f>"{"&amp;"'coin':"&amp;表1_8612182224267284[[#This Row],[补偿Coin]]&amp;",'"&amp;配置!$A$2&amp;"':"&amp;表1_8612182224267284[[#This Row],[补偿辎重]]&amp;"},"</f>
        <v>{'coin':2000,'item036':20},</v>
      </c>
      <c r="Y8" s="494" t="str">
        <f>"      '"&amp;表1_8612182224267284[[#This Row],[区服]]&amp;"':{"</f>
        <v>      '7013':{</v>
      </c>
    </row>
    <row r="9" s="354" customFormat="1" ht="14.25" customHeight="1" spans="1:25">
      <c r="A9" s="375">
        <v>7013</v>
      </c>
      <c r="B9" s="371">
        <f>VLOOKUP(表1_8612182224267284[[#This Row],[区服]],$P$26:$Q$33,2,FALSE)</f>
        <v>42</v>
      </c>
      <c r="C9" s="372" t="s">
        <v>165</v>
      </c>
      <c r="D9" s="376" t="str">
        <f>表1_8612182224267284[[#This Row],[目标国家]]</f>
        <v>吴</v>
      </c>
      <c r="E9" s="380">
        <f>(VLOOKUP(表1_8612182224267284[[#This Row],[目标区服]],$R$26:$S$29,2,FALSE)-表1_8612182224267284[[#This Row],[开服天数]])*配置!$B$1</f>
        <v>2000</v>
      </c>
      <c r="F9" s="380">
        <f>表1_8612182224267284[[#This Row],[补偿Coin]]*(表1_8612182224267284[[#This Row],[活跃高战玩家数]]+表1_8612182224267284[[#This Row],[活跃中坚玩家数]])</f>
        <v>40000</v>
      </c>
      <c r="G9" s="490">
        <f>(VLOOKUP(表1_8612182224267284[[#This Row],[目标区服]],$R$26:$S$29,2,FALSE)-表1_8612182224267284[[#This Row],[开服天数]])*配置!$B$2</f>
        <v>20</v>
      </c>
      <c r="H9" s="376" t="s">
        <v>26</v>
      </c>
      <c r="I9" s="491">
        <f>IF(表1_8612182224267284[[#This Row],[原国家]]="魏",0,IF(表1_8612182224267284[[#This Row],[原国家]]="蜀",1,2))</f>
        <v>1</v>
      </c>
      <c r="J9" s="380">
        <v>3</v>
      </c>
      <c r="K9" s="380">
        <v>113</v>
      </c>
      <c r="L9" s="380">
        <v>3</v>
      </c>
      <c r="M9" s="380">
        <v>17</v>
      </c>
      <c r="N9" s="380">
        <v>75425</v>
      </c>
      <c r="O9" s="492">
        <v>1229866</v>
      </c>
      <c r="P9" s="381">
        <v>10865535</v>
      </c>
      <c r="Q9" s="31" t="s">
        <v>27</v>
      </c>
      <c r="R9" s="376">
        <f>IF(表1_8612182224267284[[#This Row],[目标国家]]="魏",0,IF(表1_8612182224267284[[#This Row],[目标国家]]="蜀",1,2))</f>
        <v>2</v>
      </c>
      <c r="S9" s="380">
        <v>11686</v>
      </c>
      <c r="T9" s="380">
        <v>0</v>
      </c>
      <c r="U9" s="380">
        <v>193117</v>
      </c>
      <c r="V9" s="380">
        <v>4570</v>
      </c>
      <c r="W9" s="380">
        <v>330623</v>
      </c>
      <c r="X9" s="494" t="str">
        <f>"{"&amp;"'coin':"&amp;表1_8612182224267284[[#This Row],[补偿Coin]]&amp;",'"&amp;配置!$A$2&amp;"':"&amp;表1_8612182224267284[[#This Row],[补偿辎重]]&amp;"},"</f>
        <v>{'coin':2000,'item036':20},</v>
      </c>
      <c r="Y9" s="494" t="str">
        <f>"            'to_zone':'"&amp;表1_8612182224267284[[#This Row],[目标区服]]&amp;"',
            'reward':"&amp;表1_8612182224267284[[#This Row],[辅助导出]]&amp;"
            'country':["&amp;R8&amp;","&amp;R9&amp;","&amp;R10&amp;"],"</f>
        <v>            'to_zone':'h1_706',
            'reward':{'coin':2000,'item036':20},
            'country':[0,2,1],</v>
      </c>
    </row>
    <row r="10" s="354" customFormat="1" ht="14.25" customHeight="1" spans="1:25">
      <c r="A10" s="375">
        <v>7013</v>
      </c>
      <c r="B10" s="371">
        <f>VLOOKUP(表1_8612182224267284[[#This Row],[区服]],$P$26:$Q$33,2,FALSE)</f>
        <v>42</v>
      </c>
      <c r="C10" s="372" t="s">
        <v>165</v>
      </c>
      <c r="D10" s="376" t="str">
        <f>表1_8612182224267284[[#This Row],[目标国家]]</f>
        <v>蜀</v>
      </c>
      <c r="E10" s="380">
        <f>(VLOOKUP(表1_8612182224267284[[#This Row],[目标区服]],$R$26:$S$29,2,FALSE)-表1_8612182224267284[[#This Row],[开服天数]])*配置!$B$1</f>
        <v>2000</v>
      </c>
      <c r="F10" s="380">
        <f>表1_8612182224267284[[#This Row],[补偿Coin]]*(表1_8612182224267284[[#This Row],[活跃高战玩家数]]+表1_8612182224267284[[#This Row],[活跃中坚玩家数]])</f>
        <v>36000</v>
      </c>
      <c r="G10" s="490">
        <f>(VLOOKUP(表1_8612182224267284[[#This Row],[目标区服]],$R$26:$S$29,2,FALSE)-表1_8612182224267284[[#This Row],[开服天数]])*配置!$B$2</f>
        <v>20</v>
      </c>
      <c r="H10" s="376" t="s">
        <v>27</v>
      </c>
      <c r="I10" s="491">
        <f>IF(表1_8612182224267284[[#This Row],[原国家]]="魏",0,IF(表1_8612182224267284[[#This Row],[原国家]]="蜀",1,2))</f>
        <v>2</v>
      </c>
      <c r="J10" s="380">
        <v>1</v>
      </c>
      <c r="K10" s="380">
        <v>85</v>
      </c>
      <c r="L10" s="380">
        <v>1</v>
      </c>
      <c r="M10" s="380">
        <v>17</v>
      </c>
      <c r="N10" s="380">
        <v>66792</v>
      </c>
      <c r="O10" s="492">
        <v>928871</v>
      </c>
      <c r="P10" s="381">
        <v>9020472</v>
      </c>
      <c r="Q10" s="31" t="s">
        <v>26</v>
      </c>
      <c r="R10" s="376">
        <f>IF(表1_8612182224267284[[#This Row],[目标国家]]="魏",0,IF(表1_8612182224267284[[#This Row],[目标国家]]="蜀",1,2))</f>
        <v>1</v>
      </c>
      <c r="S10" s="380">
        <v>3928</v>
      </c>
      <c r="T10" s="380">
        <v>0</v>
      </c>
      <c r="U10" s="380">
        <v>55054</v>
      </c>
      <c r="V10" s="380">
        <v>3260</v>
      </c>
      <c r="W10" s="380">
        <v>372126</v>
      </c>
      <c r="X10" s="494" t="str">
        <f>"{"&amp;"'coin':"&amp;表1_8612182224267284[[#This Row],[补偿Coin]]&amp;",'"&amp;配置!$A$2&amp;"':"&amp;表1_8612182224267284[[#This Row],[补偿辎重]]&amp;"},"</f>
        <v>{'coin':2000,'item036':20},</v>
      </c>
      <c r="Y10" s="494" t="str">
        <f>"      },"</f>
        <v>      },</v>
      </c>
    </row>
    <row r="11" s="354" customFormat="1" ht="14.25" customHeight="1" spans="1:25">
      <c r="A11" s="259">
        <v>7014</v>
      </c>
      <c r="B11" s="210" t="e">
        <f>VLOOKUP(表1_8612182224267284[[#This Row],[区服]],$P$26:$Q$33,2,FALSE)</f>
        <v>#N/A</v>
      </c>
      <c r="C11" s="296" t="s">
        <v>166</v>
      </c>
      <c r="D11" s="212" t="str">
        <f>表1_8612182224267284[[#This Row],[目标国家]]</f>
        <v>魏</v>
      </c>
      <c r="E11" s="213" t="e">
        <f>(VLOOKUP(表1_8612182224267284[[#This Row],[目标区服]],$R$26:$S$29,2,FALSE)-表1_8612182224267284[[#This Row],[开服天数]])*配置!$B$1</f>
        <v>#N/A</v>
      </c>
      <c r="F11" s="213" t="e">
        <f>表1_8612182224267284[[#This Row],[补偿Coin]]*(表1_8612182224267284[[#This Row],[活跃高战玩家数]]+表1_8612182224267284[[#This Row],[活跃中坚玩家数]])</f>
        <v>#N/A</v>
      </c>
      <c r="G11" s="260" t="e">
        <f>(VLOOKUP(表1_8612182224267284[[#This Row],[目标区服]],$R$26:$S$29,2,FALSE)-表1_8612182224267284[[#This Row],[开服天数]])*配置!$B$2</f>
        <v>#N/A</v>
      </c>
      <c r="H11" s="212" t="s">
        <v>25</v>
      </c>
      <c r="I11" s="268">
        <f>IF(表1_8612182224267284[[#This Row],[原国家]]="魏",0,IF(表1_8612182224267284[[#This Row],[原国家]]="蜀",1,2))</f>
        <v>0</v>
      </c>
      <c r="J11" s="213"/>
      <c r="K11" s="213"/>
      <c r="L11" s="213"/>
      <c r="M11" s="213"/>
      <c r="N11" s="213"/>
      <c r="O11" s="419"/>
      <c r="P11" s="420"/>
      <c r="Q11" s="31" t="s">
        <v>25</v>
      </c>
      <c r="R11" s="212">
        <f>IF(表1_8612182224267284[[#This Row],[目标国家]]="魏",0,IF(表1_8612182224267284[[#This Row],[目标国家]]="蜀",1,2))</f>
        <v>0</v>
      </c>
      <c r="S11" s="213"/>
      <c r="T11" s="213"/>
      <c r="U11" s="213"/>
      <c r="V11" s="213"/>
      <c r="W11" s="213"/>
      <c r="X11" s="278" t="e">
        <f>"{"&amp;"'coin':"&amp;表1_8612182224267284[[#This Row],[补偿Coin]]&amp;",'"&amp;配置!$A$2&amp;"':"&amp;表1_8612182224267284[[#This Row],[补偿辎重]]&amp;"},"</f>
        <v>#N/A</v>
      </c>
      <c r="Y11" s="278" t="str">
        <f>"      '"&amp;表1_8612182224267284[[#This Row],[区服]]&amp;"':{"</f>
        <v>      '7014':{</v>
      </c>
    </row>
    <row r="12" s="354" customFormat="1" ht="14.25" customHeight="1" spans="1:25">
      <c r="A12" s="259">
        <v>7014</v>
      </c>
      <c r="B12" s="210" t="e">
        <f>VLOOKUP(表1_8612182224267284[[#This Row],[区服]],$P$26:$Q$33,2,FALSE)</f>
        <v>#N/A</v>
      </c>
      <c r="C12" s="296" t="s">
        <v>166</v>
      </c>
      <c r="D12" s="212" t="str">
        <f>表1_8612182224267284[[#This Row],[目标国家]]</f>
        <v>蜀</v>
      </c>
      <c r="E12" s="213" t="e">
        <f>(VLOOKUP(表1_8612182224267284[[#This Row],[目标区服]],$R$26:$S$29,2,FALSE)-表1_8612182224267284[[#This Row],[开服天数]])*配置!$B$1</f>
        <v>#N/A</v>
      </c>
      <c r="F12" s="213" t="e">
        <f>表1_8612182224267284[[#This Row],[补偿Coin]]*(表1_8612182224267284[[#This Row],[活跃高战玩家数]]+表1_8612182224267284[[#This Row],[活跃中坚玩家数]])</f>
        <v>#N/A</v>
      </c>
      <c r="G12" s="260" t="e">
        <f>(VLOOKUP(表1_8612182224267284[[#This Row],[目标区服]],$R$26:$S$29,2,FALSE)-表1_8612182224267284[[#This Row],[开服天数]])*配置!$B$2</f>
        <v>#N/A</v>
      </c>
      <c r="H12" s="212" t="s">
        <v>26</v>
      </c>
      <c r="I12" s="268">
        <f>IF(表1_8612182224267284[[#This Row],[原国家]]="魏",0,IF(表1_8612182224267284[[#This Row],[原国家]]="蜀",1,2))</f>
        <v>1</v>
      </c>
      <c r="J12" s="213"/>
      <c r="K12" s="213"/>
      <c r="L12" s="213"/>
      <c r="M12" s="213"/>
      <c r="N12" s="213"/>
      <c r="O12" s="419"/>
      <c r="P12" s="420"/>
      <c r="Q12" s="31" t="s">
        <v>26</v>
      </c>
      <c r="R12" s="212">
        <f>IF(表1_8612182224267284[[#This Row],[目标国家]]="魏",0,IF(表1_8612182224267284[[#This Row],[目标国家]]="蜀",1,2))</f>
        <v>1</v>
      </c>
      <c r="S12" s="213"/>
      <c r="T12" s="213"/>
      <c r="U12" s="213"/>
      <c r="V12" s="213"/>
      <c r="W12" s="213"/>
      <c r="X12" s="278" t="e">
        <f>"{"&amp;"'coin':"&amp;表1_8612182224267284[[#This Row],[补偿Coin]]&amp;",'"&amp;配置!$A$2&amp;"':"&amp;表1_8612182224267284[[#This Row],[补偿辎重]]&amp;"},"</f>
        <v>#N/A</v>
      </c>
      <c r="Y12" s="278" t="e">
        <f>"            'to_zone':'"&amp;表1_8612182224267284[[#This Row],[目标区服]]&amp;"',
            'reward':"&amp;表1_8612182224267284[[#This Row],[辅助导出]]&amp;"
            'country':["&amp;R11&amp;","&amp;R12&amp;","&amp;R13&amp;"],"</f>
        <v>#N/A</v>
      </c>
    </row>
    <row r="13" s="354" customFormat="1" ht="14.25" customHeight="1" spans="1:25">
      <c r="A13" s="259">
        <v>7014</v>
      </c>
      <c r="B13" s="210" t="e">
        <f>VLOOKUP(表1_8612182224267284[[#This Row],[区服]],$P$26:$Q$33,2,FALSE)</f>
        <v>#N/A</v>
      </c>
      <c r="C13" s="296" t="s">
        <v>166</v>
      </c>
      <c r="D13" s="212" t="str">
        <f>表1_8612182224267284[[#This Row],[目标国家]]</f>
        <v>吴</v>
      </c>
      <c r="E13" s="213" t="e">
        <f>(VLOOKUP(表1_8612182224267284[[#This Row],[目标区服]],$R$26:$S$29,2,FALSE)-表1_8612182224267284[[#This Row],[开服天数]])*配置!$B$1</f>
        <v>#N/A</v>
      </c>
      <c r="F13" s="213" t="e">
        <f>表1_8612182224267284[[#This Row],[补偿Coin]]*(表1_8612182224267284[[#This Row],[活跃高战玩家数]]+表1_8612182224267284[[#This Row],[活跃中坚玩家数]])</f>
        <v>#N/A</v>
      </c>
      <c r="G13" s="260" t="e">
        <f>(VLOOKUP(表1_8612182224267284[[#This Row],[目标区服]],$R$26:$S$29,2,FALSE)-表1_8612182224267284[[#This Row],[开服天数]])*配置!$B$2</f>
        <v>#N/A</v>
      </c>
      <c r="H13" s="212" t="s">
        <v>27</v>
      </c>
      <c r="I13" s="268">
        <f>IF(表1_8612182224267284[[#This Row],[原国家]]="魏",0,IF(表1_8612182224267284[[#This Row],[原国家]]="蜀",1,2))</f>
        <v>2</v>
      </c>
      <c r="J13" s="213"/>
      <c r="K13" s="213"/>
      <c r="L13" s="213"/>
      <c r="M13" s="213"/>
      <c r="N13" s="213"/>
      <c r="O13" s="419"/>
      <c r="P13" s="420"/>
      <c r="Q13" s="31" t="s">
        <v>27</v>
      </c>
      <c r="R13" s="212">
        <f>IF(表1_8612182224267284[[#This Row],[目标国家]]="魏",0,IF(表1_8612182224267284[[#This Row],[目标国家]]="蜀",1,2))</f>
        <v>2</v>
      </c>
      <c r="S13" s="213"/>
      <c r="T13" s="213"/>
      <c r="U13" s="213"/>
      <c r="V13" s="213"/>
      <c r="W13" s="213"/>
      <c r="X13" s="278" t="e">
        <f>"{"&amp;"'coin':"&amp;表1_8612182224267284[[#This Row],[补偿Coin]]&amp;",'"&amp;配置!$A$2&amp;"':"&amp;表1_8612182224267284[[#This Row],[补偿辎重]]&amp;"},"</f>
        <v>#N/A</v>
      </c>
      <c r="Y13" s="278" t="str">
        <f t="shared" ref="Y13" si="1">"      },"</f>
        <v>      },</v>
      </c>
    </row>
    <row r="14" ht="14.25" customHeight="1" spans="1:25">
      <c r="A14" s="17"/>
      <c r="B14" s="17" t="e">
        <f>VLOOKUP(表1_8612182224267284[[#This Row],[区服]],$P$26:$Q$33,2,FALSE)</f>
        <v>#N/A</v>
      </c>
      <c r="C14" s="18"/>
      <c r="D14" s="19" t="str">
        <f>表1_8612182224267284[[#This Row],[目标国家]]</f>
        <v>魏</v>
      </c>
      <c r="E14" s="20" t="e">
        <f>(VLOOKUP(表1_8612182224267284[[#This Row],[目标区服]],$R$26:$S$29,2,FALSE)-表1_8612182224267284[[#This Row],[开服天数]])*配置!$B$1</f>
        <v>#N/A</v>
      </c>
      <c r="F14" s="20" t="e">
        <f>表1_8612182224267284[[#This Row],[补偿Coin]]*(表1_8612182224267284[[#This Row],[活跃高战玩家数]]+表1_8612182224267284[[#This Row],[活跃中坚玩家数]])</f>
        <v>#N/A</v>
      </c>
      <c r="G14" s="20" t="e">
        <f>(VLOOKUP(表1_8612182224267284[[#This Row],[目标区服]],$R$26:$S$29,2,FALSE)-表1_8612182224267284[[#This Row],[开服天数]])*配置!$B$2</f>
        <v>#N/A</v>
      </c>
      <c r="H14" s="19" t="s">
        <v>25</v>
      </c>
      <c r="I14" s="19">
        <f>IF(表1_8612182224267284[[#This Row],[原国家]]="魏",0,IF(表1_8612182224267284[[#This Row],[原国家]]="蜀",1,2))</f>
        <v>0</v>
      </c>
      <c r="J14" s="20"/>
      <c r="K14" s="20"/>
      <c r="L14" s="20"/>
      <c r="M14" s="20"/>
      <c r="N14" s="20"/>
      <c r="O14" s="20"/>
      <c r="P14" s="26"/>
      <c r="Q14" s="31" t="s">
        <v>25</v>
      </c>
      <c r="R14" s="19">
        <f>IF(表1_8612182224267284[[#This Row],[目标国家]]="魏",0,IF(表1_8612182224267284[[#This Row],[目标国家]]="蜀",1,2))</f>
        <v>0</v>
      </c>
      <c r="S14" s="20"/>
      <c r="T14" s="20"/>
      <c r="U14" s="20"/>
      <c r="V14" s="20"/>
      <c r="W14" s="32"/>
      <c r="X14" s="33" t="e">
        <f>"{"&amp;"'coin':"&amp;表1_8612182224267284[[#This Row],[补偿Coin]]&amp;",'"&amp;配置!$A$2&amp;"':"&amp;表1_8612182224267284[[#This Row],[补偿辎重]]&amp;"},"</f>
        <v>#N/A</v>
      </c>
      <c r="Y14" s="34" t="str">
        <f>"      '"&amp;表1_8612182224267284[[#This Row],[区服]]&amp;"':{"</f>
        <v>      '':{</v>
      </c>
    </row>
    <row r="15" ht="14.25" customHeight="1" spans="1:25">
      <c r="A15" s="17"/>
      <c r="B15" s="17" t="e">
        <f>VLOOKUP(表1_8612182224267284[[#This Row],[区服]],$P$26:$Q$33,2,FALSE)</f>
        <v>#N/A</v>
      </c>
      <c r="C15" s="18"/>
      <c r="D15" s="19" t="str">
        <f>表1_8612182224267284[[#This Row],[目标国家]]</f>
        <v>蜀</v>
      </c>
      <c r="E15" s="20" t="e">
        <f>(VLOOKUP(表1_8612182224267284[[#This Row],[目标区服]],$R$26:$S$29,2,FALSE)-表1_8612182224267284[[#This Row],[开服天数]])*配置!$B$1</f>
        <v>#N/A</v>
      </c>
      <c r="F15" s="20" t="e">
        <f>表1_8612182224267284[[#This Row],[补偿Coin]]*(表1_8612182224267284[[#This Row],[活跃高战玩家数]]+表1_8612182224267284[[#This Row],[活跃中坚玩家数]])</f>
        <v>#N/A</v>
      </c>
      <c r="G15" s="20" t="e">
        <f>(VLOOKUP(表1_8612182224267284[[#This Row],[目标区服]],$R$26:$S$29,2,FALSE)-表1_8612182224267284[[#This Row],[开服天数]])*配置!$B$2</f>
        <v>#N/A</v>
      </c>
      <c r="H15" s="19" t="s">
        <v>26</v>
      </c>
      <c r="I15" s="19">
        <f>IF(表1_8612182224267284[[#This Row],[原国家]]="魏",0,IF(表1_8612182224267284[[#This Row],[原国家]]="蜀",1,2))</f>
        <v>1</v>
      </c>
      <c r="J15" s="20"/>
      <c r="K15" s="20"/>
      <c r="L15" s="20"/>
      <c r="M15" s="20"/>
      <c r="N15" s="20"/>
      <c r="O15" s="20"/>
      <c r="P15" s="26"/>
      <c r="Q15" s="31" t="s">
        <v>26</v>
      </c>
      <c r="R15" s="19">
        <f>IF(表1_8612182224267284[[#This Row],[目标国家]]="魏",0,IF(表1_8612182224267284[[#This Row],[目标国家]]="蜀",1,2))</f>
        <v>1</v>
      </c>
      <c r="S15" s="20"/>
      <c r="T15" s="20"/>
      <c r="U15" s="20"/>
      <c r="V15" s="20"/>
      <c r="W15" s="32"/>
      <c r="X15" s="33" t="e">
        <f>"{"&amp;"'coin':"&amp;表1_8612182224267284[[#This Row],[补偿Coin]]&amp;",'"&amp;配置!$A$2&amp;"':"&amp;表1_8612182224267284[[#This Row],[补偿辎重]]&amp;"},"</f>
        <v>#N/A</v>
      </c>
      <c r="Y15" s="34" t="e">
        <f>"            'to_zone':'"&amp;表1_8612182224267284[[#This Row],[目标区服]]&amp;"',
            'reward':"&amp;表1_8612182224267284[[#This Row],[辅助导出]]&amp;"
            'country':["&amp;R14&amp;","&amp;R15&amp;","&amp;R16&amp;"],"</f>
        <v>#N/A</v>
      </c>
    </row>
    <row r="16" ht="14.25" customHeight="1" spans="1:25">
      <c r="A16" s="17"/>
      <c r="B16" s="17" t="e">
        <f>VLOOKUP(表1_8612182224267284[[#This Row],[区服]],$P$26:$Q$33,2,FALSE)</f>
        <v>#N/A</v>
      </c>
      <c r="C16" s="18"/>
      <c r="D16" s="19" t="str">
        <f>表1_8612182224267284[[#This Row],[目标国家]]</f>
        <v>吴</v>
      </c>
      <c r="E16" s="20" t="e">
        <f>(VLOOKUP(表1_8612182224267284[[#This Row],[目标区服]],$R$26:$S$29,2,FALSE)-表1_8612182224267284[[#This Row],[开服天数]])*配置!$B$1</f>
        <v>#N/A</v>
      </c>
      <c r="F16" s="20" t="e">
        <f>表1_8612182224267284[[#This Row],[补偿Coin]]*(表1_8612182224267284[[#This Row],[活跃高战玩家数]]+表1_8612182224267284[[#This Row],[活跃中坚玩家数]])</f>
        <v>#N/A</v>
      </c>
      <c r="G16" s="20" t="e">
        <f>(VLOOKUP(表1_8612182224267284[[#This Row],[目标区服]],$R$26:$S$29,2,FALSE)-表1_8612182224267284[[#This Row],[开服天数]])*配置!$B$2</f>
        <v>#N/A</v>
      </c>
      <c r="H16" s="19" t="s">
        <v>27</v>
      </c>
      <c r="I16" s="19">
        <f>IF(表1_8612182224267284[[#This Row],[原国家]]="魏",0,IF(表1_8612182224267284[[#This Row],[原国家]]="蜀",1,2))</f>
        <v>2</v>
      </c>
      <c r="J16" s="20"/>
      <c r="K16" s="20"/>
      <c r="L16" s="20"/>
      <c r="M16" s="20"/>
      <c r="N16" s="20"/>
      <c r="O16" s="20"/>
      <c r="P16" s="26"/>
      <c r="Q16" s="31" t="s">
        <v>27</v>
      </c>
      <c r="R16" s="19">
        <f>IF(表1_8612182224267284[[#This Row],[目标国家]]="魏",0,IF(表1_8612182224267284[[#This Row],[目标国家]]="蜀",1,2))</f>
        <v>2</v>
      </c>
      <c r="S16" s="20"/>
      <c r="T16" s="20"/>
      <c r="U16" s="20"/>
      <c r="V16" s="20"/>
      <c r="W16" s="32"/>
      <c r="X16" s="33" t="e">
        <f>"{"&amp;"'coin':"&amp;表1_8612182224267284[[#This Row],[补偿Coin]]&amp;",'"&amp;配置!$A$2&amp;"':"&amp;表1_8612182224267284[[#This Row],[补偿辎重]]&amp;"},"</f>
        <v>#N/A</v>
      </c>
      <c r="Y16" s="34" t="str">
        <f t="shared" ref="Y16" si="2">"      },"</f>
        <v>      },</v>
      </c>
    </row>
    <row r="17" ht="14.25" customHeight="1" spans="1:25">
      <c r="A17" s="17"/>
      <c r="B17" s="17" t="e">
        <f>VLOOKUP(表1_8612182224267284[[#This Row],[区服]],$P$26:$Q$33,2,FALSE)</f>
        <v>#N/A</v>
      </c>
      <c r="C17" s="18"/>
      <c r="D17" s="19" t="str">
        <f>表1_8612182224267284[[#This Row],[目标国家]]</f>
        <v>魏</v>
      </c>
      <c r="E17" s="20" t="e">
        <f>(VLOOKUP(表1_8612182224267284[[#This Row],[目标区服]],$R$26:$S$29,2,FALSE)-表1_8612182224267284[[#This Row],[开服天数]])*配置!$B$1</f>
        <v>#N/A</v>
      </c>
      <c r="F17" s="20" t="e">
        <f>表1_8612182224267284[[#This Row],[补偿Coin]]*(表1_8612182224267284[[#This Row],[活跃高战玩家数]]+表1_8612182224267284[[#This Row],[活跃中坚玩家数]])</f>
        <v>#N/A</v>
      </c>
      <c r="G17" s="20" t="e">
        <f>(VLOOKUP(表1_8612182224267284[[#This Row],[目标区服]],$R$26:$S$29,2,FALSE)-表1_8612182224267284[[#This Row],[开服天数]])*配置!$B$2</f>
        <v>#N/A</v>
      </c>
      <c r="H17" s="19" t="s">
        <v>25</v>
      </c>
      <c r="I17" s="19">
        <f>IF(表1_8612182224267284[[#This Row],[原国家]]="魏",0,IF(表1_8612182224267284[[#This Row],[原国家]]="蜀",1,2))</f>
        <v>0</v>
      </c>
      <c r="J17" s="20"/>
      <c r="K17" s="20"/>
      <c r="L17" s="20"/>
      <c r="M17" s="20"/>
      <c r="N17" s="20"/>
      <c r="O17" s="20"/>
      <c r="P17" s="26"/>
      <c r="Q17" s="31" t="s">
        <v>25</v>
      </c>
      <c r="R17" s="19">
        <f>IF(表1_8612182224267284[[#This Row],[目标国家]]="魏",0,IF(表1_8612182224267284[[#This Row],[目标国家]]="蜀",1,2))</f>
        <v>0</v>
      </c>
      <c r="S17" s="20"/>
      <c r="T17" s="20"/>
      <c r="U17" s="20"/>
      <c r="V17" s="20"/>
      <c r="W17" s="32"/>
      <c r="X17" s="33" t="e">
        <f>"{"&amp;"'coin':"&amp;表1_8612182224267284[[#This Row],[补偿Coin]]&amp;",'"&amp;配置!$A$2&amp;"':"&amp;表1_8612182224267284[[#This Row],[补偿辎重]]&amp;"},"</f>
        <v>#N/A</v>
      </c>
      <c r="Y17" s="34" t="str">
        <f>"      '"&amp;表1_8612182224267284[[#This Row],[区服]]&amp;"':{"</f>
        <v>      '':{</v>
      </c>
    </row>
    <row r="18" ht="14.25" customHeight="1" spans="1:25">
      <c r="A18" s="17"/>
      <c r="B18" s="17" t="e">
        <f>VLOOKUP(表1_8612182224267284[[#This Row],[区服]],$P$26:$Q$33,2,FALSE)</f>
        <v>#N/A</v>
      </c>
      <c r="C18" s="18"/>
      <c r="D18" s="19" t="str">
        <f>表1_8612182224267284[[#This Row],[目标国家]]</f>
        <v>蜀</v>
      </c>
      <c r="E18" s="20" t="e">
        <f>(VLOOKUP(表1_8612182224267284[[#This Row],[目标区服]],$R$26:$S$29,2,FALSE)-表1_8612182224267284[[#This Row],[开服天数]])*配置!$B$1</f>
        <v>#N/A</v>
      </c>
      <c r="F18" s="20" t="e">
        <f>表1_8612182224267284[[#This Row],[补偿Coin]]*(表1_8612182224267284[[#This Row],[活跃高战玩家数]]+表1_8612182224267284[[#This Row],[活跃中坚玩家数]])</f>
        <v>#N/A</v>
      </c>
      <c r="G18" s="20" t="e">
        <f>(VLOOKUP(表1_8612182224267284[[#This Row],[目标区服]],$R$26:$S$29,2,FALSE)-表1_8612182224267284[[#This Row],[开服天数]])*配置!$B$2</f>
        <v>#N/A</v>
      </c>
      <c r="H18" s="19" t="s">
        <v>26</v>
      </c>
      <c r="I18" s="19">
        <f>IF(表1_8612182224267284[[#This Row],[原国家]]="魏",0,IF(表1_8612182224267284[[#This Row],[原国家]]="蜀",1,2))</f>
        <v>1</v>
      </c>
      <c r="J18" s="20"/>
      <c r="K18" s="20"/>
      <c r="L18" s="20"/>
      <c r="M18" s="20"/>
      <c r="N18" s="20"/>
      <c r="O18" s="20"/>
      <c r="P18" s="26"/>
      <c r="Q18" s="31" t="s">
        <v>26</v>
      </c>
      <c r="R18" s="19">
        <f>IF(表1_8612182224267284[[#This Row],[目标国家]]="魏",0,IF(表1_8612182224267284[[#This Row],[目标国家]]="蜀",1,2))</f>
        <v>1</v>
      </c>
      <c r="S18" s="20"/>
      <c r="T18" s="20"/>
      <c r="U18" s="20"/>
      <c r="V18" s="20"/>
      <c r="W18" s="32"/>
      <c r="X18" s="33" t="e">
        <f>"{"&amp;"'coin':"&amp;表1_8612182224267284[[#This Row],[补偿Coin]]&amp;",'"&amp;配置!$A$2&amp;"':"&amp;表1_8612182224267284[[#This Row],[补偿辎重]]&amp;"},"</f>
        <v>#N/A</v>
      </c>
      <c r="Y18" s="34" t="e">
        <f>"            'to_zone':'"&amp;表1_8612182224267284[[#This Row],[目标区服]]&amp;"',
            'reward':"&amp;表1_8612182224267284[[#This Row],[辅助导出]]&amp;"
            'country':["&amp;R17&amp;","&amp;R18&amp;","&amp;R19&amp;"],"</f>
        <v>#N/A</v>
      </c>
    </row>
    <row r="19" ht="14.25" customHeight="1" spans="1:25">
      <c r="A19" s="17"/>
      <c r="B19" s="17" t="e">
        <f>VLOOKUP(表1_8612182224267284[[#This Row],[区服]],$P$26:$Q$33,2,FALSE)</f>
        <v>#N/A</v>
      </c>
      <c r="C19" s="18"/>
      <c r="D19" s="19" t="str">
        <f>表1_8612182224267284[[#This Row],[目标国家]]</f>
        <v>吴</v>
      </c>
      <c r="E19" s="20" t="e">
        <f>(VLOOKUP(表1_8612182224267284[[#This Row],[目标区服]],$R$26:$S$29,2,FALSE)-表1_8612182224267284[[#This Row],[开服天数]])*配置!$B$1</f>
        <v>#N/A</v>
      </c>
      <c r="F19" s="20" t="e">
        <f>表1_8612182224267284[[#This Row],[补偿Coin]]*(表1_8612182224267284[[#This Row],[活跃高战玩家数]]+表1_8612182224267284[[#This Row],[活跃中坚玩家数]])</f>
        <v>#N/A</v>
      </c>
      <c r="G19" s="20" t="e">
        <f>(VLOOKUP(表1_8612182224267284[[#This Row],[目标区服]],$R$26:$S$29,2,FALSE)-表1_8612182224267284[[#This Row],[开服天数]])*配置!$B$2</f>
        <v>#N/A</v>
      </c>
      <c r="H19" s="19" t="s">
        <v>27</v>
      </c>
      <c r="I19" s="19">
        <f>IF(表1_8612182224267284[[#This Row],[原国家]]="魏",0,IF(表1_8612182224267284[[#This Row],[原国家]]="蜀",1,2))</f>
        <v>2</v>
      </c>
      <c r="J19" s="20"/>
      <c r="K19" s="20"/>
      <c r="L19" s="20"/>
      <c r="M19" s="20"/>
      <c r="N19" s="20"/>
      <c r="O19" s="20"/>
      <c r="P19" s="26"/>
      <c r="Q19" s="31" t="s">
        <v>27</v>
      </c>
      <c r="R19" s="19">
        <f>IF(表1_8612182224267284[[#This Row],[目标国家]]="魏",0,IF(表1_8612182224267284[[#This Row],[目标国家]]="蜀",1,2))</f>
        <v>2</v>
      </c>
      <c r="S19" s="20"/>
      <c r="T19" s="20"/>
      <c r="U19" s="20"/>
      <c r="V19" s="20"/>
      <c r="W19" s="32"/>
      <c r="X19" s="33" t="e">
        <f>"{"&amp;"'coin':"&amp;表1_8612182224267284[[#This Row],[补偿Coin]]&amp;",'"&amp;配置!$A$2&amp;"':"&amp;表1_8612182224267284[[#This Row],[补偿辎重]]&amp;"},"</f>
        <v>#N/A</v>
      </c>
      <c r="Y19" s="34" t="str">
        <f t="shared" ref="Y19" si="3">"      },"</f>
        <v>      },</v>
      </c>
    </row>
    <row r="20" ht="14.25" customHeight="1" spans="1:25">
      <c r="A20" s="17"/>
      <c r="B20" s="17" t="e">
        <f>VLOOKUP(表1_8612182224267284[[#This Row],[区服]],$P$26:$Q$33,2,FALSE)</f>
        <v>#N/A</v>
      </c>
      <c r="C20" s="18"/>
      <c r="D20" s="19" t="str">
        <f>表1_8612182224267284[[#This Row],[目标国家]]</f>
        <v>魏</v>
      </c>
      <c r="E20" s="20" t="e">
        <f>(VLOOKUP(表1_8612182224267284[[#This Row],[目标区服]],$R$26:$S$29,2,FALSE)-表1_8612182224267284[[#This Row],[开服天数]])*配置!$B$1</f>
        <v>#N/A</v>
      </c>
      <c r="F20" s="20" t="e">
        <f>表1_8612182224267284[[#This Row],[补偿Coin]]*(表1_8612182224267284[[#This Row],[活跃高战玩家数]]+表1_8612182224267284[[#This Row],[活跃中坚玩家数]])</f>
        <v>#N/A</v>
      </c>
      <c r="G20" s="20" t="e">
        <f>(VLOOKUP(表1_8612182224267284[[#This Row],[目标区服]],$R$26:$S$29,2,FALSE)-表1_8612182224267284[[#This Row],[开服天数]])*配置!$B$2</f>
        <v>#N/A</v>
      </c>
      <c r="H20" s="19" t="s">
        <v>25</v>
      </c>
      <c r="I20" s="19">
        <f>IF(表1_8612182224267284[[#This Row],[原国家]]="魏",0,IF(表1_8612182224267284[[#This Row],[原国家]]="蜀",1,2))</f>
        <v>0</v>
      </c>
      <c r="J20" s="20"/>
      <c r="K20" s="20"/>
      <c r="L20" s="20"/>
      <c r="M20" s="20"/>
      <c r="N20" s="20"/>
      <c r="O20" s="20"/>
      <c r="P20" s="26"/>
      <c r="Q20" s="31" t="s">
        <v>25</v>
      </c>
      <c r="R20" s="19">
        <f>IF(表1_8612182224267284[[#This Row],[目标国家]]="魏",0,IF(表1_8612182224267284[[#This Row],[目标国家]]="蜀",1,2))</f>
        <v>0</v>
      </c>
      <c r="S20" s="20"/>
      <c r="T20" s="20"/>
      <c r="U20" s="20"/>
      <c r="V20" s="20"/>
      <c r="W20" s="32"/>
      <c r="X20" s="33" t="e">
        <f>"{"&amp;"'coin':"&amp;表1_8612182224267284[[#This Row],[补偿Coin]]&amp;",'"&amp;配置!$A$2&amp;"':"&amp;表1_8612182224267284[[#This Row],[补偿辎重]]&amp;"},"</f>
        <v>#N/A</v>
      </c>
      <c r="Y20" s="34" t="str">
        <f>"      '"&amp;表1_8612182224267284[[#This Row],[区服]]&amp;"':{"</f>
        <v>      '':{</v>
      </c>
    </row>
    <row r="21" ht="14.25" customHeight="1" spans="1:25">
      <c r="A21" s="17"/>
      <c r="B21" s="17" t="e">
        <f>VLOOKUP(表1_8612182224267284[[#This Row],[区服]],$P$26:$Q$33,2,FALSE)</f>
        <v>#N/A</v>
      </c>
      <c r="C21" s="18"/>
      <c r="D21" s="19" t="str">
        <f>表1_8612182224267284[[#This Row],[目标国家]]</f>
        <v>蜀</v>
      </c>
      <c r="E21" s="20" t="e">
        <f>(VLOOKUP(表1_8612182224267284[[#This Row],[目标区服]],$R$26:$S$29,2,FALSE)-表1_8612182224267284[[#This Row],[开服天数]])*配置!$B$1</f>
        <v>#N/A</v>
      </c>
      <c r="F21" s="20" t="e">
        <f>表1_8612182224267284[[#This Row],[补偿Coin]]*(表1_8612182224267284[[#This Row],[活跃高战玩家数]]+表1_8612182224267284[[#This Row],[活跃中坚玩家数]])</f>
        <v>#N/A</v>
      </c>
      <c r="G21" s="20" t="e">
        <f>(VLOOKUP(表1_8612182224267284[[#This Row],[目标区服]],$R$26:$S$29,2,FALSE)-表1_8612182224267284[[#This Row],[开服天数]])*配置!$B$2</f>
        <v>#N/A</v>
      </c>
      <c r="H21" s="19" t="s">
        <v>26</v>
      </c>
      <c r="I21" s="19">
        <f>IF(表1_8612182224267284[[#This Row],[原国家]]="魏",0,IF(表1_8612182224267284[[#This Row],[原国家]]="蜀",1,2))</f>
        <v>1</v>
      </c>
      <c r="J21" s="20"/>
      <c r="K21" s="20"/>
      <c r="L21" s="20"/>
      <c r="M21" s="20"/>
      <c r="N21" s="20"/>
      <c r="O21" s="20"/>
      <c r="P21" s="26"/>
      <c r="Q21" s="31" t="s">
        <v>26</v>
      </c>
      <c r="R21" s="19">
        <f>IF(表1_8612182224267284[[#This Row],[目标国家]]="魏",0,IF(表1_8612182224267284[[#This Row],[目标国家]]="蜀",1,2))</f>
        <v>1</v>
      </c>
      <c r="S21" s="20"/>
      <c r="T21" s="20"/>
      <c r="U21" s="20"/>
      <c r="V21" s="20"/>
      <c r="W21" s="32"/>
      <c r="X21" s="33" t="e">
        <f>"{"&amp;"'coin':"&amp;表1_8612182224267284[[#This Row],[补偿Coin]]&amp;",'"&amp;配置!$A$2&amp;"':"&amp;表1_8612182224267284[[#This Row],[补偿辎重]]&amp;"},"</f>
        <v>#N/A</v>
      </c>
      <c r="Y21" s="34" t="e">
        <f>"            'to_zone':'"&amp;表1_8612182224267284[[#This Row],[目标区服]]&amp;"',
            'reward':"&amp;表1_8612182224267284[[#This Row],[辅助导出]]&amp;"
            'country':["&amp;R20&amp;","&amp;R21&amp;","&amp;R22&amp;"],"</f>
        <v>#N/A</v>
      </c>
    </row>
    <row r="22" ht="14.25" customHeight="1" spans="1:25">
      <c r="A22" s="17"/>
      <c r="B22" s="17" t="e">
        <f>VLOOKUP(表1_8612182224267284[[#This Row],[区服]],$P$26:$Q$33,2,FALSE)</f>
        <v>#N/A</v>
      </c>
      <c r="C22" s="18"/>
      <c r="D22" s="19" t="str">
        <f>表1_8612182224267284[[#This Row],[目标国家]]</f>
        <v>吴</v>
      </c>
      <c r="E22" s="20" t="e">
        <f>(VLOOKUP(表1_8612182224267284[[#This Row],[目标区服]],$R$26:$S$29,2,FALSE)-表1_8612182224267284[[#This Row],[开服天数]])*配置!$B$1</f>
        <v>#N/A</v>
      </c>
      <c r="F22" s="20" t="e">
        <f>表1_8612182224267284[[#This Row],[补偿Coin]]*(表1_8612182224267284[[#This Row],[活跃高战玩家数]]+表1_8612182224267284[[#This Row],[活跃中坚玩家数]])</f>
        <v>#N/A</v>
      </c>
      <c r="G22" s="20" t="e">
        <f>(VLOOKUP(表1_8612182224267284[[#This Row],[目标区服]],$R$26:$S$29,2,FALSE)-表1_8612182224267284[[#This Row],[开服天数]])*配置!$B$2</f>
        <v>#N/A</v>
      </c>
      <c r="H22" s="19" t="s">
        <v>27</v>
      </c>
      <c r="I22" s="19">
        <f>IF(表1_8612182224267284[[#This Row],[原国家]]="魏",0,IF(表1_8612182224267284[[#This Row],[原国家]]="蜀",1,2))</f>
        <v>2</v>
      </c>
      <c r="J22" s="20"/>
      <c r="K22" s="20"/>
      <c r="L22" s="20"/>
      <c r="M22" s="20"/>
      <c r="N22" s="20"/>
      <c r="O22" s="20"/>
      <c r="P22" s="26"/>
      <c r="Q22" s="31" t="s">
        <v>27</v>
      </c>
      <c r="R22" s="19">
        <f>IF(表1_8612182224267284[[#This Row],[目标国家]]="魏",0,IF(表1_8612182224267284[[#This Row],[目标国家]]="蜀",1,2))</f>
        <v>2</v>
      </c>
      <c r="S22" s="20"/>
      <c r="T22" s="20"/>
      <c r="U22" s="20"/>
      <c r="V22" s="20"/>
      <c r="W22" s="32"/>
      <c r="X22" s="33" t="e">
        <f>"{"&amp;"'coin':"&amp;表1_8612182224267284[[#This Row],[补偿Coin]]&amp;",'"&amp;配置!$A$2&amp;"':"&amp;表1_8612182224267284[[#This Row],[补偿辎重]]&amp;"},"</f>
        <v>#N/A</v>
      </c>
      <c r="Y22" s="34" t="str">
        <f t="shared" ref="Y22" si="4">"      },"</f>
        <v>      },</v>
      </c>
    </row>
    <row r="25" ht="37.5" customHeight="1" spans="1:19">
      <c r="A25" s="36" t="s">
        <v>28</v>
      </c>
      <c r="B25" s="37" t="s">
        <v>29</v>
      </c>
      <c r="C25" s="38" t="s">
        <v>30</v>
      </c>
      <c r="D25" s="38" t="s">
        <v>31</v>
      </c>
      <c r="E25" s="38" t="s">
        <v>32</v>
      </c>
      <c r="F25" s="38" t="s">
        <v>33</v>
      </c>
      <c r="G25" s="38" t="s">
        <v>15</v>
      </c>
      <c r="H25" s="37" t="s">
        <v>18</v>
      </c>
      <c r="I25" s="37" t="s">
        <v>19</v>
      </c>
      <c r="J25" s="37" t="s">
        <v>34</v>
      </c>
      <c r="K25" s="38" t="s">
        <v>35</v>
      </c>
      <c r="L25" s="38" t="s">
        <v>36</v>
      </c>
      <c r="M25" s="38" t="s">
        <v>37</v>
      </c>
      <c r="N25" s="38" t="s">
        <v>88</v>
      </c>
      <c r="P25" s="51" t="s">
        <v>0</v>
      </c>
      <c r="Q25" s="51" t="s">
        <v>1</v>
      </c>
      <c r="R25" s="51"/>
      <c r="S25" s="51" t="s">
        <v>38</v>
      </c>
    </row>
    <row r="26" ht="15.75" customHeight="1" spans="1:19">
      <c r="A26" s="372" t="s">
        <v>165</v>
      </c>
      <c r="B26" s="39" t="s">
        <v>25</v>
      </c>
      <c r="C26" s="39">
        <f>COUNTIFS(表1_8612182224267284[目标区服],表2_9713192325277385[[#This Row],[合区区服]],表1_8612182224267284[目标国家（映射）],表2_9713192325277385[[#This Row],[国家]])</f>
        <v>3</v>
      </c>
      <c r="D26" s="39">
        <f>SUMIFS(表1_8612182224267284[活跃高战玩家数],表1_8612182224267284[目标区服],表2_9713192325277385[[#This Row],[合区区服]],表1_8612182224267284[目标国家（映射）],表2_9713192325277385[[#This Row],[国家]])</f>
        <v>8</v>
      </c>
      <c r="E26" s="39">
        <f>SUMIFS(表1_8612182224267284[活跃中坚玩家数],表1_8612182224267284[目标区服],表2_9713192325277385[[#This Row],[合区区服]],表1_8612182224267284[目标国家（映射）],表2_9713192325277385[[#This Row],[国家]])</f>
        <v>53</v>
      </c>
      <c r="F26" s="39">
        <f t="array" ref="F26">MAX((表1_8612182224267284[目标区服]=表2_9713192325277385[[#This Row],[合区区服]])*(表1_8612182224267284[目标国家（映射）]=表2_9713192325277385[[#This Row],[国家]])*表1_8612182224267284[活跃尖端战力])</f>
        <v>2357942</v>
      </c>
      <c r="G26" s="40">
        <f>SUMIFS(表1_8612182224267284[活跃总战力],表1_8612182224267284[目标区服],表2_9713192325277385[[#This Row],[合区区服]],表1_8612182224267284[目标国家（映射）],表2_9713192325277385[[#This Row],[国家]])</f>
        <v>38430479</v>
      </c>
      <c r="H26" s="39">
        <f>SUMIFS(表1_8612182224267284[活跃实际充值],表1_8612182224267284[目标区服],表2_9713192325277385[[#This Row],[合区区服]],表1_8612182224267284[目标国家（映射）],表2_9713192325277385[[#This Row],[国家]])</f>
        <v>69888</v>
      </c>
      <c r="I26" s="39">
        <f>SUMIFS(表1_8612182224267284[活跃虚拟充值],表1_8612182224267284[目标区服],表2_9713192325277385[[#This Row],[合区区服]],表1_8612182224267284[目标国家（映射）],表2_9713192325277385[[#This Row],[国家]])</f>
        <v>71362</v>
      </c>
      <c r="J26" s="39">
        <f>SUMIFS(表1_8612182224267284[活跃Coin],表1_8612182224267284[目标区服],表2_9713192325277385[[#This Row],[合区区服]],表1_8612182224267284[目标国家（映射）],表2_9713192325277385[[#This Row],[国家]])</f>
        <v>936074</v>
      </c>
      <c r="K26" s="39">
        <f>SUMIFS(表1_8612182224267284[共计补偿Coin],表1_8612182224267284[目标区服],表2_9713192325277385[[#This Row],[合区区服]],表1_8612182224267284[目标国家（映射）],表2_9713192325277385[[#This Row],[国家]])</f>
        <v>95000</v>
      </c>
      <c r="L26" s="39">
        <f>表2_9713192325277385[[#This Row],[活跃Coin]]+表2_9713192325277385[[#This Row],[共计补偿Coin]]</f>
        <v>1031074</v>
      </c>
      <c r="M26" s="39">
        <f>SUMIFS(表1_8612182224267284[综合国力],表1_8612182224267284[目标区服],表2_9713192325277385[[#This Row],[合区区服]],表1_8612182224267284[目标国家（映射）],表2_9713192325277385[[#This Row],[国家]])</f>
        <v>17125</v>
      </c>
      <c r="N26" s="39">
        <f t="array" ref="N26">MAX((表1_8612182224267284[目标区服]=表2_9713192325277385[[#This Row],[合区区服]])*(表1_8612182224267284[目标国家（映射）]=表2_9713192325277385[[#This Row],[国家]])*表1_8612182224267284[单将最高战力])</f>
        <v>896219</v>
      </c>
      <c r="P26" s="51">
        <v>7011</v>
      </c>
      <c r="Q26" s="51">
        <v>44</v>
      </c>
      <c r="R26" s="51" t="s">
        <v>165</v>
      </c>
      <c r="S26" s="51">
        <v>46</v>
      </c>
    </row>
    <row r="27" ht="15" spans="1:19">
      <c r="A27" s="372" t="s">
        <v>165</v>
      </c>
      <c r="B27" s="39" t="s">
        <v>26</v>
      </c>
      <c r="C27" s="39">
        <f>COUNTIFS(表1_8612182224267284[目标区服],表2_9713192325277385[[#This Row],[合区区服]],表1_8612182224267284[目标国家（映射）],表2_9713192325277385[[#This Row],[国家]])</f>
        <v>3</v>
      </c>
      <c r="D27" s="39">
        <f>SUMIFS(表1_8612182224267284[活跃高战玩家数],表1_8612182224267284[目标区服],表2_9713192325277385[[#This Row],[合区区服]],表1_8612182224267284[目标国家（映射）],表2_9713192325277385[[#This Row],[国家]])</f>
        <v>7</v>
      </c>
      <c r="E27" s="39">
        <f>SUMIFS(表1_8612182224267284[活跃中坚玩家数],表1_8612182224267284[目标区服],表2_9713192325277385[[#This Row],[合区区服]],表1_8612182224267284[目标国家（映射）],表2_9713192325277385[[#This Row],[国家]])</f>
        <v>43</v>
      </c>
      <c r="F27" s="39">
        <f t="array" ref="F27">MAX((表1_8612182224267284[目标区服]=表2_9713192325277385[[#This Row],[合区区服]])*(表1_8612182224267284[目标国家（映射）]=表2_9713192325277385[[#This Row],[国家]])*表1_8612182224267284[活跃尖端战力])</f>
        <v>3291211</v>
      </c>
      <c r="G27" s="40">
        <f>SUMIFS(表1_8612182224267284[活跃总战力],表1_8612182224267284[目标区服],表2_9713192325277385[[#This Row],[合区区服]],表1_8612182224267284[目标国家（映射）],表2_9713192325277385[[#This Row],[国家]])</f>
        <v>37009847</v>
      </c>
      <c r="H27" s="39">
        <f>SUMIFS(表1_8612182224267284[活跃实际充值],表1_8612182224267284[目标区服],表2_9713192325277385[[#This Row],[合区区服]],表1_8612182224267284[目标国家（映射）],表2_9713192325277385[[#This Row],[国家]])</f>
        <v>149280</v>
      </c>
      <c r="I27" s="39">
        <f>SUMIFS(表1_8612182224267284[活跃虚拟充值],表1_8612182224267284[目标区服],表2_9713192325277385[[#This Row],[合区区服]],表1_8612182224267284[目标国家（映射）],表2_9713192325277385[[#This Row],[国家]])</f>
        <v>0</v>
      </c>
      <c r="J27" s="39">
        <f>SUMIFS(表1_8612182224267284[活跃Coin],表1_8612182224267284[目标区服],表2_9713192325277385[[#This Row],[合区区服]],表1_8612182224267284[目标国家（映射）],表2_9713192325277385[[#This Row],[国家]])</f>
        <v>499572</v>
      </c>
      <c r="K27" s="39">
        <f>SUMIFS(表1_8612182224267284[共计补偿Coin],表1_8612182224267284[目标区服],表2_9713192325277385[[#This Row],[合区区服]],表1_8612182224267284[目标国家（映射）],表2_9713192325277385[[#This Row],[国家]])</f>
        <v>72000</v>
      </c>
      <c r="L27" s="39">
        <f>表2_9713192325277385[[#This Row],[活跃Coin]]+表2_9713192325277385[[#This Row],[共计补偿Coin]]</f>
        <v>571572</v>
      </c>
      <c r="M27" s="39">
        <f>SUMIFS(表1_8612182224267284[综合国力],表1_8612182224267284[目标区服],表2_9713192325277385[[#This Row],[合区区服]],表1_8612182224267284[目标国家（映射）],表2_9713192325277385[[#This Row],[国家]])</f>
        <v>18838</v>
      </c>
      <c r="N27" s="39">
        <f t="array" ref="N27">MAX((表1_8612182224267284[目标区服]=表2_9713192325277385[[#This Row],[合区区服]])*(表1_8612182224267284[目标国家（映射）]=表2_9713192325277385[[#This Row],[国家]])*表1_8612182224267284[单将最高战力])</f>
        <v>875786</v>
      </c>
      <c r="P27" s="51">
        <v>7012</v>
      </c>
      <c r="Q27" s="51">
        <v>43</v>
      </c>
      <c r="R27" s="51"/>
      <c r="S27" s="51"/>
    </row>
    <row r="28" ht="15" spans="1:19">
      <c r="A28" s="372" t="s">
        <v>165</v>
      </c>
      <c r="B28" s="39" t="s">
        <v>27</v>
      </c>
      <c r="C28" s="39">
        <f>COUNTIFS(表1_8612182224267284[目标区服],表2_9713192325277385[[#This Row],[合区区服]],表1_8612182224267284[目标国家（映射）],表2_9713192325277385[[#This Row],[国家]])</f>
        <v>3</v>
      </c>
      <c r="D28" s="39">
        <f>SUMIFS(表1_8612182224267284[活跃高战玩家数],表1_8612182224267284[目标区服],表2_9713192325277385[[#This Row],[合区区服]],表1_8612182224267284[目标国家（映射）],表2_9713192325277385[[#This Row],[国家]])</f>
        <v>14</v>
      </c>
      <c r="E28" s="39">
        <f>SUMIFS(表1_8612182224267284[活跃中坚玩家数],表1_8612182224267284[目标区服],表2_9713192325277385[[#This Row],[合区区服]],表1_8612182224267284[目标国家（映射）],表2_9713192325277385[[#This Row],[国家]])</f>
        <v>49</v>
      </c>
      <c r="F28" s="39">
        <f t="array" ref="F28">MAX((表1_8612182224267284[目标区服]=表2_9713192325277385[[#This Row],[合区区服]])*(表1_8612182224267284[目标国家（映射）]=表2_9713192325277385[[#This Row],[国家]])*表1_8612182224267284[活跃尖端战力])</f>
        <v>2379108</v>
      </c>
      <c r="G28" s="40">
        <f>SUMIFS(表1_8612182224267284[活跃总战力],表1_8612182224267284[目标区服],表2_9713192325277385[[#This Row],[合区区服]],表1_8612182224267284[目标国家（映射）],表2_9713192325277385[[#This Row],[国家]])</f>
        <v>39684713</v>
      </c>
      <c r="H28" s="39">
        <f>SUMIFS(表1_8612182224267284[活跃实际充值],表1_8612182224267284[目标区服],表2_9713192325277385[[#This Row],[合区区服]],表1_8612182224267284[目标国家（映射）],表2_9713192325277385[[#This Row],[国家]])</f>
        <v>99410</v>
      </c>
      <c r="I28" s="39">
        <f>SUMIFS(表1_8612182224267284[活跃虚拟充值],表1_8612182224267284[目标区服],表2_9713192325277385[[#This Row],[合区区服]],表1_8612182224267284[目标国家（映射）],表2_9713192325277385[[#This Row],[国家]])</f>
        <v>0</v>
      </c>
      <c r="J28" s="39">
        <f>SUMIFS(表1_8612182224267284[活跃Coin],表1_8612182224267284[目标区服],表2_9713192325277385[[#This Row],[合区区服]],表1_8612182224267284[目标国家（映射）],表2_9713192325277385[[#This Row],[国家]])</f>
        <v>762935</v>
      </c>
      <c r="K28" s="39">
        <f>SUMIFS(表1_8612182224267284[共计补偿Coin],表1_8612182224267284[目标区服],表2_9713192325277385[[#This Row],[合区区服]],表1_8612182224267284[目标国家（映射）],表2_9713192325277385[[#This Row],[国家]])</f>
        <v>96500</v>
      </c>
      <c r="L28" s="39">
        <f>表2_9713192325277385[[#This Row],[活跃Coin]]+表2_9713192325277385[[#This Row],[共计补偿Coin]]</f>
        <v>859435</v>
      </c>
      <c r="M28" s="39">
        <f>SUMIFS(表1_8612182224267284[综合国力],表1_8612182224267284[目标区服],表2_9713192325277385[[#This Row],[合区区服]],表1_8612182224267284[目标国家（映射）],表2_9713192325277385[[#This Row],[国家]])</f>
        <v>20849</v>
      </c>
      <c r="N28" s="39">
        <f t="array" ref="N28">MAX((表1_8612182224267284[目标区服]=表2_9713192325277385[[#This Row],[合区区服]])*(表1_8612182224267284[目标国家（映射）]=表2_9713192325277385[[#This Row],[国家]])*表1_8612182224267284[单将最高战力])</f>
        <v>753424</v>
      </c>
      <c r="P28" s="51">
        <v>7013</v>
      </c>
      <c r="Q28" s="51">
        <v>42</v>
      </c>
      <c r="R28" s="51"/>
      <c r="S28" s="51"/>
    </row>
    <row r="29" ht="15" spans="1:19">
      <c r="A29" s="296"/>
      <c r="B29" s="41" t="s">
        <v>25</v>
      </c>
      <c r="C29" s="41">
        <f>COUNTIFS(表1_8612182224267284[目标区服],表2_9713192325277385[[#This Row],[合区区服]],表1_8612182224267284[目标国家（映射）],表2_9713192325277385[[#This Row],[国家]])</f>
        <v>0</v>
      </c>
      <c r="D29" s="41">
        <f>SUMIFS(表1_8612182224267284[活跃高战玩家数],表1_8612182224267284[目标区服],表2_9713192325277385[[#This Row],[合区区服]],表1_8612182224267284[目标国家（映射）],表2_9713192325277385[[#This Row],[国家]])</f>
        <v>0</v>
      </c>
      <c r="E29" s="41">
        <f>SUMIFS(表1_8612182224267284[活跃中坚玩家数],表1_8612182224267284[目标区服],表2_9713192325277385[[#This Row],[合区区服]],表1_8612182224267284[目标国家（映射）],表2_9713192325277385[[#This Row],[国家]])</f>
        <v>0</v>
      </c>
      <c r="F29" s="41">
        <f t="array" ref="F29">MAX((表1_8612182224267284[目标区服]=表2_9713192325277385[[#This Row],[合区区服]])*(表1_8612182224267284[目标国家（映射）]=表2_9713192325277385[[#This Row],[国家]])*表1_8612182224267284[活跃尖端战力])</f>
        <v>0</v>
      </c>
      <c r="G29" s="42">
        <f>SUMIFS(表1_8612182224267284[活跃总战力],表1_8612182224267284[目标区服],表2_9713192325277385[[#This Row],[合区区服]],表1_8612182224267284[目标国家（映射）],表2_9713192325277385[[#This Row],[国家]])</f>
        <v>0</v>
      </c>
      <c r="H29" s="41">
        <f>SUMIFS(表1_8612182224267284[活跃实际充值],表1_8612182224267284[目标区服],表2_9713192325277385[[#This Row],[合区区服]],表1_8612182224267284[目标国家（映射）],表2_9713192325277385[[#This Row],[国家]])</f>
        <v>0</v>
      </c>
      <c r="I29" s="41">
        <f>SUMIFS(表1_8612182224267284[活跃虚拟充值],表1_8612182224267284[目标区服],表2_9713192325277385[[#This Row],[合区区服]],表1_8612182224267284[目标国家（映射）],表2_9713192325277385[[#This Row],[国家]])</f>
        <v>0</v>
      </c>
      <c r="J29" s="41">
        <f>SUMIFS(表1_8612182224267284[活跃Coin],表1_8612182224267284[目标区服],表2_9713192325277385[[#This Row],[合区区服]],表1_8612182224267284[目标国家（映射）],表2_9713192325277385[[#This Row],[国家]])</f>
        <v>0</v>
      </c>
      <c r="K29" s="41">
        <f>SUMIFS(表1_8612182224267284[共计补偿Coin],表1_8612182224267284[目标区服],表2_9713192325277385[[#This Row],[合区区服]],表1_8612182224267284[目标国家（映射）],表2_9713192325277385[[#This Row],[国家]])</f>
        <v>0</v>
      </c>
      <c r="L29" s="41">
        <f>表2_9713192325277385[[#This Row],[活跃Coin]]+表2_9713192325277385[[#This Row],[共计补偿Coin]]</f>
        <v>0</v>
      </c>
      <c r="M29" s="41">
        <f>SUMIFS(表1_8612182224267284[综合国力],表1_8612182224267284[目标区服],表2_9713192325277385[[#This Row],[合区区服]],表1_8612182224267284[目标国家（映射）],表2_9713192325277385[[#This Row],[国家]])</f>
        <v>0</v>
      </c>
      <c r="N29" s="41">
        <f t="array" ref="N29">MAX((表1_8612182224267284[目标区服]=表2_9713192325277385[[#This Row],[合区区服]])*(表1_8612182224267284[目标国家（映射）]=表2_9713192325277385[[#This Row],[国家]])*表1_8612182224267284[单将最高战力])</f>
        <v>0</v>
      </c>
      <c r="P29" s="51"/>
      <c r="Q29" s="51"/>
      <c r="R29" s="51"/>
      <c r="S29" s="51"/>
    </row>
    <row r="30" ht="15" spans="1:17">
      <c r="A30" s="296"/>
      <c r="B30" s="41" t="s">
        <v>26</v>
      </c>
      <c r="C30" s="41">
        <f>COUNTIFS(表1_8612182224267284[目标区服],表2_9713192325277385[[#This Row],[合区区服]],表1_8612182224267284[目标国家（映射）],表2_9713192325277385[[#This Row],[国家]])</f>
        <v>0</v>
      </c>
      <c r="D30" s="41">
        <f>SUMIFS(表1_8612182224267284[活跃高战玩家数],表1_8612182224267284[目标区服],表2_9713192325277385[[#This Row],[合区区服]],表1_8612182224267284[目标国家（映射）],表2_9713192325277385[[#This Row],[国家]])</f>
        <v>0</v>
      </c>
      <c r="E30" s="41">
        <f>SUMIFS(表1_8612182224267284[活跃中坚玩家数],表1_8612182224267284[目标区服],表2_9713192325277385[[#This Row],[合区区服]],表1_8612182224267284[目标国家（映射）],表2_9713192325277385[[#This Row],[国家]])</f>
        <v>0</v>
      </c>
      <c r="F30" s="41">
        <f t="array" ref="F30">MAX((表1_8612182224267284[目标区服]=表2_9713192325277385[[#This Row],[合区区服]])*(表1_8612182224267284[目标国家（映射）]=表2_9713192325277385[[#This Row],[国家]])*表1_8612182224267284[活跃尖端战力])</f>
        <v>0</v>
      </c>
      <c r="G30" s="42">
        <f>SUMIFS(表1_8612182224267284[活跃总战力],表1_8612182224267284[目标区服],表2_9713192325277385[[#This Row],[合区区服]],表1_8612182224267284[目标国家（映射）],表2_9713192325277385[[#This Row],[国家]])</f>
        <v>0</v>
      </c>
      <c r="H30" s="41">
        <f>SUMIFS(表1_8612182224267284[活跃实际充值],表1_8612182224267284[目标区服],表2_9713192325277385[[#This Row],[合区区服]],表1_8612182224267284[目标国家（映射）],表2_9713192325277385[[#This Row],[国家]])</f>
        <v>0</v>
      </c>
      <c r="I30" s="41">
        <f>SUMIFS(表1_8612182224267284[活跃虚拟充值],表1_8612182224267284[目标区服],表2_9713192325277385[[#This Row],[合区区服]],表1_8612182224267284[目标国家（映射）],表2_9713192325277385[[#This Row],[国家]])</f>
        <v>0</v>
      </c>
      <c r="J30" s="41">
        <f>SUMIFS(表1_8612182224267284[活跃Coin],表1_8612182224267284[目标区服],表2_9713192325277385[[#This Row],[合区区服]],表1_8612182224267284[目标国家（映射）],表2_9713192325277385[[#This Row],[国家]])</f>
        <v>0</v>
      </c>
      <c r="K30" s="41">
        <f>SUMIFS(表1_8612182224267284[共计补偿Coin],表1_8612182224267284[目标区服],表2_9713192325277385[[#This Row],[合区区服]],表1_8612182224267284[目标国家（映射）],表2_9713192325277385[[#This Row],[国家]])</f>
        <v>0</v>
      </c>
      <c r="L30" s="41">
        <f>表2_9713192325277385[[#This Row],[活跃Coin]]+表2_9713192325277385[[#This Row],[共计补偿Coin]]</f>
        <v>0</v>
      </c>
      <c r="M30" s="41">
        <f>SUMIFS(表1_8612182224267284[综合国力],表1_8612182224267284[目标区服],表2_9713192325277385[[#This Row],[合区区服]],表1_8612182224267284[目标国家（映射）],表2_9713192325277385[[#This Row],[国家]])</f>
        <v>0</v>
      </c>
      <c r="N30" s="41">
        <f t="array" ref="N30">MAX((表1_8612182224267284[目标区服]=表2_9713192325277385[[#This Row],[合区区服]])*(表1_8612182224267284[目标国家（映射）]=表2_9713192325277385[[#This Row],[国家]])*表1_8612182224267284[单将最高战力])</f>
        <v>0</v>
      </c>
      <c r="P30" s="51"/>
      <c r="Q30" s="51"/>
    </row>
    <row r="31" ht="15" spans="1:17">
      <c r="A31" s="296"/>
      <c r="B31" s="43" t="s">
        <v>27</v>
      </c>
      <c r="C31" s="43">
        <f>COUNTIFS(表1_8612182224267284[目标区服],表2_9713192325277385[[#This Row],[合区区服]],表1_8612182224267284[目标国家（映射）],表2_9713192325277385[[#This Row],[国家]])</f>
        <v>0</v>
      </c>
      <c r="D31" s="43">
        <f>SUMIFS(表1_8612182224267284[活跃高战玩家数],表1_8612182224267284[目标区服],表2_9713192325277385[[#This Row],[合区区服]],表1_8612182224267284[目标国家（映射）],表2_9713192325277385[[#This Row],[国家]])</f>
        <v>0</v>
      </c>
      <c r="E31" s="43">
        <f>SUMIFS(表1_8612182224267284[活跃中坚玩家数],表1_8612182224267284[目标区服],表2_9713192325277385[[#This Row],[合区区服]],表1_8612182224267284[目标国家（映射）],表2_9713192325277385[[#This Row],[国家]])</f>
        <v>0</v>
      </c>
      <c r="F31" s="43">
        <f t="array" ref="F31">MAX((表1_8612182224267284[目标区服]=表2_9713192325277385[[#This Row],[合区区服]])*(表1_8612182224267284[目标国家（映射）]=表2_9713192325277385[[#This Row],[国家]])*表1_8612182224267284[活跃尖端战力])</f>
        <v>0</v>
      </c>
      <c r="G31" s="44">
        <f>SUMIFS(表1_8612182224267284[活跃总战力],表1_8612182224267284[目标区服],表2_9713192325277385[[#This Row],[合区区服]],表1_8612182224267284[目标国家（映射）],表2_9713192325277385[[#This Row],[国家]])</f>
        <v>0</v>
      </c>
      <c r="H31" s="43">
        <f>SUMIFS(表1_8612182224267284[活跃实际充值],表1_8612182224267284[目标区服],表2_9713192325277385[[#This Row],[合区区服]],表1_8612182224267284[目标国家（映射）],表2_9713192325277385[[#This Row],[国家]])</f>
        <v>0</v>
      </c>
      <c r="I31" s="43">
        <f>SUMIFS(表1_8612182224267284[活跃虚拟充值],表1_8612182224267284[目标区服],表2_9713192325277385[[#This Row],[合区区服]],表1_8612182224267284[目标国家（映射）],表2_9713192325277385[[#This Row],[国家]])</f>
        <v>0</v>
      </c>
      <c r="J31" s="43">
        <f>SUMIFS(表1_8612182224267284[活跃Coin],表1_8612182224267284[目标区服],表2_9713192325277385[[#This Row],[合区区服]],表1_8612182224267284[目标国家（映射）],表2_9713192325277385[[#This Row],[国家]])</f>
        <v>0</v>
      </c>
      <c r="K31" s="43">
        <f>SUMIFS(表1_8612182224267284[共计补偿Coin],表1_8612182224267284[目标区服],表2_9713192325277385[[#This Row],[合区区服]],表1_8612182224267284[目标国家（映射）],表2_9713192325277385[[#This Row],[国家]])</f>
        <v>0</v>
      </c>
      <c r="L31" s="43">
        <f>表2_9713192325277385[[#This Row],[活跃Coin]]+表2_9713192325277385[[#This Row],[共计补偿Coin]]</f>
        <v>0</v>
      </c>
      <c r="M31" s="43">
        <f>SUMIFS(表1_8612182224267284[综合国力],表1_8612182224267284[目标区服],表2_9713192325277385[[#This Row],[合区区服]],表1_8612182224267284[目标国家（映射）],表2_9713192325277385[[#This Row],[国家]])</f>
        <v>0</v>
      </c>
      <c r="N31" s="41">
        <f t="array" ref="N31">MAX((表1_8612182224267284[目标区服]=表2_9713192325277385[[#This Row],[合区区服]])*(表1_8612182224267284[目标国家（映射）]=表2_9713192325277385[[#This Row],[国家]])*表1_8612182224267284[单将最高战力])</f>
        <v>0</v>
      </c>
      <c r="P31" s="51"/>
      <c r="Q31" s="51"/>
    </row>
    <row r="32" ht="15" spans="1:17">
      <c r="A32" s="45"/>
      <c r="B32" s="46" t="s">
        <v>25</v>
      </c>
      <c r="C32" s="46">
        <f>COUNTIFS(表1_8612182224267284[目标区服],表2_9713192325277385[[#This Row],[合区区服]],表1_8612182224267284[目标国家（映射）],表2_9713192325277385[[#This Row],[国家]])</f>
        <v>0</v>
      </c>
      <c r="D32" s="46">
        <f>SUMIFS(表1_8612182224267284[活跃高战玩家数],表1_8612182224267284[目标区服],表2_9713192325277385[[#This Row],[合区区服]],表1_8612182224267284[目标国家（映射）],表2_9713192325277385[[#This Row],[国家]])</f>
        <v>0</v>
      </c>
      <c r="E32" s="46">
        <f>SUMIFS(表1_8612182224267284[活跃中坚玩家数],表1_8612182224267284[目标区服],表2_9713192325277385[[#This Row],[合区区服]],表1_8612182224267284[目标国家（映射）],表2_9713192325277385[[#This Row],[国家]])</f>
        <v>0</v>
      </c>
      <c r="F32" s="46">
        <f t="array" ref="F32">MAX((表1_8612182224267284[目标区服]=表2_9713192325277385[[#This Row],[合区区服]])*(表1_8612182224267284[目标国家（映射）]=表2_9713192325277385[[#This Row],[国家]])*表1_8612182224267284[活跃尖端战力])</f>
        <v>0</v>
      </c>
      <c r="G32" s="47">
        <f>SUMIFS(表1_8612182224267284[活跃总战力],表1_8612182224267284[目标区服],表2_9713192325277385[[#This Row],[合区区服]],表1_8612182224267284[目标国家（映射）],表2_9713192325277385[[#This Row],[国家]])</f>
        <v>0</v>
      </c>
      <c r="H32" s="46">
        <f>SUMIFS(表1_8612182224267284[活跃实际充值],表1_8612182224267284[目标区服],表2_9713192325277385[[#This Row],[合区区服]],表1_8612182224267284[目标国家（映射）],表2_9713192325277385[[#This Row],[国家]])</f>
        <v>0</v>
      </c>
      <c r="I32" s="46">
        <f>SUMIFS(表1_8612182224267284[活跃虚拟充值],表1_8612182224267284[目标区服],表2_9713192325277385[[#This Row],[合区区服]],表1_8612182224267284[目标国家（映射）],表2_9713192325277385[[#This Row],[国家]])</f>
        <v>0</v>
      </c>
      <c r="J32" s="46">
        <f>SUMIFS(表1_8612182224267284[活跃Coin],表1_8612182224267284[目标区服],表2_9713192325277385[[#This Row],[合区区服]],表1_8612182224267284[目标国家（映射）],表2_9713192325277385[[#This Row],[国家]])</f>
        <v>0</v>
      </c>
      <c r="K32" s="46">
        <f>SUMIFS(表1_8612182224267284[共计补偿Coin],表1_8612182224267284[目标区服],表2_9713192325277385[[#This Row],[合区区服]],表1_8612182224267284[目标国家（映射）],表2_9713192325277385[[#This Row],[国家]])</f>
        <v>0</v>
      </c>
      <c r="L32" s="46">
        <f>表2_9713192325277385[[#This Row],[活跃Coin]]+表2_9713192325277385[[#This Row],[共计补偿Coin]]</f>
        <v>0</v>
      </c>
      <c r="M32" s="46">
        <f>SUMIFS(表1_8612182224267284[综合国力],表1_8612182224267284[目标区服],表2_9713192325277385[[#This Row],[合区区服]],表1_8612182224267284[目标国家（映射）],表2_9713192325277385[[#This Row],[国家]])</f>
        <v>0</v>
      </c>
      <c r="N32" s="46">
        <f t="array" ref="N32">MAX((表1_8612182224267284[目标区服]=表2_9713192325277385[[#This Row],[合区区服]])*(表1_8612182224267284[目标国家（映射）]=表2_9713192325277385[[#This Row],[国家]])*表1_8612182224267284[单将最高战力])</f>
        <v>0</v>
      </c>
      <c r="P32" s="51"/>
      <c r="Q32" s="51"/>
    </row>
    <row r="33" ht="15" spans="1:17">
      <c r="A33" s="45"/>
      <c r="B33" s="46" t="s">
        <v>26</v>
      </c>
      <c r="C33" s="46">
        <f>COUNTIFS(表1_8612182224267284[目标区服],表2_9713192325277385[[#This Row],[合区区服]],表1_8612182224267284[目标国家（映射）],表2_9713192325277385[[#This Row],[国家]])</f>
        <v>0</v>
      </c>
      <c r="D33" s="46">
        <f>SUMIFS(表1_8612182224267284[活跃高战玩家数],表1_8612182224267284[目标区服],表2_9713192325277385[[#This Row],[合区区服]],表1_8612182224267284[目标国家（映射）],表2_9713192325277385[[#This Row],[国家]])</f>
        <v>0</v>
      </c>
      <c r="E33" s="46">
        <f>SUMIFS(表1_8612182224267284[活跃中坚玩家数],表1_8612182224267284[目标区服],表2_9713192325277385[[#This Row],[合区区服]],表1_8612182224267284[目标国家（映射）],表2_9713192325277385[[#This Row],[国家]])</f>
        <v>0</v>
      </c>
      <c r="F33" s="46">
        <f t="array" ref="F33">MAX((表1_8612182224267284[目标区服]=表2_9713192325277385[[#This Row],[合区区服]])*(表1_8612182224267284[目标国家（映射）]=表2_9713192325277385[[#This Row],[国家]])*表1_8612182224267284[活跃尖端战力])</f>
        <v>0</v>
      </c>
      <c r="G33" s="47">
        <f>SUMIFS(表1_8612182224267284[活跃总战力],表1_8612182224267284[目标区服],表2_9713192325277385[[#This Row],[合区区服]],表1_8612182224267284[目标国家（映射）],表2_9713192325277385[[#This Row],[国家]])</f>
        <v>0</v>
      </c>
      <c r="H33" s="46">
        <f>SUMIFS(表1_8612182224267284[活跃实际充值],表1_8612182224267284[目标区服],表2_9713192325277385[[#This Row],[合区区服]],表1_8612182224267284[目标国家（映射）],表2_9713192325277385[[#This Row],[国家]])</f>
        <v>0</v>
      </c>
      <c r="I33" s="46">
        <f>SUMIFS(表1_8612182224267284[活跃虚拟充值],表1_8612182224267284[目标区服],表2_9713192325277385[[#This Row],[合区区服]],表1_8612182224267284[目标国家（映射）],表2_9713192325277385[[#This Row],[国家]])</f>
        <v>0</v>
      </c>
      <c r="J33" s="46">
        <f>SUMIFS(表1_8612182224267284[活跃Coin],表1_8612182224267284[目标区服],表2_9713192325277385[[#This Row],[合区区服]],表1_8612182224267284[目标国家（映射）],表2_9713192325277385[[#This Row],[国家]])</f>
        <v>0</v>
      </c>
      <c r="K33" s="46">
        <f>SUMIFS(表1_8612182224267284[共计补偿Coin],表1_8612182224267284[目标区服],表2_9713192325277385[[#This Row],[合区区服]],表1_8612182224267284[目标国家（映射）],表2_9713192325277385[[#This Row],[国家]])</f>
        <v>0</v>
      </c>
      <c r="L33" s="46">
        <f>表2_9713192325277385[[#This Row],[活跃Coin]]+表2_9713192325277385[[#This Row],[共计补偿Coin]]</f>
        <v>0</v>
      </c>
      <c r="M33" s="46">
        <f>SUMIFS(表1_8612182224267284[综合国力],表1_8612182224267284[目标区服],表2_9713192325277385[[#This Row],[合区区服]],表1_8612182224267284[目标国家（映射）],表2_9713192325277385[[#This Row],[国家]])</f>
        <v>0</v>
      </c>
      <c r="N33" s="46">
        <f t="array" ref="N33">MAX((表1_8612182224267284[目标区服]=表2_9713192325277385[[#This Row],[合区区服]])*(表1_8612182224267284[目标国家（映射）]=表2_9713192325277385[[#This Row],[国家]])*表1_8612182224267284[单将最高战力])</f>
        <v>0</v>
      </c>
      <c r="P33" s="51"/>
      <c r="Q33" s="51"/>
    </row>
    <row r="34" ht="15" spans="1:14">
      <c r="A34" s="45"/>
      <c r="B34" s="48" t="s">
        <v>27</v>
      </c>
      <c r="C34" s="48">
        <f>COUNTIFS(表1_8612182224267284[目标区服],表2_9713192325277385[[#This Row],[合区区服]],表1_8612182224267284[目标国家（映射）],表2_9713192325277385[[#This Row],[国家]])</f>
        <v>0</v>
      </c>
      <c r="D34" s="48">
        <f>SUMIFS(表1_8612182224267284[活跃高战玩家数],表1_8612182224267284[目标区服],表2_9713192325277385[[#This Row],[合区区服]],表1_8612182224267284[目标国家（映射）],表2_9713192325277385[[#This Row],[国家]])</f>
        <v>0</v>
      </c>
      <c r="E34" s="48">
        <f>SUMIFS(表1_8612182224267284[活跃中坚玩家数],表1_8612182224267284[目标区服],表2_9713192325277385[[#This Row],[合区区服]],表1_8612182224267284[目标国家（映射）],表2_9713192325277385[[#This Row],[国家]])</f>
        <v>0</v>
      </c>
      <c r="F34" s="48">
        <f t="array" ref="F34">MAX((表1_8612182224267284[目标区服]=表2_9713192325277385[[#This Row],[合区区服]])*(表1_8612182224267284[目标国家（映射）]=表2_9713192325277385[[#This Row],[国家]])*表1_8612182224267284[活跃尖端战力])</f>
        <v>0</v>
      </c>
      <c r="G34" s="458">
        <f>SUMIFS(表1_8612182224267284[活跃总战力],表1_8612182224267284[目标区服],表2_9713192325277385[[#This Row],[合区区服]],表1_8612182224267284[目标国家（映射）],表2_9713192325277385[[#This Row],[国家]])</f>
        <v>0</v>
      </c>
      <c r="H34" s="48">
        <f>SUMIFS(表1_8612182224267284[活跃实际充值],表1_8612182224267284[目标区服],表2_9713192325277385[[#This Row],[合区区服]],表1_8612182224267284[目标国家（映射）],表2_9713192325277385[[#This Row],[国家]])</f>
        <v>0</v>
      </c>
      <c r="I34" s="48">
        <f>SUMIFS(表1_8612182224267284[活跃虚拟充值],表1_8612182224267284[目标区服],表2_9713192325277385[[#This Row],[合区区服]],表1_8612182224267284[目标国家（映射）],表2_9713192325277385[[#This Row],[国家]])</f>
        <v>0</v>
      </c>
      <c r="J34" s="48">
        <f>SUMIFS(表1_8612182224267284[活跃Coin],表1_8612182224267284[目标区服],表2_9713192325277385[[#This Row],[合区区服]],表1_8612182224267284[目标国家（映射）],表2_9713192325277385[[#This Row],[国家]])</f>
        <v>0</v>
      </c>
      <c r="K34" s="48">
        <f>SUMIFS(表1_8612182224267284[共计补偿Coin],表1_8612182224267284[目标区服],表2_9713192325277385[[#This Row],[合区区服]],表1_8612182224267284[目标国家（映射）],表2_9713192325277385[[#This Row],[国家]])</f>
        <v>0</v>
      </c>
      <c r="L34" s="48">
        <f>表2_9713192325277385[[#This Row],[活跃Coin]]+表2_9713192325277385[[#This Row],[共计补偿Coin]]</f>
        <v>0</v>
      </c>
      <c r="M34" s="48">
        <f>SUMIFS(表1_8612182224267284[综合国力],表1_8612182224267284[目标区服],表2_9713192325277385[[#This Row],[合区区服]],表1_8612182224267284[目标国家（映射）],表2_9713192325277385[[#This Row],[国家]])</f>
        <v>0</v>
      </c>
      <c r="N34" s="46">
        <f t="array" ref="N34">MAX((表1_8612182224267284[目标区服]=表2_9713192325277385[[#This Row],[合区区服]])*(表1_8612182224267284[目标国家（映射）]=表2_9713192325277385[[#This Row],[国家]])*表1_8612182224267284[单将最高战力])</f>
        <v>0</v>
      </c>
    </row>
    <row r="40" ht="27" spans="2:14">
      <c r="B40" s="49"/>
      <c r="C40" s="50" t="s">
        <v>9</v>
      </c>
      <c r="D40" s="50" t="s">
        <v>10</v>
      </c>
      <c r="E40" s="50" t="s">
        <v>11</v>
      </c>
      <c r="F40" s="50" t="s">
        <v>12</v>
      </c>
      <c r="G40" s="50" t="s">
        <v>13</v>
      </c>
      <c r="H40" s="50" t="s">
        <v>14</v>
      </c>
      <c r="I40" s="50" t="s">
        <v>15</v>
      </c>
      <c r="J40" s="50" t="s">
        <v>18</v>
      </c>
      <c r="K40" s="50" t="s">
        <v>19</v>
      </c>
      <c r="L40" s="50" t="s">
        <v>20</v>
      </c>
      <c r="M40" s="50" t="s">
        <v>21</v>
      </c>
      <c r="N40" s="50" t="s">
        <v>82</v>
      </c>
    </row>
    <row r="41" spans="1:14">
      <c r="A41">
        <v>7011</v>
      </c>
      <c r="B41" s="50" t="s">
        <v>25</v>
      </c>
      <c r="C41" s="50">
        <v>1</v>
      </c>
      <c r="D41" s="50">
        <v>87</v>
      </c>
      <c r="E41" s="50">
        <v>2</v>
      </c>
      <c r="F41" s="50">
        <v>20</v>
      </c>
      <c r="G41" s="50">
        <v>87176</v>
      </c>
      <c r="H41" s="50">
        <v>2357942</v>
      </c>
      <c r="I41" s="50">
        <v>15581021</v>
      </c>
      <c r="J41" s="50">
        <v>19554</v>
      </c>
      <c r="K41" s="50">
        <v>71362</v>
      </c>
      <c r="L41" s="50">
        <v>562302</v>
      </c>
      <c r="M41" s="50">
        <v>6903</v>
      </c>
      <c r="N41" s="50">
        <v>896219</v>
      </c>
    </row>
    <row r="42" spans="2:14">
      <c r="B42" s="50" t="s">
        <v>26</v>
      </c>
      <c r="C42" s="50">
        <v>6</v>
      </c>
      <c r="D42" s="50">
        <v>227</v>
      </c>
      <c r="E42" s="50">
        <v>5</v>
      </c>
      <c r="F42" s="50">
        <v>19</v>
      </c>
      <c r="G42" s="50">
        <v>132566</v>
      </c>
      <c r="H42" s="50">
        <v>3291211</v>
      </c>
      <c r="I42" s="50">
        <v>23695886</v>
      </c>
      <c r="J42" s="50">
        <v>138966</v>
      </c>
      <c r="K42" s="50">
        <v>0</v>
      </c>
      <c r="L42" s="50">
        <v>391318</v>
      </c>
      <c r="M42" s="50">
        <v>13558</v>
      </c>
      <c r="N42" s="50">
        <v>875786</v>
      </c>
    </row>
    <row r="43" spans="2:14">
      <c r="B43" s="50" t="s">
        <v>27</v>
      </c>
      <c r="C43" s="50">
        <v>2</v>
      </c>
      <c r="D43" s="50">
        <v>81</v>
      </c>
      <c r="E43" s="50">
        <v>3</v>
      </c>
      <c r="F43" s="50">
        <v>13</v>
      </c>
      <c r="G43" s="50">
        <v>63608</v>
      </c>
      <c r="H43" s="50">
        <v>2379108</v>
      </c>
      <c r="I43" s="50">
        <v>12124848</v>
      </c>
      <c r="J43" s="50">
        <v>73908</v>
      </c>
      <c r="K43" s="50">
        <v>0</v>
      </c>
      <c r="L43" s="50">
        <v>115922</v>
      </c>
      <c r="M43" s="50">
        <v>7194</v>
      </c>
      <c r="N43" s="50">
        <v>753424</v>
      </c>
    </row>
    <row r="44" spans="1:14">
      <c r="A44">
        <v>7012</v>
      </c>
      <c r="B44" s="50" t="s">
        <v>25</v>
      </c>
      <c r="C44" s="50">
        <v>0</v>
      </c>
      <c r="D44" s="50">
        <v>22</v>
      </c>
      <c r="E44" s="50">
        <v>0</v>
      </c>
      <c r="F44" s="50">
        <v>10</v>
      </c>
      <c r="G44" s="50">
        <v>27575</v>
      </c>
      <c r="H44" s="50">
        <v>735360</v>
      </c>
      <c r="I44" s="50">
        <v>3575770</v>
      </c>
      <c r="J44" s="50">
        <v>4066</v>
      </c>
      <c r="K44" s="50">
        <v>0</v>
      </c>
      <c r="L44" s="50">
        <v>36375</v>
      </c>
      <c r="M44" s="50">
        <v>1590</v>
      </c>
      <c r="N44" s="50">
        <v>201515</v>
      </c>
    </row>
    <row r="45" spans="2:14">
      <c r="B45" s="50" t="s">
        <v>26</v>
      </c>
      <c r="C45" s="50">
        <v>9</v>
      </c>
      <c r="D45" s="50">
        <v>349</v>
      </c>
      <c r="E45" s="50">
        <v>8</v>
      </c>
      <c r="F45" s="50">
        <v>19</v>
      </c>
      <c r="G45" s="50">
        <v>149507</v>
      </c>
      <c r="H45" s="50">
        <v>1636782</v>
      </c>
      <c r="I45" s="50">
        <v>16694330</v>
      </c>
      <c r="J45" s="50">
        <v>13816</v>
      </c>
      <c r="K45" s="50">
        <v>0</v>
      </c>
      <c r="L45" s="50">
        <v>453896</v>
      </c>
      <c r="M45" s="50">
        <v>9085</v>
      </c>
      <c r="N45" s="50">
        <v>488444</v>
      </c>
    </row>
    <row r="46" spans="2:14">
      <c r="B46" s="50" t="s">
        <v>27</v>
      </c>
      <c r="C46" s="50">
        <v>0</v>
      </c>
      <c r="D46" s="50">
        <v>24</v>
      </c>
      <c r="E46" s="50">
        <v>1</v>
      </c>
      <c r="F46" s="50">
        <v>7</v>
      </c>
      <c r="G46" s="50">
        <v>42795</v>
      </c>
      <c r="H46" s="50">
        <v>918977</v>
      </c>
      <c r="I46" s="50">
        <v>4293489</v>
      </c>
      <c r="J46" s="50">
        <v>6386</v>
      </c>
      <c r="K46" s="50">
        <v>0</v>
      </c>
      <c r="L46" s="50">
        <v>53200</v>
      </c>
      <c r="M46" s="50">
        <v>2020</v>
      </c>
      <c r="N46" s="50">
        <v>291339</v>
      </c>
    </row>
    <row r="47" spans="1:14">
      <c r="A47">
        <v>7013</v>
      </c>
      <c r="B47" s="50" t="s">
        <v>25</v>
      </c>
      <c r="C47" s="50">
        <v>5</v>
      </c>
      <c r="D47" s="50">
        <v>197</v>
      </c>
      <c r="E47" s="50">
        <v>6</v>
      </c>
      <c r="F47" s="50">
        <v>23</v>
      </c>
      <c r="G47" s="50">
        <v>138699</v>
      </c>
      <c r="H47" s="50">
        <v>1984896</v>
      </c>
      <c r="I47" s="50">
        <v>19273688</v>
      </c>
      <c r="J47" s="50">
        <v>46268</v>
      </c>
      <c r="K47" s="50">
        <v>0</v>
      </c>
      <c r="L47" s="50">
        <v>337397</v>
      </c>
      <c r="M47" s="50">
        <v>8632</v>
      </c>
      <c r="N47" s="50">
        <v>639582</v>
      </c>
    </row>
    <row r="48" spans="2:14">
      <c r="B48" s="50" t="s">
        <v>26</v>
      </c>
      <c r="C48" s="50">
        <v>3</v>
      </c>
      <c r="D48" s="50">
        <v>113</v>
      </c>
      <c r="E48" s="50">
        <v>3</v>
      </c>
      <c r="F48" s="50">
        <v>17</v>
      </c>
      <c r="G48" s="50">
        <v>75425</v>
      </c>
      <c r="H48" s="50">
        <v>1229866</v>
      </c>
      <c r="I48" s="50">
        <v>10865535</v>
      </c>
      <c r="J48" s="50">
        <v>11686</v>
      </c>
      <c r="K48" s="50">
        <v>0</v>
      </c>
      <c r="L48" s="50">
        <v>193117</v>
      </c>
      <c r="M48" s="50">
        <v>4570</v>
      </c>
      <c r="N48" s="50">
        <v>330623</v>
      </c>
    </row>
    <row r="49" spans="2:14">
      <c r="B49" s="50" t="s">
        <v>27</v>
      </c>
      <c r="C49" s="50">
        <v>1</v>
      </c>
      <c r="D49" s="50">
        <v>85</v>
      </c>
      <c r="E49" s="50">
        <v>1</v>
      </c>
      <c r="F49" s="50">
        <v>17</v>
      </c>
      <c r="G49" s="50">
        <v>66792</v>
      </c>
      <c r="H49" s="50">
        <v>928871</v>
      </c>
      <c r="I49" s="50">
        <v>9020472</v>
      </c>
      <c r="J49" s="50">
        <v>3928</v>
      </c>
      <c r="K49" s="50">
        <v>0</v>
      </c>
      <c r="L49" s="50">
        <v>55054</v>
      </c>
      <c r="M49" s="50">
        <v>3260</v>
      </c>
      <c r="N49" s="50">
        <v>372126</v>
      </c>
    </row>
    <row r="50" spans="1:14">
      <c r="A50">
        <v>7014</v>
      </c>
      <c r="B50" s="50" t="s">
        <v>25</v>
      </c>
      <c r="C50" s="50">
        <v>0</v>
      </c>
      <c r="D50" s="50">
        <v>36</v>
      </c>
      <c r="E50" s="50">
        <v>1</v>
      </c>
      <c r="F50" s="50">
        <v>18</v>
      </c>
      <c r="G50" s="50">
        <v>83525</v>
      </c>
      <c r="H50" s="50">
        <v>1165400</v>
      </c>
      <c r="I50" s="50">
        <v>11565907</v>
      </c>
      <c r="J50" s="50">
        <v>11104</v>
      </c>
      <c r="K50" s="50">
        <v>0</v>
      </c>
      <c r="L50" s="50">
        <v>93926</v>
      </c>
      <c r="M50" s="50">
        <v>3479</v>
      </c>
      <c r="N50" s="50">
        <v>323711</v>
      </c>
    </row>
    <row r="51" spans="2:14">
      <c r="B51" s="50" t="s">
        <v>26</v>
      </c>
      <c r="C51" s="50">
        <v>0</v>
      </c>
      <c r="D51" s="50">
        <v>70</v>
      </c>
      <c r="E51" s="50">
        <v>0</v>
      </c>
      <c r="F51" s="50">
        <v>19</v>
      </c>
      <c r="G51" s="50">
        <v>65075</v>
      </c>
      <c r="H51" s="50">
        <v>1086794</v>
      </c>
      <c r="I51" s="50">
        <v>10151280</v>
      </c>
      <c r="J51" s="50">
        <v>8844</v>
      </c>
      <c r="K51" s="50">
        <v>0</v>
      </c>
      <c r="L51" s="50">
        <v>159803</v>
      </c>
      <c r="M51" s="50">
        <v>3472</v>
      </c>
      <c r="N51" s="50">
        <v>284883</v>
      </c>
    </row>
    <row r="52" spans="2:14">
      <c r="B52" s="50" t="s">
        <v>27</v>
      </c>
      <c r="C52" s="50">
        <v>9</v>
      </c>
      <c r="D52" s="50">
        <v>289</v>
      </c>
      <c r="E52" s="50">
        <v>9</v>
      </c>
      <c r="F52" s="50">
        <v>22</v>
      </c>
      <c r="G52" s="50">
        <v>158451</v>
      </c>
      <c r="H52" s="50">
        <v>2087555</v>
      </c>
      <c r="I52" s="50">
        <v>23134181</v>
      </c>
      <c r="J52" s="50">
        <v>61404</v>
      </c>
      <c r="K52" s="50">
        <v>0</v>
      </c>
      <c r="L52" s="50">
        <v>557873</v>
      </c>
      <c r="M52" s="50">
        <v>11104</v>
      </c>
      <c r="N52" s="50">
        <v>584158</v>
      </c>
    </row>
    <row r="53" spans="1:14">
      <c r="A53">
        <v>7015</v>
      </c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</row>
    <row r="54" spans="2:14"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</row>
    <row r="55" spans="2:14"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</row>
    <row r="56" spans="1:14">
      <c r="A56">
        <v>7016</v>
      </c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</row>
    <row r="57" spans="2:14"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</row>
    <row r="58" spans="2:14"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</row>
    <row r="59" spans="1:14">
      <c r="A59">
        <v>7017</v>
      </c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</row>
    <row r="60" spans="2:14"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</row>
    <row r="61" spans="2:14"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</row>
  </sheetData>
  <conditionalFormatting sqref="F26:F28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{262a091f-243d-4b99-a908-5f43e73632dd}</x14:id>
        </ext>
      </extLst>
    </cfRule>
  </conditionalFormatting>
  <conditionalFormatting sqref="F29:F31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{1c08b3f0-3d2f-4040-968d-9982b92146de}</x14:id>
        </ext>
      </extLst>
    </cfRule>
  </conditionalFormatting>
  <conditionalFormatting sqref="F32:F3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{232d839f-d1bc-43bd-9cc3-272cfb12c555}</x14:id>
        </ext>
      </extLst>
    </cfRule>
  </conditionalFormatting>
  <conditionalFormatting sqref="G26:G28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{2582e3f4-aae0-4399-a97f-bd45e3365e53}</x14:id>
        </ext>
      </extLst>
    </cfRule>
  </conditionalFormatting>
  <conditionalFormatting sqref="G29:G3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{d9245c91-d14e-47e6-9ad9-3abf11a12d39}</x14:id>
        </ext>
      </extLst>
    </cfRule>
  </conditionalFormatting>
  <conditionalFormatting sqref="G32:G34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{3b4afbac-e9c3-4509-be65-8bf37b3b1cb4}</x14:id>
        </ext>
      </extLst>
    </cfRule>
  </conditionalFormatting>
  <conditionalFormatting sqref="N26:N34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{67a74612-ee05-4411-bdbb-434579e590e0}</x14:id>
        </ext>
      </extLst>
    </cfRule>
  </conditionalFormatting>
  <conditionalFormatting sqref="O2:O19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{5c74a3d1-1e6d-4f4d-8dc7-bc84353a0a75}</x14:id>
        </ext>
      </extLst>
    </cfRule>
  </conditionalFormatting>
  <conditionalFormatting sqref="O20:O22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{90fe08d1-165b-4e7a-b2b9-4aa282f57e80}</x14:id>
        </ext>
      </extLst>
    </cfRule>
  </conditionalFormatting>
  <conditionalFormatting sqref="P2:P19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{eebded5c-2134-428c-aa7a-ba146c6312c5}</x14:id>
        </ext>
      </extLst>
    </cfRule>
  </conditionalFormatting>
  <conditionalFormatting sqref="P20:P2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{a295387a-72c9-49e0-95c2-9a7b04dacc2c}</x14:id>
        </ext>
      </extLst>
    </cfRule>
  </conditionalFormatting>
  <conditionalFormatting sqref="P26:P33">
    <cfRule type="cellIs" dxfId="37" priority="1" operator="equal">
      <formula>$S$26</formula>
    </cfRule>
  </conditionalFormatting>
  <conditionalFormatting sqref="Q2:Q22">
    <cfRule type="cellIs" dxfId="38" priority="8" operator="equal">
      <formula>配置!$D$4</formula>
    </cfRule>
    <cfRule type="cellIs" dxfId="39" priority="9" operator="equal">
      <formula>配置!$D$3</formula>
    </cfRule>
    <cfRule type="cellIs" dxfId="37" priority="10" operator="equal">
      <formula>配置!$D$2</formula>
    </cfRule>
  </conditionalFormatting>
  <conditionalFormatting sqref="R26:R29">
    <cfRule type="cellIs" dxfId="37" priority="2" operator="equal">
      <formula>$S$26</formula>
    </cfRule>
  </conditionalFormatting>
  <conditionalFormatting sqref="O23:O24 Q1:R1 Q2 Q4:Q5 Q16:Q17 Q19:Q20 Q22 Q7:Q8 Q10:Q11 Q13:Q14">
    <cfRule type="cellIs" dxfId="37" priority="18" operator="equal">
      <formula>配置!$D$2</formula>
    </cfRule>
  </conditionalFormatting>
  <conditionalFormatting sqref="Q2 Q4:Q5 Q16:Q17 Q19:Q20 Q22 Q7:Q8 Q10:Q11 Q13:Q14">
    <cfRule type="cellIs" dxfId="38" priority="17" operator="equal">
      <formula>配置!$D$4</formula>
    </cfRule>
  </conditionalFormatting>
  <dataValidations count="1">
    <dataValidation type="list" allowBlank="1" showInputMessage="1" showErrorMessage="1" sqref="Q2:Q22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62a091f-243d-4b99-a908-5f43e73632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1c08b3f0-3d2f-4040-968d-9982b92146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232d839f-d1bc-43bd-9cc3-272cfb12c5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2582e3f4-aae0-4399-a97f-bd45e3365e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d9245c91-d14e-47e6-9ad9-3abf11a12d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3b4afbac-e9c3-4509-be65-8bf37b3b1c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67a74612-ee05-4411-bdbb-434579e590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N26:N34</xm:sqref>
        </x14:conditionalFormatting>
        <x14:conditionalFormatting xmlns:xm="http://schemas.microsoft.com/office/excel/2006/main">
          <x14:cfRule type="dataBar" id="{5c74a3d1-1e6d-4f4d-8dc7-bc84353a0a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90fe08d1-165b-4e7a-b2b9-4aa282f57e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eebded5c-2134-428c-aa7a-ba146c6312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a295387a-72c9-49e0-95c2-9a7b04dacc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</x14:conditionalFormatting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2"/>
  <sheetViews>
    <sheetView topLeftCell="A7" workbookViewId="0">
      <selection activeCell="T19" sqref="T19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5">
        <v>172</v>
      </c>
      <c r="B2" s="371">
        <f>VLOOKUP(表1_8612182224267286[[#This Row],[区服]],$P$35:$Q$44,2,FALSE)</f>
        <v>57</v>
      </c>
      <c r="C2" s="372" t="s">
        <v>156</v>
      </c>
      <c r="D2" s="373" t="str">
        <f>表1_8612182224267286[[#This Row],[目标国家]]</f>
        <v>魏</v>
      </c>
      <c r="E2" s="374">
        <f>(VLOOKUP(表1_8612182224267286[[#This Row],[目标区服]],$R$35:$S$38,2,FALSE)-表1_8612182224267286[[#This Row],[开服天数]])*配置!$B$1</f>
        <v>1000</v>
      </c>
      <c r="F2" s="374">
        <f>表1_8612182224267286[[#This Row],[补偿Coin]]*(表1_8612182224267286[[#This Row],[活跃高战玩家数]]+表1_8612182224267286[[#This Row],[活跃中坚玩家数]])</f>
        <v>13000</v>
      </c>
      <c r="G2" s="374">
        <f>(VLOOKUP(表1_8612182224267286[[#This Row],[目标区服]],$R$35:$S$38,2,FALSE)-表1_8612182224267286[[#This Row],[开服天数]])*配置!$B$2</f>
        <v>10</v>
      </c>
      <c r="H2" s="376" t="s">
        <v>25</v>
      </c>
      <c r="I2" s="376">
        <f>IF(表1_8612182224267286[[#This Row],[原国家]]="魏",0,IF(表1_8612182224267286[[#This Row],[原国家]]="蜀",1,2))</f>
        <v>0</v>
      </c>
      <c r="J2" s="380">
        <v>0</v>
      </c>
      <c r="K2" s="380">
        <v>28</v>
      </c>
      <c r="L2" s="380">
        <v>1</v>
      </c>
      <c r="M2" s="380">
        <v>12</v>
      </c>
      <c r="N2" s="380">
        <v>33979</v>
      </c>
      <c r="O2" s="380">
        <v>1985980</v>
      </c>
      <c r="P2" s="381">
        <v>11435686</v>
      </c>
      <c r="Q2" s="31" t="s">
        <v>25</v>
      </c>
      <c r="R2" s="376">
        <f>IF(表1_8612182224267286[[#This Row],[目标国家]]="魏",0,IF(表1_8612182224267286[[#This Row],[目标国家]]="蜀",1,2))</f>
        <v>0</v>
      </c>
      <c r="S2" s="380">
        <v>23526</v>
      </c>
      <c r="T2" s="380">
        <v>0</v>
      </c>
      <c r="U2" s="380">
        <v>127569</v>
      </c>
      <c r="V2" s="380">
        <v>4349</v>
      </c>
      <c r="W2" s="374">
        <v>625465</v>
      </c>
      <c r="X2" s="387" t="str">
        <f>"{"&amp;"'coin':"&amp;表1_8612182224267286[[#This Row],[补偿Coin]]&amp;",'"&amp;配置!$A$2&amp;"':"&amp;表1_8612182224267286[[#This Row],[补偿辎重]]&amp;"},"</f>
        <v>{'coin':1000,'item036':10},</v>
      </c>
      <c r="Y2" s="388" t="str">
        <f>"      '"&amp;表1_8612182224267286[[#This Row],[区服]]&amp;"':{"</f>
        <v>      '172':{</v>
      </c>
    </row>
    <row r="3" s="354" customFormat="1" ht="14.25" customHeight="1" spans="1:25">
      <c r="A3" s="375">
        <v>172</v>
      </c>
      <c r="B3" s="371">
        <f>VLOOKUP(表1_8612182224267286[[#This Row],[区服]],$P$35:$Q$44,2,FALSE)</f>
        <v>57</v>
      </c>
      <c r="C3" s="372" t="s">
        <v>156</v>
      </c>
      <c r="D3" s="376" t="str">
        <f>表1_8612182224267286[[#This Row],[目标国家]]</f>
        <v>蜀</v>
      </c>
      <c r="E3" s="380">
        <f>(VLOOKUP(表1_8612182224267286[[#This Row],[目标区服]],$R$35:$S$38,2,FALSE)-表1_8612182224267286[[#This Row],[开服天数]])*配置!$B$1</f>
        <v>1000</v>
      </c>
      <c r="F3" s="380">
        <f>表1_8612182224267286[[#This Row],[补偿Coin]]*(表1_8612182224267286[[#This Row],[活跃高战玩家数]]+表1_8612182224267286[[#This Row],[活跃中坚玩家数]])</f>
        <v>31000</v>
      </c>
      <c r="G3" s="380">
        <f>(VLOOKUP(表1_8612182224267286[[#This Row],[目标区服]],$R$35:$S$38,2,FALSE)-表1_8612182224267286[[#This Row],[开服天数]])*配置!$B$2</f>
        <v>10</v>
      </c>
      <c r="H3" s="376" t="s">
        <v>26</v>
      </c>
      <c r="I3" s="376">
        <f>IF(表1_8612182224267286[[#This Row],[原国家]]="魏",0,IF(表1_8612182224267286[[#This Row],[原国家]]="蜀",1,2))</f>
        <v>1</v>
      </c>
      <c r="J3" s="380">
        <v>6</v>
      </c>
      <c r="K3" s="380">
        <v>219</v>
      </c>
      <c r="L3" s="380">
        <v>5</v>
      </c>
      <c r="M3" s="380">
        <v>26</v>
      </c>
      <c r="N3" s="380">
        <v>159260</v>
      </c>
      <c r="O3" s="380">
        <v>4940990</v>
      </c>
      <c r="P3" s="381">
        <v>44690122</v>
      </c>
      <c r="Q3" s="31" t="s">
        <v>26</v>
      </c>
      <c r="R3" s="376">
        <f>IF(表1_8612182224267286[[#This Row],[目标国家]]="魏",0,IF(表1_8612182224267286[[#This Row],[目标国家]]="蜀",1,2))</f>
        <v>1</v>
      </c>
      <c r="S3" s="380">
        <v>225634</v>
      </c>
      <c r="T3" s="380">
        <v>0</v>
      </c>
      <c r="U3" s="380">
        <v>1388394</v>
      </c>
      <c r="V3" s="380">
        <v>20459</v>
      </c>
      <c r="W3" s="374">
        <v>1386649</v>
      </c>
      <c r="X3" s="387" t="str">
        <f>"{"&amp;"'coin':"&amp;表1_8612182224267286[[#This Row],[补偿Coin]]&amp;",'"&amp;配置!$A$2&amp;"':"&amp;表1_8612182224267286[[#This Row],[补偿辎重]]&amp;"},"</f>
        <v>{'coin':1000,'item036':10},</v>
      </c>
      <c r="Y3" s="388" t="str">
        <f>"            'to_zone':'"&amp;表1_8612182224267286[[#This Row],[目标区服]]&amp;"',
            'reward':"&amp;表1_8612182224267286[[#This Row],[辅助导出]]&amp;"
            'country':["&amp;R2&amp;","&amp;R3&amp;","&amp;R4&amp;"],"</f>
        <v>            'to_zone':'h1_74',
            'reward':{'coin':1000,'item036':10},
            'country':[0,1,2],</v>
      </c>
    </row>
    <row r="4" s="354" customFormat="1" ht="14.25" customHeight="1" spans="1:25">
      <c r="A4" s="375">
        <v>172</v>
      </c>
      <c r="B4" s="371">
        <f>VLOOKUP(表1_8612182224267286[[#This Row],[区服]],$P$35:$Q$44,2,FALSE)</f>
        <v>57</v>
      </c>
      <c r="C4" s="372" t="s">
        <v>156</v>
      </c>
      <c r="D4" s="376" t="str">
        <f>表1_8612182224267286[[#This Row],[目标国家]]</f>
        <v>吴</v>
      </c>
      <c r="E4" s="380">
        <f>(VLOOKUP(表1_8612182224267286[[#This Row],[目标区服]],$R$35:$S$38,2,FALSE)-表1_8612182224267286[[#This Row],[开服天数]])*配置!$B$1</f>
        <v>1000</v>
      </c>
      <c r="F4" s="380">
        <f>表1_8612182224267286[[#This Row],[补偿Coin]]*(表1_8612182224267286[[#This Row],[活跃高战玩家数]]+表1_8612182224267286[[#This Row],[活跃中坚玩家数]])</f>
        <v>31000</v>
      </c>
      <c r="G4" s="380">
        <f>(VLOOKUP(表1_8612182224267286[[#This Row],[目标区服]],$R$35:$S$38,2,FALSE)-表1_8612182224267286[[#This Row],[开服天数]])*配置!$B$2</f>
        <v>10</v>
      </c>
      <c r="H4" s="376" t="s">
        <v>27</v>
      </c>
      <c r="I4" s="376">
        <f>IF(表1_8612182224267286[[#This Row],[原国家]]="魏",0,IF(表1_8612182224267286[[#This Row],[原国家]]="蜀",1,2))</f>
        <v>2</v>
      </c>
      <c r="J4" s="380">
        <v>3</v>
      </c>
      <c r="K4" s="380">
        <v>148</v>
      </c>
      <c r="L4" s="380">
        <v>4</v>
      </c>
      <c r="M4" s="380">
        <v>27</v>
      </c>
      <c r="N4" s="380">
        <v>108480</v>
      </c>
      <c r="O4" s="380">
        <v>4481979</v>
      </c>
      <c r="P4" s="381">
        <v>34939077</v>
      </c>
      <c r="Q4" s="31" t="s">
        <v>27</v>
      </c>
      <c r="R4" s="376">
        <f>IF(表1_8612182224267286[[#This Row],[目标国家]]="魏",0,IF(表1_8612182224267286[[#This Row],[目标国家]]="蜀",1,2))</f>
        <v>2</v>
      </c>
      <c r="S4" s="380">
        <v>171938</v>
      </c>
      <c r="T4" s="380">
        <v>0</v>
      </c>
      <c r="U4" s="380">
        <v>809980</v>
      </c>
      <c r="V4" s="380">
        <v>15861</v>
      </c>
      <c r="W4" s="374">
        <v>1235705</v>
      </c>
      <c r="X4" s="387" t="str">
        <f>"{"&amp;"'coin':"&amp;表1_8612182224267286[[#This Row],[补偿Coin]]&amp;",'"&amp;配置!$A$2&amp;"':"&amp;表1_8612182224267286[[#This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5">
        <v>173</v>
      </c>
      <c r="B5" s="371">
        <f>VLOOKUP(表1_8612182224267286[[#This Row],[区服]],$P$35:$Q$44,2,FALSE)</f>
        <v>56</v>
      </c>
      <c r="C5" s="372" t="s">
        <v>156</v>
      </c>
      <c r="D5" s="376" t="str">
        <f>表1_8612182224267286[[#This Row],[目标国家]]</f>
        <v>吴</v>
      </c>
      <c r="E5" s="380">
        <f>(VLOOKUP(表1_8612182224267286[[#This Row],[目标区服]],$R$35:$S$38,2,FALSE)-表1_8612182224267286[[#This Row],[开服天数]])*配置!$B$1</f>
        <v>1500</v>
      </c>
      <c r="F5" s="380">
        <f>表1_8612182224267286[[#This Row],[补偿Coin]]*(表1_8612182224267286[[#This Row],[活跃高战玩家数]]+表1_8612182224267286[[#This Row],[活跃中坚玩家数]])</f>
        <v>31500</v>
      </c>
      <c r="G5" s="380">
        <f>(VLOOKUP(表1_8612182224267286[[#This Row],[目标区服]],$R$35:$S$38,2,FALSE)-表1_8612182224267286[[#This Row],[开服天数]])*配置!$B$2</f>
        <v>15</v>
      </c>
      <c r="H5" s="376" t="s">
        <v>25</v>
      </c>
      <c r="I5" s="376">
        <f>IF(表1_8612182224267286[[#This Row],[原国家]]="魏",0,IF(表1_8612182224267286[[#This Row],[原国家]]="蜀",1,2))</f>
        <v>0</v>
      </c>
      <c r="J5" s="380">
        <v>2</v>
      </c>
      <c r="K5" s="380">
        <v>112</v>
      </c>
      <c r="L5" s="380">
        <v>1</v>
      </c>
      <c r="M5" s="380">
        <v>20</v>
      </c>
      <c r="N5" s="380">
        <v>65038</v>
      </c>
      <c r="O5" s="380">
        <v>2210726</v>
      </c>
      <c r="P5" s="381">
        <v>20804386</v>
      </c>
      <c r="Q5" s="31" t="s">
        <v>27</v>
      </c>
      <c r="R5" s="376">
        <f>IF(表1_8612182224267286[[#This Row],[目标国家]]="魏",0,IF(表1_8612182224267286[[#This Row],[目标国家]]="蜀",1,2))</f>
        <v>2</v>
      </c>
      <c r="S5" s="380">
        <v>17948</v>
      </c>
      <c r="T5" s="380">
        <v>0</v>
      </c>
      <c r="U5" s="380">
        <v>462785</v>
      </c>
      <c r="V5" s="380">
        <v>6706</v>
      </c>
      <c r="W5" s="374">
        <v>612135</v>
      </c>
      <c r="X5" s="387" t="str">
        <f>"{"&amp;"'coin':"&amp;表1_8612182224267286[[#This Row],[补偿Coin]]&amp;",'"&amp;配置!$A$2&amp;"':"&amp;表1_8612182224267286[[#This Row],[补偿辎重]]&amp;"},"</f>
        <v>{'coin':1500,'item036':15},</v>
      </c>
      <c r="Y5" s="388" t="str">
        <f>"      '"&amp;表1_8612182224267286[[#This Row],[区服]]&amp;"':{"</f>
        <v>      '173':{</v>
      </c>
    </row>
    <row r="6" s="354" customFormat="1" ht="14.25" customHeight="1" spans="1:25">
      <c r="A6" s="375">
        <v>173</v>
      </c>
      <c r="B6" s="371">
        <f>VLOOKUP(表1_8612182224267286[[#This Row],[区服]],$P$35:$Q$44,2,FALSE)</f>
        <v>56</v>
      </c>
      <c r="C6" s="372" t="s">
        <v>156</v>
      </c>
      <c r="D6" s="376" t="str">
        <f>表1_8612182224267286[[#This Row],[目标国家]]</f>
        <v>魏</v>
      </c>
      <c r="E6" s="380">
        <f>(VLOOKUP(表1_8612182224267286[[#This Row],[目标区服]],$R$35:$S$38,2,FALSE)-表1_8612182224267286[[#This Row],[开服天数]])*配置!$B$1</f>
        <v>1500</v>
      </c>
      <c r="F6" s="380">
        <f>表1_8612182224267286[[#This Row],[补偿Coin]]*(表1_8612182224267286[[#This Row],[活跃高战玩家数]]+表1_8612182224267286[[#This Row],[活跃中坚玩家数]])</f>
        <v>54000</v>
      </c>
      <c r="G6" s="380">
        <f>(VLOOKUP(表1_8612182224267286[[#This Row],[目标区服]],$R$35:$S$38,2,FALSE)-表1_8612182224267286[[#This Row],[开服天数]])*配置!$B$2</f>
        <v>15</v>
      </c>
      <c r="H6" s="376" t="s">
        <v>26</v>
      </c>
      <c r="I6" s="376">
        <f>IF(表1_8612182224267286[[#This Row],[原国家]]="魏",0,IF(表1_8612182224267286[[#This Row],[原国家]]="蜀",1,2))</f>
        <v>1</v>
      </c>
      <c r="J6" s="380">
        <v>5</v>
      </c>
      <c r="K6" s="380">
        <v>206</v>
      </c>
      <c r="L6" s="380">
        <v>6</v>
      </c>
      <c r="M6" s="380">
        <v>30</v>
      </c>
      <c r="N6" s="380">
        <v>147261</v>
      </c>
      <c r="O6" s="380">
        <v>3074113</v>
      </c>
      <c r="P6" s="381">
        <v>42314487</v>
      </c>
      <c r="Q6" s="31" t="s">
        <v>25</v>
      </c>
      <c r="R6" s="376">
        <f>IF(表1_8612182224267286[[#This Row],[目标国家]]="魏",0,IF(表1_8612182224267286[[#This Row],[目标国家]]="蜀",1,2))</f>
        <v>0</v>
      </c>
      <c r="S6" s="380">
        <v>73462</v>
      </c>
      <c r="T6" s="380">
        <v>128</v>
      </c>
      <c r="U6" s="380">
        <v>666434</v>
      </c>
      <c r="V6" s="380">
        <v>13140</v>
      </c>
      <c r="W6" s="374">
        <v>803778</v>
      </c>
      <c r="X6" s="387" t="str">
        <f>"{"&amp;"'coin':"&amp;表1_8612182224267286[[#This Row],[补偿Coin]]&amp;",'"&amp;配置!$A$2&amp;"':"&amp;表1_8612182224267286[[#This Row],[补偿辎重]]&amp;"},"</f>
        <v>{'coin':1500,'item036':15},</v>
      </c>
      <c r="Y6" s="388" t="str">
        <f>"            'to_zone':'"&amp;表1_8612182224267286[[#This Row],[目标区服]]&amp;"',
            'reward':"&amp;表1_8612182224267286[[#This Row],[辅助导出]]&amp;"
            'country':["&amp;R5&amp;","&amp;R6&amp;","&amp;R7&amp;"],"</f>
        <v>            'to_zone':'h1_74',
            'reward':{'coin':1500,'item036':15},
            'country':[2,0,0],</v>
      </c>
    </row>
    <row r="7" s="354" customFormat="1" ht="14.25" customHeight="1" spans="1:25">
      <c r="A7" s="375">
        <v>173</v>
      </c>
      <c r="B7" s="371">
        <f>VLOOKUP(表1_8612182224267286[[#This Row],[区服]],$P$35:$Q$44,2,FALSE)</f>
        <v>56</v>
      </c>
      <c r="C7" s="372" t="s">
        <v>156</v>
      </c>
      <c r="D7" s="376" t="str">
        <f>表1_8612182224267286[[#This Row],[目标国家]]</f>
        <v>魏</v>
      </c>
      <c r="E7" s="380">
        <f>(VLOOKUP(表1_8612182224267286[[#This Row],[目标区服]],$R$35:$S$38,2,FALSE)-表1_8612182224267286[[#This Row],[开服天数]])*配置!$B$1</f>
        <v>1500</v>
      </c>
      <c r="F7" s="380">
        <f>表1_8612182224267286[[#This Row],[补偿Coin]]*(表1_8612182224267286[[#This Row],[活跃高战玩家数]]+表1_8612182224267286[[#This Row],[活跃中坚玩家数]])</f>
        <v>31500</v>
      </c>
      <c r="G7" s="380">
        <f>(VLOOKUP(表1_8612182224267286[[#This Row],[目标区服]],$R$35:$S$38,2,FALSE)-表1_8612182224267286[[#This Row],[开服天数]])*配置!$B$2</f>
        <v>15</v>
      </c>
      <c r="H7" s="376" t="s">
        <v>27</v>
      </c>
      <c r="I7" s="376">
        <f>IF(表1_8612182224267286[[#This Row],[原国家]]="魏",0,IF(表1_8612182224267286[[#This Row],[原国家]]="蜀",1,2))</f>
        <v>2</v>
      </c>
      <c r="J7" s="380">
        <v>2</v>
      </c>
      <c r="K7" s="380">
        <v>77</v>
      </c>
      <c r="L7" s="380">
        <v>2</v>
      </c>
      <c r="M7" s="380">
        <v>19</v>
      </c>
      <c r="N7" s="380">
        <v>86047</v>
      </c>
      <c r="O7" s="380">
        <v>2685403</v>
      </c>
      <c r="P7" s="381">
        <v>23319761</v>
      </c>
      <c r="Q7" s="31" t="s">
        <v>25</v>
      </c>
      <c r="R7" s="376">
        <f>IF(表1_8612182224267286[[#This Row],[目标国家]]="魏",0,IF(表1_8612182224267286[[#This Row],[目标国家]]="蜀",1,2))</f>
        <v>0</v>
      </c>
      <c r="S7" s="380">
        <v>41174</v>
      </c>
      <c r="T7" s="380">
        <v>0</v>
      </c>
      <c r="U7" s="380">
        <v>166893</v>
      </c>
      <c r="V7" s="380">
        <v>7736</v>
      </c>
      <c r="W7" s="374">
        <v>717759</v>
      </c>
      <c r="X7" s="387" t="str">
        <f>"{"&amp;"'coin':"&amp;表1_8612182224267286[[#This Row],[补偿Coin]]&amp;",'"&amp;配置!$A$2&amp;"':"&amp;表1_8612182224267286[[#This Row],[补偿辎重]]&amp;"},"</f>
        <v>{'coin':1500,'item036':15},</v>
      </c>
      <c r="Y7" s="388" t="str">
        <f t="shared" ref="Y7" si="0">"      },"</f>
        <v>      },</v>
      </c>
    </row>
    <row r="8" s="354" customFormat="1" ht="14.25" customHeight="1" spans="1:25">
      <c r="A8" s="259">
        <v>174</v>
      </c>
      <c r="B8" s="210">
        <f>VLOOKUP(表1_8612182224267286[[#This Row],[区服]],$P$35:$Q$44,2,FALSE)</f>
        <v>55</v>
      </c>
      <c r="C8" s="296" t="s">
        <v>167</v>
      </c>
      <c r="D8" s="212" t="str">
        <f>表1_8612182224267286[[#This Row],[目标国家]]</f>
        <v>魏</v>
      </c>
      <c r="E8" s="213">
        <f>(VLOOKUP(表1_8612182224267286[[#This Row],[目标区服]],$R$35:$S$38,2,FALSE)-表1_8612182224267286[[#This Row],[开服天数]])*配置!$B$1</f>
        <v>1000</v>
      </c>
      <c r="F8" s="213">
        <f>表1_8612182224267286[[#This Row],[补偿Coin]]*(表1_8612182224267286[[#This Row],[活跃高战玩家数]]+表1_8612182224267286[[#This Row],[活跃中坚玩家数]])</f>
        <v>28000</v>
      </c>
      <c r="G8" s="260">
        <f>(VLOOKUP(表1_8612182224267286[[#This Row],[目标区服]],$R$35:$S$38,2,FALSE)-表1_8612182224267286[[#This Row],[开服天数]])*配置!$B$2</f>
        <v>10</v>
      </c>
      <c r="H8" s="212" t="s">
        <v>25</v>
      </c>
      <c r="I8" s="268">
        <f>IF(表1_8612182224267286[[#This Row],[原国家]]="魏",0,IF(表1_8612182224267286[[#This Row],[原国家]]="蜀",1,2))</f>
        <v>0</v>
      </c>
      <c r="J8" s="213">
        <v>4</v>
      </c>
      <c r="K8" s="213">
        <v>223</v>
      </c>
      <c r="L8" s="213">
        <v>6</v>
      </c>
      <c r="M8" s="213">
        <v>22</v>
      </c>
      <c r="N8" s="213">
        <v>145772</v>
      </c>
      <c r="O8" s="419">
        <v>3550026</v>
      </c>
      <c r="P8" s="420">
        <v>34380453</v>
      </c>
      <c r="Q8" s="31" t="s">
        <v>25</v>
      </c>
      <c r="R8" s="212">
        <f>IF(表1_8612182224267286[[#This Row],[目标国家]]="魏",0,IF(表1_8612182224267286[[#This Row],[目标国家]]="蜀",1,2))</f>
        <v>0</v>
      </c>
      <c r="S8" s="213">
        <v>154814</v>
      </c>
      <c r="T8" s="213">
        <v>128</v>
      </c>
      <c r="U8" s="213">
        <v>473640</v>
      </c>
      <c r="V8" s="213">
        <v>15229</v>
      </c>
      <c r="W8" s="213">
        <v>996054</v>
      </c>
      <c r="X8" s="278" t="str">
        <f>"{"&amp;"'coin':"&amp;表1_8612182224267286[[#This Row],[补偿Coin]]&amp;",'"&amp;配置!$A$2&amp;"':"&amp;表1_8612182224267286[[#This Row],[补偿辎重]]&amp;"},"</f>
        <v>{'coin':1000,'item036':10},</v>
      </c>
      <c r="Y8" s="278" t="str">
        <f>"      '"&amp;表1_8612182224267286[[#This Row],[区服]]&amp;"':{"</f>
        <v>      '174':{</v>
      </c>
    </row>
    <row r="9" s="354" customFormat="1" ht="14.25" customHeight="1" spans="1:25">
      <c r="A9" s="259">
        <v>174</v>
      </c>
      <c r="B9" s="210">
        <f>VLOOKUP(表1_8612182224267286[[#This Row],[区服]],$P$35:$Q$44,2,FALSE)</f>
        <v>55</v>
      </c>
      <c r="C9" s="296" t="s">
        <v>167</v>
      </c>
      <c r="D9" s="212" t="str">
        <f>表1_8612182224267286[[#This Row],[目标国家]]</f>
        <v>吴</v>
      </c>
      <c r="E9" s="213">
        <f>(VLOOKUP(表1_8612182224267286[[#This Row],[目标区服]],$R$35:$S$38,2,FALSE)-表1_8612182224267286[[#This Row],[开服天数]])*配置!$B$1</f>
        <v>1000</v>
      </c>
      <c r="F9" s="213">
        <f>表1_8612182224267286[[#This Row],[补偿Coin]]*(表1_8612182224267286[[#This Row],[活跃高战玩家数]]+表1_8612182224267286[[#This Row],[活跃中坚玩家数]])</f>
        <v>18000</v>
      </c>
      <c r="G9" s="260">
        <f>(VLOOKUP(表1_8612182224267286[[#This Row],[目标区服]],$R$35:$S$38,2,FALSE)-表1_8612182224267286[[#This Row],[开服天数]])*配置!$B$2</f>
        <v>10</v>
      </c>
      <c r="H9" s="212" t="s">
        <v>26</v>
      </c>
      <c r="I9" s="268">
        <f>IF(表1_8612182224267286[[#This Row],[原国家]]="魏",0,IF(表1_8612182224267286[[#This Row],[原国家]]="蜀",1,2))</f>
        <v>1</v>
      </c>
      <c r="J9" s="213">
        <v>3</v>
      </c>
      <c r="K9" s="213">
        <v>93</v>
      </c>
      <c r="L9" s="213">
        <v>3</v>
      </c>
      <c r="M9" s="213">
        <v>15</v>
      </c>
      <c r="N9" s="213">
        <v>75113</v>
      </c>
      <c r="O9" s="419">
        <v>2704921</v>
      </c>
      <c r="P9" s="420">
        <v>18586413</v>
      </c>
      <c r="Q9" s="31" t="s">
        <v>27</v>
      </c>
      <c r="R9" s="212">
        <f>IF(表1_8612182224267286[[#This Row],[目标国家]]="魏",0,IF(表1_8612182224267286[[#This Row],[目标国家]]="蜀",1,2))</f>
        <v>2</v>
      </c>
      <c r="S9" s="213">
        <v>44756</v>
      </c>
      <c r="T9" s="213">
        <v>0</v>
      </c>
      <c r="U9" s="213">
        <v>270014</v>
      </c>
      <c r="V9" s="213">
        <v>7646</v>
      </c>
      <c r="W9" s="213">
        <v>1027805</v>
      </c>
      <c r="X9" s="278" t="str">
        <f>"{"&amp;"'coin':"&amp;表1_8612182224267286[[#This Row],[补偿Coin]]&amp;",'"&amp;配置!$A$2&amp;"':"&amp;表1_8612182224267286[[#This Row],[补偿辎重]]&amp;"},"</f>
        <v>{'coin':1000,'item036':10},</v>
      </c>
      <c r="Y9" s="278" t="str">
        <f>"            'to_zone':'"&amp;表1_8612182224267286[[#This Row],[目标区服]]&amp;"',
            'reward':"&amp;表1_8612182224267286[[#This Row],[辅助导出]]&amp;"
            'country':["&amp;R8&amp;","&amp;R9&amp;","&amp;R10&amp;"],"</f>
        <v>            'to_zone':'h1_75',
            'reward':{'coin':1000,'item036':10},
            'country':[0,2,2],</v>
      </c>
    </row>
    <row r="10" s="354" customFormat="1" ht="14.25" customHeight="1" spans="1:25">
      <c r="A10" s="259">
        <v>174</v>
      </c>
      <c r="B10" s="210">
        <f>VLOOKUP(表1_8612182224267286[[#This Row],[区服]],$P$35:$Q$44,2,FALSE)</f>
        <v>55</v>
      </c>
      <c r="C10" s="296" t="s">
        <v>167</v>
      </c>
      <c r="D10" s="212" t="str">
        <f>表1_8612182224267286[[#This Row],[目标国家]]</f>
        <v>吴</v>
      </c>
      <c r="E10" s="213">
        <f>(VLOOKUP(表1_8612182224267286[[#This Row],[目标区服]],$R$35:$S$38,2,FALSE)-表1_8612182224267286[[#This Row],[开服天数]])*配置!$B$1</f>
        <v>1000</v>
      </c>
      <c r="F10" s="213">
        <f>表1_8612182224267286[[#This Row],[补偿Coin]]*(表1_8612182224267286[[#This Row],[活跃高战玩家数]]+表1_8612182224267286[[#This Row],[活跃中坚玩家数]])</f>
        <v>16000</v>
      </c>
      <c r="G10" s="260">
        <f>(VLOOKUP(表1_8612182224267286[[#This Row],[目标区服]],$R$35:$S$38,2,FALSE)-表1_8612182224267286[[#This Row],[开服天数]])*配置!$B$2</f>
        <v>10</v>
      </c>
      <c r="H10" s="212" t="s">
        <v>27</v>
      </c>
      <c r="I10" s="268">
        <f>IF(表1_8612182224267286[[#This Row],[原国家]]="魏",0,IF(表1_8612182224267286[[#This Row],[原国家]]="蜀",1,2))</f>
        <v>2</v>
      </c>
      <c r="J10" s="213">
        <v>2</v>
      </c>
      <c r="K10" s="213">
        <v>79</v>
      </c>
      <c r="L10" s="213">
        <v>0</v>
      </c>
      <c r="M10" s="213">
        <v>16</v>
      </c>
      <c r="N10" s="213">
        <v>47583</v>
      </c>
      <c r="O10" s="419">
        <v>1620726</v>
      </c>
      <c r="P10" s="420">
        <v>12414993</v>
      </c>
      <c r="Q10" s="31" t="s">
        <v>27</v>
      </c>
      <c r="R10" s="212">
        <f>IF(表1_8612182224267286[[#This Row],[目标国家]]="魏",0,IF(表1_8612182224267286[[#This Row],[目标国家]]="蜀",1,2))</f>
        <v>2</v>
      </c>
      <c r="S10" s="213">
        <v>16542</v>
      </c>
      <c r="T10" s="213">
        <v>0</v>
      </c>
      <c r="U10" s="213">
        <v>191270</v>
      </c>
      <c r="V10" s="213">
        <v>4682</v>
      </c>
      <c r="W10" s="213">
        <v>581930</v>
      </c>
      <c r="X10" s="278" t="str">
        <f>"{"&amp;"'coin':"&amp;表1_8612182224267286[[#This Row],[补偿Coin]]&amp;",'"&amp;配置!$A$2&amp;"':"&amp;表1_8612182224267286[[#This Row],[补偿辎重]]&amp;"},"</f>
        <v>{'coin':1000,'item036':10},</v>
      </c>
      <c r="Y10" s="278" t="str">
        <f>"      },"</f>
        <v>      },</v>
      </c>
    </row>
    <row r="11" s="354" customFormat="1" ht="14.25" customHeight="1" spans="1:25">
      <c r="A11" s="259">
        <v>175</v>
      </c>
      <c r="B11" s="210">
        <f>VLOOKUP(表1_8612182224267286[[#This Row],[区服]],$P$35:$Q$44,2,FALSE)</f>
        <v>55</v>
      </c>
      <c r="C11" s="296" t="s">
        <v>167</v>
      </c>
      <c r="D11" s="212" t="str">
        <f>表1_8612182224267286[[#This Row],[目标国家]]</f>
        <v>魏</v>
      </c>
      <c r="E11" s="213">
        <f>(VLOOKUP(表1_8612182224267286[[#This Row],[目标区服]],$R$35:$S$38,2,FALSE)-表1_8612182224267286[[#This Row],[开服天数]])*配置!$B$1</f>
        <v>1000</v>
      </c>
      <c r="F11" s="213">
        <f>表1_8612182224267286[[#This Row],[补偿Coin]]*(表1_8612182224267286[[#This Row],[活跃高战玩家数]]+表1_8612182224267286[[#This Row],[活跃中坚玩家数]])</f>
        <v>12000</v>
      </c>
      <c r="G11" s="260">
        <f>(VLOOKUP(表1_8612182224267286[[#This Row],[目标区服]],$R$35:$S$38,2,FALSE)-表1_8612182224267286[[#This Row],[开服天数]])*配置!$B$2</f>
        <v>10</v>
      </c>
      <c r="H11" s="212" t="s">
        <v>25</v>
      </c>
      <c r="I11" s="268">
        <f>IF(表1_8612182224267286[[#This Row],[原国家]]="魏",0,IF(表1_8612182224267286[[#This Row],[原国家]]="蜀",1,2))</f>
        <v>0</v>
      </c>
      <c r="J11" s="213">
        <v>0</v>
      </c>
      <c r="K11" s="213">
        <v>44</v>
      </c>
      <c r="L11" s="213">
        <v>1</v>
      </c>
      <c r="M11" s="213">
        <v>11</v>
      </c>
      <c r="N11" s="213">
        <v>52355</v>
      </c>
      <c r="O11" s="419">
        <v>2298920</v>
      </c>
      <c r="P11" s="420">
        <v>10482415</v>
      </c>
      <c r="Q11" s="31" t="s">
        <v>25</v>
      </c>
      <c r="R11" s="212">
        <f>IF(表1_8612182224267286[[#This Row],[目标国家]]="魏",0,IF(表1_8612182224267286[[#This Row],[目标国家]]="蜀",1,2))</f>
        <v>0</v>
      </c>
      <c r="S11" s="213">
        <v>60774</v>
      </c>
      <c r="T11" s="213">
        <v>0</v>
      </c>
      <c r="U11" s="213">
        <v>180583</v>
      </c>
      <c r="V11" s="213">
        <v>5962</v>
      </c>
      <c r="W11" s="213">
        <v>1016979</v>
      </c>
      <c r="X11" s="278" t="str">
        <f>"{"&amp;"'coin':"&amp;表1_8612182224267286[[#This Row],[补偿Coin]]&amp;",'"&amp;配置!$A$2&amp;"':"&amp;表1_8612182224267286[[#This Row],[补偿辎重]]&amp;"},"</f>
        <v>{'coin':1000,'item036':10},</v>
      </c>
      <c r="Y11" s="278" t="str">
        <f>"      '"&amp;表1_8612182224267286[[#This Row],[区服]]&amp;"':{"</f>
        <v>      '175':{</v>
      </c>
    </row>
    <row r="12" s="354" customFormat="1" ht="14.25" customHeight="1" spans="1:25">
      <c r="A12" s="259">
        <v>175</v>
      </c>
      <c r="B12" s="210">
        <f>VLOOKUP(表1_8612182224267286[[#This Row],[区服]],$P$35:$Q$44,2,FALSE)</f>
        <v>55</v>
      </c>
      <c r="C12" s="296" t="s">
        <v>167</v>
      </c>
      <c r="D12" s="212" t="str">
        <f>表1_8612182224267286[[#This Row],[目标国家]]</f>
        <v>蜀</v>
      </c>
      <c r="E12" s="213">
        <f>(VLOOKUP(表1_8612182224267286[[#This Row],[目标区服]],$R$35:$S$38,2,FALSE)-表1_8612182224267286[[#This Row],[开服天数]])*配置!$B$1</f>
        <v>1000</v>
      </c>
      <c r="F12" s="213">
        <f>表1_8612182224267286[[#This Row],[补偿Coin]]*(表1_8612182224267286[[#This Row],[活跃高战玩家数]]+表1_8612182224267286[[#This Row],[活跃中坚玩家数]])</f>
        <v>17000</v>
      </c>
      <c r="G12" s="260">
        <f>(VLOOKUP(表1_8612182224267286[[#This Row],[目标区服]],$R$35:$S$38,2,FALSE)-表1_8612182224267286[[#This Row],[开服天数]])*配置!$B$2</f>
        <v>10</v>
      </c>
      <c r="H12" s="212" t="s">
        <v>26</v>
      </c>
      <c r="I12" s="268">
        <f>IF(表1_8612182224267286[[#This Row],[原国家]]="魏",0,IF(表1_8612182224267286[[#This Row],[原国家]]="蜀",1,2))</f>
        <v>1</v>
      </c>
      <c r="J12" s="213">
        <v>0</v>
      </c>
      <c r="K12" s="213">
        <v>72</v>
      </c>
      <c r="L12" s="213">
        <v>1</v>
      </c>
      <c r="M12" s="213">
        <v>16</v>
      </c>
      <c r="N12" s="213">
        <v>64384</v>
      </c>
      <c r="O12" s="419">
        <v>1453058</v>
      </c>
      <c r="P12" s="420">
        <v>10927005</v>
      </c>
      <c r="Q12" s="31" t="s">
        <v>26</v>
      </c>
      <c r="R12" s="212">
        <f>IF(表1_8612182224267286[[#This Row],[目标国家]]="魏",0,IF(表1_8612182224267286[[#This Row],[目标国家]]="蜀",1,2))</f>
        <v>1</v>
      </c>
      <c r="S12" s="213">
        <v>3238</v>
      </c>
      <c r="T12" s="213">
        <v>0</v>
      </c>
      <c r="U12" s="213">
        <v>226610</v>
      </c>
      <c r="V12" s="213">
        <v>3798</v>
      </c>
      <c r="W12" s="213">
        <v>462945</v>
      </c>
      <c r="X12" s="278" t="str">
        <f>"{"&amp;"'coin':"&amp;表1_8612182224267286[[#This Row],[补偿Coin]]&amp;",'"&amp;配置!$A$2&amp;"':"&amp;表1_8612182224267286[[#This Row],[补偿辎重]]&amp;"},"</f>
        <v>{'coin':1000,'item036':10},</v>
      </c>
      <c r="Y12" s="278" t="str">
        <f>"            'to_zone':'"&amp;表1_8612182224267286[[#This Row],[目标区服]]&amp;"',
            'reward':"&amp;表1_8612182224267286[[#This Row],[辅助导出]]&amp;"
            'country':["&amp;R11&amp;","&amp;R12&amp;","&amp;R13&amp;"],"</f>
        <v>            'to_zone':'h1_75',
            'reward':{'coin':1000,'item036':10},
            'country':[0,1,2],</v>
      </c>
    </row>
    <row r="13" s="354" customFormat="1" ht="14.25" customHeight="1" spans="1:25">
      <c r="A13" s="259">
        <v>175</v>
      </c>
      <c r="B13" s="210">
        <f>VLOOKUP(表1_8612182224267286[[#This Row],[区服]],$P$35:$Q$44,2,FALSE)</f>
        <v>55</v>
      </c>
      <c r="C13" s="296" t="s">
        <v>167</v>
      </c>
      <c r="D13" s="212" t="str">
        <f>表1_8612182224267286[[#This Row],[目标国家]]</f>
        <v>吴</v>
      </c>
      <c r="E13" s="213">
        <f>(VLOOKUP(表1_8612182224267286[[#This Row],[目标区服]],$R$35:$S$38,2,FALSE)-表1_8612182224267286[[#This Row],[开服天数]])*配置!$B$1</f>
        <v>1000</v>
      </c>
      <c r="F13" s="213">
        <f>表1_8612182224267286[[#This Row],[补偿Coin]]*(表1_8612182224267286[[#This Row],[活跃高战玩家数]]+表1_8612182224267286[[#This Row],[活跃中坚玩家数]])</f>
        <v>22000</v>
      </c>
      <c r="G13" s="260">
        <f>(VLOOKUP(表1_8612182224267286[[#This Row],[目标区服]],$R$35:$S$38,2,FALSE)-表1_8612182224267286[[#This Row],[开服天数]])*配置!$B$2</f>
        <v>10</v>
      </c>
      <c r="H13" s="212" t="s">
        <v>27</v>
      </c>
      <c r="I13" s="268">
        <f>IF(表1_8612182224267286[[#This Row],[原国家]]="魏",0,IF(表1_8612182224267286[[#This Row],[原国家]]="蜀",1,2))</f>
        <v>2</v>
      </c>
      <c r="J13" s="213">
        <v>9</v>
      </c>
      <c r="K13" s="213">
        <v>279</v>
      </c>
      <c r="L13" s="213">
        <v>7</v>
      </c>
      <c r="M13" s="213">
        <v>15</v>
      </c>
      <c r="N13" s="213">
        <v>139601</v>
      </c>
      <c r="O13" s="419">
        <v>3761915</v>
      </c>
      <c r="P13" s="420">
        <v>26473673</v>
      </c>
      <c r="Q13" s="31" t="s">
        <v>27</v>
      </c>
      <c r="R13" s="212">
        <f>IF(表1_8612182224267286[[#This Row],[目标国家]]="魏",0,IF(表1_8612182224267286[[#This Row],[目标国家]]="蜀",1,2))</f>
        <v>2</v>
      </c>
      <c r="S13" s="213">
        <v>156930</v>
      </c>
      <c r="T13" s="213">
        <v>0</v>
      </c>
      <c r="U13" s="213">
        <v>869338</v>
      </c>
      <c r="V13" s="213">
        <v>15939</v>
      </c>
      <c r="W13" s="213">
        <v>1056699</v>
      </c>
      <c r="X13" s="278" t="str">
        <f>"{"&amp;"'coin':"&amp;表1_8612182224267286[[#This Row],[补偿Coin]]&amp;",'"&amp;配置!$A$2&amp;"':"&amp;表1_8612182224267286[[#This Row],[补偿辎重]]&amp;"},"</f>
        <v>{'coin':1000,'item036':10},</v>
      </c>
      <c r="Y13" s="278" t="str">
        <f t="shared" ref="Y13" si="1">"      },"</f>
        <v>      },</v>
      </c>
    </row>
    <row r="14" ht="14.25" customHeight="1" spans="1:25">
      <c r="A14" s="210">
        <v>176</v>
      </c>
      <c r="B14" s="210">
        <f>VLOOKUP(表1_8612182224267286[[#This Row],[区服]],$P$35:$Q$44,2,FALSE)</f>
        <v>54</v>
      </c>
      <c r="C14" s="296" t="s">
        <v>167</v>
      </c>
      <c r="D14" s="212" t="str">
        <f>表1_8612182224267286[[#This Row],[目标国家]]</f>
        <v>蜀</v>
      </c>
      <c r="E14" s="213">
        <f>(VLOOKUP(表1_8612182224267286[[#This Row],[目标区服]],$R$35:$S$38,2,FALSE)-表1_8612182224267286[[#This Row],[开服天数]])*配置!$B$1</f>
        <v>1500</v>
      </c>
      <c r="F14" s="213">
        <f>表1_8612182224267286[[#This Row],[补偿Coin]]*(表1_8612182224267286[[#This Row],[活跃高战玩家数]]+表1_8612182224267286[[#This Row],[活跃中坚玩家数]])</f>
        <v>48000</v>
      </c>
      <c r="G14" s="213">
        <f>(VLOOKUP(表1_8612182224267286[[#This Row],[目标区服]],$R$35:$S$38,2,FALSE)-表1_8612182224267286[[#This Row],[开服天数]])*配置!$B$2</f>
        <v>15</v>
      </c>
      <c r="H14" s="212" t="s">
        <v>25</v>
      </c>
      <c r="I14" s="212">
        <f>IF(表1_8612182224267286[[#This Row],[原国家]]="魏",0,IF(表1_8612182224267286[[#This Row],[原国家]]="蜀",1,2))</f>
        <v>0</v>
      </c>
      <c r="J14" s="213">
        <v>9</v>
      </c>
      <c r="K14" s="213">
        <v>311</v>
      </c>
      <c r="L14" s="213">
        <v>10</v>
      </c>
      <c r="M14" s="213">
        <v>22</v>
      </c>
      <c r="N14" s="213">
        <v>193426</v>
      </c>
      <c r="O14" s="213">
        <v>4741327</v>
      </c>
      <c r="P14" s="420">
        <v>40234675</v>
      </c>
      <c r="Q14" s="243" t="s">
        <v>26</v>
      </c>
      <c r="R14" s="212">
        <f>IF(表1_8612182224267286[[#This Row],[目标国家]]="魏",0,IF(表1_8612182224267286[[#This Row],[目标国家]]="蜀",1,2))</f>
        <v>1</v>
      </c>
      <c r="S14" s="213">
        <v>179224</v>
      </c>
      <c r="T14" s="213">
        <v>69094</v>
      </c>
      <c r="U14" s="213">
        <v>1794315</v>
      </c>
      <c r="V14" s="213">
        <v>20706</v>
      </c>
      <c r="W14" s="68">
        <v>1301643</v>
      </c>
      <c r="X14" s="245" t="str">
        <f>"{"&amp;"'coin':"&amp;表1_8612182224267286[[#This Row],[补偿Coin]]&amp;",'"&amp;配置!$A$2&amp;"':"&amp;表1_8612182224267286[[#This Row],[补偿辎重]]&amp;"},"</f>
        <v>{'coin':1500,'item036':15},</v>
      </c>
      <c r="Y14" s="254" t="str">
        <f>"      '"&amp;表1_8612182224267286[[#This Row],[区服]]&amp;"':{"</f>
        <v>      '176':{</v>
      </c>
    </row>
    <row r="15" ht="14.25" customHeight="1" spans="1:25">
      <c r="A15" s="210">
        <v>176</v>
      </c>
      <c r="B15" s="210">
        <f>VLOOKUP(表1_8612182224267286[[#This Row],[区服]],$P$35:$Q$44,2,FALSE)</f>
        <v>54</v>
      </c>
      <c r="C15" s="296" t="s">
        <v>167</v>
      </c>
      <c r="D15" s="212" t="str">
        <f>表1_8612182224267286[[#This Row],[目标国家]]</f>
        <v>魏</v>
      </c>
      <c r="E15" s="213">
        <f>(VLOOKUP(表1_8612182224267286[[#This Row],[目标区服]],$R$35:$S$38,2,FALSE)-表1_8612182224267286[[#This Row],[开服天数]])*配置!$B$1</f>
        <v>1500</v>
      </c>
      <c r="F15" s="213">
        <f>表1_8612182224267286[[#This Row],[补偿Coin]]*(表1_8612182224267286[[#This Row],[活跃高战玩家数]]+表1_8612182224267286[[#This Row],[活跃中坚玩家数]])</f>
        <v>21000</v>
      </c>
      <c r="G15" s="213">
        <f>(VLOOKUP(表1_8612182224267286[[#This Row],[目标区服]],$R$35:$S$38,2,FALSE)-表1_8612182224267286[[#This Row],[开服天数]])*配置!$B$2</f>
        <v>15</v>
      </c>
      <c r="H15" s="212" t="s">
        <v>26</v>
      </c>
      <c r="I15" s="212">
        <f>IF(表1_8612182224267286[[#This Row],[原国家]]="魏",0,IF(表1_8612182224267286[[#This Row],[原国家]]="蜀",1,2))</f>
        <v>1</v>
      </c>
      <c r="J15" s="213">
        <v>0</v>
      </c>
      <c r="K15" s="213">
        <v>43</v>
      </c>
      <c r="L15" s="213">
        <v>0</v>
      </c>
      <c r="M15" s="213">
        <v>14</v>
      </c>
      <c r="N15" s="213">
        <v>50859</v>
      </c>
      <c r="O15" s="213">
        <v>1162248</v>
      </c>
      <c r="P15" s="420">
        <v>7646034</v>
      </c>
      <c r="Q15" s="243" t="s">
        <v>25</v>
      </c>
      <c r="R15" s="212">
        <f>IF(表1_8612182224267286[[#This Row],[目标国家]]="魏",0,IF(表1_8612182224267286[[#This Row],[目标国家]]="蜀",1,2))</f>
        <v>0</v>
      </c>
      <c r="S15" s="213">
        <v>8874</v>
      </c>
      <c r="T15" s="213">
        <v>0</v>
      </c>
      <c r="U15" s="213">
        <v>152958</v>
      </c>
      <c r="V15" s="213">
        <v>2953</v>
      </c>
      <c r="W15" s="68">
        <v>355116</v>
      </c>
      <c r="X15" s="245" t="str">
        <f>"{"&amp;"'coin':"&amp;表1_8612182224267286[[#This Row],[补偿Coin]]&amp;",'"&amp;配置!$A$2&amp;"':"&amp;表1_8612182224267286[[#This Row],[补偿辎重]]&amp;"},"</f>
        <v>{'coin':1500,'item036':15},</v>
      </c>
      <c r="Y15" s="254" t="str">
        <f>"            'to_zone':'"&amp;表1_8612182224267286[[#This Row],[目标区服]]&amp;"',
            'reward':"&amp;表1_8612182224267286[[#This Row],[辅助导出]]&amp;"
            'country':["&amp;R14&amp;","&amp;R15&amp;","&amp;R16&amp;"],"</f>
        <v>            'to_zone':'h1_75',
            'reward':{'coin':1500,'item036':15},
            'country':[1,0,0],</v>
      </c>
    </row>
    <row r="16" ht="14.25" customHeight="1" spans="1:25">
      <c r="A16" s="210">
        <v>176</v>
      </c>
      <c r="B16" s="210">
        <f>VLOOKUP(表1_8612182224267286[[#This Row],[区服]],$P$35:$Q$44,2,FALSE)</f>
        <v>54</v>
      </c>
      <c r="C16" s="296" t="s">
        <v>167</v>
      </c>
      <c r="D16" s="212" t="str">
        <f>表1_8612182224267286[[#This Row],[目标国家]]</f>
        <v>魏</v>
      </c>
      <c r="E16" s="213">
        <f>(VLOOKUP(表1_8612182224267286[[#This Row],[目标区服]],$R$35:$S$38,2,FALSE)-表1_8612182224267286[[#This Row],[开服天数]])*配置!$B$1</f>
        <v>1500</v>
      </c>
      <c r="F16" s="213">
        <f>表1_8612182224267286[[#This Row],[补偿Coin]]*(表1_8612182224267286[[#This Row],[活跃高战玩家数]]+表1_8612182224267286[[#This Row],[活跃中坚玩家数]])</f>
        <v>13500</v>
      </c>
      <c r="G16" s="213">
        <f>(VLOOKUP(表1_8612182224267286[[#This Row],[目标区服]],$R$35:$S$38,2,FALSE)-表1_8612182224267286[[#This Row],[开服天数]])*配置!$B$2</f>
        <v>15</v>
      </c>
      <c r="H16" s="212" t="s">
        <v>27</v>
      </c>
      <c r="I16" s="212">
        <f>IF(表1_8612182224267286[[#This Row],[原国家]]="魏",0,IF(表1_8612182224267286[[#This Row],[原国家]]="蜀",1,2))</f>
        <v>2</v>
      </c>
      <c r="J16" s="213">
        <v>0</v>
      </c>
      <c r="K16" s="213">
        <v>41</v>
      </c>
      <c r="L16" s="213">
        <v>0</v>
      </c>
      <c r="M16" s="213">
        <v>9</v>
      </c>
      <c r="N16" s="213">
        <v>29386</v>
      </c>
      <c r="O16" s="213">
        <v>1265562</v>
      </c>
      <c r="P16" s="420">
        <v>4774771</v>
      </c>
      <c r="Q16" s="243" t="s">
        <v>25</v>
      </c>
      <c r="R16" s="212">
        <f>IF(表1_8612182224267286[[#This Row],[目标国家]]="魏",0,IF(表1_8612182224267286[[#This Row],[目标国家]]="蜀",1,2))</f>
        <v>0</v>
      </c>
      <c r="S16" s="213">
        <v>2148</v>
      </c>
      <c r="T16" s="213">
        <v>7266</v>
      </c>
      <c r="U16" s="213">
        <v>190047</v>
      </c>
      <c r="V16" s="213">
        <v>2532</v>
      </c>
      <c r="W16" s="68">
        <v>442779</v>
      </c>
      <c r="X16" s="245" t="str">
        <f>"{"&amp;"'coin':"&amp;表1_8612182224267286[[#This Row],[补偿Coin]]&amp;",'"&amp;配置!$A$2&amp;"':"&amp;表1_8612182224267286[[#This Row],[补偿辎重]]&amp;"},"</f>
        <v>{'coin':1500,'item036':15},</v>
      </c>
      <c r="Y16" s="254" t="str">
        <f t="shared" ref="Y16" si="2">"      },"</f>
        <v>      },</v>
      </c>
    </row>
    <row r="17" ht="14.25" customHeight="1" spans="1:25">
      <c r="A17" s="17">
        <v>177</v>
      </c>
      <c r="B17" s="17">
        <f>VLOOKUP(表1_8612182224267286[[#This Row],[区服]],$P$35:$Q$44,2,FALSE)</f>
        <v>54</v>
      </c>
      <c r="C17" s="18" t="s">
        <v>168</v>
      </c>
      <c r="D17" s="19" t="str">
        <f>表1_8612182224267286[[#This Row],[目标国家]]</f>
        <v>魏</v>
      </c>
      <c r="E17" s="20">
        <f>(VLOOKUP(表1_8612182224267286[[#This Row],[目标区服]],$R$35:$S$38,2,FALSE)-表1_8612182224267286[[#This Row],[开服天数]])*配置!$B$1</f>
        <v>1000</v>
      </c>
      <c r="F17" s="20">
        <f>表1_8612182224267286[[#This Row],[补偿Coin]]*(表1_8612182224267286[[#This Row],[活跃高战玩家数]]+表1_8612182224267286[[#This Row],[活跃中坚玩家数]])</f>
        <v>17000</v>
      </c>
      <c r="G17" s="20">
        <f>(VLOOKUP(表1_8612182224267286[[#This Row],[目标区服]],$R$35:$S$38,2,FALSE)-表1_8612182224267286[[#This Row],[开服天数]])*配置!$B$2</f>
        <v>10</v>
      </c>
      <c r="H17" s="19" t="s">
        <v>25</v>
      </c>
      <c r="I17" s="19">
        <f>IF(表1_8612182224267286[[#This Row],[原国家]]="魏",0,IF(表1_8612182224267286[[#This Row],[原国家]]="蜀",1,2))</f>
        <v>0</v>
      </c>
      <c r="J17" s="20">
        <v>2</v>
      </c>
      <c r="K17" s="20">
        <v>122</v>
      </c>
      <c r="L17" s="20">
        <v>2</v>
      </c>
      <c r="M17" s="20">
        <v>15</v>
      </c>
      <c r="N17" s="20">
        <v>90167</v>
      </c>
      <c r="O17" s="20">
        <v>2608845</v>
      </c>
      <c r="P17" s="26">
        <v>15493963</v>
      </c>
      <c r="Q17" s="31" t="s">
        <v>25</v>
      </c>
      <c r="R17" s="19">
        <f>IF(表1_8612182224267286[[#This Row],[目标国家]]="魏",0,IF(表1_8612182224267286[[#This Row],[目标国家]]="蜀",1,2))</f>
        <v>0</v>
      </c>
      <c r="S17" s="20">
        <v>37026</v>
      </c>
      <c r="T17" s="20">
        <v>0</v>
      </c>
      <c r="U17" s="20">
        <v>339955</v>
      </c>
      <c r="V17" s="20">
        <v>7309</v>
      </c>
      <c r="W17" s="32">
        <v>873682</v>
      </c>
      <c r="X17" s="33" t="str">
        <f>"{"&amp;"'coin':"&amp;表1_8612182224267286[[#This Row],[补偿Coin]]&amp;",'"&amp;配置!$A$2&amp;"':"&amp;表1_8612182224267286[[#This Row],[补偿辎重]]&amp;"},"</f>
        <v>{'coin':1000,'item036':10},</v>
      </c>
      <c r="Y17" s="34" t="str">
        <f>"      '"&amp;表1_8612182224267286[[#This Row],[区服]]&amp;"':{"</f>
        <v>      '177':{</v>
      </c>
    </row>
    <row r="18" ht="14.25" customHeight="1" spans="1:25">
      <c r="A18" s="17">
        <v>177</v>
      </c>
      <c r="B18" s="17">
        <f>VLOOKUP(表1_8612182224267286[[#This Row],[区服]],$P$35:$Q$44,2,FALSE)</f>
        <v>54</v>
      </c>
      <c r="C18" s="18" t="s">
        <v>168</v>
      </c>
      <c r="D18" s="19" t="str">
        <f>表1_8612182224267286[[#This Row],[目标国家]]</f>
        <v>魏</v>
      </c>
      <c r="E18" s="20">
        <f>(VLOOKUP(表1_8612182224267286[[#This Row],[目标区服]],$R$35:$S$38,2,FALSE)-表1_8612182224267286[[#This Row],[开服天数]])*配置!$B$1</f>
        <v>1000</v>
      </c>
      <c r="F18" s="20">
        <f>表1_8612182224267286[[#This Row],[补偿Coin]]*(表1_8612182224267286[[#This Row],[活跃高战玩家数]]+表1_8612182224267286[[#This Row],[活跃中坚玩家数]])</f>
        <v>9000</v>
      </c>
      <c r="G18" s="20">
        <f>(VLOOKUP(表1_8612182224267286[[#This Row],[目标区服]],$R$35:$S$38,2,FALSE)-表1_8612182224267286[[#This Row],[开服天数]])*配置!$B$2</f>
        <v>10</v>
      </c>
      <c r="H18" s="19" t="s">
        <v>26</v>
      </c>
      <c r="I18" s="19">
        <f>IF(表1_8612182224267286[[#This Row],[原国家]]="魏",0,IF(表1_8612182224267286[[#This Row],[原国家]]="蜀",1,2))</f>
        <v>1</v>
      </c>
      <c r="J18" s="20">
        <v>1</v>
      </c>
      <c r="K18" s="20">
        <v>65</v>
      </c>
      <c r="L18" s="20">
        <v>0</v>
      </c>
      <c r="M18" s="20">
        <v>9</v>
      </c>
      <c r="N18" s="20">
        <v>36189</v>
      </c>
      <c r="O18" s="20">
        <v>1143614</v>
      </c>
      <c r="P18" s="26">
        <v>5755205</v>
      </c>
      <c r="Q18" s="31" t="s">
        <v>25</v>
      </c>
      <c r="R18" s="19">
        <f>IF(表1_8612182224267286[[#This Row],[目标国家]]="魏",0,IF(表1_8612182224267286[[#This Row],[目标国家]]="蜀",1,2))</f>
        <v>0</v>
      </c>
      <c r="S18" s="20">
        <v>1168</v>
      </c>
      <c r="T18" s="20">
        <v>0</v>
      </c>
      <c r="U18" s="20">
        <v>78165</v>
      </c>
      <c r="V18" s="20">
        <v>2724</v>
      </c>
      <c r="W18" s="32">
        <v>456145</v>
      </c>
      <c r="X18" s="33" t="str">
        <f>"{"&amp;"'coin':"&amp;表1_8612182224267286[[#This Row],[补偿Coin]]&amp;",'"&amp;配置!$A$2&amp;"':"&amp;表1_8612182224267286[[#This Row],[补偿辎重]]&amp;"},"</f>
        <v>{'coin':1000,'item036':10},</v>
      </c>
      <c r="Y18" s="34" t="str">
        <f>"            'to_zone':'"&amp;表1_8612182224267286[[#This Row],[目标区服]]&amp;"',
            'reward':"&amp;表1_8612182224267286[[#This Row],[辅助导出]]&amp;"
            'country':["&amp;R17&amp;","&amp;R18&amp;","&amp;R19&amp;"],"</f>
        <v>            'to_zone':'h1_76',
            'reward':{'coin':1000,'item036':10},
            'country':[0,0,2],</v>
      </c>
    </row>
    <row r="19" ht="14.25" customHeight="1" spans="1:25">
      <c r="A19" s="17">
        <v>177</v>
      </c>
      <c r="B19" s="17">
        <f>VLOOKUP(表1_8612182224267286[[#This Row],[区服]],$P$35:$Q$44,2,FALSE)</f>
        <v>54</v>
      </c>
      <c r="C19" s="18" t="s">
        <v>168</v>
      </c>
      <c r="D19" s="19" t="str">
        <f>表1_8612182224267286[[#This Row],[目标国家]]</f>
        <v>吴</v>
      </c>
      <c r="E19" s="20">
        <f>(VLOOKUP(表1_8612182224267286[[#This Row],[目标区服]],$R$35:$S$38,2,FALSE)-表1_8612182224267286[[#This Row],[开服天数]])*配置!$B$1</f>
        <v>1000</v>
      </c>
      <c r="F19" s="20">
        <f>表1_8612182224267286[[#This Row],[补偿Coin]]*(表1_8612182224267286[[#This Row],[活跃高战玩家数]]+表1_8612182224267286[[#This Row],[活跃中坚玩家数]])</f>
        <v>21000</v>
      </c>
      <c r="G19" s="20">
        <f>(VLOOKUP(表1_8612182224267286[[#This Row],[目标区服]],$R$35:$S$38,2,FALSE)-表1_8612182224267286[[#This Row],[开服天数]])*配置!$B$2</f>
        <v>10</v>
      </c>
      <c r="H19" s="19" t="s">
        <v>27</v>
      </c>
      <c r="I19" s="19">
        <f>IF(表1_8612182224267286[[#This Row],[原国家]]="魏",0,IF(表1_8612182224267286[[#This Row],[原国家]]="蜀",1,2))</f>
        <v>2</v>
      </c>
      <c r="J19" s="20">
        <v>6</v>
      </c>
      <c r="K19" s="20">
        <v>208</v>
      </c>
      <c r="L19" s="20">
        <v>8</v>
      </c>
      <c r="M19" s="20">
        <v>13</v>
      </c>
      <c r="N19" s="20">
        <v>137287</v>
      </c>
      <c r="O19" s="20">
        <v>3035306</v>
      </c>
      <c r="P19" s="26">
        <v>23680479</v>
      </c>
      <c r="Q19" s="31" t="s">
        <v>27</v>
      </c>
      <c r="R19" s="19">
        <f>IF(表1_8612182224267286[[#This Row],[目标国家]]="魏",0,IF(表1_8612182224267286[[#This Row],[目标国家]]="蜀",1,2))</f>
        <v>2</v>
      </c>
      <c r="S19" s="20">
        <v>83104</v>
      </c>
      <c r="T19" s="20">
        <v>0</v>
      </c>
      <c r="U19" s="20">
        <v>374744</v>
      </c>
      <c r="V19" s="20">
        <v>11450</v>
      </c>
      <c r="W19" s="32">
        <v>861003</v>
      </c>
      <c r="X19" s="33" t="str">
        <f>"{"&amp;"'coin':"&amp;表1_8612182224267286[[#This Row],[补偿Coin]]&amp;",'"&amp;配置!$A$2&amp;"':"&amp;表1_8612182224267286[[#This Row],[补偿辎重]]&amp;"},"</f>
        <v>{'coin':1000,'item036':10},</v>
      </c>
      <c r="Y19" s="34" t="str">
        <f t="shared" ref="Y19" si="3">"      },"</f>
        <v>      },</v>
      </c>
    </row>
    <row r="20" ht="14.25" customHeight="1" spans="1:25">
      <c r="A20" s="17">
        <v>178</v>
      </c>
      <c r="B20" s="17">
        <f>VLOOKUP(表1_8612182224267286[[#This Row],[区服]],$P$35:$Q$44,2,FALSE)</f>
        <v>53</v>
      </c>
      <c r="C20" s="18" t="s">
        <v>168</v>
      </c>
      <c r="D20" s="19" t="str">
        <f>表1_8612182224267286[[#This Row],[目标国家]]</f>
        <v>吴</v>
      </c>
      <c r="E20" s="20">
        <f>(VLOOKUP(表1_8612182224267286[[#This Row],[目标区服]],$R$35:$S$38,2,FALSE)-表1_8612182224267286[[#This Row],[开服天数]])*配置!$B$1</f>
        <v>1500</v>
      </c>
      <c r="F20" s="20">
        <f>表1_8612182224267286[[#This Row],[补偿Coin]]*(表1_8612182224267286[[#This Row],[活跃高战玩家数]]+表1_8612182224267286[[#This Row],[活跃中坚玩家数]])</f>
        <v>19500</v>
      </c>
      <c r="G20" s="20">
        <f>(VLOOKUP(表1_8612182224267286[[#This Row],[目标区服]],$R$35:$S$38,2,FALSE)-表1_8612182224267286[[#This Row],[开服天数]])*配置!$B$2</f>
        <v>15</v>
      </c>
      <c r="H20" s="19" t="s">
        <v>25</v>
      </c>
      <c r="I20" s="19">
        <f>IF(表1_8612182224267286[[#This Row],[原国家]]="魏",0,IF(表1_8612182224267286[[#This Row],[原国家]]="蜀",1,2))</f>
        <v>0</v>
      </c>
      <c r="J20" s="20">
        <v>2</v>
      </c>
      <c r="K20" s="20">
        <v>87</v>
      </c>
      <c r="L20" s="20">
        <v>1</v>
      </c>
      <c r="M20" s="20">
        <v>12</v>
      </c>
      <c r="N20" s="20">
        <v>70865</v>
      </c>
      <c r="O20" s="20">
        <v>1986586</v>
      </c>
      <c r="P20" s="26">
        <v>11765976</v>
      </c>
      <c r="Q20" s="31" t="s">
        <v>27</v>
      </c>
      <c r="R20" s="19">
        <f>IF(表1_8612182224267286[[#This Row],[目标国家]]="魏",0,IF(表1_8612182224267286[[#This Row],[目标国家]]="蜀",1,2))</f>
        <v>2</v>
      </c>
      <c r="S20" s="20">
        <v>3806</v>
      </c>
      <c r="T20" s="20">
        <v>0</v>
      </c>
      <c r="U20" s="20">
        <v>172124</v>
      </c>
      <c r="V20" s="20">
        <v>4787</v>
      </c>
      <c r="W20" s="32">
        <v>514729</v>
      </c>
      <c r="X20" s="33" t="str">
        <f>"{"&amp;"'coin':"&amp;表1_8612182224267286[[#This Row],[补偿Coin]]&amp;",'"&amp;配置!$A$2&amp;"':"&amp;表1_8612182224267286[[#This Row],[补偿辎重]]&amp;"},"</f>
        <v>{'coin':1500,'item036':15},</v>
      </c>
      <c r="Y20" s="34" t="str">
        <f>"      '"&amp;表1_8612182224267286[[#This Row],[区服]]&amp;"':{"</f>
        <v>      '178':{</v>
      </c>
    </row>
    <row r="21" ht="14.25" customHeight="1" spans="1:25">
      <c r="A21" s="17">
        <v>178</v>
      </c>
      <c r="B21" s="17">
        <f>VLOOKUP(表1_8612182224267286[[#This Row],[区服]],$P$35:$Q$44,2,FALSE)</f>
        <v>53</v>
      </c>
      <c r="C21" s="18" t="s">
        <v>168</v>
      </c>
      <c r="D21" s="19" t="str">
        <f>表1_8612182224267286[[#This Row],[目标国家]]</f>
        <v>蜀</v>
      </c>
      <c r="E21" s="20">
        <f>(VLOOKUP(表1_8612182224267286[[#This Row],[目标区服]],$R$35:$S$38,2,FALSE)-表1_8612182224267286[[#This Row],[开服天数]])*配置!$B$1</f>
        <v>1500</v>
      </c>
      <c r="F21" s="20">
        <f>表1_8612182224267286[[#This Row],[补偿Coin]]*(表1_8612182224267286[[#This Row],[活跃高战玩家数]]+表1_8612182224267286[[#This Row],[活跃中坚玩家数]])</f>
        <v>25500</v>
      </c>
      <c r="G21" s="20">
        <f>(VLOOKUP(表1_8612182224267286[[#This Row],[目标区服]],$R$35:$S$38,2,FALSE)-表1_8612182224267286[[#This Row],[开服天数]])*配置!$B$2</f>
        <v>15</v>
      </c>
      <c r="H21" s="19" t="s">
        <v>26</v>
      </c>
      <c r="I21" s="19">
        <f>IF(表1_8612182224267286[[#This Row],[原国家]]="魏",0,IF(表1_8612182224267286[[#This Row],[原国家]]="蜀",1,2))</f>
        <v>1</v>
      </c>
      <c r="J21" s="20">
        <v>4</v>
      </c>
      <c r="K21" s="20">
        <v>173</v>
      </c>
      <c r="L21" s="20">
        <v>4</v>
      </c>
      <c r="M21" s="20">
        <v>13</v>
      </c>
      <c r="N21" s="20">
        <v>90338</v>
      </c>
      <c r="O21" s="20">
        <v>2937477</v>
      </c>
      <c r="P21" s="26">
        <v>16873042</v>
      </c>
      <c r="Q21" s="31" t="s">
        <v>26</v>
      </c>
      <c r="R21" s="19">
        <f>IF(表1_8612182224267286[[#This Row],[目标国家]]="魏",0,IF(表1_8612182224267286[[#This Row],[目标国家]]="蜀",1,2))</f>
        <v>1</v>
      </c>
      <c r="S21" s="20">
        <v>49742</v>
      </c>
      <c r="T21" s="20">
        <v>0</v>
      </c>
      <c r="U21" s="20">
        <v>533389</v>
      </c>
      <c r="V21" s="20">
        <v>8965</v>
      </c>
      <c r="W21" s="32">
        <v>899685</v>
      </c>
      <c r="X21" s="33" t="str">
        <f>"{"&amp;"'coin':"&amp;表1_8612182224267286[[#This Row],[补偿Coin]]&amp;",'"&amp;配置!$A$2&amp;"':"&amp;表1_8612182224267286[[#This Row],[补偿辎重]]&amp;"},"</f>
        <v>{'coin':1500,'item036':15},</v>
      </c>
      <c r="Y21" s="34" t="str">
        <f>"            'to_zone':'"&amp;表1_8612182224267286[[#This Row],[目标区服]]&amp;"',
            'reward':"&amp;表1_8612182224267286[[#This Row],[辅助导出]]&amp;"
            'country':["&amp;R20&amp;","&amp;R21&amp;","&amp;R22&amp;"],"</f>
        <v>            'to_zone':'h1_76',
            'reward':{'coin':1500,'item036':15},
            'country':[2,1,0],</v>
      </c>
    </row>
    <row r="22" ht="14.25" customHeight="1" spans="1:25">
      <c r="A22" s="17">
        <v>178</v>
      </c>
      <c r="B22" s="17">
        <f>VLOOKUP(表1_8612182224267286[[#This Row],[区服]],$P$35:$Q$44,2,FALSE)</f>
        <v>53</v>
      </c>
      <c r="C22" s="18" t="s">
        <v>168</v>
      </c>
      <c r="D22" s="19" t="str">
        <f>表1_8612182224267286[[#This Row],[目标国家]]</f>
        <v>魏</v>
      </c>
      <c r="E22" s="20">
        <f>(VLOOKUP(表1_8612182224267286[[#This Row],[目标区服]],$R$35:$S$38,2,FALSE)-表1_8612182224267286[[#This Row],[开服天数]])*配置!$B$1</f>
        <v>1500</v>
      </c>
      <c r="F22" s="20">
        <f>表1_8612182224267286[[#This Row],[补偿Coin]]*(表1_8612182224267286[[#This Row],[活跃高战玩家数]]+表1_8612182224267286[[#This Row],[活跃中坚玩家数]])</f>
        <v>37500</v>
      </c>
      <c r="G22" s="20">
        <f>(VLOOKUP(表1_8612182224267286[[#This Row],[目标区服]],$R$35:$S$38,2,FALSE)-表1_8612182224267286[[#This Row],[开服天数]])*配置!$B$2</f>
        <v>15</v>
      </c>
      <c r="H22" s="19" t="s">
        <v>27</v>
      </c>
      <c r="I22" s="19">
        <f>IF(表1_8612182224267286[[#This Row],[原国家]]="魏",0,IF(表1_8612182224267286[[#This Row],[原国家]]="蜀",1,2))</f>
        <v>2</v>
      </c>
      <c r="J22" s="20">
        <v>3</v>
      </c>
      <c r="K22" s="20">
        <v>135</v>
      </c>
      <c r="L22" s="20">
        <v>5</v>
      </c>
      <c r="M22" s="20">
        <v>20</v>
      </c>
      <c r="N22" s="20">
        <v>114851</v>
      </c>
      <c r="O22" s="20">
        <v>2515197</v>
      </c>
      <c r="P22" s="26">
        <v>20797090</v>
      </c>
      <c r="Q22" s="31" t="s">
        <v>25</v>
      </c>
      <c r="R22" s="19">
        <f>IF(表1_8612182224267286[[#This Row],[目标国家]]="魏",0,IF(表1_8612182224267286[[#This Row],[目标国家]]="蜀",1,2))</f>
        <v>0</v>
      </c>
      <c r="S22" s="20">
        <v>35430</v>
      </c>
      <c r="T22" s="20">
        <v>0</v>
      </c>
      <c r="U22" s="20">
        <v>452701</v>
      </c>
      <c r="V22" s="20">
        <v>8108</v>
      </c>
      <c r="W22" s="32">
        <v>745382</v>
      </c>
      <c r="X22" s="33" t="str">
        <f>"{"&amp;"'coin':"&amp;表1_8612182224267286[[#This Row],[补偿Coin]]&amp;",'"&amp;配置!$A$2&amp;"':"&amp;表1_8612182224267286[[#This Row],[补偿辎重]]&amp;"},"</f>
        <v>{'coin':1500,'item036':15},</v>
      </c>
      <c r="Y22" s="34" t="str">
        <f t="shared" ref="Y22" si="4">"      },"</f>
        <v>      },</v>
      </c>
    </row>
    <row r="23" ht="14.25" customHeight="1" spans="1:25">
      <c r="A23" s="17">
        <v>179</v>
      </c>
      <c r="B23" s="17">
        <f>VLOOKUP(表1_8612182224267286[[#This Row],[区服]],$P$35:$Q$44,2,FALSE)</f>
        <v>53</v>
      </c>
      <c r="C23" s="18" t="s">
        <v>168</v>
      </c>
      <c r="D23" s="19" t="str">
        <f>表1_8612182224267286[[#This Row],[目标国家]]</f>
        <v>蜀</v>
      </c>
      <c r="E23" s="20">
        <f>(VLOOKUP(表1_8612182224267286[[#This Row],[目标区服]],$R$35:$S$38,2,FALSE)-表1_8612182224267286[[#This Row],[开服天数]])*配置!$B$1</f>
        <v>1500</v>
      </c>
      <c r="F23" s="20">
        <f>表1_8612182224267286[[#This Row],[补偿Coin]]*(表1_8612182224267286[[#This Row],[活跃高战玩家数]]+表1_8612182224267286[[#This Row],[活跃中坚玩家数]])</f>
        <v>30000</v>
      </c>
      <c r="G23" s="20">
        <f>(VLOOKUP(表1_8612182224267286[[#This Row],[目标区服]],$R$35:$S$38,2,FALSE)-表1_8612182224267286[[#This Row],[开服天数]])*配置!$B$2</f>
        <v>15</v>
      </c>
      <c r="H23" s="19" t="s">
        <v>25</v>
      </c>
      <c r="I23" s="19">
        <f>IF(表1_8612182224267286[[#This Row],[原国家]]="魏",0,IF(表1_8612182224267286[[#This Row],[原国家]]="蜀",1,2))</f>
        <v>0</v>
      </c>
      <c r="J23" s="20">
        <v>3</v>
      </c>
      <c r="K23" s="20">
        <v>132</v>
      </c>
      <c r="L23" s="20">
        <v>3</v>
      </c>
      <c r="M23" s="20">
        <v>17</v>
      </c>
      <c r="N23" s="20">
        <v>115966</v>
      </c>
      <c r="O23" s="20">
        <v>2732034</v>
      </c>
      <c r="P23" s="26">
        <v>18043527</v>
      </c>
      <c r="Q23" s="31" t="s">
        <v>26</v>
      </c>
      <c r="R23" s="19">
        <f>IF(表1_8612182224267286[[#This Row],[目标国家]]="魏",0,IF(表1_8612182224267286[[#This Row],[目标国家]]="蜀",1,2))</f>
        <v>1</v>
      </c>
      <c r="S23" s="20">
        <v>27938</v>
      </c>
      <c r="T23" s="20">
        <v>0</v>
      </c>
      <c r="U23" s="20">
        <v>352098</v>
      </c>
      <c r="V23" s="20">
        <v>7750</v>
      </c>
      <c r="W23" s="32">
        <v>851011</v>
      </c>
      <c r="X23" s="33" t="str">
        <f>"{"&amp;"'coin':"&amp;表1_8612182224267286[[#This Row],[补偿Coin]]&amp;",'"&amp;配置!$A$2&amp;"':"&amp;表1_8612182224267286[[#This Row],[补偿辎重]]&amp;"},"</f>
        <v>{'coin':1500,'item036':15},</v>
      </c>
      <c r="Y23" s="34" t="str">
        <f>"      '"&amp;表1_8612182224267286[[#This Row],[区服]]&amp;"':{"</f>
        <v>      '179':{</v>
      </c>
    </row>
    <row r="24" ht="14.25" customHeight="1" spans="1:25">
      <c r="A24" s="17">
        <v>179</v>
      </c>
      <c r="B24" s="17">
        <f>VLOOKUP(表1_8612182224267286[[#This Row],[区服]],$P$35:$Q$44,2,FALSE)</f>
        <v>53</v>
      </c>
      <c r="C24" s="18" t="s">
        <v>168</v>
      </c>
      <c r="D24" s="19" t="str">
        <f>表1_8612182224267286[[#This Row],[目标国家]]</f>
        <v>蜀</v>
      </c>
      <c r="E24" s="20">
        <f>(VLOOKUP(表1_8612182224267286[[#This Row],[目标区服]],$R$35:$S$38,2,FALSE)-表1_8612182224267286[[#This Row],[开服天数]])*配置!$B$1</f>
        <v>1500</v>
      </c>
      <c r="F24" s="20">
        <f>表1_8612182224267286[[#This Row],[补偿Coin]]*(表1_8612182224267286[[#This Row],[活跃高战玩家数]]+表1_8612182224267286[[#This Row],[活跃中坚玩家数]])</f>
        <v>21000</v>
      </c>
      <c r="G24" s="20">
        <f>(VLOOKUP(表1_8612182224267286[[#This Row],[目标区服]],$R$35:$S$38,2,FALSE)-表1_8612182224267286[[#This Row],[开服天数]])*配置!$B$2</f>
        <v>15</v>
      </c>
      <c r="H24" s="19" t="s">
        <v>26</v>
      </c>
      <c r="I24" s="19">
        <f>IF(表1_8612182224267286[[#This Row],[原国家]]="魏",0,IF(表1_8612182224267286[[#This Row],[原国家]]="蜀",1,2))</f>
        <v>1</v>
      </c>
      <c r="J24" s="20">
        <v>4</v>
      </c>
      <c r="K24" s="20">
        <v>180</v>
      </c>
      <c r="L24" s="20">
        <v>6</v>
      </c>
      <c r="M24" s="20">
        <v>8</v>
      </c>
      <c r="N24" s="20">
        <v>92444</v>
      </c>
      <c r="O24" s="20">
        <v>3079148</v>
      </c>
      <c r="P24" s="26">
        <v>15909346</v>
      </c>
      <c r="Q24" s="31" t="s">
        <v>26</v>
      </c>
      <c r="R24" s="19">
        <f>IF(表1_8612182224267286[[#This Row],[目标国家]]="魏",0,IF(表1_8612182224267286[[#This Row],[目标国家]]="蜀",1,2))</f>
        <v>1</v>
      </c>
      <c r="S24" s="20">
        <v>36914</v>
      </c>
      <c r="T24" s="20">
        <v>0</v>
      </c>
      <c r="U24" s="20">
        <v>485171</v>
      </c>
      <c r="V24" s="20">
        <v>8682</v>
      </c>
      <c r="W24" s="32">
        <v>856990</v>
      </c>
      <c r="X24" s="33" t="str">
        <f>"{"&amp;"'coin':"&amp;表1_8612182224267286[[#This Row],[补偿Coin]]&amp;",'"&amp;配置!$A$2&amp;"':"&amp;表1_8612182224267286[[#This Row],[补偿辎重]]&amp;"},"</f>
        <v>{'coin':1500,'item036':15},</v>
      </c>
      <c r="Y24" s="34" t="str">
        <f>"            'to_zone':'"&amp;表1_8612182224267286[[#This Row],[目标区服]]&amp;"',
            'reward':"&amp;表1_8612182224267286[[#This Row],[辅助导出]]&amp;"
            'country':["&amp;R23&amp;","&amp;R24&amp;","&amp;R25&amp;"],"</f>
        <v>            'to_zone':'h1_76',
            'reward':{'coin':1500,'item036':15},
            'country':[1,1,2],</v>
      </c>
    </row>
    <row r="25" ht="14.25" customHeight="1" spans="1:25">
      <c r="A25" s="17">
        <v>179</v>
      </c>
      <c r="B25" s="17">
        <f>VLOOKUP(表1_8612182224267286[[#This Row],[区服]],$P$35:$Q$44,2,FALSE)</f>
        <v>53</v>
      </c>
      <c r="C25" s="18" t="s">
        <v>168</v>
      </c>
      <c r="D25" s="19" t="str">
        <f>表1_8612182224267286[[#This Row],[目标国家]]</f>
        <v>吴</v>
      </c>
      <c r="E25" s="20">
        <f>(VLOOKUP(表1_8612182224267286[[#This Row],[目标区服]],$R$35:$S$38,2,FALSE)-表1_8612182224267286[[#This Row],[开服天数]])*配置!$B$1</f>
        <v>1500</v>
      </c>
      <c r="F25" s="20">
        <f>表1_8612182224267286[[#This Row],[补偿Coin]]*(表1_8612182224267286[[#This Row],[活跃高战玩家数]]+表1_8612182224267286[[#This Row],[活跃中坚玩家数]])</f>
        <v>12000</v>
      </c>
      <c r="G25" s="20">
        <f>(VLOOKUP(表1_8612182224267286[[#This Row],[目标区服]],$R$35:$S$38,2,FALSE)-表1_8612182224267286[[#This Row],[开服天数]])*配置!$B$2</f>
        <v>15</v>
      </c>
      <c r="H25" s="19" t="s">
        <v>27</v>
      </c>
      <c r="I25" s="19">
        <f>IF(表1_8612182224267286[[#This Row],[原国家]]="魏",0,IF(表1_8612182224267286[[#This Row],[原国家]]="蜀",1,2))</f>
        <v>2</v>
      </c>
      <c r="J25" s="20">
        <v>2</v>
      </c>
      <c r="K25" s="20">
        <v>83</v>
      </c>
      <c r="L25" s="20">
        <v>0</v>
      </c>
      <c r="M25" s="20">
        <v>8</v>
      </c>
      <c r="N25" s="20">
        <v>35291</v>
      </c>
      <c r="O25" s="20">
        <v>1197767</v>
      </c>
      <c r="P25" s="26">
        <v>5087910</v>
      </c>
      <c r="Q25" s="31" t="s">
        <v>27</v>
      </c>
      <c r="R25" s="19">
        <f>IF(表1_8612182224267286[[#This Row],[目标国家]]="魏",0,IF(表1_8612182224267286[[#This Row],[目标国家]]="蜀",1,2))</f>
        <v>2</v>
      </c>
      <c r="S25" s="20">
        <v>1398</v>
      </c>
      <c r="T25" s="20">
        <v>0</v>
      </c>
      <c r="U25" s="20">
        <v>88425</v>
      </c>
      <c r="V25" s="20">
        <v>2999</v>
      </c>
      <c r="W25" s="32">
        <v>347397</v>
      </c>
      <c r="X25" s="33" t="str">
        <f>"{"&amp;"'coin':"&amp;表1_8612182224267286[[#This Row],[补偿Coin]]&amp;",'"&amp;配置!$A$2&amp;"':"&amp;表1_8612182224267286[[#This Row],[补偿辎重]]&amp;"},"</f>
        <v>{'coin':1500,'item036':15},</v>
      </c>
      <c r="Y25" s="34" t="str">
        <f t="shared" ref="Y25" si="5">"      },"</f>
        <v>      },</v>
      </c>
    </row>
    <row r="26" ht="14.25" customHeight="1" spans="1:25">
      <c r="A26" s="514">
        <v>180</v>
      </c>
      <c r="B26" s="515">
        <f>VLOOKUP(表1_8612182224267286[[#This Row],[区服]],$P$35:$Q$44,2,FALSE)</f>
        <v>52</v>
      </c>
      <c r="C26" s="516" t="s">
        <v>169</v>
      </c>
      <c r="D26" s="517" t="str">
        <f>表1_8612182224267286[[#This Row],[目标国家]]</f>
        <v>吴</v>
      </c>
      <c r="E26" s="518">
        <f>(VLOOKUP(表1_8612182224267286[[#This Row],[目标区服]],$R$35:$S$38,2,FALSE)-表1_8612182224267286[[#This Row],[开服天数]])*配置!$B$1</f>
        <v>1500</v>
      </c>
      <c r="F26" s="519">
        <f>表1_8612182224267286[[#This Row],[补偿Coin]]*(表1_8612182224267286[[#This Row],[活跃高战玩家数]]+表1_8612182224267286[[#This Row],[活跃中坚玩家数]])</f>
        <v>48000</v>
      </c>
      <c r="G26" s="520">
        <f>(VLOOKUP(表1_8612182224267286[[#This Row],[目标区服]],$R$35:$S$38,2,FALSE)-表1_8612182224267286[[#This Row],[开服天数]])*配置!$B$2</f>
        <v>15</v>
      </c>
      <c r="H26" s="517" t="s">
        <v>25</v>
      </c>
      <c r="I26" s="527">
        <f>IF(表1_8612182224267286[[#This Row],[原国家]]="魏",0,IF(表1_8612182224267286[[#This Row],[原国家]]="蜀",1,2))</f>
        <v>0</v>
      </c>
      <c r="J26" s="519">
        <v>5</v>
      </c>
      <c r="K26" s="519">
        <v>141</v>
      </c>
      <c r="L26" s="519">
        <v>4</v>
      </c>
      <c r="M26" s="519">
        <v>28</v>
      </c>
      <c r="N26" s="519">
        <v>137431</v>
      </c>
      <c r="O26" s="528">
        <v>4670479</v>
      </c>
      <c r="P26" s="529">
        <v>38812568</v>
      </c>
      <c r="Q26" s="532" t="s">
        <v>27</v>
      </c>
      <c r="R26" s="517">
        <f>IF(表1_8612182224267286[[#This Row],[目标国家]]="魏",0,IF(表1_8612182224267286[[#This Row],[目标国家]]="蜀",1,2))</f>
        <v>2</v>
      </c>
      <c r="S26" s="519">
        <v>177010</v>
      </c>
      <c r="T26" s="519">
        <v>0</v>
      </c>
      <c r="U26" s="519">
        <v>469172</v>
      </c>
      <c r="V26" s="519">
        <v>16693</v>
      </c>
      <c r="W26" s="533">
        <v>1250584</v>
      </c>
      <c r="X26" s="534" t="str">
        <f>"{"&amp;"'coin':"&amp;表1_8612182224267286[[#This Row],[补偿Coin]]&amp;",'"&amp;配置!$A$2&amp;"':"&amp;表1_8612182224267286[[#This Row],[补偿辎重]]&amp;"},"</f>
        <v>{'coin':1500,'item036':15},</v>
      </c>
      <c r="Y26" s="536" t="str">
        <f>"      '"&amp;表1_8612182224267286[[#This Row],[区服]]&amp;"':{"</f>
        <v>      '180':{</v>
      </c>
    </row>
    <row r="27" ht="14.25" customHeight="1" spans="1:25">
      <c r="A27" s="514">
        <v>180</v>
      </c>
      <c r="B27" s="515">
        <f>VLOOKUP(表1_8612182224267286[[#This Row],[区服]],$P$35:$Q$44,2,FALSE)</f>
        <v>52</v>
      </c>
      <c r="C27" s="516" t="s">
        <v>169</v>
      </c>
      <c r="D27" s="517" t="str">
        <f>表1_8612182224267286[[#This Row],[目标国家]]</f>
        <v>蜀</v>
      </c>
      <c r="E27" s="518">
        <f>(VLOOKUP(表1_8612182224267286[[#This Row],[目标区服]],$R$35:$S$38,2,FALSE)-表1_8612182224267286[[#This Row],[开服天数]])*配置!$B$1</f>
        <v>1500</v>
      </c>
      <c r="F27" s="519">
        <f>表1_8612182224267286[[#This Row],[补偿Coin]]*(表1_8612182224267286[[#This Row],[活跃高战玩家数]]+表1_8612182224267286[[#This Row],[活跃中坚玩家数]])</f>
        <v>21000</v>
      </c>
      <c r="G27" s="520">
        <f>(VLOOKUP(表1_8612182224267286[[#This Row],[目标区服]],$R$35:$S$38,2,FALSE)-表1_8612182224267286[[#This Row],[开服天数]])*配置!$B$2</f>
        <v>15</v>
      </c>
      <c r="H27" s="517" t="s">
        <v>26</v>
      </c>
      <c r="I27" s="527">
        <f>IF(表1_8612182224267286[[#This Row],[原国家]]="魏",0,IF(表1_8612182224267286[[#This Row],[原国家]]="蜀",1,2))</f>
        <v>1</v>
      </c>
      <c r="J27" s="519">
        <v>0</v>
      </c>
      <c r="K27" s="519">
        <v>79</v>
      </c>
      <c r="L27" s="519">
        <v>0</v>
      </c>
      <c r="M27" s="519">
        <v>14</v>
      </c>
      <c r="N27" s="519">
        <v>30752</v>
      </c>
      <c r="O27" s="528">
        <v>1402331</v>
      </c>
      <c r="P27" s="529">
        <v>10311465</v>
      </c>
      <c r="Q27" s="532" t="s">
        <v>26</v>
      </c>
      <c r="R27" s="517">
        <f>IF(表1_8612182224267286[[#This Row],[目标国家]]="魏",0,IF(表1_8612182224267286[[#This Row],[目标国家]]="蜀",1,2))</f>
        <v>1</v>
      </c>
      <c r="S27" s="519">
        <v>14262</v>
      </c>
      <c r="T27" s="519">
        <v>0</v>
      </c>
      <c r="U27" s="519">
        <v>180833</v>
      </c>
      <c r="V27" s="519">
        <v>3895</v>
      </c>
      <c r="W27" s="533">
        <v>361824</v>
      </c>
      <c r="X27" s="534" t="str">
        <f>"{"&amp;"'coin':"&amp;表1_8612182224267286[[#This Row],[补偿Coin]]&amp;",'"&amp;配置!$A$2&amp;"':"&amp;表1_8612182224267286[[#This Row],[补偿辎重]]&amp;"},"</f>
        <v>{'coin':1500,'item036':15},</v>
      </c>
      <c r="Y27" s="536" t="str">
        <f>"            'to_zone':'"&amp;表1_8612182224267286[[#This Row],[目标区服]]&amp;"',
            'reward':"&amp;表1_8612182224267286[[#This Row],[辅助导出]]&amp;"
            'country':["&amp;R26&amp;","&amp;R27&amp;","&amp;R28&amp;"],"</f>
        <v>            'to_zone':'h1_77',
            'reward':{'coin':1500,'item036':15},
            'country':[2,1,0],</v>
      </c>
    </row>
    <row r="28" ht="14.25" customHeight="1" spans="1:25">
      <c r="A28" s="514">
        <v>180</v>
      </c>
      <c r="B28" s="515">
        <f>VLOOKUP(表1_8612182224267286[[#This Row],[区服]],$P$35:$Q$44,2,FALSE)</f>
        <v>52</v>
      </c>
      <c r="C28" s="516" t="s">
        <v>169</v>
      </c>
      <c r="D28" s="517" t="str">
        <f>表1_8612182224267286[[#This Row],[目标国家]]</f>
        <v>魏</v>
      </c>
      <c r="E28" s="518">
        <f>(VLOOKUP(表1_8612182224267286[[#This Row],[目标区服]],$R$35:$S$38,2,FALSE)-表1_8612182224267286[[#This Row],[开服天数]])*配置!$B$1</f>
        <v>1500</v>
      </c>
      <c r="F28" s="519">
        <f>表1_8612182224267286[[#This Row],[补偿Coin]]*(表1_8612182224267286[[#This Row],[活跃高战玩家数]]+表1_8612182224267286[[#This Row],[活跃中坚玩家数]])</f>
        <v>40500</v>
      </c>
      <c r="G28" s="520">
        <f>(VLOOKUP(表1_8612182224267286[[#This Row],[目标区服]],$R$35:$S$38,2,FALSE)-表1_8612182224267286[[#This Row],[开服天数]])*配置!$B$2</f>
        <v>15</v>
      </c>
      <c r="H28" s="517" t="s">
        <v>27</v>
      </c>
      <c r="I28" s="527">
        <f>IF(表1_8612182224267286[[#This Row],[原国家]]="魏",0,IF(表1_8612182224267286[[#This Row],[原国家]]="蜀",1,2))</f>
        <v>2</v>
      </c>
      <c r="J28" s="519">
        <v>4</v>
      </c>
      <c r="K28" s="519">
        <v>175</v>
      </c>
      <c r="L28" s="519">
        <v>5</v>
      </c>
      <c r="M28" s="519">
        <v>22</v>
      </c>
      <c r="N28" s="519">
        <v>137750</v>
      </c>
      <c r="O28" s="528">
        <v>4024649</v>
      </c>
      <c r="P28" s="529">
        <v>35950327</v>
      </c>
      <c r="Q28" s="532" t="s">
        <v>25</v>
      </c>
      <c r="R28" s="517">
        <f>IF(表1_8612182224267286[[#This Row],[目标国家]]="魏",0,IF(表1_8612182224267286[[#This Row],[目标国家]]="蜀",1,2))</f>
        <v>0</v>
      </c>
      <c r="S28" s="519">
        <v>151134</v>
      </c>
      <c r="T28" s="519">
        <v>0</v>
      </c>
      <c r="U28" s="519">
        <v>815914</v>
      </c>
      <c r="V28" s="519">
        <v>15400</v>
      </c>
      <c r="W28" s="533">
        <v>1143089</v>
      </c>
      <c r="X28" s="534" t="str">
        <f>"{"&amp;"'coin':"&amp;表1_8612182224267286[[#This Row],[补偿Coin]]&amp;",'"&amp;配置!$A$2&amp;"':"&amp;表1_8612182224267286[[#This Row],[补偿辎重]]&amp;"},"</f>
        <v>{'coin':1500,'item036':15},</v>
      </c>
      <c r="Y28" s="536" t="str">
        <f t="shared" ref="Y28" si="6">"      },"</f>
        <v>      },</v>
      </c>
    </row>
    <row r="29" ht="14.25" customHeight="1" spans="1:25">
      <c r="A29" s="514">
        <v>181</v>
      </c>
      <c r="B29" s="515">
        <f>VLOOKUP(表1_8612182224267286[[#This Row],[区服]],$P$35:$Q$44,2,FALSE)</f>
        <v>51</v>
      </c>
      <c r="C29" s="516" t="s">
        <v>169</v>
      </c>
      <c r="D29" s="517" t="str">
        <f>表1_8612182224267286[[#This Row],[目标国家]]</f>
        <v>魏</v>
      </c>
      <c r="E29" s="518">
        <f>(VLOOKUP(表1_8612182224267286[[#This Row],[目标区服]],$R$35:$S$38,2,FALSE)-表1_8612182224267286[[#This Row],[开服天数]])*配置!$B$1</f>
        <v>2000</v>
      </c>
      <c r="F29" s="519">
        <f>表1_8612182224267286[[#This Row],[补偿Coin]]*(表1_8612182224267286[[#This Row],[活跃高战玩家数]]+表1_8612182224267286[[#This Row],[活跃中坚玩家数]])</f>
        <v>54000</v>
      </c>
      <c r="G29" s="520">
        <f>(VLOOKUP(表1_8612182224267286[[#This Row],[目标区服]],$R$35:$S$38,2,FALSE)-表1_8612182224267286[[#This Row],[开服天数]])*配置!$B$2</f>
        <v>20</v>
      </c>
      <c r="H29" s="517" t="s">
        <v>25</v>
      </c>
      <c r="I29" s="527">
        <f>IF(表1_8612182224267286[[#This Row],[原国家]]="魏",0,IF(表1_8612182224267286[[#This Row],[原国家]]="蜀",1,2))</f>
        <v>0</v>
      </c>
      <c r="J29" s="519">
        <v>3</v>
      </c>
      <c r="K29" s="519">
        <v>122</v>
      </c>
      <c r="L29" s="519">
        <v>2</v>
      </c>
      <c r="M29" s="519">
        <v>25</v>
      </c>
      <c r="N29" s="519">
        <v>106327</v>
      </c>
      <c r="O29" s="528">
        <v>4342525</v>
      </c>
      <c r="P29" s="529">
        <v>32434704</v>
      </c>
      <c r="Q29" s="532" t="s">
        <v>25</v>
      </c>
      <c r="R29" s="517">
        <f>IF(表1_8612182224267286[[#This Row],[目标国家]]="魏",0,IF(表1_8612182224267286[[#This Row],[目标国家]]="蜀",1,2))</f>
        <v>0</v>
      </c>
      <c r="S29" s="519">
        <v>209616</v>
      </c>
      <c r="T29" s="519">
        <v>0</v>
      </c>
      <c r="U29" s="519">
        <v>214385</v>
      </c>
      <c r="V29" s="519">
        <v>16033</v>
      </c>
      <c r="W29" s="533">
        <v>1533258</v>
      </c>
      <c r="X29" s="534" t="str">
        <f>"{"&amp;"'coin':"&amp;表1_8612182224267286[[#This Row],[补偿Coin]]&amp;",'"&amp;配置!$A$2&amp;"':"&amp;表1_8612182224267286[[#This Row],[补偿辎重]]&amp;"},"</f>
        <v>{'coin':2000,'item036':20},</v>
      </c>
      <c r="Y29" s="536" t="str">
        <f>"      '"&amp;表1_8612182224267286[[#This Row],[区服]]&amp;"':{"</f>
        <v>      '181':{</v>
      </c>
    </row>
    <row r="30" ht="14.25" customHeight="1" spans="1:25">
      <c r="A30" s="514">
        <v>181</v>
      </c>
      <c r="B30" s="515">
        <f>VLOOKUP(表1_8612182224267286[[#This Row],[区服]],$P$35:$Q$44,2,FALSE)</f>
        <v>51</v>
      </c>
      <c r="C30" s="516" t="s">
        <v>169</v>
      </c>
      <c r="D30" s="517" t="str">
        <f>表1_8612182224267286[[#This Row],[目标国家]]</f>
        <v>蜀</v>
      </c>
      <c r="E30" s="518">
        <f>(VLOOKUP(表1_8612182224267286[[#This Row],[目标区服]],$R$35:$S$38,2,FALSE)-表1_8612182224267286[[#This Row],[开服天数]])*配置!$B$1</f>
        <v>2000</v>
      </c>
      <c r="F30" s="519">
        <f>表1_8612182224267286[[#This Row],[补偿Coin]]*(表1_8612182224267286[[#This Row],[活跃高战玩家数]]+表1_8612182224267286[[#This Row],[活跃中坚玩家数]])</f>
        <v>60000</v>
      </c>
      <c r="G30" s="520">
        <f>(VLOOKUP(表1_8612182224267286[[#This Row],[目标区服]],$R$35:$S$38,2,FALSE)-表1_8612182224267286[[#This Row],[开服天数]])*配置!$B$2</f>
        <v>20</v>
      </c>
      <c r="H30" s="517" t="s">
        <v>26</v>
      </c>
      <c r="I30" s="527">
        <f>IF(表1_8612182224267286[[#This Row],[原国家]]="魏",0,IF(表1_8612182224267286[[#This Row],[原国家]]="蜀",1,2))</f>
        <v>1</v>
      </c>
      <c r="J30" s="519">
        <v>4</v>
      </c>
      <c r="K30" s="519">
        <v>171</v>
      </c>
      <c r="L30" s="519">
        <v>6</v>
      </c>
      <c r="M30" s="519">
        <v>24</v>
      </c>
      <c r="N30" s="519">
        <v>128797</v>
      </c>
      <c r="O30" s="528">
        <v>4321347</v>
      </c>
      <c r="P30" s="529">
        <v>38526318</v>
      </c>
      <c r="Q30" s="532" t="s">
        <v>26</v>
      </c>
      <c r="R30" s="517">
        <f>IF(表1_8612182224267286[[#This Row],[目标国家]]="魏",0,IF(表1_8612182224267286[[#This Row],[目标国家]]="蜀",1,2))</f>
        <v>1</v>
      </c>
      <c r="S30" s="519">
        <v>237668</v>
      </c>
      <c r="T30" s="519">
        <v>0</v>
      </c>
      <c r="U30" s="519">
        <v>667924</v>
      </c>
      <c r="V30" s="519">
        <v>18391</v>
      </c>
      <c r="W30" s="533">
        <v>1288874</v>
      </c>
      <c r="X30" s="534" t="str">
        <f>"{"&amp;"'coin':"&amp;表1_8612182224267286[[#This Row],[补偿Coin]]&amp;",'"&amp;配置!$A$2&amp;"':"&amp;表1_8612182224267286[[#This Row],[补偿辎重]]&amp;"},"</f>
        <v>{'coin':2000,'item036':20},</v>
      </c>
      <c r="Y30" s="536" t="str">
        <f>"            'to_zone':'"&amp;表1_8612182224267286[[#This Row],[目标区服]]&amp;"',
            'reward':"&amp;表1_8612182224267286[[#This Row],[辅助导出]]&amp;"
            'country':["&amp;R29&amp;","&amp;R30&amp;","&amp;R31&amp;"],"</f>
        <v>            'to_zone':'h1_77',
            'reward':{'coin':2000,'item036':20},
            'country':[0,1,2],</v>
      </c>
    </row>
    <row r="31" ht="14.25" customHeight="1" spans="1:25">
      <c r="A31" s="514">
        <v>181</v>
      </c>
      <c r="B31" s="515">
        <f>VLOOKUP(表1_8612182224267286[[#This Row],[区服]],$P$35:$Q$44,2,FALSE)</f>
        <v>51</v>
      </c>
      <c r="C31" s="516" t="s">
        <v>169</v>
      </c>
      <c r="D31" s="517" t="str">
        <f>表1_8612182224267286[[#This Row],[目标国家]]</f>
        <v>吴</v>
      </c>
      <c r="E31" s="518">
        <f>(VLOOKUP(表1_8612182224267286[[#This Row],[目标区服]],$R$35:$S$38,2,FALSE)-表1_8612182224267286[[#This Row],[开服天数]])*配置!$B$1</f>
        <v>2000</v>
      </c>
      <c r="F31" s="519">
        <f>表1_8612182224267286[[#This Row],[补偿Coin]]*(表1_8612182224267286[[#This Row],[活跃高战玩家数]]+表1_8612182224267286[[#This Row],[活跃中坚玩家数]])</f>
        <v>38000</v>
      </c>
      <c r="G31" s="520">
        <f>(VLOOKUP(表1_8612182224267286[[#This Row],[目标区服]],$R$35:$S$38,2,FALSE)-表1_8612182224267286[[#This Row],[开服天数]])*配置!$B$2</f>
        <v>20</v>
      </c>
      <c r="H31" s="517" t="s">
        <v>27</v>
      </c>
      <c r="I31" s="527">
        <f>IF(表1_8612182224267286[[#This Row],[原国家]]="魏",0,IF(表1_8612182224267286[[#This Row],[原国家]]="蜀",1,2))</f>
        <v>2</v>
      </c>
      <c r="J31" s="519">
        <v>2</v>
      </c>
      <c r="K31" s="519">
        <v>102</v>
      </c>
      <c r="L31" s="519">
        <v>1</v>
      </c>
      <c r="M31" s="519">
        <v>18</v>
      </c>
      <c r="N31" s="519">
        <v>60826</v>
      </c>
      <c r="O31" s="528">
        <v>3102840</v>
      </c>
      <c r="P31" s="529">
        <v>19483325</v>
      </c>
      <c r="Q31" s="532" t="s">
        <v>27</v>
      </c>
      <c r="R31" s="517">
        <f>IF(表1_8612182224267286[[#This Row],[目标国家]]="魏",0,IF(表1_8612182224267286[[#This Row],[目标国家]]="蜀",1,2))</f>
        <v>2</v>
      </c>
      <c r="S31" s="519">
        <v>75750</v>
      </c>
      <c r="T31" s="519">
        <v>0</v>
      </c>
      <c r="U31" s="519">
        <v>287168</v>
      </c>
      <c r="V31" s="519">
        <v>8991</v>
      </c>
      <c r="W31" s="535">
        <v>1130840</v>
      </c>
      <c r="X31" s="534" t="str">
        <f>"{"&amp;"'coin':"&amp;表1_8612182224267286[[#This Row],[补偿Coin]]&amp;",'"&amp;配置!$A$2&amp;"':"&amp;表1_8612182224267286[[#This Row],[补偿辎重]]&amp;"},"</f>
        <v>{'coin':2000,'item036':20},</v>
      </c>
      <c r="Y31" s="536" t="str">
        <f t="shared" ref="Y31" si="7">"      },"</f>
        <v>      },</v>
      </c>
    </row>
    <row r="34" ht="27" spans="1:19">
      <c r="A34" s="36" t="s">
        <v>28</v>
      </c>
      <c r="B34" s="37" t="s">
        <v>29</v>
      </c>
      <c r="C34" s="38" t="s">
        <v>30</v>
      </c>
      <c r="D34" s="38" t="s">
        <v>31</v>
      </c>
      <c r="E34" s="38" t="s">
        <v>32</v>
      </c>
      <c r="F34" s="38" t="s">
        <v>33</v>
      </c>
      <c r="G34" s="38" t="s">
        <v>15</v>
      </c>
      <c r="H34" s="37" t="s">
        <v>18</v>
      </c>
      <c r="I34" s="37" t="s">
        <v>19</v>
      </c>
      <c r="J34" s="37" t="s">
        <v>34</v>
      </c>
      <c r="K34" s="38" t="s">
        <v>35</v>
      </c>
      <c r="L34" s="38" t="s">
        <v>36</v>
      </c>
      <c r="M34" s="38" t="s">
        <v>37</v>
      </c>
      <c r="N34" s="38" t="s">
        <v>88</v>
      </c>
      <c r="P34" s="51" t="s">
        <v>0</v>
      </c>
      <c r="Q34" s="51" t="s">
        <v>1</v>
      </c>
      <c r="R34" s="51"/>
      <c r="S34" s="51" t="s">
        <v>38</v>
      </c>
    </row>
    <row r="35" ht="15" spans="1:19">
      <c r="A35" s="39" t="s">
        <v>156</v>
      </c>
      <c r="B35" s="39" t="s">
        <v>25</v>
      </c>
      <c r="C35" s="39">
        <f>COUNTIFS(表1_8612182224267286[目标区服],表2_9713192325277387[[#This Row],[合区区服]],表1_8612182224267286[目标国家（映射）],表2_9713192325277387[[#This Row],[国家]])</f>
        <v>3</v>
      </c>
      <c r="D35" s="39">
        <f>SUMIFS(表1_8612182224267286[活跃高战玩家数],表1_8612182224267286[目标区服],表2_9713192325277387[[#This Row],[合区区服]],表1_8612182224267286[目标国家（映射）],表2_9713192325277387[[#This Row],[国家]])</f>
        <v>9</v>
      </c>
      <c r="E35" s="39">
        <f>SUMIFS(表1_8612182224267286[活跃中坚玩家数],表1_8612182224267286[目标区服],表2_9713192325277387[[#This Row],[合区区服]],表1_8612182224267286[目标国家（映射）],表2_9713192325277387[[#This Row],[国家]])</f>
        <v>61</v>
      </c>
      <c r="F35" s="39">
        <f t="array" ref="F35">MAX((表1_8612182224267286[目标区服]=表2_9713192325277387[[#This Row],[合区区服]])*(表1_8612182224267286[目标国家（映射）]=表2_9713192325277387[[#This Row],[国家]])*表1_8612182224267286[活跃尖端战力])</f>
        <v>3074113</v>
      </c>
      <c r="G35" s="40">
        <f>SUMIFS(表1_8612182224267286[活跃总战力],表1_8612182224267286[目标区服],表2_9713192325277387[[#This Row],[合区区服]],表1_8612182224267286[目标国家（映射）],表2_9713192325277387[[#This Row],[国家]])</f>
        <v>77069934</v>
      </c>
      <c r="H35" s="39">
        <f>SUMIFS(表1_8612182224267286[活跃实际充值],表1_8612182224267286[目标区服],表2_9713192325277387[[#This Row],[合区区服]],表1_8612182224267286[目标国家（映射）],表2_9713192325277387[[#This Row],[国家]])</f>
        <v>138162</v>
      </c>
      <c r="I35" s="39">
        <f>SUMIFS(表1_8612182224267286[活跃虚拟充值],表1_8612182224267286[目标区服],表2_9713192325277387[[#This Row],[合区区服]],表1_8612182224267286[目标国家（映射）],表2_9713192325277387[[#This Row],[国家]])</f>
        <v>128</v>
      </c>
      <c r="J35" s="39">
        <f>SUMIFS(表1_8612182224267286[活跃Coin],表1_8612182224267286[目标区服],表2_9713192325277387[[#This Row],[合区区服]],表1_8612182224267286[目标国家（映射）],表2_9713192325277387[[#This Row],[国家]])</f>
        <v>960896</v>
      </c>
      <c r="K35" s="39">
        <f>SUMIFS(表1_8612182224267286[共计补偿Coin],表1_8612182224267286[目标区服],表2_9713192325277387[[#This Row],[合区区服]],表1_8612182224267286[目标国家（映射）],表2_9713192325277387[[#This Row],[国家]])</f>
        <v>98500</v>
      </c>
      <c r="L35" s="39">
        <f>表2_9713192325277387[[#This Row],[活跃Coin]]+表2_9713192325277387[[#This Row],[共计补偿Coin]]</f>
        <v>1059396</v>
      </c>
      <c r="M35" s="39">
        <f>SUMIFS(表1_8612182224267286[综合国力],表1_8612182224267286[目标区服],表2_9713192325277387[[#This Row],[合区区服]],表1_8612182224267286[目标国家（映射）],表2_9713192325277387[[#This Row],[国家]])</f>
        <v>25225</v>
      </c>
      <c r="N35" s="39">
        <f t="array" ref="N35">MAX((表1_8612182224267286[目标区服]=表2_9713192325277387[[#This Row],[合区区服]])*(表1_8612182224267286[目标国家（映射）]=表2_9713192325277387[[#This Row],[国家]])*表1_8612182224267286[单将最高战力])</f>
        <v>803778</v>
      </c>
      <c r="P35" s="51">
        <v>172</v>
      </c>
      <c r="Q35" s="51">
        <v>57</v>
      </c>
      <c r="R35" s="51" t="s">
        <v>156</v>
      </c>
      <c r="S35" s="51">
        <v>59</v>
      </c>
    </row>
    <row r="36" ht="15" spans="1:19">
      <c r="A36" s="39" t="s">
        <v>156</v>
      </c>
      <c r="B36" s="39" t="s">
        <v>26</v>
      </c>
      <c r="C36" s="39">
        <f>COUNTIFS(表1_8612182224267286[目标区服],表2_9713192325277387[[#This Row],[合区区服]],表1_8612182224267286[目标国家（映射）],表2_9713192325277387[[#This Row],[国家]])</f>
        <v>1</v>
      </c>
      <c r="D36" s="39">
        <f>SUMIFS(表1_8612182224267286[活跃高战玩家数],表1_8612182224267286[目标区服],表2_9713192325277387[[#This Row],[合区区服]],表1_8612182224267286[目标国家（映射）],表2_9713192325277387[[#This Row],[国家]])</f>
        <v>5</v>
      </c>
      <c r="E36" s="39">
        <f>SUMIFS(表1_8612182224267286[活跃中坚玩家数],表1_8612182224267286[目标区服],表2_9713192325277387[[#This Row],[合区区服]],表1_8612182224267286[目标国家（映射）],表2_9713192325277387[[#This Row],[国家]])</f>
        <v>26</v>
      </c>
      <c r="F36" s="39">
        <f t="array" ref="F36">MAX((表1_8612182224267286[目标区服]=表2_9713192325277387[[#This Row],[合区区服]])*(表1_8612182224267286[目标国家（映射）]=表2_9713192325277387[[#This Row],[国家]])*表1_8612182224267286[活跃尖端战力])</f>
        <v>4940990</v>
      </c>
      <c r="G36" s="40">
        <f>SUMIFS(表1_8612182224267286[活跃总战力],表1_8612182224267286[目标区服],表2_9713192325277387[[#This Row],[合区区服]],表1_8612182224267286[目标国家（映射）],表2_9713192325277387[[#This Row],[国家]])</f>
        <v>44690122</v>
      </c>
      <c r="H36" s="39">
        <f>SUMIFS(表1_8612182224267286[活跃实际充值],表1_8612182224267286[目标区服],表2_9713192325277387[[#This Row],[合区区服]],表1_8612182224267286[目标国家（映射）],表2_9713192325277387[[#This Row],[国家]])</f>
        <v>225634</v>
      </c>
      <c r="I36" s="39">
        <f>SUMIFS(表1_8612182224267286[活跃虚拟充值],表1_8612182224267286[目标区服],表2_9713192325277387[[#This Row],[合区区服]],表1_8612182224267286[目标国家（映射）],表2_9713192325277387[[#This Row],[国家]])</f>
        <v>0</v>
      </c>
      <c r="J36" s="39">
        <f>SUMIFS(表1_8612182224267286[活跃Coin],表1_8612182224267286[目标区服],表2_9713192325277387[[#This Row],[合区区服]],表1_8612182224267286[目标国家（映射）],表2_9713192325277387[[#This Row],[国家]])</f>
        <v>1388394</v>
      </c>
      <c r="K36" s="39">
        <f>SUMIFS(表1_8612182224267286[共计补偿Coin],表1_8612182224267286[目标区服],表2_9713192325277387[[#This Row],[合区区服]],表1_8612182224267286[目标国家（映射）],表2_9713192325277387[[#This Row],[国家]])</f>
        <v>31000</v>
      </c>
      <c r="L36" s="39">
        <f>表2_9713192325277387[[#This Row],[活跃Coin]]+表2_9713192325277387[[#This Row],[共计补偿Coin]]</f>
        <v>1419394</v>
      </c>
      <c r="M36" s="39">
        <f>SUMIFS(表1_8612182224267286[综合国力],表1_8612182224267286[目标区服],表2_9713192325277387[[#This Row],[合区区服]],表1_8612182224267286[目标国家（映射）],表2_9713192325277387[[#This Row],[国家]])</f>
        <v>20459</v>
      </c>
      <c r="N36" s="39">
        <f t="array" ref="N36">MAX((表1_8612182224267286[目标区服]=表2_9713192325277387[[#This Row],[合区区服]])*(表1_8612182224267286[目标国家（映射）]=表2_9713192325277387[[#This Row],[国家]])*表1_8612182224267286[单将最高战力])</f>
        <v>1386649</v>
      </c>
      <c r="P36" s="51">
        <v>173</v>
      </c>
      <c r="Q36" s="51">
        <v>56</v>
      </c>
      <c r="R36" s="51" t="s">
        <v>167</v>
      </c>
      <c r="S36" s="51">
        <v>57</v>
      </c>
    </row>
    <row r="37" ht="15" spans="1:19">
      <c r="A37" s="39" t="s">
        <v>156</v>
      </c>
      <c r="B37" s="39" t="s">
        <v>27</v>
      </c>
      <c r="C37" s="39">
        <f>COUNTIFS(表1_8612182224267286[目标区服],表2_9713192325277387[[#This Row],[合区区服]],表1_8612182224267286[目标国家（映射）],表2_9713192325277387[[#This Row],[国家]])</f>
        <v>2</v>
      </c>
      <c r="D37" s="39">
        <f>SUMIFS(表1_8612182224267286[活跃高战玩家数],表1_8612182224267286[目标区服],表2_9713192325277387[[#This Row],[合区区服]],表1_8612182224267286[目标国家（映射）],表2_9713192325277387[[#This Row],[国家]])</f>
        <v>5</v>
      </c>
      <c r="E37" s="39">
        <f>SUMIFS(表1_8612182224267286[活跃中坚玩家数],表1_8612182224267286[目标区服],表2_9713192325277387[[#This Row],[合区区服]],表1_8612182224267286[目标国家（映射）],表2_9713192325277387[[#This Row],[国家]])</f>
        <v>47</v>
      </c>
      <c r="F37" s="39">
        <f t="array" ref="F37">MAX((表1_8612182224267286[目标区服]=表2_9713192325277387[[#This Row],[合区区服]])*(表1_8612182224267286[目标国家（映射）]=表2_9713192325277387[[#This Row],[国家]])*表1_8612182224267286[活跃尖端战力])</f>
        <v>4481979</v>
      </c>
      <c r="G37" s="40">
        <f>SUMIFS(表1_8612182224267286[活跃总战力],表1_8612182224267286[目标区服],表2_9713192325277387[[#This Row],[合区区服]],表1_8612182224267286[目标国家（映射）],表2_9713192325277387[[#This Row],[国家]])</f>
        <v>55743463</v>
      </c>
      <c r="H37" s="39">
        <f>SUMIFS(表1_8612182224267286[活跃实际充值],表1_8612182224267286[目标区服],表2_9713192325277387[[#This Row],[合区区服]],表1_8612182224267286[目标国家（映射）],表2_9713192325277387[[#This Row],[国家]])</f>
        <v>189886</v>
      </c>
      <c r="I37" s="39">
        <f>SUMIFS(表1_8612182224267286[活跃虚拟充值],表1_8612182224267286[目标区服],表2_9713192325277387[[#This Row],[合区区服]],表1_8612182224267286[目标国家（映射）],表2_9713192325277387[[#This Row],[国家]])</f>
        <v>0</v>
      </c>
      <c r="J37" s="39">
        <f>SUMIFS(表1_8612182224267286[活跃Coin],表1_8612182224267286[目标区服],表2_9713192325277387[[#This Row],[合区区服]],表1_8612182224267286[目标国家（映射）],表2_9713192325277387[[#This Row],[国家]])</f>
        <v>1272765</v>
      </c>
      <c r="K37" s="39">
        <f>SUMIFS(表1_8612182224267286[共计补偿Coin],表1_8612182224267286[目标区服],表2_9713192325277387[[#This Row],[合区区服]],表1_8612182224267286[目标国家（映射）],表2_9713192325277387[[#This Row],[国家]])</f>
        <v>62500</v>
      </c>
      <c r="L37" s="39">
        <f>表2_9713192325277387[[#This Row],[活跃Coin]]+表2_9713192325277387[[#This Row],[共计补偿Coin]]</f>
        <v>1335265</v>
      </c>
      <c r="M37" s="39">
        <f>SUMIFS(表1_8612182224267286[综合国力],表1_8612182224267286[目标区服],表2_9713192325277387[[#This Row],[合区区服]],表1_8612182224267286[目标国家（映射）],表2_9713192325277387[[#This Row],[国家]])</f>
        <v>22567</v>
      </c>
      <c r="N37" s="39">
        <f t="array" ref="N37">MAX((表1_8612182224267286[目标区服]=表2_9713192325277387[[#This Row],[合区区服]])*(表1_8612182224267286[目标国家（映射）]=表2_9713192325277387[[#This Row],[国家]])*表1_8612182224267286[单将最高战力])</f>
        <v>1235705</v>
      </c>
      <c r="P37" s="51">
        <v>174</v>
      </c>
      <c r="Q37" s="51">
        <v>55</v>
      </c>
      <c r="R37" s="51" t="s">
        <v>168</v>
      </c>
      <c r="S37" s="51">
        <v>56</v>
      </c>
    </row>
    <row r="38" ht="15" spans="1:19">
      <c r="A38" s="41" t="s">
        <v>167</v>
      </c>
      <c r="B38" s="41" t="s">
        <v>25</v>
      </c>
      <c r="C38" s="41">
        <f>COUNTIFS(表1_8612182224267286[目标区服],表2_9713192325277387[[#This Row],[合区区服]],表1_8612182224267286[目标国家（映射）],表2_9713192325277387[[#This Row],[国家]])</f>
        <v>4</v>
      </c>
      <c r="D38" s="41">
        <f>SUMIFS(表1_8612182224267286[活跃高战玩家数],表1_8612182224267286[目标区服],表2_9713192325277387[[#This Row],[合区区服]],表1_8612182224267286[目标国家（映射）],表2_9713192325277387[[#This Row],[国家]])</f>
        <v>7</v>
      </c>
      <c r="E38" s="41">
        <f>SUMIFS(表1_8612182224267286[活跃中坚玩家数],表1_8612182224267286[目标区服],表2_9713192325277387[[#This Row],[合区区服]],表1_8612182224267286[目标国家（映射）],表2_9713192325277387[[#This Row],[国家]])</f>
        <v>56</v>
      </c>
      <c r="F38" s="41">
        <f t="array" ref="F38">MAX((表1_8612182224267286[目标区服]=表2_9713192325277387[[#This Row],[合区区服]])*(表1_8612182224267286[目标国家（映射）]=表2_9713192325277387[[#This Row],[国家]])*表1_8612182224267286[活跃尖端战力])</f>
        <v>3550026</v>
      </c>
      <c r="G38" s="42">
        <f>SUMIFS(表1_8612182224267286[活跃总战力],表1_8612182224267286[目标区服],表2_9713192325277387[[#This Row],[合区区服]],表1_8612182224267286[目标国家（映射）],表2_9713192325277387[[#This Row],[国家]])</f>
        <v>57283673</v>
      </c>
      <c r="H38" s="41">
        <f>SUMIFS(表1_8612182224267286[活跃实际充值],表1_8612182224267286[目标区服],表2_9713192325277387[[#This Row],[合区区服]],表1_8612182224267286[目标国家（映射）],表2_9713192325277387[[#This Row],[国家]])</f>
        <v>226610</v>
      </c>
      <c r="I38" s="41">
        <f>SUMIFS(表1_8612182224267286[活跃虚拟充值],表1_8612182224267286[目标区服],表2_9713192325277387[[#This Row],[合区区服]],表1_8612182224267286[目标国家（映射）],表2_9713192325277387[[#This Row],[国家]])</f>
        <v>7394</v>
      </c>
      <c r="J38" s="41">
        <f>SUMIFS(表1_8612182224267286[活跃Coin],表1_8612182224267286[目标区服],表2_9713192325277387[[#This Row],[合区区服]],表1_8612182224267286[目标国家（映射）],表2_9713192325277387[[#This Row],[国家]])</f>
        <v>997228</v>
      </c>
      <c r="K38" s="41">
        <f>SUMIFS(表1_8612182224267286[共计补偿Coin],表1_8612182224267286[目标区服],表2_9713192325277387[[#This Row],[合区区服]],表1_8612182224267286[目标国家（映射）],表2_9713192325277387[[#This Row],[国家]])</f>
        <v>74500</v>
      </c>
      <c r="L38" s="41">
        <f>表2_9713192325277387[[#This Row],[活跃Coin]]+表2_9713192325277387[[#This Row],[共计补偿Coin]]</f>
        <v>1071728</v>
      </c>
      <c r="M38" s="41">
        <f>SUMIFS(表1_8612182224267286[综合国力],表1_8612182224267286[目标区服],表2_9713192325277387[[#This Row],[合区区服]],表1_8612182224267286[目标国家（映射）],表2_9713192325277387[[#This Row],[国家]])</f>
        <v>26676</v>
      </c>
      <c r="N38" s="41">
        <f t="array" ref="N38">MAX((表1_8612182224267286[目标区服]=表2_9713192325277387[[#This Row],[合区区服]])*(表1_8612182224267286[目标国家（映射）]=表2_9713192325277387[[#This Row],[国家]])*表1_8612182224267286[单将最高战力])</f>
        <v>1016979</v>
      </c>
      <c r="P38" s="51">
        <v>175</v>
      </c>
      <c r="Q38" s="51">
        <v>55</v>
      </c>
      <c r="R38" s="51" t="s">
        <v>169</v>
      </c>
      <c r="S38" s="51">
        <v>55</v>
      </c>
    </row>
    <row r="39" ht="15" spans="1:17">
      <c r="A39" s="41" t="s">
        <v>167</v>
      </c>
      <c r="B39" s="41" t="s">
        <v>26</v>
      </c>
      <c r="C39" s="41">
        <f>COUNTIFS(表1_8612182224267286[目标区服],表2_9713192325277387[[#This Row],[合区区服]],表1_8612182224267286[目标国家（映射）],表2_9713192325277387[[#This Row],[国家]])</f>
        <v>2</v>
      </c>
      <c r="D39" s="41">
        <f>SUMIFS(表1_8612182224267286[活跃高战玩家数],表1_8612182224267286[目标区服],表2_9713192325277387[[#This Row],[合区区服]],表1_8612182224267286[目标国家（映射）],表2_9713192325277387[[#This Row],[国家]])</f>
        <v>11</v>
      </c>
      <c r="E39" s="41">
        <f>SUMIFS(表1_8612182224267286[活跃中坚玩家数],表1_8612182224267286[目标区服],表2_9713192325277387[[#This Row],[合区区服]],表1_8612182224267286[目标国家（映射）],表2_9713192325277387[[#This Row],[国家]])</f>
        <v>38</v>
      </c>
      <c r="F39" s="41">
        <f t="array" ref="F39">MAX((表1_8612182224267286[目标区服]=表2_9713192325277387[[#This Row],[合区区服]])*(表1_8612182224267286[目标国家（映射）]=表2_9713192325277387[[#This Row],[国家]])*表1_8612182224267286[活跃尖端战力])</f>
        <v>4741327</v>
      </c>
      <c r="G39" s="42">
        <f>SUMIFS(表1_8612182224267286[活跃总战力],表1_8612182224267286[目标区服],表2_9713192325277387[[#This Row],[合区区服]],表1_8612182224267286[目标国家（映射）],表2_9713192325277387[[#This Row],[国家]])</f>
        <v>51161680</v>
      </c>
      <c r="H39" s="41">
        <f>SUMIFS(表1_8612182224267286[活跃实际充值],表1_8612182224267286[目标区服],表2_9713192325277387[[#This Row],[合区区服]],表1_8612182224267286[目标国家（映射）],表2_9713192325277387[[#This Row],[国家]])</f>
        <v>182462</v>
      </c>
      <c r="I39" s="41">
        <f>SUMIFS(表1_8612182224267286[活跃虚拟充值],表1_8612182224267286[目标区服],表2_9713192325277387[[#This Row],[合区区服]],表1_8612182224267286[目标国家（映射）],表2_9713192325277387[[#This Row],[国家]])</f>
        <v>69094</v>
      </c>
      <c r="J39" s="41">
        <f>SUMIFS(表1_8612182224267286[活跃Coin],表1_8612182224267286[目标区服],表2_9713192325277387[[#This Row],[合区区服]],表1_8612182224267286[目标国家（映射）],表2_9713192325277387[[#This Row],[国家]])</f>
        <v>2020925</v>
      </c>
      <c r="K39" s="41">
        <f>SUMIFS(表1_8612182224267286[共计补偿Coin],表1_8612182224267286[目标区服],表2_9713192325277387[[#This Row],[合区区服]],表1_8612182224267286[目标国家（映射）],表2_9713192325277387[[#This Row],[国家]])</f>
        <v>65000</v>
      </c>
      <c r="L39" s="41">
        <f>表2_9713192325277387[[#This Row],[活跃Coin]]+表2_9713192325277387[[#This Row],[共计补偿Coin]]</f>
        <v>2085925</v>
      </c>
      <c r="M39" s="41">
        <f>SUMIFS(表1_8612182224267286[综合国力],表1_8612182224267286[目标区服],表2_9713192325277387[[#This Row],[合区区服]],表1_8612182224267286[目标国家（映射）],表2_9713192325277387[[#This Row],[国家]])</f>
        <v>24504</v>
      </c>
      <c r="N39" s="41">
        <f t="array" ref="N39">MAX((表1_8612182224267286[目标区服]=表2_9713192325277387[[#This Row],[合区区服]])*(表1_8612182224267286[目标国家（映射）]=表2_9713192325277387[[#This Row],[国家]])*表1_8612182224267286[单将最高战力])</f>
        <v>1301643</v>
      </c>
      <c r="P39" s="51">
        <v>176</v>
      </c>
      <c r="Q39" s="51">
        <v>54</v>
      </c>
    </row>
    <row r="40" ht="15" spans="1:17">
      <c r="A40" s="41" t="s">
        <v>167</v>
      </c>
      <c r="B40" s="43" t="s">
        <v>27</v>
      </c>
      <c r="C40" s="43">
        <f>COUNTIFS(表1_8612182224267286[目标区服],表2_9713192325277387[[#This Row],[合区区服]],表1_8612182224267286[目标国家（映射）],表2_9713192325277387[[#This Row],[国家]])</f>
        <v>3</v>
      </c>
      <c r="D40" s="43">
        <f>SUMIFS(表1_8612182224267286[活跃高战玩家数],表1_8612182224267286[目标区服],表2_9713192325277387[[#This Row],[合区区服]],表1_8612182224267286[目标国家（映射）],表2_9713192325277387[[#This Row],[国家]])</f>
        <v>10</v>
      </c>
      <c r="E40" s="43">
        <f>SUMIFS(表1_8612182224267286[活跃中坚玩家数],表1_8612182224267286[目标区服],表2_9713192325277387[[#This Row],[合区区服]],表1_8612182224267286[目标国家（映射）],表2_9713192325277387[[#This Row],[国家]])</f>
        <v>46</v>
      </c>
      <c r="F40" s="43">
        <f t="array" ref="F40">MAX((表1_8612182224267286[目标区服]=表2_9713192325277387[[#This Row],[合区区服]])*(表1_8612182224267286[目标国家（映射）]=表2_9713192325277387[[#This Row],[国家]])*表1_8612182224267286[活跃尖端战力])</f>
        <v>3761915</v>
      </c>
      <c r="G40" s="44">
        <f>SUMIFS(表1_8612182224267286[活跃总战力],表1_8612182224267286[目标区服],表2_9713192325277387[[#This Row],[合区区服]],表1_8612182224267286[目标国家（映射）],表2_9713192325277387[[#This Row],[国家]])</f>
        <v>57475079</v>
      </c>
      <c r="H40" s="43">
        <f>SUMIFS(表1_8612182224267286[活跃实际充值],表1_8612182224267286[目标区服],表2_9713192325277387[[#This Row],[合区区服]],表1_8612182224267286[目标国家（映射）],表2_9713192325277387[[#This Row],[国家]])</f>
        <v>218228</v>
      </c>
      <c r="I40" s="43">
        <f>SUMIFS(表1_8612182224267286[活跃虚拟充值],表1_8612182224267286[目标区服],表2_9713192325277387[[#This Row],[合区区服]],表1_8612182224267286[目标国家（映射）],表2_9713192325277387[[#This Row],[国家]])</f>
        <v>0</v>
      </c>
      <c r="J40" s="43">
        <f>SUMIFS(表1_8612182224267286[活跃Coin],表1_8612182224267286[目标区服],表2_9713192325277387[[#This Row],[合区区服]],表1_8612182224267286[目标国家（映射）],表2_9713192325277387[[#This Row],[国家]])</f>
        <v>1330622</v>
      </c>
      <c r="K40" s="43">
        <f>SUMIFS(表1_8612182224267286[共计补偿Coin],表1_8612182224267286[目标区服],表2_9713192325277387[[#This Row],[合区区服]],表1_8612182224267286[目标国家（映射）],表2_9713192325277387[[#This Row],[国家]])</f>
        <v>56000</v>
      </c>
      <c r="L40" s="43">
        <f>表2_9713192325277387[[#This Row],[活跃Coin]]+表2_9713192325277387[[#This Row],[共计补偿Coin]]</f>
        <v>1386622</v>
      </c>
      <c r="M40" s="43">
        <f>SUMIFS(表1_8612182224267286[综合国力],表1_8612182224267286[目标区服],表2_9713192325277387[[#This Row],[合区区服]],表1_8612182224267286[目标国家（映射）],表2_9713192325277387[[#This Row],[国家]])</f>
        <v>28267</v>
      </c>
      <c r="N40" s="41">
        <f t="array" ref="N40">MAX((表1_8612182224267286[目标区服]=表2_9713192325277387[[#This Row],[合区区服]])*(表1_8612182224267286[目标国家（映射）]=表2_9713192325277387[[#This Row],[国家]])*表1_8612182224267286[单将最高战力])</f>
        <v>1056699</v>
      </c>
      <c r="P40" s="51">
        <v>177</v>
      </c>
      <c r="Q40" s="51">
        <v>54</v>
      </c>
    </row>
    <row r="41" ht="15" spans="1:17">
      <c r="A41" s="45" t="s">
        <v>168</v>
      </c>
      <c r="B41" s="46" t="s">
        <v>25</v>
      </c>
      <c r="C41" s="46">
        <f>COUNTIFS(表1_8612182224267286[目标区服],表2_9713192325277387[[#This Row],[合区区服]],表1_8612182224267286[目标国家（映射）],表2_9713192325277387[[#This Row],[国家]])</f>
        <v>3</v>
      </c>
      <c r="D41" s="46">
        <f>SUMIFS(表1_8612182224267286[活跃高战玩家数],表1_8612182224267286[目标区服],表2_9713192325277387[[#This Row],[合区区服]],表1_8612182224267286[目标国家（映射）],表2_9713192325277387[[#This Row],[国家]])</f>
        <v>7</v>
      </c>
      <c r="E41" s="46">
        <f>SUMIFS(表1_8612182224267286[活跃中坚玩家数],表1_8612182224267286[目标区服],表2_9713192325277387[[#This Row],[合区区服]],表1_8612182224267286[目标国家（映射）],表2_9713192325277387[[#This Row],[国家]])</f>
        <v>44</v>
      </c>
      <c r="F41" s="46">
        <f t="array" ref="F41">MAX((表1_8612182224267286[目标区服]=表2_9713192325277387[[#This Row],[合区区服]])*(表1_8612182224267286[目标国家（映射）]=表2_9713192325277387[[#This Row],[国家]])*表1_8612182224267286[活跃尖端战力])</f>
        <v>2608845</v>
      </c>
      <c r="G41" s="47">
        <f>SUMIFS(表1_8612182224267286[活跃总战力],表1_8612182224267286[目标区服],表2_9713192325277387[[#This Row],[合区区服]],表1_8612182224267286[目标国家（映射）],表2_9713192325277387[[#This Row],[国家]])</f>
        <v>42046258</v>
      </c>
      <c r="H41" s="46">
        <f>SUMIFS(表1_8612182224267286[活跃实际充值],表1_8612182224267286[目标区服],表2_9713192325277387[[#This Row],[合区区服]],表1_8612182224267286[目标国家（映射）],表2_9713192325277387[[#This Row],[国家]])</f>
        <v>73624</v>
      </c>
      <c r="I41" s="46">
        <f>SUMIFS(表1_8612182224267286[活跃虚拟充值],表1_8612182224267286[目标区服],表2_9713192325277387[[#This Row],[合区区服]],表1_8612182224267286[目标国家（映射）],表2_9713192325277387[[#This Row],[国家]])</f>
        <v>0</v>
      </c>
      <c r="J41" s="46">
        <f>SUMIFS(表1_8612182224267286[活跃Coin],表1_8612182224267286[目标区服],表2_9713192325277387[[#This Row],[合区区服]],表1_8612182224267286[目标国家（映射）],表2_9713192325277387[[#This Row],[国家]])</f>
        <v>870821</v>
      </c>
      <c r="K41" s="46">
        <f>SUMIFS(表1_8612182224267286[共计补偿Coin],表1_8612182224267286[目标区服],表2_9713192325277387[[#This Row],[合区区服]],表1_8612182224267286[目标国家（映射）],表2_9713192325277387[[#This Row],[国家]])</f>
        <v>63500</v>
      </c>
      <c r="L41" s="46">
        <f>表2_9713192325277387[[#This Row],[活跃Coin]]+表2_9713192325277387[[#This Row],[共计补偿Coin]]</f>
        <v>934321</v>
      </c>
      <c r="M41" s="46">
        <f>SUMIFS(表1_8612182224267286[综合国力],表1_8612182224267286[目标区服],表2_9713192325277387[[#This Row],[合区区服]],表1_8612182224267286[目标国家（映射）],表2_9713192325277387[[#This Row],[国家]])</f>
        <v>18141</v>
      </c>
      <c r="N41" s="46">
        <f t="array" ref="N41">MAX((表1_8612182224267286[目标区服]=表2_9713192325277387[[#This Row],[合区区服]])*(表1_8612182224267286[目标国家（映射）]=表2_9713192325277387[[#This Row],[国家]])*表1_8612182224267286[单将最高战力])</f>
        <v>873682</v>
      </c>
      <c r="P41" s="51">
        <v>178</v>
      </c>
      <c r="Q41" s="51">
        <v>53</v>
      </c>
    </row>
    <row r="42" ht="15" spans="1:17">
      <c r="A42" s="45" t="s">
        <v>168</v>
      </c>
      <c r="B42" s="46" t="s">
        <v>26</v>
      </c>
      <c r="C42" s="46">
        <f>COUNTIFS(表1_8612182224267286[目标区服],表2_9713192325277387[[#This Row],[合区区服]],表1_8612182224267286[目标国家（映射）],表2_9713192325277387[[#This Row],[国家]])</f>
        <v>3</v>
      </c>
      <c r="D42" s="46">
        <f>SUMIFS(表1_8612182224267286[活跃高战玩家数],表1_8612182224267286[目标区服],表2_9713192325277387[[#This Row],[合区区服]],表1_8612182224267286[目标国家（映射）],表2_9713192325277387[[#This Row],[国家]])</f>
        <v>13</v>
      </c>
      <c r="E42" s="46">
        <f>SUMIFS(表1_8612182224267286[活跃中坚玩家数],表1_8612182224267286[目标区服],表2_9713192325277387[[#This Row],[合区区服]],表1_8612182224267286[目标国家（映射）],表2_9713192325277387[[#This Row],[国家]])</f>
        <v>38</v>
      </c>
      <c r="F42" s="46">
        <f t="array" ref="F42">MAX((表1_8612182224267286[目标区服]=表2_9713192325277387[[#This Row],[合区区服]])*(表1_8612182224267286[目标国家（映射）]=表2_9713192325277387[[#This Row],[国家]])*表1_8612182224267286[活跃尖端战力])</f>
        <v>3079148</v>
      </c>
      <c r="G42" s="47">
        <f>SUMIFS(表1_8612182224267286[活跃总战力],表1_8612182224267286[目标区服],表2_9713192325277387[[#This Row],[合区区服]],表1_8612182224267286[目标国家（映射）],表2_9713192325277387[[#This Row],[国家]])</f>
        <v>50825915</v>
      </c>
      <c r="H42" s="46">
        <f>SUMIFS(表1_8612182224267286[活跃实际充值],表1_8612182224267286[目标区服],表2_9713192325277387[[#This Row],[合区区服]],表1_8612182224267286[目标国家（映射）],表2_9713192325277387[[#This Row],[国家]])</f>
        <v>114594</v>
      </c>
      <c r="I42" s="46">
        <f>SUMIFS(表1_8612182224267286[活跃虚拟充值],表1_8612182224267286[目标区服],表2_9713192325277387[[#This Row],[合区区服]],表1_8612182224267286[目标国家（映射）],表2_9713192325277387[[#This Row],[国家]])</f>
        <v>0</v>
      </c>
      <c r="J42" s="46">
        <f>SUMIFS(表1_8612182224267286[活跃Coin],表1_8612182224267286[目标区服],表2_9713192325277387[[#This Row],[合区区服]],表1_8612182224267286[目标国家（映射）],表2_9713192325277387[[#This Row],[国家]])</f>
        <v>1370658</v>
      </c>
      <c r="K42" s="46">
        <f>SUMIFS(表1_8612182224267286[共计补偿Coin],表1_8612182224267286[目标区服],表2_9713192325277387[[#This Row],[合区区服]],表1_8612182224267286[目标国家（映射）],表2_9713192325277387[[#This Row],[国家]])</f>
        <v>76500</v>
      </c>
      <c r="L42" s="46">
        <f>表2_9713192325277387[[#This Row],[活跃Coin]]+表2_9713192325277387[[#This Row],[共计补偿Coin]]</f>
        <v>1447158</v>
      </c>
      <c r="M42" s="46">
        <f>SUMIFS(表1_8612182224267286[综合国力],表1_8612182224267286[目标区服],表2_9713192325277387[[#This Row],[合区区服]],表1_8612182224267286[目标国家（映射）],表2_9713192325277387[[#This Row],[国家]])</f>
        <v>25397</v>
      </c>
      <c r="N42" s="46">
        <f t="array" ref="N42">MAX((表1_8612182224267286[目标区服]=表2_9713192325277387[[#This Row],[合区区服]])*(表1_8612182224267286[目标国家（映射）]=表2_9713192325277387[[#This Row],[国家]])*表1_8612182224267286[单将最高战力])</f>
        <v>899685</v>
      </c>
      <c r="P42" s="51">
        <v>179</v>
      </c>
      <c r="Q42" s="51">
        <v>53</v>
      </c>
    </row>
    <row r="43" ht="15" spans="1:17">
      <c r="A43" s="45" t="s">
        <v>168</v>
      </c>
      <c r="B43" s="48" t="s">
        <v>27</v>
      </c>
      <c r="C43" s="48">
        <f>COUNTIFS(表1_8612182224267286[目标区服],表2_9713192325277387[[#This Row],[合区区服]],表1_8612182224267286[目标国家（映射）],表2_9713192325277387[[#This Row],[国家]])</f>
        <v>3</v>
      </c>
      <c r="D43" s="48">
        <f>SUMIFS(表1_8612182224267286[活跃高战玩家数],表1_8612182224267286[目标区服],表2_9713192325277387[[#This Row],[合区区服]],表1_8612182224267286[目标国家（映射）],表2_9713192325277387[[#This Row],[国家]])</f>
        <v>9</v>
      </c>
      <c r="E43" s="48">
        <f>SUMIFS(表1_8612182224267286[活跃中坚玩家数],表1_8612182224267286[目标区服],表2_9713192325277387[[#This Row],[合区区服]],表1_8612182224267286[目标国家（映射）],表2_9713192325277387[[#This Row],[国家]])</f>
        <v>33</v>
      </c>
      <c r="F43" s="48">
        <f t="array" ref="F43">MAX((表1_8612182224267286[目标区服]=表2_9713192325277387[[#This Row],[合区区服]])*(表1_8612182224267286[目标国家（映射）]=表2_9713192325277387[[#This Row],[国家]])*表1_8612182224267286[活跃尖端战力])</f>
        <v>3035306</v>
      </c>
      <c r="G43" s="458">
        <f>SUMIFS(表1_8612182224267286[活跃总战力],表1_8612182224267286[目标区服],表2_9713192325277387[[#This Row],[合区区服]],表1_8612182224267286[目标国家（映射）],表2_9713192325277387[[#This Row],[国家]])</f>
        <v>40534365</v>
      </c>
      <c r="H43" s="48">
        <f>SUMIFS(表1_8612182224267286[活跃实际充值],表1_8612182224267286[目标区服],表2_9713192325277387[[#This Row],[合区区服]],表1_8612182224267286[目标国家（映射）],表2_9713192325277387[[#This Row],[国家]])</f>
        <v>88308</v>
      </c>
      <c r="I43" s="48">
        <f>SUMIFS(表1_8612182224267286[活跃虚拟充值],表1_8612182224267286[目标区服],表2_9713192325277387[[#This Row],[合区区服]],表1_8612182224267286[目标国家（映射）],表2_9713192325277387[[#This Row],[国家]])</f>
        <v>0</v>
      </c>
      <c r="J43" s="48">
        <f>SUMIFS(表1_8612182224267286[活跃Coin],表1_8612182224267286[目标区服],表2_9713192325277387[[#This Row],[合区区服]],表1_8612182224267286[目标国家（映射）],表2_9713192325277387[[#This Row],[国家]])</f>
        <v>635293</v>
      </c>
      <c r="K43" s="48">
        <f>SUMIFS(表1_8612182224267286[共计补偿Coin],表1_8612182224267286[目标区服],表2_9713192325277387[[#This Row],[合区区服]],表1_8612182224267286[目标国家（映射）],表2_9713192325277387[[#This Row],[国家]])</f>
        <v>52500</v>
      </c>
      <c r="L43" s="48">
        <f>表2_9713192325277387[[#This Row],[活跃Coin]]+表2_9713192325277387[[#This Row],[共计补偿Coin]]</f>
        <v>687793</v>
      </c>
      <c r="M43" s="48">
        <f>SUMIFS(表1_8612182224267286[综合国力],表1_8612182224267286[目标区服],表2_9713192325277387[[#This Row],[合区区服]],表1_8612182224267286[目标国家（映射）],表2_9713192325277387[[#This Row],[国家]])</f>
        <v>19236</v>
      </c>
      <c r="N43" s="46">
        <f t="array" ref="N43">MAX((表1_8612182224267286[目标区服]=表2_9713192325277387[[#This Row],[合区区服]])*(表1_8612182224267286[目标国家（映射）]=表2_9713192325277387[[#This Row],[国家]])*表1_8612182224267286[单将最高战力])</f>
        <v>861003</v>
      </c>
      <c r="P43" s="51">
        <v>180</v>
      </c>
      <c r="Q43" s="51">
        <v>52</v>
      </c>
    </row>
    <row r="44" ht="15" spans="1:17">
      <c r="A44" s="521" t="s">
        <v>169</v>
      </c>
      <c r="B44" s="522" t="s">
        <v>25</v>
      </c>
      <c r="C44" s="522">
        <f>COUNTIFS(表1_8612182224267286[目标区服],表2_9713192325277387[[#This Row],[合区区服]],表1_8612182224267286[目标国家（映射）],表2_9713192325277387[[#This Row],[国家]])</f>
        <v>2</v>
      </c>
      <c r="D44" s="522">
        <f>SUMIFS(表1_8612182224267286[活跃高战玩家数],表1_8612182224267286[目标区服],表2_9713192325277387[[#This Row],[合区区服]],表1_8612182224267286[目标国家（映射）],表2_9713192325277387[[#This Row],[国家]])</f>
        <v>7</v>
      </c>
      <c r="E44" s="522">
        <f>SUMIFS(表1_8612182224267286[活跃中坚玩家数],表1_8612182224267286[目标区服],表2_9713192325277387[[#This Row],[合区区服]],表1_8612182224267286[目标国家（映射）],表2_9713192325277387[[#This Row],[国家]])</f>
        <v>47</v>
      </c>
      <c r="F44" s="522">
        <f t="array" ref="F44">MAX((表1_8612182224267286[目标区服]=表2_9713192325277387[[#This Row],[合区区服]])*(表1_8612182224267286[目标国家（映射）]=表2_9713192325277387[[#This Row],[国家]])*表1_8612182224267286[活跃尖端战力])</f>
        <v>4342525</v>
      </c>
      <c r="G44" s="523">
        <f>SUMIFS(表1_8612182224267286[活跃总战力],表1_8612182224267286[目标区服],表2_9713192325277387[[#This Row],[合区区服]],表1_8612182224267286[目标国家（映射）],表2_9713192325277387[[#This Row],[国家]])</f>
        <v>68385031</v>
      </c>
      <c r="H44" s="522">
        <f>SUMIFS(表1_8612182224267286[活跃实际充值],表1_8612182224267286[目标区服],表2_9713192325277387[[#This Row],[合区区服]],表1_8612182224267286[目标国家（映射）],表2_9713192325277387[[#This Row],[国家]])</f>
        <v>360750</v>
      </c>
      <c r="I44" s="522">
        <f>SUMIFS(表1_8612182224267286[活跃虚拟充值],表1_8612182224267286[目标区服],表2_9713192325277387[[#This Row],[合区区服]],表1_8612182224267286[目标国家（映射）],表2_9713192325277387[[#This Row],[国家]])</f>
        <v>0</v>
      </c>
      <c r="J44" s="522">
        <f>SUMIFS(表1_8612182224267286[活跃Coin],表1_8612182224267286[目标区服],表2_9713192325277387[[#This Row],[合区区服]],表1_8612182224267286[目标国家（映射）],表2_9713192325277387[[#This Row],[国家]])</f>
        <v>1030299</v>
      </c>
      <c r="K44" s="522">
        <f>SUMIFS(表1_8612182224267286[共计补偿Coin],表1_8612182224267286[目标区服],表2_9713192325277387[[#This Row],[合区区服]],表1_8612182224267286[目标国家（映射）],表2_9713192325277387[[#This Row],[国家]])</f>
        <v>94500</v>
      </c>
      <c r="L44" s="522">
        <f>表2_9713192325277387[[#This Row],[活跃Coin]]+表2_9713192325277387[[#This Row],[共计补偿Coin]]</f>
        <v>1124799</v>
      </c>
      <c r="M44" s="522">
        <f>SUMIFS(表1_8612182224267286[综合国力],表1_8612182224267286[目标区服],表2_9713192325277387[[#This Row],[合区区服]],表1_8612182224267286[目标国家（映射）],表2_9713192325277387[[#This Row],[国家]])</f>
        <v>31433</v>
      </c>
      <c r="N44" s="530">
        <f t="array" ref="N44">MAX((表1_8612182224267286[目标区服]=表2_9713192325277387[[#This Row],[合区区服]])*(表1_8612182224267286[目标国家（映射）]=表2_9713192325277387[[#This Row],[国家]])*表1_8612182224267286[单将最高战力])</f>
        <v>1533258</v>
      </c>
      <c r="P44" s="51">
        <v>181</v>
      </c>
      <c r="Q44" s="51">
        <v>51</v>
      </c>
    </row>
    <row r="45" ht="15" spans="1:14">
      <c r="A45" s="521" t="s">
        <v>169</v>
      </c>
      <c r="B45" s="522" t="s">
        <v>26</v>
      </c>
      <c r="C45" s="522">
        <f>COUNTIFS(表1_8612182224267286[目标区服],表2_9713192325277387[[#This Row],[合区区服]],表1_8612182224267286[目标国家（映射）],表2_9713192325277387[[#This Row],[国家]])</f>
        <v>2</v>
      </c>
      <c r="D45" s="522">
        <f>SUMIFS(表1_8612182224267286[活跃高战玩家数],表1_8612182224267286[目标区服],表2_9713192325277387[[#This Row],[合区区服]],表1_8612182224267286[目标国家（映射）],表2_9713192325277387[[#This Row],[国家]])</f>
        <v>6</v>
      </c>
      <c r="E45" s="522">
        <f>SUMIFS(表1_8612182224267286[活跃中坚玩家数],表1_8612182224267286[目标区服],表2_9713192325277387[[#This Row],[合区区服]],表1_8612182224267286[目标国家（映射）],表2_9713192325277387[[#This Row],[国家]])</f>
        <v>38</v>
      </c>
      <c r="F45" s="522">
        <f t="array" ref="F45">MAX((表1_8612182224267286[目标区服]=表2_9713192325277387[[#This Row],[合区区服]])*(表1_8612182224267286[目标国家（映射）]=表2_9713192325277387[[#This Row],[国家]])*表1_8612182224267286[活跃尖端战力])</f>
        <v>4321347</v>
      </c>
      <c r="G45" s="523">
        <f>SUMIFS(表1_8612182224267286[活跃总战力],表1_8612182224267286[目标区服],表2_9713192325277387[[#This Row],[合区区服]],表1_8612182224267286[目标国家（映射）],表2_9713192325277387[[#This Row],[国家]])</f>
        <v>48837783</v>
      </c>
      <c r="H45" s="522">
        <f>SUMIFS(表1_8612182224267286[活跃实际充值],表1_8612182224267286[目标区服],表2_9713192325277387[[#This Row],[合区区服]],表1_8612182224267286[目标国家（映射）],表2_9713192325277387[[#This Row],[国家]])</f>
        <v>251930</v>
      </c>
      <c r="I45" s="522">
        <f>SUMIFS(表1_8612182224267286[活跃虚拟充值],表1_8612182224267286[目标区服],表2_9713192325277387[[#This Row],[合区区服]],表1_8612182224267286[目标国家（映射）],表2_9713192325277387[[#This Row],[国家]])</f>
        <v>0</v>
      </c>
      <c r="J45" s="522">
        <f>SUMIFS(表1_8612182224267286[活跃Coin],表1_8612182224267286[目标区服],表2_9713192325277387[[#This Row],[合区区服]],表1_8612182224267286[目标国家（映射）],表2_9713192325277387[[#This Row],[国家]])</f>
        <v>848757</v>
      </c>
      <c r="K45" s="522">
        <f>SUMIFS(表1_8612182224267286[共计补偿Coin],表1_8612182224267286[目标区服],表2_9713192325277387[[#This Row],[合区区服]],表1_8612182224267286[目标国家（映射）],表2_9713192325277387[[#This Row],[国家]])</f>
        <v>81000</v>
      </c>
      <c r="L45" s="522">
        <f>表2_9713192325277387[[#This Row],[活跃Coin]]+表2_9713192325277387[[#This Row],[共计补偿Coin]]</f>
        <v>929757</v>
      </c>
      <c r="M45" s="522">
        <f>SUMIFS(表1_8612182224267286[综合国力],表1_8612182224267286[目标区服],表2_9713192325277387[[#This Row],[合区区服]],表1_8612182224267286[目标国家（映射）],表2_9713192325277387[[#This Row],[国家]])</f>
        <v>22286</v>
      </c>
      <c r="N45" s="530">
        <f t="array" ref="N45">MAX((表1_8612182224267286[目标区服]=表2_9713192325277387[[#This Row],[合区区服]])*(表1_8612182224267286[目标国家（映射）]=表2_9713192325277387[[#This Row],[国家]])*表1_8612182224267286[单将最高战力])</f>
        <v>1288874</v>
      </c>
    </row>
    <row r="46" ht="15" spans="1:14">
      <c r="A46" s="524" t="s">
        <v>169</v>
      </c>
      <c r="B46" s="525" t="s">
        <v>27</v>
      </c>
      <c r="C46" s="525">
        <f>COUNTIFS(表1_8612182224267286[目标区服],表2_9713192325277387[[#This Row],[合区区服]],表1_8612182224267286[目标国家（映射）],表2_9713192325277387[[#This Row],[国家]])</f>
        <v>2</v>
      </c>
      <c r="D46" s="525">
        <f>SUMIFS(表1_8612182224267286[活跃高战玩家数],表1_8612182224267286[目标区服],表2_9713192325277387[[#This Row],[合区区服]],表1_8612182224267286[目标国家（映射）],表2_9713192325277387[[#This Row],[国家]])</f>
        <v>5</v>
      </c>
      <c r="E46" s="525">
        <f>SUMIFS(表1_8612182224267286[活跃中坚玩家数],表1_8612182224267286[目标区服],表2_9713192325277387[[#This Row],[合区区服]],表1_8612182224267286[目标国家（映射）],表2_9713192325277387[[#This Row],[国家]])</f>
        <v>46</v>
      </c>
      <c r="F46" s="525">
        <f t="array" ref="F46">MAX((表1_8612182224267286[目标区服]=表2_9713192325277387[[#This Row],[合区区服]])*(表1_8612182224267286[目标国家（映射）]=表2_9713192325277387[[#This Row],[国家]])*表1_8612182224267286[活跃尖端战力])</f>
        <v>4670479</v>
      </c>
      <c r="G46" s="526">
        <f>SUMIFS(表1_8612182224267286[活跃总战力],表1_8612182224267286[目标区服],表2_9713192325277387[[#This Row],[合区区服]],表1_8612182224267286[目标国家（映射）],表2_9713192325277387[[#This Row],[国家]])</f>
        <v>58295893</v>
      </c>
      <c r="H46" s="525">
        <f>SUMIFS(表1_8612182224267286[活跃实际充值],表1_8612182224267286[目标区服],表2_9713192325277387[[#This Row],[合区区服]],表1_8612182224267286[目标国家（映射）],表2_9713192325277387[[#This Row],[国家]])</f>
        <v>252760</v>
      </c>
      <c r="I46" s="525">
        <f>SUMIFS(表1_8612182224267286[活跃虚拟充值],表1_8612182224267286[目标区服],表2_9713192325277387[[#This Row],[合区区服]],表1_8612182224267286[目标国家（映射）],表2_9713192325277387[[#This Row],[国家]])</f>
        <v>0</v>
      </c>
      <c r="J46" s="525">
        <f>SUMIFS(表1_8612182224267286[活跃Coin],表1_8612182224267286[目标区服],表2_9713192325277387[[#This Row],[合区区服]],表1_8612182224267286[目标国家（映射）],表2_9713192325277387[[#This Row],[国家]])</f>
        <v>756340</v>
      </c>
      <c r="K46" s="525">
        <f>SUMIFS(表1_8612182224267286[共计补偿Coin],表1_8612182224267286[目标区服],表2_9713192325277387[[#This Row],[合区区服]],表1_8612182224267286[目标国家（映射）],表2_9713192325277387[[#This Row],[国家]])</f>
        <v>86000</v>
      </c>
      <c r="L46" s="525">
        <f>表2_9713192325277387[[#This Row],[活跃Coin]]+表2_9713192325277387[[#This Row],[共计补偿Coin]]</f>
        <v>842340</v>
      </c>
      <c r="M46" s="525">
        <f>SUMIFS(表1_8612182224267286[综合国力],表1_8612182224267286[目标区服],表2_9713192325277387[[#This Row],[合区区服]],表1_8612182224267286[目标国家（映射）],表2_9713192325277387[[#This Row],[国家]])</f>
        <v>25684</v>
      </c>
      <c r="N46" s="531">
        <f t="array" ref="N46">MAX((表1_8612182224267286[目标区服]=表2_9713192325277387[[#This Row],[合区区服]])*(表1_8612182224267286[目标国家（映射）]=表2_9713192325277387[[#This Row],[国家]])*表1_8612182224267286[单将最高战力])</f>
        <v>1250584</v>
      </c>
    </row>
    <row r="52" ht="27" spans="2:14">
      <c r="B52" s="49"/>
      <c r="C52" s="50" t="s">
        <v>9</v>
      </c>
      <c r="D52" s="50" t="s">
        <v>10</v>
      </c>
      <c r="E52" s="50" t="s">
        <v>11</v>
      </c>
      <c r="F52" s="50" t="s">
        <v>12</v>
      </c>
      <c r="G52" s="50" t="s">
        <v>13</v>
      </c>
      <c r="H52" s="50" t="s">
        <v>14</v>
      </c>
      <c r="I52" s="50" t="s">
        <v>15</v>
      </c>
      <c r="J52" s="50" t="s">
        <v>18</v>
      </c>
      <c r="K52" s="50" t="s">
        <v>19</v>
      </c>
      <c r="L52" s="50" t="s">
        <v>20</v>
      </c>
      <c r="M52" s="50" t="s">
        <v>21</v>
      </c>
      <c r="N52" s="50" t="s">
        <v>82</v>
      </c>
    </row>
    <row r="53" spans="1:14">
      <c r="A53">
        <v>172</v>
      </c>
      <c r="B53" s="50" t="s">
        <v>25</v>
      </c>
      <c r="C53" s="50">
        <v>0</v>
      </c>
      <c r="D53" s="50">
        <v>28</v>
      </c>
      <c r="E53" s="50">
        <v>1</v>
      </c>
      <c r="F53" s="50">
        <v>12</v>
      </c>
      <c r="G53" s="50">
        <v>33979</v>
      </c>
      <c r="H53" s="50">
        <v>1985980</v>
      </c>
      <c r="I53" s="50">
        <v>11435686</v>
      </c>
      <c r="J53" s="50">
        <v>23526</v>
      </c>
      <c r="K53" s="50">
        <v>0</v>
      </c>
      <c r="L53" s="50">
        <v>127569</v>
      </c>
      <c r="M53" s="50">
        <v>4349</v>
      </c>
      <c r="N53" s="50">
        <v>625465</v>
      </c>
    </row>
    <row r="54" spans="2:14">
      <c r="B54" s="50" t="s">
        <v>26</v>
      </c>
      <c r="C54" s="50">
        <v>6</v>
      </c>
      <c r="D54" s="50">
        <v>219</v>
      </c>
      <c r="E54" s="50">
        <v>5</v>
      </c>
      <c r="F54" s="50">
        <v>26</v>
      </c>
      <c r="G54" s="50">
        <v>159260</v>
      </c>
      <c r="H54" s="50">
        <v>4940990</v>
      </c>
      <c r="I54" s="50">
        <v>44690122</v>
      </c>
      <c r="J54" s="50">
        <v>225634</v>
      </c>
      <c r="K54" s="50">
        <v>0</v>
      </c>
      <c r="L54" s="50">
        <v>1388394</v>
      </c>
      <c r="M54" s="50">
        <v>20459</v>
      </c>
      <c r="N54" s="50">
        <v>1386649</v>
      </c>
    </row>
    <row r="55" spans="2:14">
      <c r="B55" s="50" t="s">
        <v>27</v>
      </c>
      <c r="C55" s="50">
        <v>3</v>
      </c>
      <c r="D55" s="50">
        <v>148</v>
      </c>
      <c r="E55" s="50">
        <v>4</v>
      </c>
      <c r="F55" s="50">
        <v>27</v>
      </c>
      <c r="G55" s="50">
        <v>108480</v>
      </c>
      <c r="H55" s="50">
        <v>4481979</v>
      </c>
      <c r="I55" s="50">
        <v>34939077</v>
      </c>
      <c r="J55" s="50">
        <v>171938</v>
      </c>
      <c r="K55" s="50">
        <v>0</v>
      </c>
      <c r="L55" s="50">
        <v>809980</v>
      </c>
      <c r="M55" s="50">
        <v>15861</v>
      </c>
      <c r="N55" s="50">
        <v>1235705</v>
      </c>
    </row>
    <row r="56" spans="1:14">
      <c r="A56">
        <v>173</v>
      </c>
      <c r="B56" s="50" t="s">
        <v>25</v>
      </c>
      <c r="C56" s="50">
        <v>2</v>
      </c>
      <c r="D56" s="50">
        <v>112</v>
      </c>
      <c r="E56" s="50">
        <v>1</v>
      </c>
      <c r="F56" s="50">
        <v>20</v>
      </c>
      <c r="G56" s="50">
        <v>65038</v>
      </c>
      <c r="H56" s="50">
        <v>2210726</v>
      </c>
      <c r="I56" s="50">
        <v>20804386</v>
      </c>
      <c r="J56" s="50">
        <v>17948</v>
      </c>
      <c r="K56" s="50">
        <v>0</v>
      </c>
      <c r="L56" s="50">
        <v>462785</v>
      </c>
      <c r="M56" s="50">
        <v>6706</v>
      </c>
      <c r="N56" s="50">
        <v>612135</v>
      </c>
    </row>
    <row r="57" spans="2:14">
      <c r="B57" s="50" t="s">
        <v>26</v>
      </c>
      <c r="C57" s="50">
        <v>5</v>
      </c>
      <c r="D57" s="50">
        <v>206</v>
      </c>
      <c r="E57" s="50">
        <v>6</v>
      </c>
      <c r="F57" s="50">
        <v>30</v>
      </c>
      <c r="G57" s="50">
        <v>147261</v>
      </c>
      <c r="H57" s="50">
        <v>3074113</v>
      </c>
      <c r="I57" s="50">
        <v>42314487</v>
      </c>
      <c r="J57" s="50">
        <v>73462</v>
      </c>
      <c r="K57" s="50">
        <v>128</v>
      </c>
      <c r="L57" s="50">
        <v>666434</v>
      </c>
      <c r="M57" s="50">
        <v>13140</v>
      </c>
      <c r="N57" s="50">
        <v>803778</v>
      </c>
    </row>
    <row r="58" spans="2:14">
      <c r="B58" s="50" t="s">
        <v>27</v>
      </c>
      <c r="C58" s="50">
        <v>2</v>
      </c>
      <c r="D58" s="50">
        <v>77</v>
      </c>
      <c r="E58" s="50">
        <v>2</v>
      </c>
      <c r="F58" s="50">
        <v>19</v>
      </c>
      <c r="G58" s="50">
        <v>86047</v>
      </c>
      <c r="H58" s="50">
        <v>2685403</v>
      </c>
      <c r="I58" s="50">
        <v>23319761</v>
      </c>
      <c r="J58" s="50">
        <v>41174</v>
      </c>
      <c r="K58" s="50">
        <v>0</v>
      </c>
      <c r="L58" s="50">
        <v>166893</v>
      </c>
      <c r="M58" s="50">
        <v>7736</v>
      </c>
      <c r="N58" s="50">
        <v>717759</v>
      </c>
    </row>
    <row r="59" spans="1:14">
      <c r="A59">
        <v>174</v>
      </c>
      <c r="B59" s="50" t="s">
        <v>25</v>
      </c>
      <c r="C59" s="50">
        <v>4</v>
      </c>
      <c r="D59" s="50">
        <v>223</v>
      </c>
      <c r="E59" s="50">
        <v>6</v>
      </c>
      <c r="F59" s="50">
        <v>22</v>
      </c>
      <c r="G59" s="50">
        <v>145772</v>
      </c>
      <c r="H59" s="50">
        <v>3550026</v>
      </c>
      <c r="I59" s="50">
        <v>34380453</v>
      </c>
      <c r="J59" s="50">
        <v>154814</v>
      </c>
      <c r="K59" s="50">
        <v>128</v>
      </c>
      <c r="L59" s="50">
        <v>473640</v>
      </c>
      <c r="M59" s="50">
        <v>15229</v>
      </c>
      <c r="N59" s="50">
        <v>996054</v>
      </c>
    </row>
    <row r="60" spans="2:14">
      <c r="B60" s="50" t="s">
        <v>26</v>
      </c>
      <c r="C60" s="50">
        <v>3</v>
      </c>
      <c r="D60" s="50">
        <v>93</v>
      </c>
      <c r="E60" s="50">
        <v>3</v>
      </c>
      <c r="F60" s="50">
        <v>15</v>
      </c>
      <c r="G60" s="50">
        <v>75113</v>
      </c>
      <c r="H60" s="50">
        <v>2704921</v>
      </c>
      <c r="I60" s="50">
        <v>18586413</v>
      </c>
      <c r="J60" s="50">
        <v>44756</v>
      </c>
      <c r="K60" s="50">
        <v>0</v>
      </c>
      <c r="L60" s="50">
        <v>270014</v>
      </c>
      <c r="M60" s="50">
        <v>7646</v>
      </c>
      <c r="N60" s="50">
        <v>1027805</v>
      </c>
    </row>
    <row r="61" spans="2:14">
      <c r="B61" s="50" t="s">
        <v>27</v>
      </c>
      <c r="C61" s="50">
        <v>2</v>
      </c>
      <c r="D61" s="50">
        <v>79</v>
      </c>
      <c r="E61" s="50">
        <v>0</v>
      </c>
      <c r="F61" s="50">
        <v>16</v>
      </c>
      <c r="G61" s="50">
        <v>47583</v>
      </c>
      <c r="H61" s="50">
        <v>1620726</v>
      </c>
      <c r="I61" s="50">
        <v>12414993</v>
      </c>
      <c r="J61" s="50">
        <v>16542</v>
      </c>
      <c r="K61" s="50">
        <v>0</v>
      </c>
      <c r="L61" s="50">
        <v>191270</v>
      </c>
      <c r="M61" s="50">
        <v>4682</v>
      </c>
      <c r="N61" s="50">
        <v>581930</v>
      </c>
    </row>
    <row r="62" spans="1:14">
      <c r="A62">
        <v>175</v>
      </c>
      <c r="B62" s="50" t="s">
        <v>25</v>
      </c>
      <c r="C62" s="50">
        <v>0</v>
      </c>
      <c r="D62" s="50">
        <v>44</v>
      </c>
      <c r="E62" s="50">
        <v>1</v>
      </c>
      <c r="F62" s="50">
        <v>11</v>
      </c>
      <c r="G62" s="50">
        <v>52355</v>
      </c>
      <c r="H62" s="50">
        <v>2298920</v>
      </c>
      <c r="I62" s="50">
        <v>10482415</v>
      </c>
      <c r="J62" s="50">
        <v>60774</v>
      </c>
      <c r="K62" s="50">
        <v>0</v>
      </c>
      <c r="L62" s="50">
        <v>180583</v>
      </c>
      <c r="M62" s="50">
        <v>5962</v>
      </c>
      <c r="N62" s="50">
        <v>1016979</v>
      </c>
    </row>
    <row r="63" spans="2:14">
      <c r="B63" s="50" t="s">
        <v>26</v>
      </c>
      <c r="C63" s="50">
        <v>0</v>
      </c>
      <c r="D63" s="50">
        <v>72</v>
      </c>
      <c r="E63" s="50">
        <v>1</v>
      </c>
      <c r="F63" s="50">
        <v>16</v>
      </c>
      <c r="G63" s="50">
        <v>64384</v>
      </c>
      <c r="H63" s="50">
        <v>1453058</v>
      </c>
      <c r="I63" s="50">
        <v>10927005</v>
      </c>
      <c r="J63" s="50">
        <v>3238</v>
      </c>
      <c r="K63" s="50">
        <v>0</v>
      </c>
      <c r="L63" s="50">
        <v>226610</v>
      </c>
      <c r="M63" s="50">
        <v>3798</v>
      </c>
      <c r="N63" s="50">
        <v>462945</v>
      </c>
    </row>
    <row r="64" spans="2:14">
      <c r="B64" s="50" t="s">
        <v>27</v>
      </c>
      <c r="C64" s="50">
        <v>9</v>
      </c>
      <c r="D64" s="50">
        <v>279</v>
      </c>
      <c r="E64" s="50">
        <v>7</v>
      </c>
      <c r="F64" s="50">
        <v>15</v>
      </c>
      <c r="G64" s="50">
        <v>139601</v>
      </c>
      <c r="H64" s="50">
        <v>3761915</v>
      </c>
      <c r="I64" s="50">
        <v>26473673</v>
      </c>
      <c r="J64" s="50">
        <v>156930</v>
      </c>
      <c r="K64" s="50">
        <v>0</v>
      </c>
      <c r="L64" s="50">
        <v>869338</v>
      </c>
      <c r="M64" s="50">
        <v>15939</v>
      </c>
      <c r="N64" s="50">
        <v>1056699</v>
      </c>
    </row>
    <row r="65" spans="1:14">
      <c r="A65">
        <v>176</v>
      </c>
      <c r="B65" s="50" t="s">
        <v>25</v>
      </c>
      <c r="C65" s="50">
        <v>9</v>
      </c>
      <c r="D65" s="50">
        <v>311</v>
      </c>
      <c r="E65" s="50">
        <v>10</v>
      </c>
      <c r="F65" s="50">
        <v>22</v>
      </c>
      <c r="G65" s="50">
        <v>193426</v>
      </c>
      <c r="H65" s="50">
        <v>4741327</v>
      </c>
      <c r="I65" s="50">
        <v>40234675</v>
      </c>
      <c r="J65" s="50">
        <v>179224</v>
      </c>
      <c r="K65" s="50">
        <v>69094</v>
      </c>
      <c r="L65" s="50">
        <v>1794315</v>
      </c>
      <c r="M65" s="50">
        <v>20706</v>
      </c>
      <c r="N65" s="50">
        <v>1301643</v>
      </c>
    </row>
    <row r="66" spans="2:14">
      <c r="B66" s="50" t="s">
        <v>26</v>
      </c>
      <c r="C66" s="50">
        <v>0</v>
      </c>
      <c r="D66" s="50">
        <v>43</v>
      </c>
      <c r="E66" s="50">
        <v>0</v>
      </c>
      <c r="F66" s="50">
        <v>14</v>
      </c>
      <c r="G66" s="50">
        <v>50859</v>
      </c>
      <c r="H66" s="50">
        <v>1162248</v>
      </c>
      <c r="I66" s="50">
        <v>7646034</v>
      </c>
      <c r="J66" s="50">
        <v>8874</v>
      </c>
      <c r="K66" s="50">
        <v>0</v>
      </c>
      <c r="L66" s="50">
        <v>152958</v>
      </c>
      <c r="M66" s="50">
        <v>2953</v>
      </c>
      <c r="N66" s="50">
        <v>355116</v>
      </c>
    </row>
    <row r="67" spans="2:14">
      <c r="B67" s="50" t="s">
        <v>27</v>
      </c>
      <c r="C67" s="50">
        <v>0</v>
      </c>
      <c r="D67" s="50">
        <v>41</v>
      </c>
      <c r="E67" s="50">
        <v>0</v>
      </c>
      <c r="F67" s="50">
        <v>9</v>
      </c>
      <c r="G67" s="50">
        <v>29386</v>
      </c>
      <c r="H67" s="50">
        <v>1265562</v>
      </c>
      <c r="I67" s="50">
        <v>4774771</v>
      </c>
      <c r="J67" s="50">
        <v>2148</v>
      </c>
      <c r="K67" s="50">
        <v>7266</v>
      </c>
      <c r="L67" s="50">
        <v>190047</v>
      </c>
      <c r="M67" s="50">
        <v>2532</v>
      </c>
      <c r="N67" s="50">
        <v>442779</v>
      </c>
    </row>
    <row r="68" spans="1:14">
      <c r="A68">
        <v>177</v>
      </c>
      <c r="B68" s="50" t="s">
        <v>25</v>
      </c>
      <c r="C68" s="50">
        <v>2</v>
      </c>
      <c r="D68" s="50">
        <v>122</v>
      </c>
      <c r="E68" s="50">
        <v>2</v>
      </c>
      <c r="F68" s="50">
        <v>15</v>
      </c>
      <c r="G68" s="50">
        <v>90167</v>
      </c>
      <c r="H68" s="50">
        <v>2608845</v>
      </c>
      <c r="I68" s="50">
        <v>15493963</v>
      </c>
      <c r="J68" s="50">
        <v>37026</v>
      </c>
      <c r="K68" s="50">
        <v>0</v>
      </c>
      <c r="L68" s="50">
        <v>339955</v>
      </c>
      <c r="M68" s="50">
        <v>7309</v>
      </c>
      <c r="N68" s="50">
        <v>873682</v>
      </c>
    </row>
    <row r="69" spans="2:14">
      <c r="B69" s="50" t="s">
        <v>26</v>
      </c>
      <c r="C69" s="50">
        <v>1</v>
      </c>
      <c r="D69" s="50">
        <v>65</v>
      </c>
      <c r="E69" s="50">
        <v>0</v>
      </c>
      <c r="F69" s="50">
        <v>9</v>
      </c>
      <c r="G69" s="50">
        <v>36189</v>
      </c>
      <c r="H69" s="50">
        <v>1143614</v>
      </c>
      <c r="I69" s="50">
        <v>5755205</v>
      </c>
      <c r="J69" s="50">
        <v>1168</v>
      </c>
      <c r="K69" s="50">
        <v>0</v>
      </c>
      <c r="L69" s="50">
        <v>78165</v>
      </c>
      <c r="M69" s="50">
        <v>2724</v>
      </c>
      <c r="N69" s="50">
        <v>456145</v>
      </c>
    </row>
    <row r="70" spans="2:14">
      <c r="B70" s="50" t="s">
        <v>27</v>
      </c>
      <c r="C70" s="50">
        <v>6</v>
      </c>
      <c r="D70" s="50">
        <v>208</v>
      </c>
      <c r="E70" s="50">
        <v>8</v>
      </c>
      <c r="F70" s="50">
        <v>13</v>
      </c>
      <c r="G70" s="50">
        <v>137287</v>
      </c>
      <c r="H70" s="50">
        <v>3035306</v>
      </c>
      <c r="I70" s="50">
        <v>23680479</v>
      </c>
      <c r="J70" s="50">
        <v>83104</v>
      </c>
      <c r="K70" s="50">
        <v>0</v>
      </c>
      <c r="L70" s="50">
        <v>374744</v>
      </c>
      <c r="M70" s="50">
        <v>11450</v>
      </c>
      <c r="N70" s="50">
        <v>861003</v>
      </c>
    </row>
    <row r="71" spans="1:14">
      <c r="A71">
        <v>178</v>
      </c>
      <c r="B71" s="50" t="s">
        <v>25</v>
      </c>
      <c r="C71" s="50">
        <v>2</v>
      </c>
      <c r="D71" s="50">
        <v>87</v>
      </c>
      <c r="E71" s="50">
        <v>1</v>
      </c>
      <c r="F71" s="50">
        <v>12</v>
      </c>
      <c r="G71" s="50">
        <v>70865</v>
      </c>
      <c r="H71" s="50">
        <v>1986586</v>
      </c>
      <c r="I71" s="50">
        <v>11765976</v>
      </c>
      <c r="J71" s="50">
        <v>3806</v>
      </c>
      <c r="K71" s="50">
        <v>0</v>
      </c>
      <c r="L71" s="50">
        <v>172124</v>
      </c>
      <c r="M71" s="50">
        <v>4787</v>
      </c>
      <c r="N71" s="50">
        <v>514729</v>
      </c>
    </row>
    <row r="72" spans="2:14">
      <c r="B72" s="50" t="s">
        <v>26</v>
      </c>
      <c r="C72" s="50">
        <v>4</v>
      </c>
      <c r="D72" s="50">
        <v>173</v>
      </c>
      <c r="E72" s="50">
        <v>4</v>
      </c>
      <c r="F72" s="50">
        <v>13</v>
      </c>
      <c r="G72" s="50">
        <v>90338</v>
      </c>
      <c r="H72" s="50">
        <v>2937477</v>
      </c>
      <c r="I72" s="50">
        <v>16873042</v>
      </c>
      <c r="J72" s="50">
        <v>49742</v>
      </c>
      <c r="K72" s="50">
        <v>0</v>
      </c>
      <c r="L72" s="50">
        <v>533389</v>
      </c>
      <c r="M72" s="50">
        <v>8965</v>
      </c>
      <c r="N72" s="50">
        <v>899685</v>
      </c>
    </row>
    <row r="73" spans="2:14">
      <c r="B73" s="50" t="s">
        <v>27</v>
      </c>
      <c r="C73" s="50">
        <v>3</v>
      </c>
      <c r="D73" s="50">
        <v>135</v>
      </c>
      <c r="E73" s="50">
        <v>5</v>
      </c>
      <c r="F73" s="50">
        <v>20</v>
      </c>
      <c r="G73" s="50">
        <v>114851</v>
      </c>
      <c r="H73" s="50">
        <v>2515197</v>
      </c>
      <c r="I73" s="50">
        <v>20797090</v>
      </c>
      <c r="J73" s="50">
        <v>35430</v>
      </c>
      <c r="K73" s="50">
        <v>0</v>
      </c>
      <c r="L73" s="50">
        <v>452701</v>
      </c>
      <c r="M73" s="50">
        <v>8108</v>
      </c>
      <c r="N73" s="50">
        <v>745382</v>
      </c>
    </row>
    <row r="74" spans="1:14">
      <c r="A74">
        <v>179</v>
      </c>
      <c r="B74" s="50" t="s">
        <v>25</v>
      </c>
      <c r="C74" s="50">
        <v>3</v>
      </c>
      <c r="D74" s="50">
        <v>132</v>
      </c>
      <c r="E74" s="50">
        <v>3</v>
      </c>
      <c r="F74" s="50">
        <v>17</v>
      </c>
      <c r="G74" s="50">
        <v>115966</v>
      </c>
      <c r="H74" s="50">
        <v>2732034</v>
      </c>
      <c r="I74" s="50">
        <v>18043527</v>
      </c>
      <c r="J74" s="50">
        <v>27938</v>
      </c>
      <c r="K74" s="50">
        <v>0</v>
      </c>
      <c r="L74" s="50">
        <v>352098</v>
      </c>
      <c r="M74" s="50">
        <v>7750</v>
      </c>
      <c r="N74" s="50">
        <v>851011</v>
      </c>
    </row>
    <row r="75" spans="2:14">
      <c r="B75" s="50" t="s">
        <v>26</v>
      </c>
      <c r="C75" s="50">
        <v>4</v>
      </c>
      <c r="D75" s="50">
        <v>180</v>
      </c>
      <c r="E75" s="50">
        <v>6</v>
      </c>
      <c r="F75" s="50">
        <v>8</v>
      </c>
      <c r="G75" s="50">
        <v>92444</v>
      </c>
      <c r="H75" s="50">
        <v>3079148</v>
      </c>
      <c r="I75" s="50">
        <v>15909346</v>
      </c>
      <c r="J75" s="50">
        <v>36914</v>
      </c>
      <c r="K75" s="50">
        <v>0</v>
      </c>
      <c r="L75" s="50">
        <v>485171</v>
      </c>
      <c r="M75" s="50">
        <v>8682</v>
      </c>
      <c r="N75" s="50">
        <v>856990</v>
      </c>
    </row>
    <row r="76" spans="2:14">
      <c r="B76" s="50" t="s">
        <v>27</v>
      </c>
      <c r="C76" s="50">
        <v>2</v>
      </c>
      <c r="D76" s="50">
        <v>83</v>
      </c>
      <c r="E76" s="50">
        <v>0</v>
      </c>
      <c r="F76" s="50">
        <v>8</v>
      </c>
      <c r="G76" s="50">
        <v>35291</v>
      </c>
      <c r="H76" s="50">
        <v>1197767</v>
      </c>
      <c r="I76" s="50">
        <v>5087910</v>
      </c>
      <c r="J76" s="50">
        <v>1398</v>
      </c>
      <c r="K76" s="50">
        <v>0</v>
      </c>
      <c r="L76" s="50">
        <v>88425</v>
      </c>
      <c r="M76" s="50">
        <v>2999</v>
      </c>
      <c r="N76" s="50">
        <v>347397</v>
      </c>
    </row>
    <row r="77" spans="1:14">
      <c r="A77">
        <v>180</v>
      </c>
      <c r="B77" s="50" t="s">
        <v>25</v>
      </c>
      <c r="C77" s="50">
        <v>5</v>
      </c>
      <c r="D77" s="50">
        <v>141</v>
      </c>
      <c r="E77" s="50">
        <v>4</v>
      </c>
      <c r="F77" s="50">
        <v>28</v>
      </c>
      <c r="G77" s="50">
        <v>137431</v>
      </c>
      <c r="H77" s="50">
        <v>4670479</v>
      </c>
      <c r="I77" s="50">
        <v>38812568</v>
      </c>
      <c r="J77" s="50">
        <v>177010</v>
      </c>
      <c r="K77" s="50">
        <v>0</v>
      </c>
      <c r="L77" s="50">
        <v>469172</v>
      </c>
      <c r="M77" s="50">
        <v>16693</v>
      </c>
      <c r="N77" s="50">
        <v>1250584</v>
      </c>
    </row>
    <row r="78" spans="2:14">
      <c r="B78" s="50" t="s">
        <v>26</v>
      </c>
      <c r="C78" s="50">
        <v>0</v>
      </c>
      <c r="D78" s="50">
        <v>79</v>
      </c>
      <c r="E78" s="50">
        <v>0</v>
      </c>
      <c r="F78" s="50">
        <v>14</v>
      </c>
      <c r="G78" s="50">
        <v>30752</v>
      </c>
      <c r="H78" s="50">
        <v>1402331</v>
      </c>
      <c r="I78" s="50">
        <v>10311465</v>
      </c>
      <c r="J78" s="50">
        <v>14262</v>
      </c>
      <c r="K78" s="50">
        <v>0</v>
      </c>
      <c r="L78" s="50">
        <v>180833</v>
      </c>
      <c r="M78" s="50">
        <v>3895</v>
      </c>
      <c r="N78" s="50">
        <v>361824</v>
      </c>
    </row>
    <row r="79" spans="2:14">
      <c r="B79" s="50" t="s">
        <v>27</v>
      </c>
      <c r="C79" s="50">
        <v>4</v>
      </c>
      <c r="D79" s="50">
        <v>175</v>
      </c>
      <c r="E79" s="50">
        <v>5</v>
      </c>
      <c r="F79" s="50">
        <v>22</v>
      </c>
      <c r="G79" s="50">
        <v>137750</v>
      </c>
      <c r="H79" s="50">
        <v>4024649</v>
      </c>
      <c r="I79" s="50">
        <v>35950327</v>
      </c>
      <c r="J79" s="50">
        <v>151134</v>
      </c>
      <c r="K79" s="50">
        <v>0</v>
      </c>
      <c r="L79" s="50">
        <v>815914</v>
      </c>
      <c r="M79" s="50">
        <v>15400</v>
      </c>
      <c r="N79" s="50">
        <v>1143089</v>
      </c>
    </row>
    <row r="80" spans="1:14">
      <c r="A80">
        <v>181</v>
      </c>
      <c r="B80" s="50" t="s">
        <v>25</v>
      </c>
      <c r="C80" s="50">
        <v>3</v>
      </c>
      <c r="D80" s="50">
        <v>122</v>
      </c>
      <c r="E80" s="50">
        <v>2</v>
      </c>
      <c r="F80" s="50">
        <v>25</v>
      </c>
      <c r="G80" s="50">
        <v>106327</v>
      </c>
      <c r="H80" s="50">
        <v>4342525</v>
      </c>
      <c r="I80" s="50">
        <v>32434704</v>
      </c>
      <c r="J80" s="50">
        <v>209616</v>
      </c>
      <c r="K80" s="50">
        <v>0</v>
      </c>
      <c r="L80" s="50">
        <v>214385</v>
      </c>
      <c r="M80" s="50">
        <v>16033</v>
      </c>
      <c r="N80" s="50">
        <v>1533258</v>
      </c>
    </row>
    <row r="81" spans="2:14">
      <c r="B81" s="50" t="s">
        <v>26</v>
      </c>
      <c r="C81" s="50">
        <v>4</v>
      </c>
      <c r="D81" s="50">
        <v>171</v>
      </c>
      <c r="E81" s="50">
        <v>6</v>
      </c>
      <c r="F81" s="50">
        <v>24</v>
      </c>
      <c r="G81" s="50">
        <v>128797</v>
      </c>
      <c r="H81" s="50">
        <v>4321347</v>
      </c>
      <c r="I81" s="50">
        <v>38526318</v>
      </c>
      <c r="J81" s="50">
        <v>237668</v>
      </c>
      <c r="K81" s="50">
        <v>0</v>
      </c>
      <c r="L81" s="50">
        <v>667924</v>
      </c>
      <c r="M81" s="50">
        <v>18391</v>
      </c>
      <c r="N81" s="50">
        <v>1288874</v>
      </c>
    </row>
    <row r="82" spans="2:14">
      <c r="B82" s="50" t="s">
        <v>27</v>
      </c>
      <c r="C82" s="50">
        <v>2</v>
      </c>
      <c r="D82" s="50">
        <v>102</v>
      </c>
      <c r="E82" s="50">
        <v>1</v>
      </c>
      <c r="F82" s="50">
        <v>18</v>
      </c>
      <c r="G82" s="50">
        <v>60826</v>
      </c>
      <c r="H82" s="50">
        <v>3102840</v>
      </c>
      <c r="I82" s="50">
        <v>19483325</v>
      </c>
      <c r="J82" s="50">
        <v>75750</v>
      </c>
      <c r="K82" s="50">
        <v>0</v>
      </c>
      <c r="L82" s="50">
        <v>287168</v>
      </c>
      <c r="M82" s="50">
        <v>8991</v>
      </c>
      <c r="N82" s="50">
        <v>1130840</v>
      </c>
    </row>
  </sheetData>
  <conditionalFormatting sqref="F35:F37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{109ff964-4884-4bd3-944f-324a1d732e1f}</x14:id>
        </ext>
      </extLst>
    </cfRule>
  </conditionalFormatting>
  <conditionalFormatting sqref="F38:F40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{a1bc031b-db77-4e12-a21f-ce386824f0a7}</x14:id>
        </ext>
      </extLst>
    </cfRule>
  </conditionalFormatting>
  <conditionalFormatting sqref="F41:F4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{3619f1ea-71af-487d-ab91-9b98632dd6f9}</x14:id>
        </ext>
      </extLst>
    </cfRule>
  </conditionalFormatting>
  <conditionalFormatting sqref="F44:F46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{c55c7f40-5aa1-464e-ac4d-4635a0556c74}</x14:id>
        </ext>
      </extLst>
    </cfRule>
  </conditionalFormatting>
  <conditionalFormatting sqref="G35:G37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{e4034708-35d1-4035-8557-503f4a8cc354}</x14:id>
        </ext>
      </extLst>
    </cfRule>
  </conditionalFormatting>
  <conditionalFormatting sqref="G38:G40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{80f14ad5-174b-494b-9080-3edc6e856828}</x14:id>
        </ext>
      </extLst>
    </cfRule>
  </conditionalFormatting>
  <conditionalFormatting sqref="G41:G43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{c1eb50fe-db43-41bc-bae3-d630d57801da}</x14:id>
        </ext>
      </extLst>
    </cfRule>
  </conditionalFormatting>
  <conditionalFormatting sqref="G44:G46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{7b51e990-a3a3-4ddc-aabb-f7c9bce3a5b4}</x14:id>
        </ext>
      </extLst>
    </cfRule>
  </conditionalFormatting>
  <conditionalFormatting sqref="N35:N46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{40b97fef-ad5b-4693-86c1-361f23ba8eef}</x14:id>
        </ext>
      </extLst>
    </cfRule>
  </conditionalFormatting>
  <conditionalFormatting sqref="N44:N4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{b87b5b65-82c0-41e7-9d73-8a46315c0350}</x14:id>
        </ext>
      </extLst>
    </cfRule>
  </conditionalFormatting>
  <conditionalFormatting sqref="O2:O19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{68a057a5-1ad9-421f-9863-4ad8f4e46d74}</x14:id>
        </ext>
      </extLst>
    </cfRule>
  </conditionalFormatting>
  <conditionalFormatting sqref="O23:O2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{da7402ac-2f24-4fcd-bb07-41000021c39a}</x14:id>
        </ext>
      </extLst>
    </cfRule>
  </conditionalFormatting>
  <conditionalFormatting sqref="P2:P19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{2d990b53-f9fe-4611-bde4-a4e2111cfafa}</x14:id>
        </ext>
      </extLst>
    </cfRule>
  </conditionalFormatting>
  <conditionalFormatting sqref="P23:P2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{158958b1-a07d-496c-b8c8-eda035971c77}</x14:id>
        </ext>
      </extLst>
    </cfRule>
  </conditionalFormatting>
  <conditionalFormatting sqref="P35:P44">
    <cfRule type="cellIs" dxfId="37" priority="11" operator="equal">
      <formula>$S$35</formula>
    </cfRule>
  </conditionalFormatting>
  <conditionalFormatting sqref="Q23:Q25">
    <cfRule type="cellIs" dxfId="38" priority="3" operator="equal">
      <formula>配置!$D$4</formula>
    </cfRule>
    <cfRule type="cellIs" dxfId="39" priority="4" operator="equal">
      <formula>配置!$D$3</formula>
    </cfRule>
    <cfRule type="cellIs" dxfId="37" priority="5" operator="equal">
      <formula>配置!$D$2</formula>
    </cfRule>
    <cfRule type="cellIs" dxfId="38" priority="6" operator="equal">
      <formula>配置!$D$4</formula>
    </cfRule>
    <cfRule type="cellIs" dxfId="37" priority="7" operator="equal">
      <formula>配置!$D$2</formula>
    </cfRule>
  </conditionalFormatting>
  <conditionalFormatting sqref="R35:R38">
    <cfRule type="cellIs" dxfId="37" priority="12" operator="equal">
      <formula>$S$35</formula>
    </cfRule>
  </conditionalFormatting>
  <conditionalFormatting sqref="O32:O33 Q1:R1 Q2 Q4:Q5 Q7:Q8 Q10:Q11 Q13:Q14 Q22 Q26:Q31 Q16:Q17 Q19:Q20">
    <cfRule type="cellIs" dxfId="37" priority="28" operator="equal">
      <formula>配置!$D$2</formula>
    </cfRule>
  </conditionalFormatting>
  <conditionalFormatting sqref="Q2 Q4:Q5 Q7:Q8 Q10:Q11 Q13:Q14 Q22 Q26:Q31 Q16:Q17 Q19:Q20">
    <cfRule type="cellIs" dxfId="38" priority="27" operator="equal">
      <formula>配置!$D$4</formula>
    </cfRule>
  </conditionalFormatting>
  <conditionalFormatting sqref="Q26:Q31 Q2:Q22">
    <cfRule type="cellIs" dxfId="38" priority="18" operator="equal">
      <formula>配置!$D$4</formula>
    </cfRule>
    <cfRule type="cellIs" dxfId="39" priority="19" operator="equal">
      <formula>配置!$D$3</formula>
    </cfRule>
    <cfRule type="cellIs" dxfId="37" priority="20" operator="equal">
      <formula>配置!$D$2</formula>
    </cfRule>
  </conditionalFormatting>
  <conditionalFormatting sqref="O20:O22 O26:O31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{b43d88dc-f70b-4cfc-b310-cdb4f8887a71}</x14:id>
        </ext>
      </extLst>
    </cfRule>
  </conditionalFormatting>
  <conditionalFormatting sqref="P20:P22 P26:P31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{de202376-3083-45fb-a7dc-18f0568cd941}</x14:id>
        </ext>
      </extLst>
    </cfRule>
  </conditionalFormatting>
  <dataValidations count="1">
    <dataValidation type="list" allowBlank="1" showInputMessage="1" showErrorMessage="1" sqref="Q2:Q31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09ff964-4884-4bd3-944f-324a1d732e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F35:F37</xm:sqref>
        </x14:conditionalFormatting>
        <x14:conditionalFormatting xmlns:xm="http://schemas.microsoft.com/office/excel/2006/main">
          <x14:cfRule type="dataBar" id="{a1bc031b-db77-4e12-a21f-ce386824f0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F38:F40</xm:sqref>
        </x14:conditionalFormatting>
        <x14:conditionalFormatting xmlns:xm="http://schemas.microsoft.com/office/excel/2006/main">
          <x14:cfRule type="dataBar" id="{3619f1ea-71af-487d-ab91-9b98632dd6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F41:F43</xm:sqref>
        </x14:conditionalFormatting>
        <x14:conditionalFormatting xmlns:xm="http://schemas.microsoft.com/office/excel/2006/main">
          <x14:cfRule type="dataBar" id="{c55c7f40-5aa1-464e-ac4d-4635a0556c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F44:F46</xm:sqref>
        </x14:conditionalFormatting>
        <x14:conditionalFormatting xmlns:xm="http://schemas.microsoft.com/office/excel/2006/main">
          <x14:cfRule type="dataBar" id="{e4034708-35d1-4035-8557-503f4a8cc3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G35:G37</xm:sqref>
        </x14:conditionalFormatting>
        <x14:conditionalFormatting xmlns:xm="http://schemas.microsoft.com/office/excel/2006/main">
          <x14:cfRule type="dataBar" id="{80f14ad5-174b-494b-9080-3edc6e8568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G38:G40</xm:sqref>
        </x14:conditionalFormatting>
        <x14:conditionalFormatting xmlns:xm="http://schemas.microsoft.com/office/excel/2006/main">
          <x14:cfRule type="dataBar" id="{c1eb50fe-db43-41bc-bae3-d630d57801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G41:G43</xm:sqref>
        </x14:conditionalFormatting>
        <x14:conditionalFormatting xmlns:xm="http://schemas.microsoft.com/office/excel/2006/main">
          <x14:cfRule type="dataBar" id="{7b51e990-a3a3-4ddc-aabb-f7c9bce3a5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G44:G46</xm:sqref>
        </x14:conditionalFormatting>
        <x14:conditionalFormatting xmlns:xm="http://schemas.microsoft.com/office/excel/2006/main">
          <x14:cfRule type="dataBar" id="{40b97fef-ad5b-4693-86c1-361f23ba8e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N35:N46</xm:sqref>
        </x14:conditionalFormatting>
        <x14:conditionalFormatting xmlns:xm="http://schemas.microsoft.com/office/excel/2006/main">
          <x14:cfRule type="dataBar" id="{b87b5b65-82c0-41e7-9d73-8a46315c03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N44:N46</xm:sqref>
        </x14:conditionalFormatting>
        <x14:conditionalFormatting xmlns:xm="http://schemas.microsoft.com/office/excel/2006/main">
          <x14:cfRule type="dataBar" id="{68a057a5-1ad9-421f-9863-4ad8f4e46d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da7402ac-2f24-4fcd-bb07-41000021c3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O23:O25</xm:sqref>
        </x14:conditionalFormatting>
        <x14:conditionalFormatting xmlns:xm="http://schemas.microsoft.com/office/excel/2006/main">
          <x14:cfRule type="dataBar" id="{2d990b53-f9fe-4611-bde4-a4e2111cfa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158958b1-a07d-496c-b8c8-eda035971c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P23:P25</xm:sqref>
        </x14:conditionalFormatting>
        <x14:conditionalFormatting xmlns:xm="http://schemas.microsoft.com/office/excel/2006/main">
          <x14:cfRule type="dataBar" id="{b43d88dc-f70b-4cfc-b310-cdb4f8887a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 O26:O31</xm:sqref>
        </x14:conditionalFormatting>
        <x14:conditionalFormatting xmlns:xm="http://schemas.microsoft.com/office/excel/2006/main">
          <x14:cfRule type="dataBar" id="{de202376-3083-45fb-a7dc-18f0568cd9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 P26:P31</xm:sqref>
        </x14:conditionalFormatting>
      </x14:conditionalFormatting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208"/>
  <sheetViews>
    <sheetView topLeftCell="A70" workbookViewId="0">
      <selection activeCell="G84" sqref="$A1:$XFD1048576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1">
        <v>5101</v>
      </c>
      <c r="B2" s="371">
        <f>VLOOKUP(表1_8612182224267288[[#This Row],[区服]],$P$86:$Q$112,2,FALSE)</f>
        <v>47</v>
      </c>
      <c r="C2" s="39" t="s">
        <v>170</v>
      </c>
      <c r="D2" s="373" t="str">
        <f>表1_8612182224267288[[#This Row],[目标国家]]</f>
        <v>吴</v>
      </c>
      <c r="E2" s="374">
        <f>(VLOOKUP(表1_8612182224267288[[#This Row],[目标区服]],$R$86:$S$112,2,FALSE)-表1_8612182224267288[[#This Row],[开服天数]])*配置!$B$1</f>
        <v>1000</v>
      </c>
      <c r="F2" s="374">
        <f>表1_8612182224267288[[#This Row],[补偿Coin]]*(表1_8612182224267288[[#This Row],[活跃高战玩家数]]+表1_8612182224267288[[#This Row],[活跃中坚玩家数]])</f>
        <v>22000</v>
      </c>
      <c r="G2" s="374">
        <f>(VLOOKUP(表1_8612182224267288[[#This Row],[目标区服]],$R$86:$S$98,2,FALSE)-表1_8612182224267288[[#This Row],[开服天数]])*配置!$B$2</f>
        <v>10</v>
      </c>
      <c r="H2" s="376" t="s">
        <v>25</v>
      </c>
      <c r="I2" s="376">
        <f>IF(表1_8612182224267288[[#This Row],[原国家]]="魏",0,IF(表1_8612182224267288[[#This Row],[原国家]]="蜀",1,2))</f>
        <v>0</v>
      </c>
      <c r="J2" s="380">
        <v>4</v>
      </c>
      <c r="K2" s="380">
        <v>150</v>
      </c>
      <c r="L2" s="380">
        <v>5</v>
      </c>
      <c r="M2" s="380">
        <v>17</v>
      </c>
      <c r="N2" s="380">
        <v>95146</v>
      </c>
      <c r="O2" s="380">
        <v>2560794</v>
      </c>
      <c r="P2" s="381">
        <v>19166533</v>
      </c>
      <c r="Q2" s="31" t="s">
        <v>27</v>
      </c>
      <c r="R2" s="376">
        <f>IF(表1_8612182224267288[[#This Row],[目标国家]]="魏",0,IF(表1_8612182224267288[[#This Row],[目标国家]]="蜀",1,2))</f>
        <v>2</v>
      </c>
      <c r="S2" s="380">
        <v>63944</v>
      </c>
      <c r="T2" s="380">
        <v>0</v>
      </c>
      <c r="U2" s="380">
        <v>296269</v>
      </c>
      <c r="V2" s="380">
        <v>8919</v>
      </c>
      <c r="W2" s="374">
        <v>795174</v>
      </c>
      <c r="X2" s="387" t="str">
        <f>"{"&amp;"'coin':"&amp;表1_8612182224267288[[#This Row],[补偿Coin]]&amp;",'"&amp;配置!$A$2&amp;"':"&amp;表1_8612182224267288[[#This Row],[补偿辎重]]&amp;"},"</f>
        <v>{'coin':1000,'item036':10},</v>
      </c>
      <c r="Y2" s="388" t="str">
        <f>"      '"&amp;表1_8612182224267288[[#This Row],[区服]]&amp;"':{"</f>
        <v>      '5101':{</v>
      </c>
    </row>
    <row r="3" s="354" customFormat="1" ht="14.25" customHeight="1" spans="1:25">
      <c r="A3" s="375">
        <v>5101</v>
      </c>
      <c r="B3" s="371">
        <f>VLOOKUP(表1_8612182224267288[[#This Row],[区服]],$P$86:$Q$112,2,FALSE)</f>
        <v>47</v>
      </c>
      <c r="C3" s="39" t="s">
        <v>170</v>
      </c>
      <c r="D3" s="376" t="str">
        <f>表1_8612182224267288[[#This Row],[目标国家]]</f>
        <v>蜀</v>
      </c>
      <c r="E3" s="380">
        <f>(VLOOKUP(表1_8612182224267288[[#This Row],[目标区服]],$R$86:$S$112,2,FALSE)-表1_8612182224267288[[#This Row],[开服天数]])*配置!$B$1</f>
        <v>1000</v>
      </c>
      <c r="F3" s="380">
        <f>表1_8612182224267288[[#This Row],[补偿Coin]]*(表1_8612182224267288[[#This Row],[活跃高战玩家数]]+表1_8612182224267288[[#This Row],[活跃中坚玩家数]])</f>
        <v>27000</v>
      </c>
      <c r="G3" s="380">
        <f>(VLOOKUP(表1_8612182224267288[[#This Row],[目标区服]],$R$86:$S$98,2,FALSE)-表1_8612182224267288[[#This Row],[开服天数]])*配置!$B$2</f>
        <v>10</v>
      </c>
      <c r="H3" s="376" t="s">
        <v>26</v>
      </c>
      <c r="I3" s="376">
        <f>IF(表1_8612182224267288[[#This Row],[原国家]]="魏",0,IF(表1_8612182224267288[[#This Row],[原国家]]="蜀",1,2))</f>
        <v>1</v>
      </c>
      <c r="J3" s="380">
        <v>5</v>
      </c>
      <c r="K3" s="380">
        <v>215</v>
      </c>
      <c r="L3" s="380">
        <v>3</v>
      </c>
      <c r="M3" s="380">
        <v>24</v>
      </c>
      <c r="N3" s="380">
        <v>127325</v>
      </c>
      <c r="O3" s="380">
        <v>2720780</v>
      </c>
      <c r="P3" s="381">
        <v>24498096</v>
      </c>
      <c r="Q3" s="31" t="s">
        <v>26</v>
      </c>
      <c r="R3" s="376">
        <f>IF(表1_8612182224267288[[#This Row],[目标国家]]="魏",0,IF(表1_8612182224267288[[#This Row],[目标国家]]="蜀",1,2))</f>
        <v>1</v>
      </c>
      <c r="S3" s="380">
        <v>121058</v>
      </c>
      <c r="T3" s="380">
        <v>0</v>
      </c>
      <c r="U3" s="380">
        <v>401528</v>
      </c>
      <c r="V3" s="380">
        <v>12289</v>
      </c>
      <c r="W3" s="374">
        <v>829282</v>
      </c>
      <c r="X3" s="387" t="str">
        <f>"{"&amp;"'coin':"&amp;表1_8612182224267288[[#This Row],[补偿Coin]]&amp;",'"&amp;配置!$A$2&amp;"':"&amp;表1_8612182224267288[[#This Row],[补偿辎重]]&amp;"},"</f>
        <v>{'coin':1000,'item036':10},</v>
      </c>
      <c r="Y3" s="388" t="str">
        <f>"            'to_zone':'"&amp;表1_8612182224267288[[#This Row],[目标区服]]&amp;"',
            'reward':"&amp;表1_8612182224267288[[#This Row],[辅助导出]]&amp;"
            'country':["&amp;R2&amp;","&amp;R3&amp;","&amp;R4&amp;"],"</f>
        <v>            'to_zone':'h1_546',
            'reward':{'coin':1000,'item036':10},
            'country':[2,1,2],</v>
      </c>
    </row>
    <row r="4" s="354" customFormat="1" ht="14.25" customHeight="1" spans="1:25">
      <c r="A4" s="375">
        <v>5101</v>
      </c>
      <c r="B4" s="371">
        <f>VLOOKUP(表1_8612182224267288[[#This Row],[区服]],$P$86:$Q$112,2,FALSE)</f>
        <v>47</v>
      </c>
      <c r="C4" s="39" t="s">
        <v>170</v>
      </c>
      <c r="D4" s="376" t="str">
        <f>表1_8612182224267288[[#This Row],[目标国家]]</f>
        <v>吴</v>
      </c>
      <c r="E4" s="380">
        <f>(VLOOKUP(表1_8612182224267288[[#This Row],[目标区服]],$R$86:$S$112,2,FALSE)-表1_8612182224267288[[#This Row],[开服天数]])*配置!$B$1</f>
        <v>1000</v>
      </c>
      <c r="F4" s="380">
        <f>表1_8612182224267288[[#This Row],[补偿Coin]]*(表1_8612182224267288[[#This Row],[活跃高战玩家数]]+表1_8612182224267288[[#This Row],[活跃中坚玩家数]])</f>
        <v>20000</v>
      </c>
      <c r="G4" s="380">
        <f>(VLOOKUP(表1_8612182224267288[[#This Row],[目标区服]],$R$86:$S$98,2,FALSE)-表1_8612182224267288[[#This Row],[开服天数]])*配置!$B$2</f>
        <v>10</v>
      </c>
      <c r="H4" s="376" t="s">
        <v>27</v>
      </c>
      <c r="I4" s="376">
        <f>IF(表1_8612182224267288[[#This Row],[原国家]]="魏",0,IF(表1_8612182224267288[[#This Row],[原国家]]="蜀",1,2))</f>
        <v>2</v>
      </c>
      <c r="J4" s="380">
        <v>0</v>
      </c>
      <c r="K4" s="380">
        <v>30</v>
      </c>
      <c r="L4" s="380">
        <v>2</v>
      </c>
      <c r="M4" s="380">
        <v>18</v>
      </c>
      <c r="N4" s="380">
        <v>72177</v>
      </c>
      <c r="O4" s="380">
        <v>2072450</v>
      </c>
      <c r="P4" s="381">
        <v>14491196</v>
      </c>
      <c r="Q4" s="31" t="s">
        <v>27</v>
      </c>
      <c r="R4" s="376">
        <f>IF(表1_8612182224267288[[#This Row],[目标国家]]="魏",0,IF(表1_8612182224267288[[#This Row],[目标国家]]="蜀",1,2))</f>
        <v>2</v>
      </c>
      <c r="S4" s="380">
        <v>23966</v>
      </c>
      <c r="T4" s="380">
        <v>0</v>
      </c>
      <c r="U4" s="380">
        <v>75817</v>
      </c>
      <c r="V4" s="380">
        <v>4939</v>
      </c>
      <c r="W4" s="374">
        <v>648524</v>
      </c>
      <c r="X4" s="387" t="str">
        <f>"{"&amp;"'coin':"&amp;表1_8612182224267288[[#This Row],[补偿Coin]]&amp;",'"&amp;配置!$A$2&amp;"':"&amp;表1_8612182224267288[[#This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5">
        <v>5102</v>
      </c>
      <c r="B5" s="371">
        <f>VLOOKUP(表1_8612182224267288[[#This Row],[区服]],$P$86:$Q$112,2,FALSE)</f>
        <v>47</v>
      </c>
      <c r="C5" s="39" t="s">
        <v>170</v>
      </c>
      <c r="D5" s="376" t="str">
        <f>表1_8612182224267288[[#This Row],[目标国家]]</f>
        <v>魏</v>
      </c>
      <c r="E5" s="380">
        <f>(VLOOKUP(表1_8612182224267288[[#This Row],[目标区服]],$R$86:$S$112,2,FALSE)-表1_8612182224267288[[#This Row],[开服天数]])*配置!$B$1</f>
        <v>1000</v>
      </c>
      <c r="F5" s="380">
        <f>表1_8612182224267288[[#This Row],[补偿Coin]]*(表1_8612182224267288[[#This Row],[活跃高战玩家数]]+表1_8612182224267288[[#This Row],[活跃中坚玩家数]])</f>
        <v>13000</v>
      </c>
      <c r="G5" s="380">
        <f>(VLOOKUP(表1_8612182224267288[[#This Row],[目标区服]],$R$86:$S$98,2,FALSE)-表1_8612182224267288[[#This Row],[开服天数]])*配置!$B$2</f>
        <v>10</v>
      </c>
      <c r="H5" s="376" t="s">
        <v>25</v>
      </c>
      <c r="I5" s="376">
        <f>IF(表1_8612182224267288[[#This Row],[原国家]]="魏",0,IF(表1_8612182224267288[[#This Row],[原国家]]="蜀",1,2))</f>
        <v>0</v>
      </c>
      <c r="J5" s="380">
        <v>4</v>
      </c>
      <c r="K5" s="380">
        <v>197</v>
      </c>
      <c r="L5" s="380">
        <v>5</v>
      </c>
      <c r="M5" s="380">
        <v>8</v>
      </c>
      <c r="N5" s="380">
        <v>77160</v>
      </c>
      <c r="O5" s="380">
        <v>3139215</v>
      </c>
      <c r="P5" s="381">
        <v>15602722</v>
      </c>
      <c r="Q5" s="31" t="s">
        <v>25</v>
      </c>
      <c r="R5" s="376">
        <f>IF(表1_8612182224267288[[#This Row],[目标国家]]="魏",0,IF(表1_8612182224267288[[#This Row],[目标国家]]="蜀",1,2))</f>
        <v>0</v>
      </c>
      <c r="S5" s="380">
        <v>129992</v>
      </c>
      <c r="T5" s="380">
        <v>0</v>
      </c>
      <c r="U5" s="380">
        <v>342747</v>
      </c>
      <c r="V5" s="380">
        <v>11526</v>
      </c>
      <c r="W5" s="374">
        <v>934832</v>
      </c>
      <c r="X5" s="387" t="str">
        <f>"{"&amp;"'coin':"&amp;表1_8612182224267288[[#This Row],[补偿Coin]]&amp;",'"&amp;配置!$A$2&amp;"':"&amp;表1_8612182224267288[[#This Row],[补偿辎重]]&amp;"},"</f>
        <v>{'coin':1000,'item036':10},</v>
      </c>
      <c r="Y5" s="388" t="str">
        <f>"      '"&amp;表1_8612182224267288[[#This Row],[区服]]&amp;"':{"</f>
        <v>      '5102':{</v>
      </c>
    </row>
    <row r="6" s="354" customFormat="1" ht="14.25" customHeight="1" spans="1:25">
      <c r="A6" s="371">
        <v>5102</v>
      </c>
      <c r="B6" s="371">
        <f>VLOOKUP(表1_8612182224267288[[#This Row],[区服]],$P$86:$Q$112,2,FALSE)</f>
        <v>47</v>
      </c>
      <c r="C6" s="39" t="s">
        <v>170</v>
      </c>
      <c r="D6" s="376" t="str">
        <f>表1_8612182224267288[[#This Row],[目标国家]]</f>
        <v>吴</v>
      </c>
      <c r="E6" s="380">
        <f>(VLOOKUP(表1_8612182224267288[[#This Row],[目标区服]],$R$86:$S$112,2,FALSE)-表1_8612182224267288[[#This Row],[开服天数]])*配置!$B$1</f>
        <v>1000</v>
      </c>
      <c r="F6" s="380">
        <f>表1_8612182224267288[[#This Row],[补偿Coin]]*(表1_8612182224267288[[#This Row],[活跃高战玩家数]]+表1_8612182224267288[[#This Row],[活跃中坚玩家数]])</f>
        <v>25000</v>
      </c>
      <c r="G6" s="380">
        <f>(VLOOKUP(表1_8612182224267288[[#This Row],[目标区服]],$R$86:$S$98,2,FALSE)-表1_8612182224267288[[#This Row],[开服天数]])*配置!$B$2</f>
        <v>10</v>
      </c>
      <c r="H6" s="376" t="s">
        <v>26</v>
      </c>
      <c r="I6" s="376">
        <f>IF(表1_8612182224267288[[#This Row],[原国家]]="魏",0,IF(表1_8612182224267288[[#This Row],[原国家]]="蜀",1,2))</f>
        <v>1</v>
      </c>
      <c r="J6" s="380">
        <v>3</v>
      </c>
      <c r="K6" s="380">
        <v>121</v>
      </c>
      <c r="L6" s="380">
        <v>2</v>
      </c>
      <c r="M6" s="380">
        <v>23</v>
      </c>
      <c r="N6" s="380">
        <v>101594</v>
      </c>
      <c r="O6" s="380">
        <v>1963098</v>
      </c>
      <c r="P6" s="381">
        <v>14893321</v>
      </c>
      <c r="Q6" s="31" t="s">
        <v>27</v>
      </c>
      <c r="R6" s="376">
        <f>IF(表1_8612182224267288[[#This Row],[目标国家]]="魏",0,IF(表1_8612182224267288[[#This Row],[目标国家]]="蜀",1,2))</f>
        <v>2</v>
      </c>
      <c r="S6" s="380">
        <v>36984</v>
      </c>
      <c r="T6" s="380">
        <v>0</v>
      </c>
      <c r="U6" s="380">
        <v>176957</v>
      </c>
      <c r="V6" s="380">
        <v>6668</v>
      </c>
      <c r="W6" s="374">
        <v>660465</v>
      </c>
      <c r="X6" s="387" t="str">
        <f>"{"&amp;"'coin':"&amp;表1_8612182224267288[[#This Row],[补偿Coin]]&amp;",'"&amp;配置!$A$2&amp;"':"&amp;表1_8612182224267288[[#This Row],[补偿辎重]]&amp;"},"</f>
        <v>{'coin':1000,'item036':10},</v>
      </c>
      <c r="Y6" s="388" t="str">
        <f>"            'to_zone':'"&amp;表1_8612182224267288[[#This Row],[目标区服]]&amp;"',
            'reward':"&amp;表1_8612182224267288[[#This Row],[辅助导出]]&amp;"
            'country':["&amp;R5&amp;","&amp;R6&amp;","&amp;R7&amp;"],"</f>
        <v>            'to_zone':'h1_546',
            'reward':{'coin':1000,'item036':10},
            'country':[0,2,0],</v>
      </c>
    </row>
    <row r="7" s="354" customFormat="1" ht="14.25" customHeight="1" spans="1:25">
      <c r="A7" s="371">
        <v>5102</v>
      </c>
      <c r="B7" s="371">
        <f>VLOOKUP(表1_8612182224267288[[#This Row],[区服]],$P$86:$Q$112,2,FALSE)</f>
        <v>47</v>
      </c>
      <c r="C7" s="39" t="s">
        <v>170</v>
      </c>
      <c r="D7" s="376" t="str">
        <f>表1_8612182224267288[[#This Row],[目标国家]]</f>
        <v>魏</v>
      </c>
      <c r="E7" s="380">
        <f>(VLOOKUP(表1_8612182224267288[[#This Row],[目标区服]],$R$86:$S$112,2,FALSE)-表1_8612182224267288[[#This Row],[开服天数]])*配置!$B$1</f>
        <v>1000</v>
      </c>
      <c r="F7" s="380">
        <f>表1_8612182224267288[[#This Row],[补偿Coin]]*(表1_8612182224267288[[#This Row],[活跃高战玩家数]]+表1_8612182224267288[[#This Row],[活跃中坚玩家数]])</f>
        <v>19000</v>
      </c>
      <c r="G7" s="380">
        <f>(VLOOKUP(表1_8612182224267288[[#This Row],[目标区服]],$R$86:$S$98,2,FALSE)-表1_8612182224267288[[#This Row],[开服天数]])*配置!$B$2</f>
        <v>10</v>
      </c>
      <c r="H7" s="376" t="s">
        <v>27</v>
      </c>
      <c r="I7" s="376">
        <f>IF(表1_8612182224267288[[#This Row],[原国家]]="魏",0,IF(表1_8612182224267288[[#This Row],[原国家]]="蜀",1,2))</f>
        <v>2</v>
      </c>
      <c r="J7" s="380">
        <v>2</v>
      </c>
      <c r="K7" s="380">
        <v>77</v>
      </c>
      <c r="L7" s="380">
        <v>2</v>
      </c>
      <c r="M7" s="380">
        <v>17</v>
      </c>
      <c r="N7" s="380">
        <v>79897</v>
      </c>
      <c r="O7" s="380">
        <v>1786090</v>
      </c>
      <c r="P7" s="381">
        <v>11364249</v>
      </c>
      <c r="Q7" s="31" t="s">
        <v>25</v>
      </c>
      <c r="R7" s="376">
        <f>IF(表1_8612182224267288[[#This Row],[目标国家]]="魏",0,IF(表1_8612182224267288[[#This Row],[目标国家]]="蜀",1,2))</f>
        <v>0</v>
      </c>
      <c r="S7" s="380">
        <v>13082</v>
      </c>
      <c r="T7" s="380">
        <v>0</v>
      </c>
      <c r="U7" s="380">
        <v>105693</v>
      </c>
      <c r="V7" s="380">
        <v>4737</v>
      </c>
      <c r="W7" s="374">
        <v>683310</v>
      </c>
      <c r="X7" s="387" t="str">
        <f>"{"&amp;"'coin':"&amp;表1_8612182224267288[[#This Row],[补偿Coin]]&amp;",'"&amp;配置!$A$2&amp;"':"&amp;表1_8612182224267288[[#This Row],[补偿辎重]]&amp;"},"</f>
        <v>{'coin':1000,'item036':10},</v>
      </c>
      <c r="Y7" s="388" t="str">
        <f t="shared" ref="Y7" si="0">"      },"</f>
        <v>      },</v>
      </c>
    </row>
    <row r="8" s="354" customFormat="1" ht="14.25" customHeight="1" spans="1:25">
      <c r="A8" s="259">
        <v>5103</v>
      </c>
      <c r="B8" s="210">
        <f>VLOOKUP(表1_8612182224267288[[#This Row],[区服]],$P$86:$Q$112,2,FALSE)</f>
        <v>47</v>
      </c>
      <c r="C8" s="41" t="s">
        <v>171</v>
      </c>
      <c r="D8" s="212" t="str">
        <f>表1_8612182224267288[[#This Row],[目标国家]]</f>
        <v>魏</v>
      </c>
      <c r="E8" s="213">
        <f>(VLOOKUP(表1_8612182224267288[[#This Row],[目标区服]],$R$86:$S$112,2,FALSE)-表1_8612182224267288[[#This Row],[开服天数]])*配置!$B$1</f>
        <v>1000</v>
      </c>
      <c r="F8" s="213">
        <f>表1_8612182224267288[[#This Row],[补偿Coin]]*(表1_8612182224267288[[#This Row],[活跃高战玩家数]]+表1_8612182224267288[[#This Row],[活跃中坚玩家数]])</f>
        <v>21000</v>
      </c>
      <c r="G8" s="260">
        <f>(VLOOKUP(表1_8612182224267288[[#This Row],[目标区服]],$R$86:$S$98,2,FALSE)-表1_8612182224267288[[#This Row],[开服天数]])*配置!$B$2</f>
        <v>10</v>
      </c>
      <c r="H8" s="212" t="s">
        <v>25</v>
      </c>
      <c r="I8" s="268">
        <f>IF(表1_8612182224267288[[#This Row],[原国家]]="魏",0,IF(表1_8612182224267288[[#This Row],[原国家]]="蜀",1,2))</f>
        <v>0</v>
      </c>
      <c r="J8" s="213">
        <v>3</v>
      </c>
      <c r="K8" s="213">
        <v>103</v>
      </c>
      <c r="L8" s="213">
        <v>3</v>
      </c>
      <c r="M8" s="213">
        <v>18</v>
      </c>
      <c r="N8" s="213">
        <v>92536</v>
      </c>
      <c r="O8" s="419">
        <v>2510325</v>
      </c>
      <c r="P8" s="420">
        <v>17768469</v>
      </c>
      <c r="Q8" s="31" t="s">
        <v>25</v>
      </c>
      <c r="R8" s="212">
        <f>IF(表1_8612182224267288[[#This Row],[目标国家]]="魏",0,IF(表1_8612182224267288[[#This Row],[目标国家]]="蜀",1,2))</f>
        <v>0</v>
      </c>
      <c r="S8" s="213">
        <v>34076</v>
      </c>
      <c r="T8" s="213">
        <v>0</v>
      </c>
      <c r="U8" s="213">
        <v>375179</v>
      </c>
      <c r="V8" s="213">
        <v>7289</v>
      </c>
      <c r="W8" s="213">
        <v>742281</v>
      </c>
      <c r="X8" s="278" t="str">
        <f>"{"&amp;"'coin':"&amp;表1_8612182224267288[[#This Row],[补偿Coin]]&amp;",'"&amp;配置!$A$2&amp;"':"&amp;表1_8612182224267288[[#This Row],[补偿辎重]]&amp;"},"</f>
        <v>{'coin':1000,'item036':10},</v>
      </c>
      <c r="Y8" s="278" t="str">
        <f>"      '"&amp;表1_8612182224267288[[#This Row],[区服]]&amp;"':{"</f>
        <v>      '5103':{</v>
      </c>
    </row>
    <row r="9" s="354" customFormat="1" ht="14.25" customHeight="1" spans="1:25">
      <c r="A9" s="259">
        <v>5103</v>
      </c>
      <c r="B9" s="210">
        <f>VLOOKUP(表1_8612182224267288[[#This Row],[区服]],$P$86:$Q$112,2,FALSE)</f>
        <v>47</v>
      </c>
      <c r="C9" s="41" t="s">
        <v>171</v>
      </c>
      <c r="D9" s="212" t="str">
        <f>表1_8612182224267288[[#This Row],[目标国家]]</f>
        <v>蜀</v>
      </c>
      <c r="E9" s="213">
        <f>(VLOOKUP(表1_8612182224267288[[#This Row],[目标区服]],$R$86:$S$112,2,FALSE)-表1_8612182224267288[[#This Row],[开服天数]])*配置!$B$1</f>
        <v>1000</v>
      </c>
      <c r="F9" s="213">
        <f>表1_8612182224267288[[#This Row],[补偿Coin]]*(表1_8612182224267288[[#This Row],[活跃高战玩家数]]+表1_8612182224267288[[#This Row],[活跃中坚玩家数]])</f>
        <v>23000</v>
      </c>
      <c r="G9" s="260">
        <f>(VLOOKUP(表1_8612182224267288[[#This Row],[目标区服]],$R$86:$S$98,2,FALSE)-表1_8612182224267288[[#This Row],[开服天数]])*配置!$B$2</f>
        <v>10</v>
      </c>
      <c r="H9" s="212" t="s">
        <v>26</v>
      </c>
      <c r="I9" s="268">
        <f>IF(表1_8612182224267288[[#This Row],[原国家]]="魏",0,IF(表1_8612182224267288[[#This Row],[原国家]]="蜀",1,2))</f>
        <v>1</v>
      </c>
      <c r="J9" s="213">
        <v>4</v>
      </c>
      <c r="K9" s="213">
        <v>197</v>
      </c>
      <c r="L9" s="213">
        <v>5</v>
      </c>
      <c r="M9" s="213">
        <v>18</v>
      </c>
      <c r="N9" s="213">
        <v>102939</v>
      </c>
      <c r="O9" s="419">
        <v>2544495</v>
      </c>
      <c r="P9" s="420">
        <v>20837996</v>
      </c>
      <c r="Q9" s="31" t="s">
        <v>26</v>
      </c>
      <c r="R9" s="212">
        <f>IF(表1_8612182224267288[[#This Row],[目标国家]]="魏",0,IF(表1_8612182224267288[[#This Row],[目标国家]]="蜀",1,2))</f>
        <v>1</v>
      </c>
      <c r="S9" s="213">
        <v>90336</v>
      </c>
      <c r="T9" s="213">
        <v>0</v>
      </c>
      <c r="U9" s="213">
        <v>596723</v>
      </c>
      <c r="V9" s="213">
        <v>10521</v>
      </c>
      <c r="W9" s="213">
        <v>796759</v>
      </c>
      <c r="X9" s="278" t="str">
        <f>"{"&amp;"'coin':"&amp;表1_8612182224267288[[#This Row],[补偿Coin]]&amp;",'"&amp;配置!$A$2&amp;"':"&amp;表1_8612182224267288[[#This Row],[补偿辎重]]&amp;"},"</f>
        <v>{'coin':1000,'item036':10},</v>
      </c>
      <c r="Y9" s="278" t="str">
        <f>"            'to_zone':'"&amp;表1_8612182224267288[[#This Row],[目标区服]]&amp;"',
            'reward':"&amp;表1_8612182224267288[[#This Row],[辅助导出]]&amp;"
            'country':["&amp;R8&amp;","&amp;R9&amp;","&amp;R10&amp;"],"</f>
        <v>            'to_zone':'h1_547',
            'reward':{'coin':1000,'item036':10},
            'country':[0,1,2],</v>
      </c>
    </row>
    <row r="10" s="354" customFormat="1" ht="14.25" customHeight="1" spans="1:25">
      <c r="A10" s="259">
        <v>5103</v>
      </c>
      <c r="B10" s="210">
        <f>VLOOKUP(表1_8612182224267288[[#This Row],[区服]],$P$86:$Q$112,2,FALSE)</f>
        <v>47</v>
      </c>
      <c r="C10" s="41" t="s">
        <v>171</v>
      </c>
      <c r="D10" s="212" t="str">
        <f>表1_8612182224267288[[#This Row],[目标国家]]</f>
        <v>吴</v>
      </c>
      <c r="E10" s="213">
        <f>(VLOOKUP(表1_8612182224267288[[#This Row],[目标区服]],$R$86:$S$112,2,FALSE)-表1_8612182224267288[[#This Row],[开服天数]])*配置!$B$1</f>
        <v>1000</v>
      </c>
      <c r="F10" s="213">
        <f>表1_8612182224267288[[#This Row],[补偿Coin]]*(表1_8612182224267288[[#This Row],[活跃高战玩家数]]+表1_8612182224267288[[#This Row],[活跃中坚玩家数]])</f>
        <v>23000</v>
      </c>
      <c r="G10" s="260">
        <f>(VLOOKUP(表1_8612182224267288[[#This Row],[目标区服]],$R$86:$S$98,2,FALSE)-表1_8612182224267288[[#This Row],[开服天数]])*配置!$B$2</f>
        <v>10</v>
      </c>
      <c r="H10" s="212" t="s">
        <v>27</v>
      </c>
      <c r="I10" s="268">
        <f>IF(表1_8612182224267288[[#This Row],[原国家]]="魏",0,IF(表1_8612182224267288[[#This Row],[原国家]]="蜀",1,2))</f>
        <v>2</v>
      </c>
      <c r="J10" s="213">
        <v>2</v>
      </c>
      <c r="K10" s="213">
        <v>95</v>
      </c>
      <c r="L10" s="213">
        <v>2</v>
      </c>
      <c r="M10" s="213">
        <v>21</v>
      </c>
      <c r="N10" s="213">
        <v>99243</v>
      </c>
      <c r="O10" s="419">
        <v>2459589</v>
      </c>
      <c r="P10" s="420">
        <v>19082221</v>
      </c>
      <c r="Q10" s="31" t="s">
        <v>27</v>
      </c>
      <c r="R10" s="212">
        <f>IF(表1_8612182224267288[[#This Row],[目标国家]]="魏",0,IF(表1_8612182224267288[[#This Row],[目标国家]]="蜀",1,2))</f>
        <v>2</v>
      </c>
      <c r="S10" s="213">
        <v>35246</v>
      </c>
      <c r="T10" s="213">
        <v>0</v>
      </c>
      <c r="U10" s="213">
        <v>243359</v>
      </c>
      <c r="V10" s="213">
        <v>7193</v>
      </c>
      <c r="W10" s="213">
        <v>715036</v>
      </c>
      <c r="X10" s="278" t="str">
        <f>"{"&amp;"'coin':"&amp;表1_8612182224267288[[#This Row],[补偿Coin]]&amp;",'"&amp;配置!$A$2&amp;"':"&amp;表1_8612182224267288[[#This Row],[补偿辎重]]&amp;"},"</f>
        <v>{'coin':1000,'item036':10},</v>
      </c>
      <c r="Y10" s="278" t="str">
        <f>"      },"</f>
        <v>      },</v>
      </c>
    </row>
    <row r="11" s="354" customFormat="1" ht="14.25" customHeight="1" spans="1:25">
      <c r="A11" s="259">
        <v>5104</v>
      </c>
      <c r="B11" s="210">
        <f>VLOOKUP(表1_8612182224267288[[#This Row],[区服]],$P$86:$Q$112,2,FALSE)</f>
        <v>46</v>
      </c>
      <c r="C11" s="41" t="s">
        <v>171</v>
      </c>
      <c r="D11" s="212" t="str">
        <f>表1_8612182224267288[[#This Row],[目标国家]]</f>
        <v>蜀</v>
      </c>
      <c r="E11" s="213">
        <f>(VLOOKUP(表1_8612182224267288[[#This Row],[目标区服]],$R$86:$S$112,2,FALSE)-表1_8612182224267288[[#This Row],[开服天数]])*配置!$B$1</f>
        <v>1500</v>
      </c>
      <c r="F11" s="213">
        <f>表1_8612182224267288[[#This Row],[补偿Coin]]*(表1_8612182224267288[[#This Row],[活跃高战玩家数]]+表1_8612182224267288[[#This Row],[活跃中坚玩家数]])</f>
        <v>16500</v>
      </c>
      <c r="G11" s="260">
        <f>(VLOOKUP(表1_8612182224267288[[#This Row],[目标区服]],$R$86:$S$98,2,FALSE)-表1_8612182224267288[[#This Row],[开服天数]])*配置!$B$2</f>
        <v>15</v>
      </c>
      <c r="H11" s="212" t="s">
        <v>25</v>
      </c>
      <c r="I11" s="268">
        <f>IF(表1_8612182224267288[[#This Row],[原国家]]="魏",0,IF(表1_8612182224267288[[#This Row],[原国家]]="蜀",1,2))</f>
        <v>0</v>
      </c>
      <c r="J11" s="213">
        <v>0</v>
      </c>
      <c r="K11" s="213">
        <v>42</v>
      </c>
      <c r="L11" s="213">
        <v>0</v>
      </c>
      <c r="M11" s="213">
        <v>11</v>
      </c>
      <c r="N11" s="213">
        <v>33597</v>
      </c>
      <c r="O11" s="419">
        <v>1406040</v>
      </c>
      <c r="P11" s="420">
        <v>5273428</v>
      </c>
      <c r="Q11" s="31" t="s">
        <v>26</v>
      </c>
      <c r="R11" s="212">
        <f>IF(表1_8612182224267288[[#This Row],[目标国家]]="魏",0,IF(表1_8612182224267288[[#This Row],[目标国家]]="蜀",1,2))</f>
        <v>1</v>
      </c>
      <c r="S11" s="213">
        <v>3478</v>
      </c>
      <c r="T11" s="213">
        <v>0</v>
      </c>
      <c r="U11" s="213">
        <v>186334</v>
      </c>
      <c r="V11" s="213">
        <v>2718</v>
      </c>
      <c r="W11" s="213">
        <v>519758</v>
      </c>
      <c r="X11" s="278" t="str">
        <f>"{"&amp;"'coin':"&amp;表1_8612182224267288[[#This Row],[补偿Coin]]&amp;",'"&amp;配置!$A$2&amp;"':"&amp;表1_8612182224267288[[#This Row],[补偿辎重]]&amp;"},"</f>
        <v>{'coin':1500,'item036':15},</v>
      </c>
      <c r="Y11" s="278" t="str">
        <f>"      '"&amp;表1_8612182224267288[[#This Row],[区服]]&amp;"':{"</f>
        <v>      '5104':{</v>
      </c>
    </row>
    <row r="12" s="354" customFormat="1" ht="14.25" customHeight="1" spans="1:25">
      <c r="A12" s="259">
        <v>5104</v>
      </c>
      <c r="B12" s="210">
        <f>VLOOKUP(表1_8612182224267288[[#This Row],[区服]],$P$86:$Q$112,2,FALSE)</f>
        <v>46</v>
      </c>
      <c r="C12" s="41" t="s">
        <v>171</v>
      </c>
      <c r="D12" s="212" t="str">
        <f>表1_8612182224267288[[#This Row],[目标国家]]</f>
        <v>魏</v>
      </c>
      <c r="E12" s="213">
        <f>(VLOOKUP(表1_8612182224267288[[#This Row],[目标区服]],$R$86:$S$112,2,FALSE)-表1_8612182224267288[[#This Row],[开服天数]])*配置!$B$1</f>
        <v>1500</v>
      </c>
      <c r="F12" s="213">
        <f>表1_8612182224267288[[#This Row],[补偿Coin]]*(表1_8612182224267288[[#This Row],[活跃高战玩家数]]+表1_8612182224267288[[#This Row],[活跃中坚玩家数]])</f>
        <v>42000</v>
      </c>
      <c r="G12" s="260">
        <f>(VLOOKUP(表1_8612182224267288[[#This Row],[目标区服]],$R$86:$S$98,2,FALSE)-表1_8612182224267288[[#This Row],[开服天数]])*配置!$B$2</f>
        <v>15</v>
      </c>
      <c r="H12" s="212" t="s">
        <v>26</v>
      </c>
      <c r="I12" s="268">
        <f>IF(表1_8612182224267288[[#This Row],[原国家]]="魏",0,IF(表1_8612182224267288[[#This Row],[原国家]]="蜀",1,2))</f>
        <v>1</v>
      </c>
      <c r="J12" s="213">
        <v>3</v>
      </c>
      <c r="K12" s="213">
        <v>142</v>
      </c>
      <c r="L12" s="213">
        <v>5</v>
      </c>
      <c r="M12" s="213">
        <v>23</v>
      </c>
      <c r="N12" s="213">
        <v>128817</v>
      </c>
      <c r="O12" s="419">
        <v>2795795</v>
      </c>
      <c r="P12" s="420">
        <v>21791653</v>
      </c>
      <c r="Q12" s="31" t="s">
        <v>25</v>
      </c>
      <c r="R12" s="212">
        <f>IF(表1_8612182224267288[[#This Row],[目标国家]]="魏",0,IF(表1_8612182224267288[[#This Row],[目标国家]]="蜀",1,2))</f>
        <v>0</v>
      </c>
      <c r="S12" s="213">
        <v>69626</v>
      </c>
      <c r="T12" s="213">
        <v>0</v>
      </c>
      <c r="U12" s="213">
        <v>509580</v>
      </c>
      <c r="V12" s="213">
        <v>9682</v>
      </c>
      <c r="W12" s="213">
        <v>722646</v>
      </c>
      <c r="X12" s="278" t="str">
        <f>"{"&amp;"'coin':"&amp;表1_8612182224267288[[#This Row],[补偿Coin]]&amp;",'"&amp;配置!$A$2&amp;"':"&amp;表1_8612182224267288[[#This Row],[补偿辎重]]&amp;"},"</f>
        <v>{'coin':1500,'item036':15},</v>
      </c>
      <c r="Y12" s="278" t="str">
        <f>"            'to_zone':'"&amp;表1_8612182224267288[[#This Row],[目标区服]]&amp;"',
            'reward':"&amp;表1_8612182224267288[[#This Row],[辅助导出]]&amp;"
            'country':["&amp;R11&amp;","&amp;R12&amp;","&amp;R13&amp;"],"</f>
        <v>            'to_zone':'h1_547',
            'reward':{'coin':1500,'item036':15},
            'country':[1,0,2],</v>
      </c>
    </row>
    <row r="13" s="354" customFormat="1" ht="14.25" customHeight="1" spans="1:25">
      <c r="A13" s="259">
        <v>5104</v>
      </c>
      <c r="B13" s="210">
        <f>VLOOKUP(表1_8612182224267288[[#This Row],[区服]],$P$86:$Q$112,2,FALSE)</f>
        <v>46</v>
      </c>
      <c r="C13" s="41" t="s">
        <v>171</v>
      </c>
      <c r="D13" s="212" t="str">
        <f>表1_8612182224267288[[#This Row],[目标国家]]</f>
        <v>吴</v>
      </c>
      <c r="E13" s="213">
        <f>(VLOOKUP(表1_8612182224267288[[#This Row],[目标区服]],$R$86:$S$112,2,FALSE)-表1_8612182224267288[[#This Row],[开服天数]])*配置!$B$1</f>
        <v>1500</v>
      </c>
      <c r="F13" s="213">
        <f>表1_8612182224267288[[#This Row],[补偿Coin]]*(表1_8612182224267288[[#This Row],[活跃高战玩家数]]+表1_8612182224267288[[#This Row],[活跃中坚玩家数]])</f>
        <v>21000</v>
      </c>
      <c r="G13" s="260">
        <f>(VLOOKUP(表1_8612182224267288[[#This Row],[目标区服]],$R$86:$S$98,2,FALSE)-表1_8612182224267288[[#This Row],[开服天数]])*配置!$B$2</f>
        <v>15</v>
      </c>
      <c r="H13" s="212" t="s">
        <v>27</v>
      </c>
      <c r="I13" s="268">
        <f>IF(表1_8612182224267288[[#This Row],[原国家]]="魏",0,IF(表1_8612182224267288[[#This Row],[原国家]]="蜀",1,2))</f>
        <v>2</v>
      </c>
      <c r="J13" s="213">
        <v>6</v>
      </c>
      <c r="K13" s="213">
        <v>211</v>
      </c>
      <c r="L13" s="213">
        <v>5</v>
      </c>
      <c r="M13" s="213">
        <v>9</v>
      </c>
      <c r="N13" s="213">
        <v>103455</v>
      </c>
      <c r="O13" s="419">
        <v>2878296</v>
      </c>
      <c r="P13" s="420">
        <v>17071682</v>
      </c>
      <c r="Q13" s="31" t="s">
        <v>27</v>
      </c>
      <c r="R13" s="212">
        <f>IF(表1_8612182224267288[[#This Row],[目标国家]]="魏",0,IF(表1_8612182224267288[[#This Row],[目标国家]]="蜀",1,2))</f>
        <v>2</v>
      </c>
      <c r="S13" s="213">
        <v>56086</v>
      </c>
      <c r="T13" s="213">
        <v>0</v>
      </c>
      <c r="U13" s="213">
        <v>417437</v>
      </c>
      <c r="V13" s="213">
        <v>9704</v>
      </c>
      <c r="W13" s="213">
        <v>916516</v>
      </c>
      <c r="X13" s="278" t="str">
        <f>"{"&amp;"'coin':"&amp;表1_8612182224267288[[#This Row],[补偿Coin]]&amp;",'"&amp;配置!$A$2&amp;"':"&amp;表1_8612182224267288[[#This Row],[补偿辎重]]&amp;"},"</f>
        <v>{'coin':1500,'item036':15},</v>
      </c>
      <c r="Y13" s="278" t="str">
        <f t="shared" ref="Y13" si="1">"      },"</f>
        <v>      },</v>
      </c>
    </row>
    <row r="14" ht="14.25" customHeight="1" spans="1:25">
      <c r="A14" s="17">
        <v>5105</v>
      </c>
      <c r="B14" s="17">
        <f>VLOOKUP(表1_8612182224267288[[#This Row],[区服]],$P$86:$Q$112,2,FALSE)</f>
        <v>46</v>
      </c>
      <c r="C14" s="45" t="s">
        <v>172</v>
      </c>
      <c r="D14" s="19" t="str">
        <f>表1_8612182224267288[[#This Row],[目标国家]]</f>
        <v>魏</v>
      </c>
      <c r="E14" s="20">
        <f>(VLOOKUP(表1_8612182224267288[[#This Row],[目标区服]],$R$86:$S$112,2,FALSE)-表1_8612182224267288[[#This Row],[开服天数]])*配置!$B$1</f>
        <v>1000</v>
      </c>
      <c r="F14" s="20">
        <f>表1_8612182224267288[[#This Row],[补偿Coin]]*(表1_8612182224267288[[#This Row],[活跃高战玩家数]]+表1_8612182224267288[[#This Row],[活跃中坚玩家数]])</f>
        <v>21000</v>
      </c>
      <c r="G14" s="20">
        <f>(VLOOKUP(表1_8612182224267288[[#This Row],[目标区服]],$R$86:$S$98,2,FALSE)-表1_8612182224267288[[#This Row],[开服天数]])*配置!$B$2</f>
        <v>10</v>
      </c>
      <c r="H14" s="19" t="s">
        <v>25</v>
      </c>
      <c r="I14" s="19">
        <f>IF(表1_8612182224267288[[#This Row],[原国家]]="魏",0,IF(表1_8612182224267288[[#This Row],[原国家]]="蜀",1,2))</f>
        <v>0</v>
      </c>
      <c r="J14" s="20">
        <v>3</v>
      </c>
      <c r="K14" s="20">
        <v>120</v>
      </c>
      <c r="L14" s="20">
        <v>3</v>
      </c>
      <c r="M14" s="20">
        <v>18</v>
      </c>
      <c r="N14" s="20">
        <v>90815</v>
      </c>
      <c r="O14" s="20">
        <v>2447922</v>
      </c>
      <c r="P14" s="26">
        <v>13509112</v>
      </c>
      <c r="Q14" s="31" t="s">
        <v>25</v>
      </c>
      <c r="R14" s="19">
        <f>IF(表1_8612182224267288[[#This Row],[目标国家]]="魏",0,IF(表1_8612182224267288[[#This Row],[目标国家]]="蜀",1,2))</f>
        <v>0</v>
      </c>
      <c r="S14" s="20">
        <v>32538</v>
      </c>
      <c r="T14" s="20">
        <v>0</v>
      </c>
      <c r="U14" s="20">
        <v>235133</v>
      </c>
      <c r="V14" s="20">
        <v>6846</v>
      </c>
      <c r="W14" s="32">
        <v>722176</v>
      </c>
      <c r="X14" s="33" t="str">
        <f>"{"&amp;"'coin':"&amp;表1_8612182224267288[[#This Row],[补偿Coin]]&amp;",'"&amp;配置!$A$2&amp;"':"&amp;表1_8612182224267288[[#This Row],[补偿辎重]]&amp;"},"</f>
        <v>{'coin':1000,'item036':10},</v>
      </c>
      <c r="Y14" s="34" t="str">
        <f>"      '"&amp;表1_8612182224267288[[#This Row],[区服]]&amp;"':{"</f>
        <v>      '5105':{</v>
      </c>
    </row>
    <row r="15" ht="14.25" customHeight="1" spans="1:25">
      <c r="A15" s="17">
        <v>5105</v>
      </c>
      <c r="B15" s="17">
        <f>VLOOKUP(表1_8612182224267288[[#This Row],[区服]],$P$86:$Q$112,2,FALSE)</f>
        <v>46</v>
      </c>
      <c r="C15" s="45" t="s">
        <v>172</v>
      </c>
      <c r="D15" s="19" t="str">
        <f>表1_8612182224267288[[#This Row],[目标国家]]</f>
        <v>吴</v>
      </c>
      <c r="E15" s="20">
        <f>(VLOOKUP(表1_8612182224267288[[#This Row],[目标区服]],$R$86:$S$112,2,FALSE)-表1_8612182224267288[[#This Row],[开服天数]])*配置!$B$1</f>
        <v>1000</v>
      </c>
      <c r="F15" s="20">
        <f>表1_8612182224267288[[#This Row],[补偿Coin]]*(表1_8612182224267288[[#This Row],[活跃高战玩家数]]+表1_8612182224267288[[#This Row],[活跃中坚玩家数]])</f>
        <v>22000</v>
      </c>
      <c r="G15" s="20">
        <f>(VLOOKUP(表1_8612182224267288[[#This Row],[目标区服]],$R$86:$S$98,2,FALSE)-表1_8612182224267288[[#This Row],[开服天数]])*配置!$B$2</f>
        <v>10</v>
      </c>
      <c r="H15" s="19" t="s">
        <v>26</v>
      </c>
      <c r="I15" s="19">
        <f>IF(表1_8612182224267288[[#This Row],[原国家]]="魏",0,IF(表1_8612182224267288[[#This Row],[原国家]]="蜀",1,2))</f>
        <v>1</v>
      </c>
      <c r="J15" s="20">
        <v>3</v>
      </c>
      <c r="K15" s="20">
        <v>156</v>
      </c>
      <c r="L15" s="20">
        <v>5</v>
      </c>
      <c r="M15" s="20">
        <v>17</v>
      </c>
      <c r="N15" s="20">
        <v>121103</v>
      </c>
      <c r="O15" s="20">
        <v>2384833</v>
      </c>
      <c r="P15" s="26">
        <v>17240421</v>
      </c>
      <c r="Q15" s="31" t="s">
        <v>27</v>
      </c>
      <c r="R15" s="19">
        <f>IF(表1_8612182224267288[[#This Row],[目标国家]]="魏",0,IF(表1_8612182224267288[[#This Row],[目标国家]]="蜀",1,2))</f>
        <v>2</v>
      </c>
      <c r="S15" s="20">
        <v>65850</v>
      </c>
      <c r="T15" s="20">
        <v>0</v>
      </c>
      <c r="U15" s="20">
        <v>340084</v>
      </c>
      <c r="V15" s="20">
        <v>8719</v>
      </c>
      <c r="W15" s="32">
        <v>885083</v>
      </c>
      <c r="X15" s="33" t="str">
        <f>"{"&amp;"'coin':"&amp;表1_8612182224267288[[#This Row],[补偿Coin]]&amp;",'"&amp;配置!$A$2&amp;"':"&amp;表1_8612182224267288[[#This Row],[补偿辎重]]&amp;"},"</f>
        <v>{'coin':1000,'item036':10},</v>
      </c>
      <c r="Y15" s="34" t="str">
        <f>"            'to_zone':'"&amp;表1_8612182224267288[[#This Row],[目标区服]]&amp;"',
            'reward':"&amp;表1_8612182224267288[[#This Row],[辅助导出]]&amp;"
            'country':["&amp;R14&amp;","&amp;R15&amp;","&amp;R16&amp;"],"</f>
        <v>            'to_zone':'h1_548',
            'reward':{'coin':1000,'item036':10},
            'country':[0,2,2],</v>
      </c>
    </row>
    <row r="16" ht="14.25" customHeight="1" spans="1:25">
      <c r="A16" s="17">
        <v>5105</v>
      </c>
      <c r="B16" s="17">
        <f>VLOOKUP(表1_8612182224267288[[#This Row],[区服]],$P$86:$Q$112,2,FALSE)</f>
        <v>46</v>
      </c>
      <c r="C16" s="45" t="s">
        <v>172</v>
      </c>
      <c r="D16" s="19" t="str">
        <f>表1_8612182224267288[[#This Row],[目标国家]]</f>
        <v>吴</v>
      </c>
      <c r="E16" s="20">
        <f>(VLOOKUP(表1_8612182224267288[[#This Row],[目标区服]],$R$86:$S$112,2,FALSE)-表1_8612182224267288[[#This Row],[开服天数]])*配置!$B$1</f>
        <v>1000</v>
      </c>
      <c r="F16" s="20">
        <f>表1_8612182224267288[[#This Row],[补偿Coin]]*(表1_8612182224267288[[#This Row],[活跃高战玩家数]]+表1_8612182224267288[[#This Row],[活跃中坚玩家数]])</f>
        <v>13000</v>
      </c>
      <c r="G16" s="20">
        <f>(VLOOKUP(表1_8612182224267288[[#This Row],[目标区服]],$R$86:$S$98,2,FALSE)-表1_8612182224267288[[#This Row],[开服天数]])*配置!$B$2</f>
        <v>10</v>
      </c>
      <c r="H16" s="19" t="s">
        <v>27</v>
      </c>
      <c r="I16" s="19">
        <f>IF(表1_8612182224267288[[#This Row],[原国家]]="魏",0,IF(表1_8612182224267288[[#This Row],[原国家]]="蜀",1,2))</f>
        <v>2</v>
      </c>
      <c r="J16" s="20">
        <v>3</v>
      </c>
      <c r="K16" s="20">
        <v>119</v>
      </c>
      <c r="L16" s="20">
        <v>2</v>
      </c>
      <c r="M16" s="20">
        <v>11</v>
      </c>
      <c r="N16" s="20">
        <v>66429</v>
      </c>
      <c r="O16" s="20">
        <v>1341415</v>
      </c>
      <c r="P16" s="26">
        <v>8332795</v>
      </c>
      <c r="Q16" s="31" t="s">
        <v>27</v>
      </c>
      <c r="R16" s="19">
        <f>IF(表1_8612182224267288[[#This Row],[目标国家]]="魏",0,IF(表1_8612182224267288[[#This Row],[目标国家]]="蜀",1,2))</f>
        <v>2</v>
      </c>
      <c r="S16" s="20">
        <v>5694</v>
      </c>
      <c r="T16" s="20">
        <v>0</v>
      </c>
      <c r="U16" s="20">
        <v>74699</v>
      </c>
      <c r="V16" s="20">
        <v>4205</v>
      </c>
      <c r="W16" s="32">
        <v>380164</v>
      </c>
      <c r="X16" s="33" t="str">
        <f>"{"&amp;"'coin':"&amp;表1_8612182224267288[[#This Row],[补偿Coin]]&amp;",'"&amp;配置!$A$2&amp;"':"&amp;表1_8612182224267288[[#This Row],[补偿辎重]]&amp;"},"</f>
        <v>{'coin':1000,'item036':10},</v>
      </c>
      <c r="Y16" s="34" t="str">
        <f t="shared" ref="Y16" si="2">"      },"</f>
        <v>      },</v>
      </c>
    </row>
    <row r="17" ht="14.25" customHeight="1" spans="1:25">
      <c r="A17" s="17">
        <v>5106</v>
      </c>
      <c r="B17" s="17">
        <f>VLOOKUP(表1_8612182224267288[[#This Row],[区服]],$P$86:$Q$112,2,FALSE)</f>
        <v>46</v>
      </c>
      <c r="C17" s="45" t="s">
        <v>172</v>
      </c>
      <c r="D17" s="19" t="str">
        <f>表1_8612182224267288[[#This Row],[目标国家]]</f>
        <v>魏</v>
      </c>
      <c r="E17" s="20">
        <f>(VLOOKUP(表1_8612182224267288[[#This Row],[目标区服]],$R$86:$S$112,2,FALSE)-表1_8612182224267288[[#This Row],[开服天数]])*配置!$B$1</f>
        <v>1000</v>
      </c>
      <c r="F17" s="20">
        <f>表1_8612182224267288[[#This Row],[补偿Coin]]*(表1_8612182224267288[[#This Row],[活跃高战玩家数]]+表1_8612182224267288[[#This Row],[活跃中坚玩家数]])</f>
        <v>26000</v>
      </c>
      <c r="G17" s="20">
        <f>(VLOOKUP(表1_8612182224267288[[#This Row],[目标区服]],$R$86:$S$98,2,FALSE)-表1_8612182224267288[[#This Row],[开服天数]])*配置!$B$2</f>
        <v>10</v>
      </c>
      <c r="H17" s="19" t="s">
        <v>25</v>
      </c>
      <c r="I17" s="19">
        <f>IF(表1_8612182224267288[[#This Row],[原国家]]="魏",0,IF(表1_8612182224267288[[#This Row],[原国家]]="蜀",1,2))</f>
        <v>0</v>
      </c>
      <c r="J17" s="20">
        <v>4</v>
      </c>
      <c r="K17" s="20">
        <v>98</v>
      </c>
      <c r="L17" s="20">
        <v>4</v>
      </c>
      <c r="M17" s="20">
        <v>22</v>
      </c>
      <c r="N17" s="20">
        <v>108376</v>
      </c>
      <c r="O17" s="20">
        <v>2258058</v>
      </c>
      <c r="P17" s="26">
        <v>21892578</v>
      </c>
      <c r="Q17" s="31" t="s">
        <v>25</v>
      </c>
      <c r="R17" s="19">
        <f>IF(表1_8612182224267288[[#This Row],[目标国家]]="魏",0,IF(表1_8612182224267288[[#This Row],[目标国家]]="蜀",1,2))</f>
        <v>0</v>
      </c>
      <c r="S17" s="20">
        <v>56172</v>
      </c>
      <c r="T17" s="20">
        <v>0</v>
      </c>
      <c r="U17" s="20">
        <v>228632</v>
      </c>
      <c r="V17" s="20">
        <v>8168</v>
      </c>
      <c r="W17" s="32">
        <v>657597</v>
      </c>
      <c r="X17" s="33" t="str">
        <f>"{"&amp;"'coin':"&amp;表1_8612182224267288[[#This Row],[补偿Coin]]&amp;",'"&amp;配置!$A$2&amp;"':"&amp;表1_8612182224267288[[#This Row],[补偿辎重]]&amp;"},"</f>
        <v>{'coin':1000,'item036':10},</v>
      </c>
      <c r="Y17" s="34" t="str">
        <f>"      '"&amp;表1_8612182224267288[[#This Row],[区服]]&amp;"':{"</f>
        <v>      '5106':{</v>
      </c>
    </row>
    <row r="18" ht="14.25" customHeight="1" spans="1:25">
      <c r="A18" s="17">
        <v>5106</v>
      </c>
      <c r="B18" s="17">
        <f>VLOOKUP(表1_8612182224267288[[#This Row],[区服]],$P$86:$Q$112,2,FALSE)</f>
        <v>46</v>
      </c>
      <c r="C18" s="45" t="s">
        <v>172</v>
      </c>
      <c r="D18" s="19" t="str">
        <f>表1_8612182224267288[[#This Row],[目标国家]]</f>
        <v>蜀</v>
      </c>
      <c r="E18" s="20">
        <f>(VLOOKUP(表1_8612182224267288[[#This Row],[目标区服]],$R$86:$S$112,2,FALSE)-表1_8612182224267288[[#This Row],[开服天数]])*配置!$B$1</f>
        <v>1000</v>
      </c>
      <c r="F18" s="20">
        <f>表1_8612182224267288[[#This Row],[补偿Coin]]*(表1_8612182224267288[[#This Row],[活跃高战玩家数]]+表1_8612182224267288[[#This Row],[活跃中坚玩家数]])</f>
        <v>32000</v>
      </c>
      <c r="G18" s="20">
        <f>(VLOOKUP(表1_8612182224267288[[#This Row],[目标区服]],$R$86:$S$98,2,FALSE)-表1_8612182224267288[[#This Row],[开服天数]])*配置!$B$2</f>
        <v>10</v>
      </c>
      <c r="H18" s="19" t="s">
        <v>26</v>
      </c>
      <c r="I18" s="19">
        <f>IF(表1_8612182224267288[[#This Row],[原国家]]="魏",0,IF(表1_8612182224267288[[#This Row],[原国家]]="蜀",1,2))</f>
        <v>1</v>
      </c>
      <c r="J18" s="20">
        <v>3</v>
      </c>
      <c r="K18" s="20">
        <v>213</v>
      </c>
      <c r="L18" s="20">
        <v>4</v>
      </c>
      <c r="M18" s="20">
        <v>28</v>
      </c>
      <c r="N18" s="20">
        <v>130864</v>
      </c>
      <c r="O18" s="20">
        <v>3218644</v>
      </c>
      <c r="P18" s="26">
        <v>29754302</v>
      </c>
      <c r="Q18" s="31" t="s">
        <v>26</v>
      </c>
      <c r="R18" s="19">
        <f>IF(表1_8612182224267288[[#This Row],[目标国家]]="魏",0,IF(表1_8612182224267288[[#This Row],[目标国家]]="蜀",1,2))</f>
        <v>1</v>
      </c>
      <c r="S18" s="20">
        <v>167364</v>
      </c>
      <c r="T18" s="20">
        <v>0</v>
      </c>
      <c r="U18" s="20">
        <v>443159</v>
      </c>
      <c r="V18" s="20">
        <v>14520</v>
      </c>
      <c r="W18" s="32">
        <v>952449</v>
      </c>
      <c r="X18" s="33" t="str">
        <f>"{"&amp;"'coin':"&amp;表1_8612182224267288[[#This Row],[补偿Coin]]&amp;",'"&amp;配置!$A$2&amp;"':"&amp;表1_8612182224267288[[#This Row],[补偿辎重]]&amp;"},"</f>
        <v>{'coin':1000,'item036':10},</v>
      </c>
      <c r="Y18" s="34" t="str">
        <f>"            'to_zone':'"&amp;表1_8612182224267288[[#This Row],[目标区服]]&amp;"',
            'reward':"&amp;表1_8612182224267288[[#This Row],[辅助导出]]&amp;"
            'country':["&amp;R17&amp;","&amp;R18&amp;","&amp;R19&amp;"],"</f>
        <v>            'to_zone':'h1_548',
            'reward':{'coin':1000,'item036':10},
            'country':[0,1,2],</v>
      </c>
    </row>
    <row r="19" ht="14.25" customHeight="1" spans="1:25">
      <c r="A19" s="17">
        <v>5106</v>
      </c>
      <c r="B19" s="17">
        <f>VLOOKUP(表1_8612182224267288[[#This Row],[区服]],$P$86:$Q$112,2,FALSE)</f>
        <v>46</v>
      </c>
      <c r="C19" s="45" t="s">
        <v>172</v>
      </c>
      <c r="D19" s="19" t="str">
        <f>表1_8612182224267288[[#This Row],[目标国家]]</f>
        <v>吴</v>
      </c>
      <c r="E19" s="20">
        <f>(VLOOKUP(表1_8612182224267288[[#This Row],[目标区服]],$R$86:$S$112,2,FALSE)-表1_8612182224267288[[#This Row],[开服天数]])*配置!$B$1</f>
        <v>1000</v>
      </c>
      <c r="F19" s="20">
        <f>表1_8612182224267288[[#This Row],[补偿Coin]]*(表1_8612182224267288[[#This Row],[活跃高战玩家数]]+表1_8612182224267288[[#This Row],[活跃中坚玩家数]])</f>
        <v>19000</v>
      </c>
      <c r="G19" s="20">
        <f>(VLOOKUP(表1_8612182224267288[[#This Row],[目标区服]],$R$86:$S$98,2,FALSE)-表1_8612182224267288[[#This Row],[开服天数]])*配置!$B$2</f>
        <v>10</v>
      </c>
      <c r="H19" s="19" t="s">
        <v>27</v>
      </c>
      <c r="I19" s="19">
        <f>IF(表1_8612182224267288[[#This Row],[原国家]]="魏",0,IF(表1_8612182224267288[[#This Row],[原国家]]="蜀",1,2))</f>
        <v>2</v>
      </c>
      <c r="J19" s="20">
        <v>2</v>
      </c>
      <c r="K19" s="20">
        <v>84</v>
      </c>
      <c r="L19" s="20">
        <v>2</v>
      </c>
      <c r="M19" s="20">
        <v>17</v>
      </c>
      <c r="N19" s="20">
        <v>65190</v>
      </c>
      <c r="O19" s="20">
        <v>2108872</v>
      </c>
      <c r="P19" s="26">
        <v>14380877</v>
      </c>
      <c r="Q19" s="31" t="s">
        <v>27</v>
      </c>
      <c r="R19" s="19">
        <f>IF(表1_8612182224267288[[#This Row],[目标国家]]="魏",0,IF(表1_8612182224267288[[#This Row],[目标国家]]="蜀",1,2))</f>
        <v>2</v>
      </c>
      <c r="S19" s="20">
        <v>37786</v>
      </c>
      <c r="T19" s="20">
        <v>0</v>
      </c>
      <c r="U19" s="20">
        <v>284784</v>
      </c>
      <c r="V19" s="20">
        <v>6188</v>
      </c>
      <c r="W19" s="32">
        <v>579660</v>
      </c>
      <c r="X19" s="33" t="str">
        <f>"{"&amp;"'coin':"&amp;表1_8612182224267288[[#This Row],[补偿Coin]]&amp;",'"&amp;配置!$A$2&amp;"':"&amp;表1_8612182224267288[[#This Row],[补偿辎重]]&amp;"},"</f>
        <v>{'coin':1000,'item036':10},</v>
      </c>
      <c r="Y19" s="34" t="str">
        <f t="shared" ref="Y19" si="3">"      },"</f>
        <v>      },</v>
      </c>
    </row>
    <row r="20" ht="14.25" customHeight="1" spans="1:25">
      <c r="A20" s="214">
        <v>5107</v>
      </c>
      <c r="B20" s="214">
        <f>VLOOKUP(表1_8612182224267288[[#This Row],[区服]],$P$86:$Q$112,2,FALSE)</f>
        <v>46</v>
      </c>
      <c r="C20" s="308" t="s">
        <v>173</v>
      </c>
      <c r="D20" s="216" t="str">
        <f>表1_8612182224267288[[#This Row],[目标国家]]</f>
        <v>吴</v>
      </c>
      <c r="E20" s="217">
        <f>(VLOOKUP(表1_8612182224267288[[#This Row],[目标区服]],$R$86:$S$112,2,FALSE)-表1_8612182224267288[[#This Row],[开服天数]])*配置!$B$1</f>
        <v>1000</v>
      </c>
      <c r="F20" s="217">
        <f>表1_8612182224267288[[#This Row],[补偿Coin]]*(表1_8612182224267288[[#This Row],[活跃高战玩家数]]+表1_8612182224267288[[#This Row],[活跃中坚玩家数]])</f>
        <v>20000</v>
      </c>
      <c r="G20" s="217">
        <f>(VLOOKUP(表1_8612182224267288[[#This Row],[目标区服]],$R$86:$S$98,2,FALSE)-表1_8612182224267288[[#This Row],[开服天数]])*配置!$B$2</f>
        <v>10</v>
      </c>
      <c r="H20" s="216" t="s">
        <v>25</v>
      </c>
      <c r="I20" s="216">
        <f>IF(表1_8612182224267288[[#This Row],[原国家]]="魏",0,IF(表1_8612182224267288[[#This Row],[原国家]]="蜀",1,2))</f>
        <v>0</v>
      </c>
      <c r="J20" s="217">
        <v>3</v>
      </c>
      <c r="K20" s="217">
        <v>106</v>
      </c>
      <c r="L20" s="217">
        <v>6</v>
      </c>
      <c r="M20" s="217">
        <v>14</v>
      </c>
      <c r="N20" s="217">
        <v>110611</v>
      </c>
      <c r="O20" s="217">
        <v>2089159</v>
      </c>
      <c r="P20" s="334">
        <v>15504280</v>
      </c>
      <c r="Q20" s="247" t="s">
        <v>27</v>
      </c>
      <c r="R20" s="216">
        <f>IF(表1_8612182224267288[[#This Row],[目标国家]]="魏",0,IF(表1_8612182224267288[[#This Row],[目标国家]]="蜀",1,2))</f>
        <v>2</v>
      </c>
      <c r="S20" s="217">
        <v>53566</v>
      </c>
      <c r="T20" s="217">
        <v>0</v>
      </c>
      <c r="U20" s="217">
        <v>266199</v>
      </c>
      <c r="V20" s="217">
        <v>7292</v>
      </c>
      <c r="W20" s="294">
        <v>618267</v>
      </c>
      <c r="X20" s="249" t="str">
        <f>"{"&amp;"'coin':"&amp;表1_8612182224267288[[#This Row],[补偿Coin]]&amp;",'"&amp;配置!$A$2&amp;"':"&amp;表1_8612182224267288[[#This Row],[补偿辎重]]&amp;"},"</f>
        <v>{'coin':1000,'item036':10},</v>
      </c>
      <c r="Y20" s="251" t="str">
        <f>"      '"&amp;表1_8612182224267288[[#This Row],[区服]]&amp;"':{"</f>
        <v>      '5107':{</v>
      </c>
    </row>
    <row r="21" ht="14.25" customHeight="1" spans="1:25">
      <c r="A21" s="214">
        <v>5107</v>
      </c>
      <c r="B21" s="214">
        <f>VLOOKUP(表1_8612182224267288[[#This Row],[区服]],$P$86:$Q$112,2,FALSE)</f>
        <v>46</v>
      </c>
      <c r="C21" s="308" t="s">
        <v>173</v>
      </c>
      <c r="D21" s="216" t="str">
        <f>表1_8612182224267288[[#This Row],[目标国家]]</f>
        <v>蜀</v>
      </c>
      <c r="E21" s="217">
        <f>(VLOOKUP(表1_8612182224267288[[#This Row],[目标区服]],$R$86:$S$112,2,FALSE)-表1_8612182224267288[[#This Row],[开服天数]])*配置!$B$1</f>
        <v>1000</v>
      </c>
      <c r="F21" s="217">
        <f>表1_8612182224267288[[#This Row],[补偿Coin]]*(表1_8612182224267288[[#This Row],[活跃高战玩家数]]+表1_8612182224267288[[#This Row],[活跃中坚玩家数]])</f>
        <v>18000</v>
      </c>
      <c r="G21" s="217">
        <f>(VLOOKUP(表1_8612182224267288[[#This Row],[目标区服]],$R$86:$S$98,2,FALSE)-表1_8612182224267288[[#This Row],[开服天数]])*配置!$B$2</f>
        <v>10</v>
      </c>
      <c r="H21" s="216" t="s">
        <v>26</v>
      </c>
      <c r="I21" s="216">
        <f>IF(表1_8612182224267288[[#This Row],[原国家]]="魏",0,IF(表1_8612182224267288[[#This Row],[原国家]]="蜀",1,2))</f>
        <v>1</v>
      </c>
      <c r="J21" s="217">
        <v>2</v>
      </c>
      <c r="K21" s="217">
        <v>136</v>
      </c>
      <c r="L21" s="217">
        <v>2</v>
      </c>
      <c r="M21" s="217">
        <v>16</v>
      </c>
      <c r="N21" s="217">
        <v>80821</v>
      </c>
      <c r="O21" s="217">
        <v>1786694</v>
      </c>
      <c r="P21" s="334">
        <v>11191043</v>
      </c>
      <c r="Q21" s="247" t="s">
        <v>26</v>
      </c>
      <c r="R21" s="216">
        <f>IF(表1_8612182224267288[[#This Row],[目标国家]]="魏",0,IF(表1_8612182224267288[[#This Row],[目标国家]]="蜀",1,2))</f>
        <v>1</v>
      </c>
      <c r="S21" s="217">
        <v>26578</v>
      </c>
      <c r="T21" s="217">
        <v>0</v>
      </c>
      <c r="U21" s="217">
        <v>195257</v>
      </c>
      <c r="V21" s="217">
        <v>5764</v>
      </c>
      <c r="W21" s="294">
        <v>610201</v>
      </c>
      <c r="X21" s="249" t="str">
        <f>"{"&amp;"'coin':"&amp;表1_8612182224267288[[#This Row],[补偿Coin]]&amp;",'"&amp;配置!$A$2&amp;"':"&amp;表1_8612182224267288[[#This Row],[补偿辎重]]&amp;"},"</f>
        <v>{'coin':1000,'item036':10},</v>
      </c>
      <c r="Y21" s="251" t="str">
        <f>"            'to_zone':'"&amp;表1_8612182224267288[[#This Row],[目标区服]]&amp;"',
            'reward':"&amp;表1_8612182224267288[[#This Row],[辅助导出]]&amp;"
            'country':["&amp;R20&amp;","&amp;R21&amp;","&amp;R22&amp;"],"</f>
        <v>            'to_zone':'h1_549',
            'reward':{'coin':1000,'item036':10},
            'country':[2,1,0],</v>
      </c>
    </row>
    <row r="22" ht="14.25" customHeight="1" spans="1:25">
      <c r="A22" s="214">
        <v>5107</v>
      </c>
      <c r="B22" s="214">
        <f>VLOOKUP(表1_8612182224267288[[#This Row],[区服]],$P$86:$Q$112,2,FALSE)</f>
        <v>46</v>
      </c>
      <c r="C22" s="308" t="s">
        <v>173</v>
      </c>
      <c r="D22" s="216" t="str">
        <f>表1_8612182224267288[[#This Row],[目标国家]]</f>
        <v>魏</v>
      </c>
      <c r="E22" s="217">
        <f>(VLOOKUP(表1_8612182224267288[[#This Row],[目标区服]],$R$86:$S$112,2,FALSE)-表1_8612182224267288[[#This Row],[开服天数]])*配置!$B$1</f>
        <v>1000</v>
      </c>
      <c r="F22" s="217">
        <f>表1_8612182224267288[[#This Row],[补偿Coin]]*(表1_8612182224267288[[#This Row],[活跃高战玩家数]]+表1_8612182224267288[[#This Row],[活跃中坚玩家数]])</f>
        <v>13000</v>
      </c>
      <c r="G22" s="217">
        <f>(VLOOKUP(表1_8612182224267288[[#This Row],[目标区服]],$R$86:$S$98,2,FALSE)-表1_8612182224267288[[#This Row],[开服天数]])*配置!$B$2</f>
        <v>10</v>
      </c>
      <c r="H22" s="216" t="s">
        <v>27</v>
      </c>
      <c r="I22" s="216">
        <f>IF(表1_8612182224267288[[#This Row],[原国家]]="魏",0,IF(表1_8612182224267288[[#This Row],[原国家]]="蜀",1,2))</f>
        <v>2</v>
      </c>
      <c r="J22" s="217">
        <v>4</v>
      </c>
      <c r="K22" s="217">
        <v>153</v>
      </c>
      <c r="L22" s="217">
        <v>2</v>
      </c>
      <c r="M22" s="217">
        <v>11</v>
      </c>
      <c r="N22" s="217">
        <v>73978</v>
      </c>
      <c r="O22" s="217">
        <v>1901314</v>
      </c>
      <c r="P22" s="334">
        <v>10388131</v>
      </c>
      <c r="Q22" s="247" t="s">
        <v>25</v>
      </c>
      <c r="R22" s="216">
        <f>IF(表1_8612182224267288[[#This Row],[目标国家]]="魏",0,IF(表1_8612182224267288[[#This Row],[目标国家]]="蜀",1,2))</f>
        <v>0</v>
      </c>
      <c r="S22" s="217">
        <v>47206</v>
      </c>
      <c r="T22" s="217">
        <v>0</v>
      </c>
      <c r="U22" s="217">
        <v>399836</v>
      </c>
      <c r="V22" s="217">
        <v>6856</v>
      </c>
      <c r="W22" s="294">
        <v>691881</v>
      </c>
      <c r="X22" s="249" t="str">
        <f>"{"&amp;"'coin':"&amp;表1_8612182224267288[[#This Row],[补偿Coin]]&amp;",'"&amp;配置!$A$2&amp;"':"&amp;表1_8612182224267288[[#This Row],[补偿辎重]]&amp;"},"</f>
        <v>{'coin':1000,'item036':10},</v>
      </c>
      <c r="Y22" s="251" t="str">
        <f t="shared" ref="Y22:Y82" si="4">"      },"</f>
        <v>      },</v>
      </c>
    </row>
    <row r="23" ht="14.25" customHeight="1" spans="1:25">
      <c r="A23" s="367">
        <v>5108</v>
      </c>
      <c r="B23" s="214">
        <f>VLOOKUP(表1_8612182224267288[[#This Row],[区服]],$P$86:$Q$112,2,FALSE)</f>
        <v>46</v>
      </c>
      <c r="C23" s="308" t="s">
        <v>173</v>
      </c>
      <c r="D23" s="216" t="str">
        <f>表1_8612182224267288[[#This Row],[目标国家]]</f>
        <v>吴</v>
      </c>
      <c r="E23" s="413">
        <f>(VLOOKUP(表1_8612182224267288[[#This Row],[目标区服]],$R$86:$S$112,2,FALSE)-表1_8612182224267288[[#This Row],[开服天数]])*配置!$B$1</f>
        <v>1000</v>
      </c>
      <c r="F23" s="217">
        <f>表1_8612182224267288[[#This Row],[补偿Coin]]*(表1_8612182224267288[[#This Row],[活跃高战玩家数]]+表1_8612182224267288[[#This Row],[活跃中坚玩家数]])</f>
        <v>9000</v>
      </c>
      <c r="G23" s="368">
        <f>(VLOOKUP(表1_8612182224267288[[#This Row],[目标区服]],$R$86:$S$98,2,FALSE)-表1_8612182224267288[[#This Row],[开服天数]])*配置!$B$2</f>
        <v>10</v>
      </c>
      <c r="H23" s="216" t="s">
        <v>25</v>
      </c>
      <c r="I23" s="377">
        <f>IF(表1_8612182224267288[[#This Row],[原国家]]="魏",0,IF(表1_8612182224267288[[#This Row],[原国家]]="蜀",1,2))</f>
        <v>0</v>
      </c>
      <c r="J23" s="217">
        <v>1</v>
      </c>
      <c r="K23" s="217">
        <v>75</v>
      </c>
      <c r="L23" s="217">
        <v>2</v>
      </c>
      <c r="M23" s="217">
        <v>7</v>
      </c>
      <c r="N23" s="217">
        <v>43236</v>
      </c>
      <c r="O23" s="378">
        <v>1493920</v>
      </c>
      <c r="P23" s="334">
        <v>5177906</v>
      </c>
      <c r="Q23" s="247" t="s">
        <v>27</v>
      </c>
      <c r="R23" s="216">
        <f>IF(表1_8612182224267288[[#This Row],[目标国家]]="魏",0,IF(表1_8612182224267288[[#This Row],[目标国家]]="蜀",1,2))</f>
        <v>2</v>
      </c>
      <c r="S23" s="217">
        <v>5752</v>
      </c>
      <c r="T23" s="217">
        <v>0</v>
      </c>
      <c r="U23" s="217">
        <v>98192</v>
      </c>
      <c r="V23" s="217">
        <v>3299</v>
      </c>
      <c r="W23" s="488">
        <v>509202</v>
      </c>
      <c r="X23" s="382" t="str">
        <f>"{"&amp;"'coin':"&amp;表1_8612182224267288[[#This Row],[补偿Coin]]&amp;",'"&amp;配置!$A$2&amp;"':"&amp;表1_8612182224267288[[#This Row],[补偿辎重]]&amp;"},"</f>
        <v>{'coin':1000,'item036':10},</v>
      </c>
      <c r="Y23" s="251" t="str">
        <f>"      '"&amp;表1_8612182224267288[[#This Row],[区服]]&amp;"':{"</f>
        <v>      '5108':{</v>
      </c>
    </row>
    <row r="24" ht="14.25" customHeight="1" spans="1:25">
      <c r="A24" s="367">
        <v>5108</v>
      </c>
      <c r="B24" s="214">
        <f>VLOOKUP(表1_8612182224267288[[#This Row],[区服]],$P$86:$Q$112,2,FALSE)</f>
        <v>46</v>
      </c>
      <c r="C24" s="308" t="s">
        <v>173</v>
      </c>
      <c r="D24" s="216" t="str">
        <f>表1_8612182224267288[[#This Row],[目标国家]]</f>
        <v>蜀</v>
      </c>
      <c r="E24" s="413">
        <f>(VLOOKUP(表1_8612182224267288[[#This Row],[目标区服]],$R$86:$S$112,2,FALSE)-表1_8612182224267288[[#This Row],[开服天数]])*配置!$B$1</f>
        <v>1000</v>
      </c>
      <c r="F24" s="217">
        <f>表1_8612182224267288[[#This Row],[补偿Coin]]*(表1_8612182224267288[[#This Row],[活跃高战玩家数]]+表1_8612182224267288[[#This Row],[活跃中坚玩家数]])</f>
        <v>20000</v>
      </c>
      <c r="G24" s="368">
        <f>(VLOOKUP(表1_8612182224267288[[#This Row],[目标区服]],$R$86:$S$98,2,FALSE)-表1_8612182224267288[[#This Row],[开服天数]])*配置!$B$2</f>
        <v>10</v>
      </c>
      <c r="H24" s="216" t="s">
        <v>26</v>
      </c>
      <c r="I24" s="377">
        <f>IF(表1_8612182224267288[[#This Row],[原国家]]="魏",0,IF(表1_8612182224267288[[#This Row],[原国家]]="蜀",1,2))</f>
        <v>1</v>
      </c>
      <c r="J24" s="217">
        <v>6</v>
      </c>
      <c r="K24" s="217">
        <v>246</v>
      </c>
      <c r="L24" s="217">
        <v>6</v>
      </c>
      <c r="M24" s="217">
        <v>14</v>
      </c>
      <c r="N24" s="217">
        <v>121237</v>
      </c>
      <c r="O24" s="378">
        <v>2668550</v>
      </c>
      <c r="P24" s="334">
        <v>17181207</v>
      </c>
      <c r="Q24" s="247" t="s">
        <v>26</v>
      </c>
      <c r="R24" s="216">
        <f>IF(表1_8612182224267288[[#This Row],[目标国家]]="魏",0,IF(表1_8612182224267288[[#This Row],[目标国家]]="蜀",1,2))</f>
        <v>1</v>
      </c>
      <c r="S24" s="217">
        <v>68888</v>
      </c>
      <c r="T24" s="217">
        <v>0</v>
      </c>
      <c r="U24" s="217">
        <v>680779</v>
      </c>
      <c r="V24" s="217">
        <v>10459</v>
      </c>
      <c r="W24" s="488">
        <v>856283</v>
      </c>
      <c r="X24" s="382" t="str">
        <f>"{"&amp;"'coin':"&amp;表1_8612182224267288[[#This Row],[补偿Coin]]&amp;",'"&amp;配置!$A$2&amp;"':"&amp;表1_8612182224267288[[#This Row],[补偿辎重]]&amp;"},"</f>
        <v>{'coin':1000,'item036':10},</v>
      </c>
      <c r="Y24" s="251" t="str">
        <f>"            'to_zone':'"&amp;表1_8612182224267288[[#This Row],[目标区服]]&amp;"',
            'reward':"&amp;表1_8612182224267288[[#This Row],[辅助导出]]&amp;"
            'country':["&amp;R23&amp;","&amp;R24&amp;","&amp;R25&amp;"],"</f>
        <v>            'to_zone':'h1_549',
            'reward':{'coin':1000,'item036':10},
            'country':[2,1,2],</v>
      </c>
    </row>
    <row r="25" ht="14.25" customHeight="1" spans="1:25">
      <c r="A25" s="367">
        <v>5108</v>
      </c>
      <c r="B25" s="214">
        <f>VLOOKUP(表1_8612182224267288[[#This Row],[区服]],$P$86:$Q$112,2,FALSE)</f>
        <v>46</v>
      </c>
      <c r="C25" s="308" t="s">
        <v>173</v>
      </c>
      <c r="D25" s="216" t="str">
        <f>表1_8612182224267288[[#This Row],[目标国家]]</f>
        <v>吴</v>
      </c>
      <c r="E25" s="413">
        <f>(VLOOKUP(表1_8612182224267288[[#This Row],[目标区服]],$R$86:$S$112,2,FALSE)-表1_8612182224267288[[#This Row],[开服天数]])*配置!$B$1</f>
        <v>1000</v>
      </c>
      <c r="F25" s="217">
        <f>表1_8612182224267288[[#This Row],[补偿Coin]]*(表1_8612182224267288[[#This Row],[活跃高战玩家数]]+表1_8612182224267288[[#This Row],[活跃中坚玩家数]])</f>
        <v>14000</v>
      </c>
      <c r="G25" s="368">
        <f>(VLOOKUP(表1_8612182224267288[[#This Row],[目标区服]],$R$86:$S$98,2,FALSE)-表1_8612182224267288[[#This Row],[开服天数]])*配置!$B$2</f>
        <v>10</v>
      </c>
      <c r="H25" s="216" t="s">
        <v>27</v>
      </c>
      <c r="I25" s="377">
        <f>IF(表1_8612182224267288[[#This Row],[原国家]]="魏",0,IF(表1_8612182224267288[[#This Row],[原国家]]="蜀",1,2))</f>
        <v>2</v>
      </c>
      <c r="J25" s="217">
        <v>2</v>
      </c>
      <c r="K25" s="217">
        <v>74</v>
      </c>
      <c r="L25" s="217">
        <v>2</v>
      </c>
      <c r="M25" s="217">
        <v>12</v>
      </c>
      <c r="N25" s="217">
        <v>74258</v>
      </c>
      <c r="O25" s="378">
        <v>1426222</v>
      </c>
      <c r="P25" s="334">
        <v>8179880</v>
      </c>
      <c r="Q25" s="247" t="s">
        <v>27</v>
      </c>
      <c r="R25" s="216">
        <f>IF(表1_8612182224267288[[#This Row],[目标国家]]="魏",0,IF(表1_8612182224267288[[#This Row],[目标国家]]="蜀",1,2))</f>
        <v>2</v>
      </c>
      <c r="S25" s="217">
        <v>9726</v>
      </c>
      <c r="T25" s="217">
        <v>0</v>
      </c>
      <c r="U25" s="217">
        <v>212794</v>
      </c>
      <c r="V25" s="217">
        <v>3953</v>
      </c>
      <c r="W25" s="488">
        <v>542084</v>
      </c>
      <c r="X25" s="382" t="str">
        <f>"{"&amp;"'coin':"&amp;表1_8612182224267288[[#This Row],[补偿Coin]]&amp;",'"&amp;配置!$A$2&amp;"':"&amp;表1_8612182224267288[[#This Row],[补偿辎重]]&amp;"},"</f>
        <v>{'coin':1000,'item036':10},</v>
      </c>
      <c r="Y25" s="251" t="str">
        <f t="shared" ref="Y25:Y79" si="5">"      },"</f>
        <v>      },</v>
      </c>
    </row>
    <row r="26" ht="14.25" customHeight="1" spans="1:25">
      <c r="A26" s="367">
        <v>5109</v>
      </c>
      <c r="B26" s="214">
        <f>VLOOKUP(表1_8612182224267288[[#This Row],[区服]],$P$86:$Q$112,2,FALSE)</f>
        <v>45</v>
      </c>
      <c r="C26" s="308" t="s">
        <v>173</v>
      </c>
      <c r="D26" s="216" t="str">
        <f>表1_8612182224267288[[#This Row],[目标国家]]</f>
        <v>魏</v>
      </c>
      <c r="E26" s="413">
        <f>(VLOOKUP(表1_8612182224267288[[#This Row],[目标区服]],$R$86:$S$112,2,FALSE)-表1_8612182224267288[[#This Row],[开服天数]])*配置!$B$1</f>
        <v>1500</v>
      </c>
      <c r="F26" s="217">
        <f>表1_8612182224267288[[#This Row],[补偿Coin]]*(表1_8612182224267288[[#This Row],[活跃高战玩家数]]+表1_8612182224267288[[#This Row],[活跃中坚玩家数]])</f>
        <v>39000</v>
      </c>
      <c r="G26" s="368">
        <f>(VLOOKUP(表1_8612182224267288[[#This Row],[目标区服]],$R$86:$S$98,2,FALSE)-表1_8612182224267288[[#This Row],[开服天数]])*配置!$B$2</f>
        <v>15</v>
      </c>
      <c r="H26" s="216" t="s">
        <v>25</v>
      </c>
      <c r="I26" s="377">
        <f>IF(表1_8612182224267288[[#This Row],[原国家]]="魏",0,IF(表1_8612182224267288[[#This Row],[原国家]]="蜀",1,2))</f>
        <v>0</v>
      </c>
      <c r="J26" s="217">
        <v>6</v>
      </c>
      <c r="K26" s="217">
        <v>252</v>
      </c>
      <c r="L26" s="217">
        <v>6</v>
      </c>
      <c r="M26" s="217">
        <v>20</v>
      </c>
      <c r="N26" s="217">
        <v>141825</v>
      </c>
      <c r="O26" s="378">
        <v>2858609</v>
      </c>
      <c r="P26" s="334">
        <v>24497690</v>
      </c>
      <c r="Q26" s="247" t="s">
        <v>25</v>
      </c>
      <c r="R26" s="216">
        <f>IF(表1_8612182224267288[[#This Row],[目标国家]]="魏",0,IF(表1_8612182224267288[[#This Row],[目标国家]]="蜀",1,2))</f>
        <v>0</v>
      </c>
      <c r="S26" s="217">
        <v>107308</v>
      </c>
      <c r="T26" s="217">
        <v>0</v>
      </c>
      <c r="U26" s="217">
        <v>394963</v>
      </c>
      <c r="V26" s="217">
        <v>12554</v>
      </c>
      <c r="W26" s="488">
        <v>919498</v>
      </c>
      <c r="X26" s="382" t="str">
        <f>"{"&amp;"'coin':"&amp;表1_8612182224267288[[#This Row],[补偿Coin]]&amp;",'"&amp;配置!$A$2&amp;"':"&amp;表1_8612182224267288[[#This Row],[补偿辎重]]&amp;"},"</f>
        <v>{'coin':1500,'item036':15},</v>
      </c>
      <c r="Y26" s="251" t="str">
        <f>"      '"&amp;表1_8612182224267288[[#This Row],[区服]]&amp;"':{"</f>
        <v>      '5109':{</v>
      </c>
    </row>
    <row r="27" ht="14.25" customHeight="1" spans="1:25">
      <c r="A27" s="367">
        <v>5109</v>
      </c>
      <c r="B27" s="214">
        <f>VLOOKUP(表1_8612182224267288[[#This Row],[区服]],$P$86:$Q$112,2,FALSE)</f>
        <v>45</v>
      </c>
      <c r="C27" s="308" t="s">
        <v>173</v>
      </c>
      <c r="D27" s="216" t="str">
        <f>表1_8612182224267288[[#This Row],[目标国家]]</f>
        <v>蜀</v>
      </c>
      <c r="E27" s="413">
        <f>(VLOOKUP(表1_8612182224267288[[#This Row],[目标区服]],$R$86:$S$112,2,FALSE)-表1_8612182224267288[[#This Row],[开服天数]])*配置!$B$1</f>
        <v>1500</v>
      </c>
      <c r="F27" s="217">
        <f>表1_8612182224267288[[#This Row],[补偿Coin]]*(表1_8612182224267288[[#This Row],[活跃高战玩家数]]+表1_8612182224267288[[#This Row],[活跃中坚玩家数]])</f>
        <v>22500</v>
      </c>
      <c r="G27" s="368">
        <f>(VLOOKUP(表1_8612182224267288[[#This Row],[目标区服]],$R$86:$S$98,2,FALSE)-表1_8612182224267288[[#This Row],[开服天数]])*配置!$B$2</f>
        <v>15</v>
      </c>
      <c r="H27" s="216" t="s">
        <v>26</v>
      </c>
      <c r="I27" s="377">
        <f>IF(表1_8612182224267288[[#This Row],[原国家]]="魏",0,IF(表1_8612182224267288[[#This Row],[原国家]]="蜀",1,2))</f>
        <v>1</v>
      </c>
      <c r="J27" s="217">
        <v>1</v>
      </c>
      <c r="K27" s="217">
        <v>61</v>
      </c>
      <c r="L27" s="217">
        <v>2</v>
      </c>
      <c r="M27" s="217">
        <v>13</v>
      </c>
      <c r="N27" s="217">
        <v>71920</v>
      </c>
      <c r="O27" s="378">
        <v>1771161</v>
      </c>
      <c r="P27" s="334">
        <v>11351803</v>
      </c>
      <c r="Q27" s="247" t="s">
        <v>26</v>
      </c>
      <c r="R27" s="216">
        <f>IF(表1_8612182224267288[[#This Row],[目标国家]]="魏",0,IF(表1_8612182224267288[[#This Row],[目标国家]]="蜀",1,2))</f>
        <v>1</v>
      </c>
      <c r="S27" s="217">
        <v>41052</v>
      </c>
      <c r="T27" s="217">
        <v>0</v>
      </c>
      <c r="U27" s="217">
        <v>216087</v>
      </c>
      <c r="V27" s="217">
        <v>5315</v>
      </c>
      <c r="W27" s="488">
        <v>481900</v>
      </c>
      <c r="X27" s="382" t="str">
        <f>"{"&amp;"'coin':"&amp;表1_8612182224267288[[#This Row],[补偿Coin]]&amp;",'"&amp;配置!$A$2&amp;"':"&amp;表1_8612182224267288[[#This Row],[补偿辎重]]&amp;"},"</f>
        <v>{'coin':1500,'item036':15},</v>
      </c>
      <c r="Y27" s="251" t="str">
        <f>"            'to_zone':'"&amp;表1_8612182224267288[[#This Row],[目标区服]]&amp;"',
            'reward':"&amp;表1_8612182224267288[[#This Row],[辅助导出]]&amp;"
            'country':["&amp;R26&amp;","&amp;R27&amp;","&amp;R28&amp;"],"</f>
        <v>            'to_zone':'h1_549',
            'reward':{'coin':1500,'item036':15},
            'country':[0,1,2],</v>
      </c>
    </row>
    <row r="28" ht="14.25" customHeight="1" spans="1:25">
      <c r="A28" s="367">
        <v>5109</v>
      </c>
      <c r="B28" s="214">
        <f>VLOOKUP(表1_8612182224267288[[#This Row],[区服]],$P$86:$Q$112,2,FALSE)</f>
        <v>45</v>
      </c>
      <c r="C28" s="308" t="s">
        <v>173</v>
      </c>
      <c r="D28" s="216" t="str">
        <f>表1_8612182224267288[[#This Row],[目标国家]]</f>
        <v>吴</v>
      </c>
      <c r="E28" s="413">
        <f>(VLOOKUP(表1_8612182224267288[[#This Row],[目标区服]],$R$86:$S$112,2,FALSE)-表1_8612182224267288[[#This Row],[开服天数]])*配置!$B$1</f>
        <v>1500</v>
      </c>
      <c r="F28" s="217">
        <f>表1_8612182224267288[[#This Row],[补偿Coin]]*(表1_8612182224267288[[#This Row],[活跃高战玩家数]]+表1_8612182224267288[[#This Row],[活跃中坚玩家数]])</f>
        <v>25500</v>
      </c>
      <c r="G28" s="368">
        <f>(VLOOKUP(表1_8612182224267288[[#This Row],[目标区服]],$R$86:$S$98,2,FALSE)-表1_8612182224267288[[#This Row],[开服天数]])*配置!$B$2</f>
        <v>15</v>
      </c>
      <c r="H28" s="216" t="s">
        <v>27</v>
      </c>
      <c r="I28" s="377">
        <f>IF(表1_8612182224267288[[#This Row],[原国家]]="魏",0,IF(表1_8612182224267288[[#This Row],[原国家]]="蜀",1,2))</f>
        <v>2</v>
      </c>
      <c r="J28" s="217">
        <v>2</v>
      </c>
      <c r="K28" s="217">
        <v>82</v>
      </c>
      <c r="L28" s="217">
        <v>2</v>
      </c>
      <c r="M28" s="217">
        <v>15</v>
      </c>
      <c r="N28" s="217">
        <v>74445</v>
      </c>
      <c r="O28" s="378">
        <v>2397577</v>
      </c>
      <c r="P28" s="334">
        <v>13217329</v>
      </c>
      <c r="Q28" s="247" t="s">
        <v>27</v>
      </c>
      <c r="R28" s="216">
        <f>IF(表1_8612182224267288[[#This Row],[目标国家]]="魏",0,IF(表1_8612182224267288[[#This Row],[目标国家]]="蜀",1,2))</f>
        <v>2</v>
      </c>
      <c r="S28" s="217">
        <v>65772</v>
      </c>
      <c r="T28" s="217">
        <v>0</v>
      </c>
      <c r="U28" s="217">
        <v>205721</v>
      </c>
      <c r="V28" s="217">
        <v>7187</v>
      </c>
      <c r="W28" s="488">
        <v>842936</v>
      </c>
      <c r="X28" s="382" t="str">
        <f>"{"&amp;"'coin':"&amp;表1_8612182224267288[[#This Row],[补偿Coin]]&amp;",'"&amp;配置!$A$2&amp;"':"&amp;表1_8612182224267288[[#This Row],[补偿辎重]]&amp;"},"</f>
        <v>{'coin':1500,'item036':15},</v>
      </c>
      <c r="Y28" s="251" t="str">
        <f t="shared" si="4"/>
        <v>      },</v>
      </c>
    </row>
    <row r="29" ht="14.25" customHeight="1" spans="1:25">
      <c r="A29" s="370">
        <v>5110</v>
      </c>
      <c r="B29" s="81">
        <f>VLOOKUP(表1_8612182224267288[[#This Row],[区服]],$P$86:$Q$112,2,FALSE)</f>
        <v>45</v>
      </c>
      <c r="C29" s="414" t="s">
        <v>174</v>
      </c>
      <c r="D29" s="83" t="str">
        <f>表1_8612182224267288[[#This Row],[目标国家]]</f>
        <v>蜀</v>
      </c>
      <c r="E29" s="415">
        <f>(VLOOKUP(表1_8612182224267288[[#This Row],[目标区服]],$R$86:$S$112,2,FALSE)-表1_8612182224267288[[#This Row],[开服天数]])*配置!$B$1</f>
        <v>1000</v>
      </c>
      <c r="F29" s="85">
        <f>表1_8612182224267288[[#This Row],[补偿Coin]]*(表1_8612182224267288[[#This Row],[活跃高战玩家数]]+表1_8612182224267288[[#This Row],[活跃中坚玩家数]])</f>
        <v>14000</v>
      </c>
      <c r="G29" s="416">
        <f>(VLOOKUP(表1_8612182224267288[[#This Row],[目标区服]],$R$86:$S$98,2,FALSE)-表1_8612182224267288[[#This Row],[开服天数]])*配置!$B$2</f>
        <v>10</v>
      </c>
      <c r="H29" s="83" t="s">
        <v>25</v>
      </c>
      <c r="I29" s="421">
        <f>IF(表1_8612182224267288[[#This Row],[原国家]]="魏",0,IF(表1_8612182224267288[[#This Row],[原国家]]="蜀",1,2))</f>
        <v>0</v>
      </c>
      <c r="J29" s="85">
        <v>2</v>
      </c>
      <c r="K29" s="85">
        <v>64</v>
      </c>
      <c r="L29" s="85">
        <v>3</v>
      </c>
      <c r="M29" s="85">
        <v>11</v>
      </c>
      <c r="N29" s="85">
        <v>60680</v>
      </c>
      <c r="O29" s="422">
        <v>1226328</v>
      </c>
      <c r="P29" s="379">
        <v>8186657</v>
      </c>
      <c r="Q29" s="128" t="s">
        <v>26</v>
      </c>
      <c r="R29" s="83">
        <f>IF(表1_8612182224267288[[#This Row],[目标国家]]="魏",0,IF(表1_8612182224267288[[#This Row],[目标国家]]="蜀",1,2))</f>
        <v>1</v>
      </c>
      <c r="S29" s="85">
        <v>14940</v>
      </c>
      <c r="T29" s="85">
        <v>0</v>
      </c>
      <c r="U29" s="85">
        <v>143798</v>
      </c>
      <c r="V29" s="85">
        <v>3708</v>
      </c>
      <c r="W29" s="489">
        <v>341006</v>
      </c>
      <c r="X29" s="431" t="str">
        <f>"{"&amp;"'coin':"&amp;表1_8612182224267288[[#This Row],[补偿Coin]]&amp;",'"&amp;配置!$A$2&amp;"':"&amp;表1_8612182224267288[[#This Row],[补偿辎重]]&amp;"},"</f>
        <v>{'coin':1000,'item036':10},</v>
      </c>
      <c r="Y29" s="149" t="str">
        <f>"      '"&amp;表1_8612182224267288[[#This Row],[区服]]&amp;"':{"</f>
        <v>      '5110':{</v>
      </c>
    </row>
    <row r="30" ht="14.25" customHeight="1" spans="1:25">
      <c r="A30" s="370">
        <v>5110</v>
      </c>
      <c r="B30" s="81">
        <f>VLOOKUP(表1_8612182224267288[[#This Row],[区服]],$P$86:$Q$112,2,FALSE)</f>
        <v>45</v>
      </c>
      <c r="C30" s="414" t="s">
        <v>174</v>
      </c>
      <c r="D30" s="83" t="str">
        <f>表1_8612182224267288[[#This Row],[目标国家]]</f>
        <v>魏</v>
      </c>
      <c r="E30" s="415">
        <f>(VLOOKUP(表1_8612182224267288[[#This Row],[目标区服]],$R$86:$S$112,2,FALSE)-表1_8612182224267288[[#This Row],[开服天数]])*配置!$B$1</f>
        <v>1000</v>
      </c>
      <c r="F30" s="85">
        <f>表1_8612182224267288[[#This Row],[补偿Coin]]*(表1_8612182224267288[[#This Row],[活跃高战玩家数]]+表1_8612182224267288[[#This Row],[活跃中坚玩家数]])</f>
        <v>24000</v>
      </c>
      <c r="G30" s="416">
        <f>(VLOOKUP(表1_8612182224267288[[#This Row],[目标区服]],$R$86:$S$98,2,FALSE)-表1_8612182224267288[[#This Row],[开服天数]])*配置!$B$2</f>
        <v>10</v>
      </c>
      <c r="H30" s="83" t="s">
        <v>26</v>
      </c>
      <c r="I30" s="421">
        <f>IF(表1_8612182224267288[[#This Row],[原国家]]="魏",0,IF(表1_8612182224267288[[#This Row],[原国家]]="蜀",1,2))</f>
        <v>1</v>
      </c>
      <c r="J30" s="85">
        <v>4</v>
      </c>
      <c r="K30" s="85">
        <v>190</v>
      </c>
      <c r="L30" s="85">
        <v>5</v>
      </c>
      <c r="M30" s="85">
        <v>19</v>
      </c>
      <c r="N30" s="85">
        <v>113438</v>
      </c>
      <c r="O30" s="422">
        <v>2466413</v>
      </c>
      <c r="P30" s="379">
        <v>16492266</v>
      </c>
      <c r="Q30" s="128" t="s">
        <v>25</v>
      </c>
      <c r="R30" s="83">
        <f>IF(表1_8612182224267288[[#This Row],[目标国家]]="魏",0,IF(表1_8612182224267288[[#This Row],[目标国家]]="蜀",1,2))</f>
        <v>0</v>
      </c>
      <c r="S30" s="85">
        <v>47244</v>
      </c>
      <c r="T30" s="85">
        <v>0</v>
      </c>
      <c r="U30" s="85">
        <v>216387</v>
      </c>
      <c r="V30" s="85">
        <v>8508</v>
      </c>
      <c r="W30" s="489">
        <v>659314</v>
      </c>
      <c r="X30" s="431" t="str">
        <f>"{"&amp;"'coin':"&amp;表1_8612182224267288[[#This Row],[补偿Coin]]&amp;",'"&amp;配置!$A$2&amp;"':"&amp;表1_8612182224267288[[#This Row],[补偿辎重]]&amp;"},"</f>
        <v>{'coin':1000,'item036':10},</v>
      </c>
      <c r="Y30" s="149" t="str">
        <f>"            'to_zone':'"&amp;表1_8612182224267288[[#This Row],[目标区服]]&amp;"',
            'reward':"&amp;表1_8612182224267288[[#This Row],[辅助导出]]&amp;"
            'country':["&amp;R29&amp;","&amp;R30&amp;","&amp;R31&amp;"],"</f>
        <v>            'to_zone':'h1_550',
            'reward':{'coin':1000,'item036':10},
            'country':[1,0,0],</v>
      </c>
    </row>
    <row r="31" ht="14.25" customHeight="1" spans="1:25">
      <c r="A31" s="370">
        <v>5110</v>
      </c>
      <c r="B31" s="81">
        <f>VLOOKUP(表1_8612182224267288[[#This Row],[区服]],$P$86:$Q$112,2,FALSE)</f>
        <v>45</v>
      </c>
      <c r="C31" s="414" t="s">
        <v>174</v>
      </c>
      <c r="D31" s="83" t="str">
        <f>表1_8612182224267288[[#This Row],[目标国家]]</f>
        <v>魏</v>
      </c>
      <c r="E31" s="415">
        <f>(VLOOKUP(表1_8612182224267288[[#This Row],[目标区服]],$R$86:$S$112,2,FALSE)-表1_8612182224267288[[#This Row],[开服天数]])*配置!$B$1</f>
        <v>1000</v>
      </c>
      <c r="F31" s="85">
        <f>表1_8612182224267288[[#This Row],[补偿Coin]]*(表1_8612182224267288[[#This Row],[活跃高战玩家数]]+表1_8612182224267288[[#This Row],[活跃中坚玩家数]])</f>
        <v>23000</v>
      </c>
      <c r="G31" s="416">
        <f>(VLOOKUP(表1_8612182224267288[[#This Row],[目标区服]],$R$86:$S$98,2,FALSE)-表1_8612182224267288[[#This Row],[开服天数]])*配置!$B$2</f>
        <v>10</v>
      </c>
      <c r="H31" s="83" t="s">
        <v>27</v>
      </c>
      <c r="I31" s="421">
        <f>IF(表1_8612182224267288[[#This Row],[原国家]]="魏",0,IF(表1_8612182224267288[[#This Row],[原国家]]="蜀",1,2))</f>
        <v>2</v>
      </c>
      <c r="J31" s="85">
        <v>3</v>
      </c>
      <c r="K31" s="85">
        <v>141</v>
      </c>
      <c r="L31" s="85">
        <v>2</v>
      </c>
      <c r="M31" s="85">
        <v>21</v>
      </c>
      <c r="N31" s="85">
        <v>97025</v>
      </c>
      <c r="O31" s="422">
        <v>1697131</v>
      </c>
      <c r="P31" s="379">
        <v>13656814</v>
      </c>
      <c r="Q31" s="128" t="s">
        <v>25</v>
      </c>
      <c r="R31" s="83">
        <f>IF(表1_8612182224267288[[#This Row],[目标国家]]="魏",0,IF(表1_8612182224267288[[#This Row],[目标国家]]="蜀",1,2))</f>
        <v>0</v>
      </c>
      <c r="S31" s="85">
        <v>43044</v>
      </c>
      <c r="T31" s="85">
        <v>0</v>
      </c>
      <c r="U31" s="85">
        <v>260087</v>
      </c>
      <c r="V31" s="85">
        <v>6679</v>
      </c>
      <c r="W31" s="489">
        <v>546838</v>
      </c>
      <c r="X31" s="431" t="str">
        <f>"{"&amp;"'coin':"&amp;表1_8612182224267288[[#This Row],[补偿Coin]]&amp;",'"&amp;配置!$A$2&amp;"':"&amp;表1_8612182224267288[[#This Row],[补偿辎重]]&amp;"},"</f>
        <v>{'coin':1000,'item036':10},</v>
      </c>
      <c r="Y31" s="149" t="str">
        <f t="shared" si="5"/>
        <v>      },</v>
      </c>
    </row>
    <row r="32" ht="14.25" customHeight="1" spans="1:25">
      <c r="A32" s="370">
        <v>5111</v>
      </c>
      <c r="B32" s="81">
        <f>VLOOKUP(表1_8612182224267288[[#This Row],[区服]],$P$86:$Q$112,2,FALSE)</f>
        <v>45</v>
      </c>
      <c r="C32" s="414" t="s">
        <v>174</v>
      </c>
      <c r="D32" s="83" t="str">
        <f>表1_8612182224267288[[#This Row],[目标国家]]</f>
        <v>魏</v>
      </c>
      <c r="E32" s="415">
        <f>(VLOOKUP(表1_8612182224267288[[#This Row],[目标区服]],$R$86:$S$112,2,FALSE)-表1_8612182224267288[[#This Row],[开服天数]])*配置!$B$1</f>
        <v>1000</v>
      </c>
      <c r="F32" s="85">
        <f>表1_8612182224267288[[#This Row],[补偿Coin]]*(表1_8612182224267288[[#This Row],[活跃高战玩家数]]+表1_8612182224267288[[#This Row],[活跃中坚玩家数]])</f>
        <v>10000</v>
      </c>
      <c r="G32" s="416">
        <f>(VLOOKUP(表1_8612182224267288[[#This Row],[目标区服]],$R$86:$S$98,2,FALSE)-表1_8612182224267288[[#This Row],[开服天数]])*配置!$B$2</f>
        <v>10</v>
      </c>
      <c r="H32" s="83" t="s">
        <v>25</v>
      </c>
      <c r="I32" s="421">
        <f>IF(表1_8612182224267288[[#This Row],[原国家]]="魏",0,IF(表1_8612182224267288[[#This Row],[原国家]]="蜀",1,2))</f>
        <v>0</v>
      </c>
      <c r="J32" s="85">
        <v>0</v>
      </c>
      <c r="K32" s="85">
        <v>25</v>
      </c>
      <c r="L32" s="85">
        <v>1</v>
      </c>
      <c r="M32" s="85">
        <v>9</v>
      </c>
      <c r="N32" s="85">
        <v>30344</v>
      </c>
      <c r="O32" s="422">
        <v>1580579</v>
      </c>
      <c r="P32" s="379">
        <v>6943532</v>
      </c>
      <c r="Q32" s="128" t="s">
        <v>25</v>
      </c>
      <c r="R32" s="83">
        <f>IF(表1_8612182224267288[[#This Row],[目标国家]]="魏",0,IF(表1_8612182224267288[[#This Row],[目标国家]]="蜀",1,2))</f>
        <v>0</v>
      </c>
      <c r="S32" s="85">
        <v>3650</v>
      </c>
      <c r="T32" s="85">
        <v>0</v>
      </c>
      <c r="U32" s="85">
        <v>109601</v>
      </c>
      <c r="V32" s="85">
        <v>2840</v>
      </c>
      <c r="W32" s="489">
        <v>634205</v>
      </c>
      <c r="X32" s="431" t="str">
        <f>"{"&amp;"'coin':"&amp;表1_8612182224267288[[#This Row],[补偿Coin]]&amp;",'"&amp;配置!$A$2&amp;"':"&amp;表1_8612182224267288[[#This Row],[补偿辎重]]&amp;"},"</f>
        <v>{'coin':1000,'item036':10},</v>
      </c>
      <c r="Y32" s="149" t="str">
        <f>"      '"&amp;表1_8612182224267288[[#This Row],[区服]]&amp;"':{"</f>
        <v>      '5111':{</v>
      </c>
    </row>
    <row r="33" ht="14.25" customHeight="1" spans="1:25">
      <c r="A33" s="370">
        <v>5111</v>
      </c>
      <c r="B33" s="81">
        <f>VLOOKUP(表1_8612182224267288[[#This Row],[区服]],$P$86:$Q$112,2,FALSE)</f>
        <v>45</v>
      </c>
      <c r="C33" s="414" t="s">
        <v>174</v>
      </c>
      <c r="D33" s="83" t="str">
        <f>表1_8612182224267288[[#This Row],[目标国家]]</f>
        <v>蜀</v>
      </c>
      <c r="E33" s="415">
        <f>(VLOOKUP(表1_8612182224267288[[#This Row],[目标区服]],$R$86:$S$112,2,FALSE)-表1_8612182224267288[[#This Row],[开服天数]])*配置!$B$1</f>
        <v>1000</v>
      </c>
      <c r="F33" s="85">
        <f>表1_8612182224267288[[#This Row],[补偿Coin]]*(表1_8612182224267288[[#This Row],[活跃高战玩家数]]+表1_8612182224267288[[#This Row],[活跃中坚玩家数]])</f>
        <v>35000</v>
      </c>
      <c r="G33" s="416">
        <f>(VLOOKUP(表1_8612182224267288[[#This Row],[目标区服]],$R$86:$S$98,2,FALSE)-表1_8612182224267288[[#This Row],[开服天数]])*配置!$B$2</f>
        <v>10</v>
      </c>
      <c r="H33" s="83" t="s">
        <v>26</v>
      </c>
      <c r="I33" s="421">
        <f>IF(表1_8612182224267288[[#This Row],[原国家]]="魏",0,IF(表1_8612182224267288[[#This Row],[原国家]]="蜀",1,2))</f>
        <v>1</v>
      </c>
      <c r="J33" s="85">
        <v>5</v>
      </c>
      <c r="K33" s="85">
        <v>161</v>
      </c>
      <c r="L33" s="85">
        <v>3</v>
      </c>
      <c r="M33" s="85">
        <v>32</v>
      </c>
      <c r="N33" s="85">
        <v>153298</v>
      </c>
      <c r="O33" s="422">
        <v>3794635</v>
      </c>
      <c r="P33" s="379">
        <v>31682816</v>
      </c>
      <c r="Q33" s="128" t="s">
        <v>26</v>
      </c>
      <c r="R33" s="83">
        <f>IF(表1_8612182224267288[[#This Row],[目标国家]]="魏",0,IF(表1_8612182224267288[[#This Row],[目标国家]]="蜀",1,2))</f>
        <v>1</v>
      </c>
      <c r="S33" s="85">
        <v>124430</v>
      </c>
      <c r="T33" s="85">
        <v>0</v>
      </c>
      <c r="U33" s="85">
        <v>1093239</v>
      </c>
      <c r="V33" s="85">
        <v>14118</v>
      </c>
      <c r="W33" s="489">
        <v>1104662</v>
      </c>
      <c r="X33" s="431" t="str">
        <f>"{"&amp;"'coin':"&amp;表1_8612182224267288[[#This Row],[补偿Coin]]&amp;",'"&amp;配置!$A$2&amp;"':"&amp;表1_8612182224267288[[#This Row],[补偿辎重]]&amp;"},"</f>
        <v>{'coin':1000,'item036':10},</v>
      </c>
      <c r="Y33" s="149" t="str">
        <f>"            'to_zone':'"&amp;表1_8612182224267288[[#This Row],[目标区服]]&amp;"',
            'reward':"&amp;表1_8612182224267288[[#This Row],[辅助导出]]&amp;"
            'country':["&amp;R32&amp;","&amp;R33&amp;","&amp;R34&amp;"],"</f>
        <v>            'to_zone':'h1_550',
            'reward':{'coin':1000,'item036':10},
            'country':[0,1,2],</v>
      </c>
    </row>
    <row r="34" ht="14.25" customHeight="1" spans="1:25">
      <c r="A34" s="370">
        <v>5111</v>
      </c>
      <c r="B34" s="81">
        <f>VLOOKUP(表1_8612182224267288[[#This Row],[区服]],$P$86:$Q$112,2,FALSE)</f>
        <v>45</v>
      </c>
      <c r="C34" s="414" t="s">
        <v>174</v>
      </c>
      <c r="D34" s="83" t="str">
        <f>表1_8612182224267288[[#This Row],[目标国家]]</f>
        <v>吴</v>
      </c>
      <c r="E34" s="415">
        <f>(VLOOKUP(表1_8612182224267288[[#This Row],[目标区服]],$R$86:$S$112,2,FALSE)-表1_8612182224267288[[#This Row],[开服天数]])*配置!$B$1</f>
        <v>1000</v>
      </c>
      <c r="F34" s="85">
        <f>表1_8612182224267288[[#This Row],[补偿Coin]]*(表1_8612182224267288[[#This Row],[活跃高战玩家数]]+表1_8612182224267288[[#This Row],[活跃中坚玩家数]])</f>
        <v>31000</v>
      </c>
      <c r="G34" s="416">
        <f>(VLOOKUP(表1_8612182224267288[[#This Row],[目标区服]],$R$86:$S$98,2,FALSE)-表1_8612182224267288[[#This Row],[开服天数]])*配置!$B$2</f>
        <v>10</v>
      </c>
      <c r="H34" s="83" t="s">
        <v>27</v>
      </c>
      <c r="I34" s="421">
        <f>IF(表1_8612182224267288[[#This Row],[原国家]]="魏",0,IF(表1_8612182224267288[[#This Row],[原国家]]="蜀",1,2))</f>
        <v>2</v>
      </c>
      <c r="J34" s="85">
        <v>4</v>
      </c>
      <c r="K34" s="85">
        <v>209</v>
      </c>
      <c r="L34" s="85">
        <v>6</v>
      </c>
      <c r="M34" s="85">
        <v>25</v>
      </c>
      <c r="N34" s="85">
        <v>130501</v>
      </c>
      <c r="O34" s="422">
        <v>3698067</v>
      </c>
      <c r="P34" s="379">
        <v>29299564</v>
      </c>
      <c r="Q34" s="128" t="s">
        <v>27</v>
      </c>
      <c r="R34" s="83">
        <f>IF(表1_8612182224267288[[#This Row],[目标国家]]="魏",0,IF(表1_8612182224267288[[#This Row],[目标国家]]="蜀",1,2))</f>
        <v>2</v>
      </c>
      <c r="S34" s="85">
        <v>163508</v>
      </c>
      <c r="T34" s="85">
        <v>0</v>
      </c>
      <c r="U34" s="85">
        <v>596772</v>
      </c>
      <c r="V34" s="85">
        <v>14974</v>
      </c>
      <c r="W34" s="489">
        <v>1104137</v>
      </c>
      <c r="X34" s="431" t="str">
        <f>"{"&amp;"'coin':"&amp;表1_8612182224267288[[#This Row],[补偿Coin]]&amp;",'"&amp;配置!$A$2&amp;"':"&amp;表1_8612182224267288[[#This Row],[补偿辎重]]&amp;"},"</f>
        <v>{'coin':1000,'item036':10},</v>
      </c>
      <c r="Y34" s="149" t="str">
        <f t="shared" si="4"/>
        <v>      },</v>
      </c>
    </row>
    <row r="35" ht="14.25" customHeight="1" spans="1:25">
      <c r="A35" s="314">
        <v>5112</v>
      </c>
      <c r="B35" s="91">
        <f>VLOOKUP(表1_8612182224267288[[#This Row],[区服]],$P$86:$Q$112,2,FALSE)</f>
        <v>45</v>
      </c>
      <c r="C35" s="177" t="s">
        <v>175</v>
      </c>
      <c r="D35" s="93" t="str">
        <f>表1_8612182224267288[[#This Row],[目标国家]]</f>
        <v>吴</v>
      </c>
      <c r="E35" s="417">
        <f>(VLOOKUP(表1_8612182224267288[[#This Row],[目标区服]],$R$86:$S$112,2,FALSE)-表1_8612182224267288[[#This Row],[开服天数]])*配置!$B$1</f>
        <v>1000</v>
      </c>
      <c r="F35" s="95">
        <f>表1_8612182224267288[[#This Row],[补偿Coin]]*(表1_8612182224267288[[#This Row],[活跃高战玩家数]]+表1_8612182224267288[[#This Row],[活跃中坚玩家数]])</f>
        <v>14000</v>
      </c>
      <c r="G35" s="418">
        <f>(VLOOKUP(表1_8612182224267288[[#This Row],[目标区服]],$R$86:$S$98,2,FALSE)-表1_8612182224267288[[#This Row],[开服天数]])*配置!$B$2</f>
        <v>10</v>
      </c>
      <c r="H35" s="93" t="s">
        <v>25</v>
      </c>
      <c r="I35" s="423">
        <f>IF(表1_8612182224267288[[#This Row],[原国家]]="魏",0,IF(表1_8612182224267288[[#This Row],[原国家]]="蜀",1,2))</f>
        <v>0</v>
      </c>
      <c r="J35" s="95">
        <v>0</v>
      </c>
      <c r="K35" s="95">
        <v>24</v>
      </c>
      <c r="L35" s="95">
        <v>2</v>
      </c>
      <c r="M35" s="95">
        <v>12</v>
      </c>
      <c r="N35" s="95">
        <v>56908</v>
      </c>
      <c r="O35" s="424">
        <v>1305308</v>
      </c>
      <c r="P35" s="326">
        <v>7911732</v>
      </c>
      <c r="Q35" s="137" t="s">
        <v>27</v>
      </c>
      <c r="R35" s="93">
        <f>IF(表1_8612182224267288[[#This Row],[目标国家]]="魏",0,IF(表1_8612182224267288[[#This Row],[目标国家]]="蜀",1,2))</f>
        <v>2</v>
      </c>
      <c r="S35" s="95">
        <v>11392</v>
      </c>
      <c r="T35" s="95">
        <v>0</v>
      </c>
      <c r="U35" s="95">
        <v>94760</v>
      </c>
      <c r="V35" s="95">
        <v>3010</v>
      </c>
      <c r="W35" s="495">
        <v>390002</v>
      </c>
      <c r="X35" s="433" t="str">
        <f>"{"&amp;"'coin':"&amp;表1_8612182224267288[[#This Row],[补偿Coin]]&amp;",'"&amp;配置!$A$2&amp;"':"&amp;表1_8612182224267288[[#This Row],[补偿辎重]]&amp;"},"</f>
        <v>{'coin':1000,'item036':10},</v>
      </c>
      <c r="Y35" s="138" t="str">
        <f>"      '"&amp;表1_8612182224267288[[#This Row],[区服]]&amp;"':{"</f>
        <v>      '5112':{</v>
      </c>
    </row>
    <row r="36" ht="14.25" customHeight="1" spans="1:25">
      <c r="A36" s="314">
        <v>5112</v>
      </c>
      <c r="B36" s="91">
        <f>VLOOKUP(表1_8612182224267288[[#This Row],[区服]],$P$86:$Q$112,2,FALSE)</f>
        <v>45</v>
      </c>
      <c r="C36" s="177" t="s">
        <v>175</v>
      </c>
      <c r="D36" s="93" t="str">
        <f>表1_8612182224267288[[#This Row],[目标国家]]</f>
        <v>蜀</v>
      </c>
      <c r="E36" s="417">
        <f>(VLOOKUP(表1_8612182224267288[[#This Row],[目标区服]],$R$86:$S$112,2,FALSE)-表1_8612182224267288[[#This Row],[开服天数]])*配置!$B$1</f>
        <v>1000</v>
      </c>
      <c r="F36" s="95">
        <f>表1_8612182224267288[[#This Row],[补偿Coin]]*(表1_8612182224267288[[#This Row],[活跃高战玩家数]]+表1_8612182224267288[[#This Row],[活跃中坚玩家数]])</f>
        <v>27000</v>
      </c>
      <c r="G36" s="418">
        <f>(VLOOKUP(表1_8612182224267288[[#This Row],[目标区服]],$R$86:$S$98,2,FALSE)-表1_8612182224267288[[#This Row],[开服天数]])*配置!$B$2</f>
        <v>10</v>
      </c>
      <c r="H36" s="93" t="s">
        <v>26</v>
      </c>
      <c r="I36" s="423">
        <f>IF(表1_8612182224267288[[#This Row],[原国家]]="魏",0,IF(表1_8612182224267288[[#This Row],[原国家]]="蜀",1,2))</f>
        <v>1</v>
      </c>
      <c r="J36" s="95">
        <v>9</v>
      </c>
      <c r="K36" s="95">
        <v>330</v>
      </c>
      <c r="L36" s="95">
        <v>7</v>
      </c>
      <c r="M36" s="95">
        <v>20</v>
      </c>
      <c r="N36" s="95">
        <v>158132</v>
      </c>
      <c r="O36" s="424">
        <v>3795090</v>
      </c>
      <c r="P36" s="326">
        <v>26853558</v>
      </c>
      <c r="Q36" s="137" t="s">
        <v>26</v>
      </c>
      <c r="R36" s="93">
        <f>IF(表1_8612182224267288[[#This Row],[目标国家]]="魏",0,IF(表1_8612182224267288[[#This Row],[目标国家]]="蜀",1,2))</f>
        <v>1</v>
      </c>
      <c r="S36" s="95">
        <v>157842</v>
      </c>
      <c r="T36" s="95">
        <v>0</v>
      </c>
      <c r="U36" s="95">
        <v>1122619</v>
      </c>
      <c r="V36" s="95">
        <v>16767</v>
      </c>
      <c r="W36" s="495">
        <v>932852</v>
      </c>
      <c r="X36" s="433" t="str">
        <f>"{"&amp;"'coin':"&amp;表1_8612182224267288[[#This Row],[补偿Coin]]&amp;",'"&amp;配置!$A$2&amp;"':"&amp;表1_8612182224267288[[#This Row],[补偿辎重]]&amp;"},"</f>
        <v>{'coin':1000,'item036':10},</v>
      </c>
      <c r="Y36" s="138" t="str">
        <f>"            'to_zone':'"&amp;表1_8612182224267288[[#This Row],[目标区服]]&amp;"',
            'reward':"&amp;表1_8612182224267288[[#This Row],[辅助导出]]&amp;"
            'country':["&amp;R35&amp;","&amp;R36&amp;","&amp;R37&amp;"],"</f>
        <v>            'to_zone':'h1_551',
            'reward':{'coin':1000,'item036':10},
            'country':[2,1,2],</v>
      </c>
    </row>
    <row r="37" ht="14.25" customHeight="1" spans="1:25">
      <c r="A37" s="314">
        <v>5112</v>
      </c>
      <c r="B37" s="91">
        <f>VLOOKUP(表1_8612182224267288[[#This Row],[区服]],$P$86:$Q$112,2,FALSE)</f>
        <v>45</v>
      </c>
      <c r="C37" s="177" t="s">
        <v>175</v>
      </c>
      <c r="D37" s="93" t="str">
        <f>表1_8612182224267288[[#This Row],[目标国家]]</f>
        <v>吴</v>
      </c>
      <c r="E37" s="417">
        <f>(VLOOKUP(表1_8612182224267288[[#This Row],[目标区服]],$R$86:$S$112,2,FALSE)-表1_8612182224267288[[#This Row],[开服天数]])*配置!$B$1</f>
        <v>1000</v>
      </c>
      <c r="F37" s="95">
        <f>表1_8612182224267288[[#This Row],[补偿Coin]]*(表1_8612182224267288[[#This Row],[活跃高战玩家数]]+表1_8612182224267288[[#This Row],[活跃中坚玩家数]])</f>
        <v>16000</v>
      </c>
      <c r="G37" s="418">
        <f>(VLOOKUP(表1_8612182224267288[[#This Row],[目标区服]],$R$86:$S$98,2,FALSE)-表1_8612182224267288[[#This Row],[开服天数]])*配置!$B$2</f>
        <v>10</v>
      </c>
      <c r="H37" s="93" t="s">
        <v>27</v>
      </c>
      <c r="I37" s="423">
        <f>IF(表1_8612182224267288[[#This Row],[原国家]]="魏",0,IF(表1_8612182224267288[[#This Row],[原国家]]="蜀",1,2))</f>
        <v>2</v>
      </c>
      <c r="J37" s="95">
        <v>0</v>
      </c>
      <c r="K37" s="95">
        <v>41</v>
      </c>
      <c r="L37" s="95">
        <v>1</v>
      </c>
      <c r="M37" s="95">
        <v>15</v>
      </c>
      <c r="N37" s="95">
        <v>57560</v>
      </c>
      <c r="O37" s="424">
        <v>1375946</v>
      </c>
      <c r="P37" s="326">
        <v>8185549</v>
      </c>
      <c r="Q37" s="137" t="s">
        <v>27</v>
      </c>
      <c r="R37" s="93">
        <f>IF(表1_8612182224267288[[#This Row],[目标国家]]="魏",0,IF(表1_8612182224267288[[#This Row],[目标国家]]="蜀",1,2))</f>
        <v>2</v>
      </c>
      <c r="S37" s="95">
        <v>13196</v>
      </c>
      <c r="T37" s="95">
        <v>0</v>
      </c>
      <c r="U37" s="95">
        <v>175789</v>
      </c>
      <c r="V37" s="95">
        <v>3376</v>
      </c>
      <c r="W37" s="495">
        <v>517363</v>
      </c>
      <c r="X37" s="433" t="str">
        <f>"{"&amp;"'coin':"&amp;表1_8612182224267288[[#This Row],[补偿Coin]]&amp;",'"&amp;配置!$A$2&amp;"':"&amp;表1_8612182224267288[[#This Row],[补偿辎重]]&amp;"},"</f>
        <v>{'coin':1000,'item036':10},</v>
      </c>
      <c r="Y37" s="138" t="str">
        <f t="shared" si="5"/>
        <v>      },</v>
      </c>
    </row>
    <row r="38" ht="14.25" customHeight="1" spans="1:25">
      <c r="A38" s="314">
        <v>5113</v>
      </c>
      <c r="B38" s="91">
        <f>VLOOKUP(表1_8612182224267288[[#This Row],[区服]],$P$86:$Q$112,2,FALSE)</f>
        <v>44</v>
      </c>
      <c r="C38" s="177" t="s">
        <v>175</v>
      </c>
      <c r="D38" s="93" t="str">
        <f>表1_8612182224267288[[#This Row],[目标国家]]</f>
        <v>魏</v>
      </c>
      <c r="E38" s="417">
        <f>(VLOOKUP(表1_8612182224267288[[#This Row],[目标区服]],$R$86:$S$112,2,FALSE)-表1_8612182224267288[[#This Row],[开服天数]])*配置!$B$1</f>
        <v>1500</v>
      </c>
      <c r="F38" s="95">
        <f>表1_8612182224267288[[#This Row],[补偿Coin]]*(表1_8612182224267288[[#This Row],[活跃高战玩家数]]+表1_8612182224267288[[#This Row],[活跃中坚玩家数]])</f>
        <v>52500</v>
      </c>
      <c r="G38" s="418">
        <f>(VLOOKUP(表1_8612182224267288[[#This Row],[目标区服]],$R$86:$S$98,2,FALSE)-表1_8612182224267288[[#This Row],[开服天数]])*配置!$B$2</f>
        <v>15</v>
      </c>
      <c r="H38" s="93" t="s">
        <v>25</v>
      </c>
      <c r="I38" s="423">
        <f>IF(表1_8612182224267288[[#This Row],[原国家]]="魏",0,IF(表1_8612182224267288[[#This Row],[原国家]]="蜀",1,2))</f>
        <v>0</v>
      </c>
      <c r="J38" s="95">
        <v>8</v>
      </c>
      <c r="K38" s="95">
        <v>304</v>
      </c>
      <c r="L38" s="95">
        <v>7</v>
      </c>
      <c r="M38" s="95">
        <v>28</v>
      </c>
      <c r="N38" s="95">
        <v>192282</v>
      </c>
      <c r="O38" s="424">
        <v>2980678</v>
      </c>
      <c r="P38" s="326">
        <v>31811847</v>
      </c>
      <c r="Q38" s="137" t="s">
        <v>25</v>
      </c>
      <c r="R38" s="93">
        <f>IF(表1_8612182224267288[[#This Row],[目标国家]]="魏",0,IF(表1_8612182224267288[[#This Row],[目标国家]]="蜀",1,2))</f>
        <v>0</v>
      </c>
      <c r="S38" s="95">
        <v>143326</v>
      </c>
      <c r="T38" s="95">
        <v>0</v>
      </c>
      <c r="U38" s="95">
        <v>1194713</v>
      </c>
      <c r="V38" s="95">
        <v>15860</v>
      </c>
      <c r="W38" s="495">
        <v>816344</v>
      </c>
      <c r="X38" s="433" t="str">
        <f>"{"&amp;"'coin':"&amp;表1_8612182224267288[[#This Row],[补偿Coin]]&amp;",'"&amp;配置!$A$2&amp;"':"&amp;表1_8612182224267288[[#This Row],[补偿辎重]]&amp;"},"</f>
        <v>{'coin':1500,'item036':15},</v>
      </c>
      <c r="Y38" s="138" t="str">
        <f>"      '"&amp;表1_8612182224267288[[#This Row],[区服]]&amp;"':{"</f>
        <v>      '5113':{</v>
      </c>
    </row>
    <row r="39" ht="14.25" customHeight="1" spans="1:25">
      <c r="A39" s="314">
        <v>5113</v>
      </c>
      <c r="B39" s="91">
        <f>VLOOKUP(表1_8612182224267288[[#This Row],[区服]],$P$86:$Q$112,2,FALSE)</f>
        <v>44</v>
      </c>
      <c r="C39" s="177" t="s">
        <v>175</v>
      </c>
      <c r="D39" s="93" t="str">
        <f>表1_8612182224267288[[#This Row],[目标国家]]</f>
        <v>吴</v>
      </c>
      <c r="E39" s="417">
        <f>(VLOOKUP(表1_8612182224267288[[#This Row],[目标区服]],$R$86:$S$112,2,FALSE)-表1_8612182224267288[[#This Row],[开服天数]])*配置!$B$1</f>
        <v>1500</v>
      </c>
      <c r="F39" s="95">
        <f>表1_8612182224267288[[#This Row],[补偿Coin]]*(表1_8612182224267288[[#This Row],[活跃高战玩家数]]+表1_8612182224267288[[#This Row],[活跃中坚玩家数]])</f>
        <v>13500</v>
      </c>
      <c r="G39" s="418">
        <f>(VLOOKUP(表1_8612182224267288[[#This Row],[目标区服]],$R$86:$S$98,2,FALSE)-表1_8612182224267288[[#This Row],[开服天数]])*配置!$B$2</f>
        <v>15</v>
      </c>
      <c r="H39" s="93" t="s">
        <v>26</v>
      </c>
      <c r="I39" s="423">
        <f>IF(表1_8612182224267288[[#This Row],[原国家]]="魏",0,IF(表1_8612182224267288[[#This Row],[原国家]]="蜀",1,2))</f>
        <v>1</v>
      </c>
      <c r="J39" s="95">
        <v>0</v>
      </c>
      <c r="K39" s="95">
        <v>27</v>
      </c>
      <c r="L39" s="95">
        <v>0</v>
      </c>
      <c r="M39" s="95">
        <v>9</v>
      </c>
      <c r="N39" s="95">
        <v>21638</v>
      </c>
      <c r="O39" s="424">
        <v>543745</v>
      </c>
      <c r="P39" s="326">
        <v>3557344</v>
      </c>
      <c r="Q39" s="137" t="s">
        <v>27</v>
      </c>
      <c r="R39" s="93">
        <f>IF(表1_8612182224267288[[#This Row],[目标国家]]="魏",0,IF(表1_8612182224267288[[#This Row],[目标国家]]="蜀",1,2))</f>
        <v>2</v>
      </c>
      <c r="S39" s="95">
        <v>15424</v>
      </c>
      <c r="T39" s="95">
        <v>0</v>
      </c>
      <c r="U39" s="95">
        <v>256022</v>
      </c>
      <c r="V39" s="95">
        <v>1868</v>
      </c>
      <c r="W39" s="495">
        <v>240951</v>
      </c>
      <c r="X39" s="433" t="str">
        <f>"{"&amp;"'coin':"&amp;表1_8612182224267288[[#This Row],[补偿Coin]]&amp;",'"&amp;配置!$A$2&amp;"':"&amp;表1_8612182224267288[[#This Row],[补偿辎重]]&amp;"},"</f>
        <v>{'coin':1500,'item036':15},</v>
      </c>
      <c r="Y39" s="138" t="str">
        <f>"            'to_zone':'"&amp;表1_8612182224267288[[#This Row],[目标区服]]&amp;"',
            'reward':"&amp;表1_8612182224267288[[#This Row],[辅助导出]]&amp;"
            'country':["&amp;R38&amp;","&amp;R39&amp;","&amp;R40&amp;"],"</f>
        <v>            'to_zone':'h1_551',
            'reward':{'coin':1500,'item036':15},
            'country':[0,2,2],</v>
      </c>
    </row>
    <row r="40" ht="14.25" customHeight="1" spans="1:25">
      <c r="A40" s="314">
        <v>5113</v>
      </c>
      <c r="B40" s="91">
        <f>VLOOKUP(表1_8612182224267288[[#This Row],[区服]],$P$86:$Q$112,2,FALSE)</f>
        <v>44</v>
      </c>
      <c r="C40" s="177" t="s">
        <v>175</v>
      </c>
      <c r="D40" s="93" t="str">
        <f>表1_8612182224267288[[#This Row],[目标国家]]</f>
        <v>吴</v>
      </c>
      <c r="E40" s="417">
        <f>(VLOOKUP(表1_8612182224267288[[#This Row],[目标区服]],$R$86:$S$112,2,FALSE)-表1_8612182224267288[[#This Row],[开服天数]])*配置!$B$1</f>
        <v>1500</v>
      </c>
      <c r="F40" s="95">
        <f>表1_8612182224267288[[#This Row],[补偿Coin]]*(表1_8612182224267288[[#This Row],[活跃高战玩家数]]+表1_8612182224267288[[#This Row],[活跃中坚玩家数]])</f>
        <v>25500</v>
      </c>
      <c r="G40" s="418">
        <f>(VLOOKUP(表1_8612182224267288[[#This Row],[目标区服]],$R$86:$S$98,2,FALSE)-表1_8612182224267288[[#This Row],[开服天数]])*配置!$B$2</f>
        <v>15</v>
      </c>
      <c r="H40" s="93" t="s">
        <v>27</v>
      </c>
      <c r="I40" s="423">
        <f>IF(表1_8612182224267288[[#This Row],[原国家]]="魏",0,IF(表1_8612182224267288[[#This Row],[原国家]]="蜀",1,2))</f>
        <v>2</v>
      </c>
      <c r="J40" s="95">
        <v>1</v>
      </c>
      <c r="K40" s="95">
        <v>64</v>
      </c>
      <c r="L40" s="95">
        <v>3</v>
      </c>
      <c r="M40" s="95">
        <v>14</v>
      </c>
      <c r="N40" s="95">
        <v>66086</v>
      </c>
      <c r="O40" s="424">
        <v>1953167</v>
      </c>
      <c r="P40" s="326">
        <v>10917655</v>
      </c>
      <c r="Q40" s="137" t="s">
        <v>27</v>
      </c>
      <c r="R40" s="93">
        <f>IF(表1_8612182224267288[[#This Row],[目标国家]]="魏",0,IF(表1_8612182224267288[[#This Row],[目标国家]]="蜀",1,2))</f>
        <v>2</v>
      </c>
      <c r="S40" s="95">
        <v>27518</v>
      </c>
      <c r="T40" s="95">
        <v>0</v>
      </c>
      <c r="U40" s="95">
        <v>157652</v>
      </c>
      <c r="V40" s="95">
        <v>5019</v>
      </c>
      <c r="W40" s="495">
        <v>558347</v>
      </c>
      <c r="X40" s="433" t="str">
        <f>"{"&amp;"'coin':"&amp;表1_8612182224267288[[#This Row],[补偿Coin]]&amp;",'"&amp;配置!$A$2&amp;"':"&amp;表1_8612182224267288[[#This Row],[补偿辎重]]&amp;"},"</f>
        <v>{'coin':1500,'item036':15},</v>
      </c>
      <c r="Y40" s="138" t="str">
        <f t="shared" si="4"/>
        <v>      },</v>
      </c>
    </row>
    <row r="41" ht="14.25" customHeight="1" spans="1:25">
      <c r="A41" s="375">
        <v>5114</v>
      </c>
      <c r="B41" s="371">
        <f>VLOOKUP(表1_8612182224267288[[#This Row],[区服]],$P$86:$Q$112,2,FALSE)</f>
        <v>44</v>
      </c>
      <c r="C41" s="39" t="s">
        <v>176</v>
      </c>
      <c r="D41" s="376" t="str">
        <f>表1_8612182224267288[[#This Row],[目标国家]]</f>
        <v>魏</v>
      </c>
      <c r="E41" s="499">
        <f>(VLOOKUP(表1_8612182224267288[[#This Row],[目标区服]],$R$86:$S$112,2,FALSE)-表1_8612182224267288[[#This Row],[开服天数]])*配置!$B$1</f>
        <v>1000</v>
      </c>
      <c r="F41" s="380">
        <f>表1_8612182224267288[[#This Row],[补偿Coin]]*(表1_8612182224267288[[#This Row],[活跃高战玩家数]]+表1_8612182224267288[[#This Row],[活跃中坚玩家数]])</f>
        <v>25000</v>
      </c>
      <c r="G41" s="490">
        <f>(VLOOKUP(表1_8612182224267288[[#This Row],[目标区服]],$R$86:$S$98,2,FALSE)-表1_8612182224267288[[#This Row],[开服天数]])*配置!$B$2</f>
        <v>10</v>
      </c>
      <c r="H41" s="376" t="s">
        <v>25</v>
      </c>
      <c r="I41" s="491">
        <f>IF(表1_8612182224267288[[#This Row],[原国家]]="魏",0,IF(表1_8612182224267288[[#This Row],[原国家]]="蜀",1,2))</f>
        <v>0</v>
      </c>
      <c r="J41" s="380">
        <v>8</v>
      </c>
      <c r="K41" s="380">
        <v>304</v>
      </c>
      <c r="L41" s="380">
        <v>10</v>
      </c>
      <c r="M41" s="380">
        <v>15</v>
      </c>
      <c r="N41" s="380">
        <v>157549</v>
      </c>
      <c r="O41" s="492">
        <v>2463582</v>
      </c>
      <c r="P41" s="381">
        <v>21602837</v>
      </c>
      <c r="Q41" s="493" t="s">
        <v>25</v>
      </c>
      <c r="R41" s="376">
        <f>IF(表1_8612182224267288[[#This Row],[目标国家]]="魏",0,IF(表1_8612182224267288[[#This Row],[目标国家]]="蜀",1,2))</f>
        <v>0</v>
      </c>
      <c r="S41" s="380">
        <v>86144</v>
      </c>
      <c r="T41" s="380">
        <v>0</v>
      </c>
      <c r="U41" s="380">
        <v>660575</v>
      </c>
      <c r="V41" s="380">
        <v>12166</v>
      </c>
      <c r="W41" s="505">
        <v>724182</v>
      </c>
      <c r="X41" s="494" t="str">
        <f>"{"&amp;"'coin':"&amp;表1_8612182224267288[[#This Row],[补偿Coin]]&amp;",'"&amp;配置!$A$2&amp;"':"&amp;表1_8612182224267288[[#This Row],[补偿辎重]]&amp;"},"</f>
        <v>{'coin':1000,'item036':10},</v>
      </c>
      <c r="Y41" s="388" t="str">
        <f>"      '"&amp;表1_8612182224267288[[#This Row],[区服]]&amp;"':{"</f>
        <v>      '5114':{</v>
      </c>
    </row>
    <row r="42" ht="14.25" customHeight="1" spans="1:25">
      <c r="A42" s="375">
        <v>5114</v>
      </c>
      <c r="B42" s="371">
        <f>VLOOKUP(表1_8612182224267288[[#This Row],[区服]],$P$86:$Q$112,2,FALSE)</f>
        <v>44</v>
      </c>
      <c r="C42" s="39" t="s">
        <v>176</v>
      </c>
      <c r="D42" s="376" t="str">
        <f>表1_8612182224267288[[#This Row],[目标国家]]</f>
        <v>吴</v>
      </c>
      <c r="E42" s="499">
        <f>(VLOOKUP(表1_8612182224267288[[#This Row],[目标区服]],$R$86:$S$112,2,FALSE)-表1_8612182224267288[[#This Row],[开服天数]])*配置!$B$1</f>
        <v>1000</v>
      </c>
      <c r="F42" s="380">
        <f>表1_8612182224267288[[#This Row],[补偿Coin]]*(表1_8612182224267288[[#This Row],[活跃高战玩家数]]+表1_8612182224267288[[#This Row],[活跃中坚玩家数]])</f>
        <v>16000</v>
      </c>
      <c r="G42" s="490">
        <f>(VLOOKUP(表1_8612182224267288[[#This Row],[目标区服]],$R$86:$S$98,2,FALSE)-表1_8612182224267288[[#This Row],[开服天数]])*配置!$B$2</f>
        <v>10</v>
      </c>
      <c r="H42" s="376" t="s">
        <v>26</v>
      </c>
      <c r="I42" s="491">
        <f>IF(表1_8612182224267288[[#This Row],[原国家]]="魏",0,IF(表1_8612182224267288[[#This Row],[原国家]]="蜀",1,2))</f>
        <v>1</v>
      </c>
      <c r="J42" s="380">
        <v>1</v>
      </c>
      <c r="K42" s="380">
        <v>59</v>
      </c>
      <c r="L42" s="380">
        <v>0</v>
      </c>
      <c r="M42" s="380">
        <v>16</v>
      </c>
      <c r="N42" s="380">
        <v>45644</v>
      </c>
      <c r="O42" s="492">
        <v>1090024</v>
      </c>
      <c r="P42" s="381">
        <v>6709935</v>
      </c>
      <c r="Q42" s="493" t="s">
        <v>27</v>
      </c>
      <c r="R42" s="376">
        <f>IF(表1_8612182224267288[[#This Row],[目标国家]]="魏",0,IF(表1_8612182224267288[[#This Row],[目标国家]]="蜀",1,2))</f>
        <v>2</v>
      </c>
      <c r="S42" s="380">
        <v>3094</v>
      </c>
      <c r="T42" s="380">
        <v>0</v>
      </c>
      <c r="U42" s="380">
        <v>99610</v>
      </c>
      <c r="V42" s="380">
        <v>2821</v>
      </c>
      <c r="W42" s="505">
        <v>380978</v>
      </c>
      <c r="X42" s="494" t="str">
        <f>"{"&amp;"'coin':"&amp;表1_8612182224267288[[#This Row],[补偿Coin]]&amp;",'"&amp;配置!$A$2&amp;"':"&amp;表1_8612182224267288[[#This Row],[补偿辎重]]&amp;"},"</f>
        <v>{'coin':1000,'item036':10},</v>
      </c>
      <c r="Y42" s="388" t="str">
        <f>"            'to_zone':'"&amp;表1_8612182224267288[[#This Row],[目标区服]]&amp;"',
            'reward':"&amp;表1_8612182224267288[[#This Row],[辅助导出]]&amp;"
            'country':["&amp;R41&amp;","&amp;R42&amp;","&amp;R43&amp;"],"</f>
        <v>            'to_zone':'h1_552',
            'reward':{'coin':1000,'item036':10},
            'country':[0,2,2],</v>
      </c>
    </row>
    <row r="43" ht="14.25" customHeight="1" spans="1:25">
      <c r="A43" s="375">
        <v>5114</v>
      </c>
      <c r="B43" s="371">
        <f>VLOOKUP(表1_8612182224267288[[#This Row],[区服]],$P$86:$Q$112,2,FALSE)</f>
        <v>44</v>
      </c>
      <c r="C43" s="39" t="s">
        <v>176</v>
      </c>
      <c r="D43" s="376" t="str">
        <f>表1_8612182224267288[[#This Row],[目标国家]]</f>
        <v>吴</v>
      </c>
      <c r="E43" s="499">
        <f>(VLOOKUP(表1_8612182224267288[[#This Row],[目标区服]],$R$86:$S$112,2,FALSE)-表1_8612182224267288[[#This Row],[开服天数]])*配置!$B$1</f>
        <v>1000</v>
      </c>
      <c r="F43" s="380">
        <f>表1_8612182224267288[[#This Row],[补偿Coin]]*(表1_8612182224267288[[#This Row],[活跃高战玩家数]]+表1_8612182224267288[[#This Row],[活跃中坚玩家数]])</f>
        <v>24000</v>
      </c>
      <c r="G43" s="490">
        <f>(VLOOKUP(表1_8612182224267288[[#This Row],[目标区服]],$R$86:$S$98,2,FALSE)-表1_8612182224267288[[#This Row],[开服天数]])*配置!$B$2</f>
        <v>10</v>
      </c>
      <c r="H43" s="376" t="s">
        <v>27</v>
      </c>
      <c r="I43" s="491">
        <f>IF(表1_8612182224267288[[#This Row],[原国家]]="魏",0,IF(表1_8612182224267288[[#This Row],[原国家]]="蜀",1,2))</f>
        <v>2</v>
      </c>
      <c r="J43" s="380">
        <v>0</v>
      </c>
      <c r="K43" s="380">
        <v>32</v>
      </c>
      <c r="L43" s="380">
        <v>0</v>
      </c>
      <c r="M43" s="380">
        <v>24</v>
      </c>
      <c r="N43" s="380">
        <v>86723</v>
      </c>
      <c r="O43" s="492">
        <v>1044257</v>
      </c>
      <c r="P43" s="381">
        <v>11269494</v>
      </c>
      <c r="Q43" s="493" t="s">
        <v>27</v>
      </c>
      <c r="R43" s="376">
        <f>IF(表1_8612182224267288[[#This Row],[目标国家]]="魏",0,IF(表1_8612182224267288[[#This Row],[目标国家]]="蜀",1,2))</f>
        <v>2</v>
      </c>
      <c r="S43" s="380">
        <v>17236</v>
      </c>
      <c r="T43" s="380">
        <v>0</v>
      </c>
      <c r="U43" s="380">
        <v>187535</v>
      </c>
      <c r="V43" s="380">
        <v>3535</v>
      </c>
      <c r="W43" s="505">
        <v>430341</v>
      </c>
      <c r="X43" s="494" t="str">
        <f>"{"&amp;"'coin':"&amp;表1_8612182224267288[[#This Row],[补偿Coin]]&amp;",'"&amp;配置!$A$2&amp;"':"&amp;表1_8612182224267288[[#This Row],[补偿辎重]]&amp;"},"</f>
        <v>{'coin':1000,'item036':10},</v>
      </c>
      <c r="Y43" s="388" t="str">
        <f t="shared" si="5"/>
        <v>      },</v>
      </c>
    </row>
    <row r="44" ht="14.25" customHeight="1" spans="1:25">
      <c r="A44" s="375">
        <v>5115</v>
      </c>
      <c r="B44" s="371">
        <f>VLOOKUP(表1_8612182224267288[[#This Row],[区服]],$P$86:$Q$112,2,FALSE)</f>
        <v>44</v>
      </c>
      <c r="C44" s="39" t="s">
        <v>176</v>
      </c>
      <c r="D44" s="376" t="str">
        <f>表1_8612182224267288[[#This Row],[目标国家]]</f>
        <v>蜀</v>
      </c>
      <c r="E44" s="499">
        <f>(VLOOKUP(表1_8612182224267288[[#This Row],[目标区服]],$R$86:$S$112,2,FALSE)-表1_8612182224267288[[#This Row],[开服天数]])*配置!$B$1</f>
        <v>1000</v>
      </c>
      <c r="F44" s="380">
        <f>表1_8612182224267288[[#This Row],[补偿Coin]]*(表1_8612182224267288[[#This Row],[活跃高战玩家数]]+表1_8612182224267288[[#This Row],[活跃中坚玩家数]])</f>
        <v>31000</v>
      </c>
      <c r="G44" s="490">
        <f>(VLOOKUP(表1_8612182224267288[[#This Row],[目标区服]],$R$86:$S$98,2,FALSE)-表1_8612182224267288[[#This Row],[开服天数]])*配置!$B$2</f>
        <v>10</v>
      </c>
      <c r="H44" s="376" t="s">
        <v>25</v>
      </c>
      <c r="I44" s="491">
        <f>IF(表1_8612182224267288[[#This Row],[原国家]]="魏",0,IF(表1_8612182224267288[[#This Row],[原国家]]="蜀",1,2))</f>
        <v>0</v>
      </c>
      <c r="J44" s="380">
        <v>6</v>
      </c>
      <c r="K44" s="380">
        <v>208</v>
      </c>
      <c r="L44" s="380">
        <v>4</v>
      </c>
      <c r="M44" s="380">
        <v>27</v>
      </c>
      <c r="N44" s="380">
        <v>137635</v>
      </c>
      <c r="O44" s="492">
        <v>2771863</v>
      </c>
      <c r="P44" s="381">
        <v>22586793</v>
      </c>
      <c r="Q44" s="493" t="s">
        <v>26</v>
      </c>
      <c r="R44" s="376">
        <f>IF(表1_8612182224267288[[#This Row],[目标国家]]="魏",0,IF(表1_8612182224267288[[#This Row],[目标国家]]="蜀",1,2))</f>
        <v>1</v>
      </c>
      <c r="S44" s="380">
        <v>53474</v>
      </c>
      <c r="T44" s="380">
        <v>0</v>
      </c>
      <c r="U44" s="380">
        <v>491888</v>
      </c>
      <c r="V44" s="380">
        <v>10248</v>
      </c>
      <c r="W44" s="505">
        <v>751510</v>
      </c>
      <c r="X44" s="494" t="str">
        <f>"{"&amp;"'coin':"&amp;表1_8612182224267288[[#This Row],[补偿Coin]]&amp;",'"&amp;配置!$A$2&amp;"':"&amp;表1_8612182224267288[[#This Row],[补偿辎重]]&amp;"},"</f>
        <v>{'coin':1000,'item036':10},</v>
      </c>
      <c r="Y44" s="388" t="str">
        <f>"      '"&amp;表1_8612182224267288[[#This Row],[区服]]&amp;"':{"</f>
        <v>      '5115':{</v>
      </c>
    </row>
    <row r="45" ht="14.25" customHeight="1" spans="1:25">
      <c r="A45" s="375">
        <v>5115</v>
      </c>
      <c r="B45" s="371">
        <f>VLOOKUP(表1_8612182224267288[[#This Row],[区服]],$P$86:$Q$112,2,FALSE)</f>
        <v>44</v>
      </c>
      <c r="C45" s="39" t="s">
        <v>176</v>
      </c>
      <c r="D45" s="376" t="str">
        <f>表1_8612182224267288[[#This Row],[目标国家]]</f>
        <v>蜀</v>
      </c>
      <c r="E45" s="499">
        <f>(VLOOKUP(表1_8612182224267288[[#This Row],[目标区服]],$R$86:$S$112,2,FALSE)-表1_8612182224267288[[#This Row],[开服天数]])*配置!$B$1</f>
        <v>1000</v>
      </c>
      <c r="F45" s="380">
        <f>表1_8612182224267288[[#This Row],[补偿Coin]]*(表1_8612182224267288[[#This Row],[活跃高战玩家数]]+表1_8612182224267288[[#This Row],[活跃中坚玩家数]])</f>
        <v>16000</v>
      </c>
      <c r="G45" s="490">
        <f>(VLOOKUP(表1_8612182224267288[[#This Row],[目标区服]],$R$86:$S$98,2,FALSE)-表1_8612182224267288[[#This Row],[开服天数]])*配置!$B$2</f>
        <v>10</v>
      </c>
      <c r="H45" s="376" t="s">
        <v>26</v>
      </c>
      <c r="I45" s="491">
        <f>IF(表1_8612182224267288[[#This Row],[原国家]]="魏",0,IF(表1_8612182224267288[[#This Row],[原国家]]="蜀",1,2))</f>
        <v>1</v>
      </c>
      <c r="J45" s="380">
        <v>1</v>
      </c>
      <c r="K45" s="380">
        <v>69</v>
      </c>
      <c r="L45" s="380">
        <v>2</v>
      </c>
      <c r="M45" s="380">
        <v>14</v>
      </c>
      <c r="N45" s="380">
        <v>73567</v>
      </c>
      <c r="O45" s="492">
        <v>1424024</v>
      </c>
      <c r="P45" s="381">
        <v>10487396</v>
      </c>
      <c r="Q45" s="493" t="s">
        <v>26</v>
      </c>
      <c r="R45" s="376">
        <f>IF(表1_8612182224267288[[#This Row],[目标国家]]="魏",0,IF(表1_8612182224267288[[#This Row],[目标国家]]="蜀",1,2))</f>
        <v>1</v>
      </c>
      <c r="S45" s="380">
        <v>19658</v>
      </c>
      <c r="T45" s="380">
        <v>0</v>
      </c>
      <c r="U45" s="380">
        <v>55714</v>
      </c>
      <c r="V45" s="380">
        <v>4248</v>
      </c>
      <c r="W45" s="505">
        <v>550844</v>
      </c>
      <c r="X45" s="494" t="str">
        <f>"{"&amp;"'coin':"&amp;表1_8612182224267288[[#This Row],[补偿Coin]]&amp;",'"&amp;配置!$A$2&amp;"':"&amp;表1_8612182224267288[[#This Row],[补偿辎重]]&amp;"},"</f>
        <v>{'coin':1000,'item036':10},</v>
      </c>
      <c r="Y45" s="388" t="str">
        <f>"            'to_zone':'"&amp;表1_8612182224267288[[#This Row],[目标区服]]&amp;"',
            'reward':"&amp;表1_8612182224267288[[#This Row],[辅助导出]]&amp;"
            'country':["&amp;R44&amp;","&amp;R45&amp;","&amp;R46&amp;"],"</f>
        <v>            'to_zone':'h1_552',
            'reward':{'coin':1000,'item036':10},
            'country':[1,1,2],</v>
      </c>
    </row>
    <row r="46" ht="14.25" customHeight="1" spans="1:25">
      <c r="A46" s="375">
        <v>5115</v>
      </c>
      <c r="B46" s="371">
        <f>VLOOKUP(表1_8612182224267288[[#This Row],[区服]],$P$86:$Q$112,2,FALSE)</f>
        <v>44</v>
      </c>
      <c r="C46" s="39" t="s">
        <v>176</v>
      </c>
      <c r="D46" s="376" t="str">
        <f>表1_8612182224267288[[#This Row],[目标国家]]</f>
        <v>吴</v>
      </c>
      <c r="E46" s="499">
        <f>(VLOOKUP(表1_8612182224267288[[#This Row],[目标区服]],$R$86:$S$112,2,FALSE)-表1_8612182224267288[[#This Row],[开服天数]])*配置!$B$1</f>
        <v>1000</v>
      </c>
      <c r="F46" s="380">
        <f>表1_8612182224267288[[#This Row],[补偿Coin]]*(表1_8612182224267288[[#This Row],[活跃高战玩家数]]+表1_8612182224267288[[#This Row],[活跃中坚玩家数]])</f>
        <v>20000</v>
      </c>
      <c r="G46" s="490">
        <f>(VLOOKUP(表1_8612182224267288[[#This Row],[目标区服]],$R$86:$S$98,2,FALSE)-表1_8612182224267288[[#This Row],[开服天数]])*配置!$B$2</f>
        <v>10</v>
      </c>
      <c r="H46" s="376" t="s">
        <v>27</v>
      </c>
      <c r="I46" s="491">
        <f>IF(表1_8612182224267288[[#This Row],[原国家]]="魏",0,IF(表1_8612182224267288[[#This Row],[原国家]]="蜀",1,2))</f>
        <v>2</v>
      </c>
      <c r="J46" s="380">
        <v>2</v>
      </c>
      <c r="K46" s="380">
        <v>118</v>
      </c>
      <c r="L46" s="380">
        <v>3</v>
      </c>
      <c r="M46" s="380">
        <v>17</v>
      </c>
      <c r="N46" s="380">
        <v>83612</v>
      </c>
      <c r="O46" s="492">
        <v>1993685</v>
      </c>
      <c r="P46" s="381">
        <v>13517439</v>
      </c>
      <c r="Q46" s="493" t="s">
        <v>27</v>
      </c>
      <c r="R46" s="376">
        <f>IF(表1_8612182224267288[[#This Row],[目标国家]]="魏",0,IF(表1_8612182224267288[[#This Row],[目标国家]]="蜀",1,2))</f>
        <v>2</v>
      </c>
      <c r="S46" s="380">
        <v>50498</v>
      </c>
      <c r="T46" s="380">
        <v>0</v>
      </c>
      <c r="U46" s="380">
        <v>237489</v>
      </c>
      <c r="V46" s="380">
        <v>6777</v>
      </c>
      <c r="W46" s="505">
        <v>682896</v>
      </c>
      <c r="X46" s="494" t="str">
        <f>"{"&amp;"'coin':"&amp;表1_8612182224267288[[#This Row],[补偿Coin]]&amp;",'"&amp;配置!$A$2&amp;"':"&amp;表1_8612182224267288[[#This Row],[补偿辎重]]&amp;"},"</f>
        <v>{'coin':1000,'item036':10},</v>
      </c>
      <c r="Y46" s="388" t="str">
        <f t="shared" si="4"/>
        <v>      },</v>
      </c>
    </row>
    <row r="47" ht="14.25" customHeight="1" spans="1:25">
      <c r="A47" s="259">
        <v>5116</v>
      </c>
      <c r="B47" s="210">
        <f>VLOOKUP(表1_8612182224267288[[#This Row],[区服]],$P$86:$Q$112,2,FALSE)</f>
        <v>44</v>
      </c>
      <c r="C47" s="41" t="s">
        <v>177</v>
      </c>
      <c r="D47" s="212" t="str">
        <f>表1_8612182224267288[[#This Row],[目标国家]]</f>
        <v>魏</v>
      </c>
      <c r="E47" s="437">
        <f>(VLOOKUP(表1_8612182224267288[[#This Row],[目标区服]],$R$86:$S$112,2,FALSE)-表1_8612182224267288[[#This Row],[开服天数]])*配置!$B$1</f>
        <v>1000</v>
      </c>
      <c r="F47" s="213">
        <f>表1_8612182224267288[[#This Row],[补偿Coin]]*(表1_8612182224267288[[#This Row],[活跃高战玩家数]]+表1_8612182224267288[[#This Row],[活跃中坚玩家数]])</f>
        <v>20000</v>
      </c>
      <c r="G47" s="260">
        <f>(VLOOKUP(表1_8612182224267288[[#This Row],[目标区服]],$R$86:$S$98,2,FALSE)-表1_8612182224267288[[#This Row],[开服天数]])*配置!$B$2</f>
        <v>10</v>
      </c>
      <c r="H47" s="212" t="s">
        <v>25</v>
      </c>
      <c r="I47" s="268">
        <f>IF(表1_8612182224267288[[#This Row],[原国家]]="魏",0,IF(表1_8612182224267288[[#This Row],[原国家]]="蜀",1,2))</f>
        <v>0</v>
      </c>
      <c r="J47" s="213">
        <v>3</v>
      </c>
      <c r="K47" s="213">
        <v>101</v>
      </c>
      <c r="L47" s="213">
        <v>2</v>
      </c>
      <c r="M47" s="213">
        <v>18</v>
      </c>
      <c r="N47" s="213">
        <v>62272</v>
      </c>
      <c r="O47" s="419">
        <v>1962799</v>
      </c>
      <c r="P47" s="420">
        <v>11435790</v>
      </c>
      <c r="Q47" s="243" t="s">
        <v>25</v>
      </c>
      <c r="R47" s="212">
        <f>IF(表1_8612182224267288[[#This Row],[目标国家]]="魏",0,IF(表1_8612182224267288[[#This Row],[目标国家]]="蜀",1,2))</f>
        <v>0</v>
      </c>
      <c r="S47" s="213">
        <v>19820</v>
      </c>
      <c r="T47" s="213">
        <v>0</v>
      </c>
      <c r="U47" s="213">
        <v>169117</v>
      </c>
      <c r="V47" s="213">
        <v>5406</v>
      </c>
      <c r="W47" s="506">
        <v>692285</v>
      </c>
      <c r="X47" s="278" t="str">
        <f>"{"&amp;"'coin':"&amp;表1_8612182224267288[[#This Row],[补偿Coin]]&amp;",'"&amp;配置!$A$2&amp;"':"&amp;表1_8612182224267288[[#This Row],[补偿辎重]]&amp;"},"</f>
        <v>{'coin':1000,'item036':10},</v>
      </c>
      <c r="Y47" s="254" t="str">
        <f>"      '"&amp;表1_8612182224267288[[#This Row],[区服]]&amp;"':{"</f>
        <v>      '5116':{</v>
      </c>
    </row>
    <row r="48" ht="14.25" customHeight="1" spans="1:25">
      <c r="A48" s="259">
        <v>5116</v>
      </c>
      <c r="B48" s="210">
        <f>VLOOKUP(表1_8612182224267288[[#This Row],[区服]],$P$86:$Q$112,2,FALSE)</f>
        <v>44</v>
      </c>
      <c r="C48" s="41" t="s">
        <v>177</v>
      </c>
      <c r="D48" s="212" t="str">
        <f>表1_8612182224267288[[#This Row],[目标国家]]</f>
        <v>蜀</v>
      </c>
      <c r="E48" s="437">
        <f>(VLOOKUP(表1_8612182224267288[[#This Row],[目标区服]],$R$86:$S$112,2,FALSE)-表1_8612182224267288[[#This Row],[开服天数]])*配置!$B$1</f>
        <v>1000</v>
      </c>
      <c r="F48" s="213">
        <f>表1_8612182224267288[[#This Row],[补偿Coin]]*(表1_8612182224267288[[#This Row],[活跃高战玩家数]]+表1_8612182224267288[[#This Row],[活跃中坚玩家数]])</f>
        <v>27000</v>
      </c>
      <c r="G48" s="260">
        <f>(VLOOKUP(表1_8612182224267288[[#This Row],[目标区服]],$R$86:$S$98,2,FALSE)-表1_8612182224267288[[#This Row],[开服天数]])*配置!$B$2</f>
        <v>10</v>
      </c>
      <c r="H48" s="212" t="s">
        <v>26</v>
      </c>
      <c r="I48" s="268">
        <f>IF(表1_8612182224267288[[#This Row],[原国家]]="魏",0,IF(表1_8612182224267288[[#This Row],[原国家]]="蜀",1,2))</f>
        <v>1</v>
      </c>
      <c r="J48" s="213">
        <v>4</v>
      </c>
      <c r="K48" s="213">
        <v>217</v>
      </c>
      <c r="L48" s="213">
        <v>5</v>
      </c>
      <c r="M48" s="213">
        <v>22</v>
      </c>
      <c r="N48" s="213">
        <v>142548</v>
      </c>
      <c r="O48" s="419">
        <v>3104583</v>
      </c>
      <c r="P48" s="420">
        <v>26020154</v>
      </c>
      <c r="Q48" s="243" t="s">
        <v>26</v>
      </c>
      <c r="R48" s="212">
        <f>IF(表1_8612182224267288[[#This Row],[目标国家]]="魏",0,IF(表1_8612182224267288[[#This Row],[目标国家]]="蜀",1,2))</f>
        <v>1</v>
      </c>
      <c r="S48" s="213">
        <v>93602</v>
      </c>
      <c r="T48" s="213">
        <v>0</v>
      </c>
      <c r="U48" s="213">
        <v>615053</v>
      </c>
      <c r="V48" s="213">
        <v>12104</v>
      </c>
      <c r="W48" s="506">
        <v>780307</v>
      </c>
      <c r="X48" s="278" t="str">
        <f>"{"&amp;"'coin':"&amp;表1_8612182224267288[[#This Row],[补偿Coin]]&amp;",'"&amp;配置!$A$2&amp;"':"&amp;表1_8612182224267288[[#This Row],[补偿辎重]]&amp;"},"</f>
        <v>{'coin':1000,'item036':10},</v>
      </c>
      <c r="Y48" s="254" t="str">
        <f>"            'to_zone':'"&amp;表1_8612182224267288[[#This Row],[目标区服]]&amp;"',
            'reward':"&amp;表1_8612182224267288[[#This Row],[辅助导出]]&amp;"
            'country':["&amp;R47&amp;","&amp;R48&amp;","&amp;R49&amp;"],"</f>
        <v>            'to_zone':'h1_553',
            'reward':{'coin':1000,'item036':10},
            'country':[0,1,2],</v>
      </c>
    </row>
    <row r="49" ht="14.25" customHeight="1" spans="1:25">
      <c r="A49" s="259">
        <v>5116</v>
      </c>
      <c r="B49" s="210">
        <f>VLOOKUP(表1_8612182224267288[[#This Row],[区服]],$P$86:$Q$112,2,FALSE)</f>
        <v>44</v>
      </c>
      <c r="C49" s="41" t="s">
        <v>177</v>
      </c>
      <c r="D49" s="212" t="str">
        <f>表1_8612182224267288[[#This Row],[目标国家]]</f>
        <v>吴</v>
      </c>
      <c r="E49" s="437">
        <f>(VLOOKUP(表1_8612182224267288[[#This Row],[目标区服]],$R$86:$S$112,2,FALSE)-表1_8612182224267288[[#This Row],[开服天数]])*配置!$B$1</f>
        <v>1000</v>
      </c>
      <c r="F49" s="213">
        <f>表1_8612182224267288[[#This Row],[补偿Coin]]*(表1_8612182224267288[[#This Row],[活跃高战玩家数]]+表1_8612182224267288[[#This Row],[活跃中坚玩家数]])</f>
        <v>23000</v>
      </c>
      <c r="G49" s="260">
        <f>(VLOOKUP(表1_8612182224267288[[#This Row],[目标区服]],$R$86:$S$98,2,FALSE)-表1_8612182224267288[[#This Row],[开服天数]])*配置!$B$2</f>
        <v>10</v>
      </c>
      <c r="H49" s="212" t="s">
        <v>27</v>
      </c>
      <c r="I49" s="268">
        <f>IF(表1_8612182224267288[[#This Row],[原国家]]="魏",0,IF(表1_8612182224267288[[#This Row],[原国家]]="蜀",1,2))</f>
        <v>2</v>
      </c>
      <c r="J49" s="213">
        <v>2</v>
      </c>
      <c r="K49" s="213">
        <v>77</v>
      </c>
      <c r="L49" s="213">
        <v>3</v>
      </c>
      <c r="M49" s="213">
        <v>20</v>
      </c>
      <c r="N49" s="213">
        <v>93918</v>
      </c>
      <c r="O49" s="419">
        <v>2773166</v>
      </c>
      <c r="P49" s="420">
        <v>17834820</v>
      </c>
      <c r="Q49" s="243" t="s">
        <v>27</v>
      </c>
      <c r="R49" s="212">
        <f>IF(表1_8612182224267288[[#This Row],[目标国家]]="魏",0,IF(表1_8612182224267288[[#This Row],[目标国家]]="蜀",1,2))</f>
        <v>2</v>
      </c>
      <c r="S49" s="213">
        <v>77508</v>
      </c>
      <c r="T49" s="213">
        <v>0</v>
      </c>
      <c r="U49" s="213">
        <v>330546</v>
      </c>
      <c r="V49" s="213">
        <v>8486</v>
      </c>
      <c r="W49" s="506">
        <v>948604</v>
      </c>
      <c r="X49" s="278" t="str">
        <f>"{"&amp;"'coin':"&amp;表1_8612182224267288[[#This Row],[补偿Coin]]&amp;",'"&amp;配置!$A$2&amp;"':"&amp;表1_8612182224267288[[#This Row],[补偿辎重]]&amp;"},"</f>
        <v>{'coin':1000,'item036':10},</v>
      </c>
      <c r="Y49" s="254" t="str">
        <f t="shared" si="5"/>
        <v>      },</v>
      </c>
    </row>
    <row r="50" ht="14.25" customHeight="1" spans="1:25">
      <c r="A50" s="259">
        <v>5117</v>
      </c>
      <c r="B50" s="210">
        <f>VLOOKUP(表1_8612182224267288[[#This Row],[区服]],$P$86:$Q$112,2,FALSE)</f>
        <v>43</v>
      </c>
      <c r="C50" s="41" t="s">
        <v>177</v>
      </c>
      <c r="D50" s="212" t="str">
        <f>表1_8612182224267288[[#This Row],[目标国家]]</f>
        <v>蜀</v>
      </c>
      <c r="E50" s="437">
        <f>(VLOOKUP(表1_8612182224267288[[#This Row],[目标区服]],$R$86:$S$112,2,FALSE)-表1_8612182224267288[[#This Row],[开服天数]])*配置!$B$1</f>
        <v>1500</v>
      </c>
      <c r="F50" s="213">
        <f>表1_8612182224267288[[#This Row],[补偿Coin]]*(表1_8612182224267288[[#This Row],[活跃高战玩家数]]+表1_8612182224267288[[#This Row],[活跃中坚玩家数]])</f>
        <v>42000</v>
      </c>
      <c r="G50" s="260">
        <f>(VLOOKUP(表1_8612182224267288[[#This Row],[目标区服]],$R$86:$S$98,2,FALSE)-表1_8612182224267288[[#This Row],[开服天数]])*配置!$B$2</f>
        <v>15</v>
      </c>
      <c r="H50" s="212" t="s">
        <v>25</v>
      </c>
      <c r="I50" s="268">
        <f>IF(表1_8612182224267288[[#This Row],[原国家]]="魏",0,IF(表1_8612182224267288[[#This Row],[原国家]]="蜀",1,2))</f>
        <v>0</v>
      </c>
      <c r="J50" s="213">
        <v>3</v>
      </c>
      <c r="K50" s="213">
        <v>104</v>
      </c>
      <c r="L50" s="213">
        <v>5</v>
      </c>
      <c r="M50" s="213">
        <v>23</v>
      </c>
      <c r="N50" s="213">
        <v>121398</v>
      </c>
      <c r="O50" s="419">
        <v>1805797</v>
      </c>
      <c r="P50" s="420">
        <v>19214754</v>
      </c>
      <c r="Q50" s="243" t="s">
        <v>26</v>
      </c>
      <c r="R50" s="212">
        <f>IF(表1_8612182224267288[[#This Row],[目标国家]]="魏",0,IF(表1_8612182224267288[[#This Row],[目标国家]]="蜀",1,2))</f>
        <v>1</v>
      </c>
      <c r="S50" s="213">
        <v>26572</v>
      </c>
      <c r="T50" s="213">
        <v>0</v>
      </c>
      <c r="U50" s="213">
        <v>306243</v>
      </c>
      <c r="V50" s="213">
        <v>6624</v>
      </c>
      <c r="W50" s="506">
        <v>540971</v>
      </c>
      <c r="X50" s="278" t="str">
        <f>"{"&amp;"'coin':"&amp;表1_8612182224267288[[#This Row],[补偿Coin]]&amp;",'"&amp;配置!$A$2&amp;"':"&amp;表1_8612182224267288[[#This Row],[补偿辎重]]&amp;"},"</f>
        <v>{'coin':1500,'item036':15},</v>
      </c>
      <c r="Y50" s="254" t="str">
        <f>"      '"&amp;表1_8612182224267288[[#This Row],[区服]]&amp;"':{"</f>
        <v>      '5117':{</v>
      </c>
    </row>
    <row r="51" ht="14.25" customHeight="1" spans="1:25">
      <c r="A51" s="259">
        <v>5117</v>
      </c>
      <c r="B51" s="210">
        <f>VLOOKUP(表1_8612182224267288[[#This Row],[区服]],$P$86:$Q$112,2,FALSE)</f>
        <v>43</v>
      </c>
      <c r="C51" s="41" t="s">
        <v>177</v>
      </c>
      <c r="D51" s="212" t="str">
        <f>表1_8612182224267288[[#This Row],[目标国家]]</f>
        <v>魏</v>
      </c>
      <c r="E51" s="437">
        <f>(VLOOKUP(表1_8612182224267288[[#This Row],[目标区服]],$R$86:$S$112,2,FALSE)-表1_8612182224267288[[#This Row],[开服天数]])*配置!$B$1</f>
        <v>1500</v>
      </c>
      <c r="F51" s="213">
        <f>表1_8612182224267288[[#This Row],[补偿Coin]]*(表1_8612182224267288[[#This Row],[活跃高战玩家数]]+表1_8612182224267288[[#This Row],[活跃中坚玩家数]])</f>
        <v>43500</v>
      </c>
      <c r="G51" s="260">
        <f>(VLOOKUP(表1_8612182224267288[[#This Row],[目标区服]],$R$86:$S$98,2,FALSE)-表1_8612182224267288[[#This Row],[开服天数]])*配置!$B$2</f>
        <v>15</v>
      </c>
      <c r="H51" s="212" t="s">
        <v>26</v>
      </c>
      <c r="I51" s="268">
        <f>IF(表1_8612182224267288[[#This Row],[原国家]]="魏",0,IF(表1_8612182224267288[[#This Row],[原国家]]="蜀",1,2))</f>
        <v>1</v>
      </c>
      <c r="J51" s="213">
        <v>4</v>
      </c>
      <c r="K51" s="213">
        <v>207</v>
      </c>
      <c r="L51" s="213">
        <v>4</v>
      </c>
      <c r="M51" s="213">
        <v>25</v>
      </c>
      <c r="N51" s="213">
        <v>128590</v>
      </c>
      <c r="O51" s="419">
        <v>2251472</v>
      </c>
      <c r="P51" s="420">
        <v>21884962</v>
      </c>
      <c r="Q51" s="243" t="s">
        <v>25</v>
      </c>
      <c r="R51" s="212">
        <f>IF(表1_8612182224267288[[#This Row],[目标国家]]="魏",0,IF(表1_8612182224267288[[#This Row],[目标国家]]="蜀",1,2))</f>
        <v>0</v>
      </c>
      <c r="S51" s="213">
        <v>68782</v>
      </c>
      <c r="T51" s="213">
        <v>0</v>
      </c>
      <c r="U51" s="213">
        <v>644835</v>
      </c>
      <c r="V51" s="213">
        <v>9938</v>
      </c>
      <c r="W51" s="506">
        <v>586273</v>
      </c>
      <c r="X51" s="278" t="str">
        <f>"{"&amp;"'coin':"&amp;表1_8612182224267288[[#This Row],[补偿Coin]]&amp;",'"&amp;配置!$A$2&amp;"':"&amp;表1_8612182224267288[[#This Row],[补偿辎重]]&amp;"},"</f>
        <v>{'coin':1500,'item036':15},</v>
      </c>
      <c r="Y51" s="254" t="str">
        <f>"            'to_zone':'"&amp;表1_8612182224267288[[#This Row],[目标区服]]&amp;"',
            'reward':"&amp;表1_8612182224267288[[#This Row],[辅助导出]]&amp;"
            'country':["&amp;R50&amp;","&amp;R51&amp;","&amp;R52&amp;"],"</f>
        <v>            'to_zone':'h1_553',
            'reward':{'coin':1500,'item036':15},
            'country':[1,0,2],</v>
      </c>
    </row>
    <row r="52" ht="14.25" customHeight="1" spans="1:25">
      <c r="A52" s="259">
        <v>5117</v>
      </c>
      <c r="B52" s="210">
        <f>VLOOKUP(表1_8612182224267288[[#This Row],[区服]],$P$86:$Q$112,2,FALSE)</f>
        <v>43</v>
      </c>
      <c r="C52" s="41" t="s">
        <v>177</v>
      </c>
      <c r="D52" s="212" t="str">
        <f>表1_8612182224267288[[#This Row],[目标国家]]</f>
        <v>吴</v>
      </c>
      <c r="E52" s="437">
        <f>(VLOOKUP(表1_8612182224267288[[#This Row],[目标区服]],$R$86:$S$112,2,FALSE)-表1_8612182224267288[[#This Row],[开服天数]])*配置!$B$1</f>
        <v>1500</v>
      </c>
      <c r="F52" s="213">
        <f>表1_8612182224267288[[#This Row],[补偿Coin]]*(表1_8612182224267288[[#This Row],[活跃高战玩家数]]+表1_8612182224267288[[#This Row],[活跃中坚玩家数]])</f>
        <v>16500</v>
      </c>
      <c r="G52" s="260">
        <f>(VLOOKUP(表1_8612182224267288[[#This Row],[目标区服]],$R$86:$S$98,2,FALSE)-表1_8612182224267288[[#This Row],[开服天数]])*配置!$B$2</f>
        <v>15</v>
      </c>
      <c r="H52" s="212" t="s">
        <v>27</v>
      </c>
      <c r="I52" s="268">
        <f>IF(表1_8612182224267288[[#This Row],[原国家]]="魏",0,IF(表1_8612182224267288[[#This Row],[原国家]]="蜀",1,2))</f>
        <v>2</v>
      </c>
      <c r="J52" s="213">
        <v>2</v>
      </c>
      <c r="K52" s="213">
        <v>84</v>
      </c>
      <c r="L52" s="213">
        <v>1</v>
      </c>
      <c r="M52" s="213">
        <v>10</v>
      </c>
      <c r="N52" s="213">
        <v>39993</v>
      </c>
      <c r="O52" s="419">
        <v>1278557</v>
      </c>
      <c r="P52" s="420">
        <v>6747593</v>
      </c>
      <c r="Q52" s="243" t="s">
        <v>27</v>
      </c>
      <c r="R52" s="212">
        <f>IF(表1_8612182224267288[[#This Row],[目标国家]]="魏",0,IF(表1_8612182224267288[[#This Row],[目标国家]]="蜀",1,2))</f>
        <v>2</v>
      </c>
      <c r="S52" s="213">
        <v>5854</v>
      </c>
      <c r="T52" s="213">
        <v>0</v>
      </c>
      <c r="U52" s="213">
        <v>270568</v>
      </c>
      <c r="V52" s="213">
        <v>3504</v>
      </c>
      <c r="W52" s="506">
        <v>370190</v>
      </c>
      <c r="X52" s="278" t="str">
        <f>"{"&amp;"'coin':"&amp;表1_8612182224267288[[#This Row],[补偿Coin]]&amp;",'"&amp;配置!$A$2&amp;"':"&amp;表1_8612182224267288[[#This Row],[补偿辎重]]&amp;"},"</f>
        <v>{'coin':1500,'item036':15},</v>
      </c>
      <c r="Y52" s="254" t="str">
        <f t="shared" si="4"/>
        <v>      },</v>
      </c>
    </row>
    <row r="53" ht="14.25" customHeight="1" spans="1:25">
      <c r="A53" s="500">
        <v>5118</v>
      </c>
      <c r="B53" s="17">
        <f>VLOOKUP(表1_8612182224267288[[#This Row],[区服]],$P$86:$Q$112,2,FALSE)</f>
        <v>43</v>
      </c>
      <c r="C53" s="45" t="s">
        <v>178</v>
      </c>
      <c r="D53" s="19" t="str">
        <f>表1_8612182224267288[[#This Row],[目标国家]]</f>
        <v>魏</v>
      </c>
      <c r="E53" s="501">
        <f>(VLOOKUP(表1_8612182224267288[[#This Row],[目标区服]],$R$86:$S$112,2,FALSE)-表1_8612182224267288[[#This Row],[开服天数]])*配置!$B$1</f>
        <v>1000</v>
      </c>
      <c r="F53" s="20">
        <f>表1_8612182224267288[[#This Row],[补偿Coin]]*(表1_8612182224267288[[#This Row],[活跃高战玩家数]]+表1_8612182224267288[[#This Row],[活跃中坚玩家数]])</f>
        <v>17000</v>
      </c>
      <c r="G53" s="502">
        <f>(VLOOKUP(表1_8612182224267288[[#This Row],[目标区服]],$R$86:$S$98,2,FALSE)-表1_8612182224267288[[#This Row],[开服天数]])*配置!$B$2</f>
        <v>10</v>
      </c>
      <c r="H53" s="19" t="s">
        <v>25</v>
      </c>
      <c r="I53" s="503">
        <f>IF(表1_8612182224267288[[#This Row],[原国家]]="魏",0,IF(表1_8612182224267288[[#This Row],[原国家]]="蜀",1,2))</f>
        <v>0</v>
      </c>
      <c r="J53" s="20">
        <v>2</v>
      </c>
      <c r="K53" s="20">
        <v>96</v>
      </c>
      <c r="L53" s="20">
        <v>1</v>
      </c>
      <c r="M53" s="20">
        <v>16</v>
      </c>
      <c r="N53" s="20">
        <v>62434</v>
      </c>
      <c r="O53" s="504">
        <v>2292963</v>
      </c>
      <c r="P53" s="26">
        <v>12141079</v>
      </c>
      <c r="Q53" s="496" t="s">
        <v>25</v>
      </c>
      <c r="R53" s="19">
        <f>IF(表1_8612182224267288[[#This Row],[目标国家]]="魏",0,IF(表1_8612182224267288[[#This Row],[目标国家]]="蜀",1,2))</f>
        <v>0</v>
      </c>
      <c r="S53" s="20">
        <v>2476</v>
      </c>
      <c r="T53" s="20">
        <v>75210</v>
      </c>
      <c r="U53" s="20">
        <v>537000</v>
      </c>
      <c r="V53" s="20">
        <v>6074</v>
      </c>
      <c r="W53" s="507">
        <v>911568</v>
      </c>
      <c r="X53" s="508" t="str">
        <f>"{"&amp;"'coin':"&amp;表1_8612182224267288[[#This Row],[补偿Coin]]&amp;",'"&amp;配置!$A$2&amp;"':"&amp;表1_8612182224267288[[#This Row],[补偿辎重]]&amp;"},"</f>
        <v>{'coin':1000,'item036':10},</v>
      </c>
      <c r="Y53" s="34" t="str">
        <f>"      '"&amp;表1_8612182224267288[[#This Row],[区服]]&amp;"':{"</f>
        <v>      '5118':{</v>
      </c>
    </row>
    <row r="54" ht="14.25" customHeight="1" spans="1:25">
      <c r="A54" s="500">
        <v>5118</v>
      </c>
      <c r="B54" s="17">
        <f>VLOOKUP(表1_8612182224267288[[#This Row],[区服]],$P$86:$Q$112,2,FALSE)</f>
        <v>43</v>
      </c>
      <c r="C54" s="45" t="s">
        <v>178</v>
      </c>
      <c r="D54" s="19" t="str">
        <f>表1_8612182224267288[[#This Row],[目标国家]]</f>
        <v>蜀</v>
      </c>
      <c r="E54" s="501">
        <f>(VLOOKUP(表1_8612182224267288[[#This Row],[目标区服]],$R$86:$S$112,2,FALSE)-表1_8612182224267288[[#This Row],[开服天数]])*配置!$B$1</f>
        <v>1000</v>
      </c>
      <c r="F54" s="20">
        <f>表1_8612182224267288[[#This Row],[补偿Coin]]*(表1_8612182224267288[[#This Row],[活跃高战玩家数]]+表1_8612182224267288[[#This Row],[活跃中坚玩家数]])</f>
        <v>19000</v>
      </c>
      <c r="G54" s="502">
        <f>(VLOOKUP(表1_8612182224267288[[#This Row],[目标区服]],$R$86:$S$98,2,FALSE)-表1_8612182224267288[[#This Row],[开服天数]])*配置!$B$2</f>
        <v>10</v>
      </c>
      <c r="H54" s="19" t="s">
        <v>26</v>
      </c>
      <c r="I54" s="503">
        <f>IF(表1_8612182224267288[[#This Row],[原国家]]="魏",0,IF(表1_8612182224267288[[#This Row],[原国家]]="蜀",1,2))</f>
        <v>1</v>
      </c>
      <c r="J54" s="20">
        <v>4</v>
      </c>
      <c r="K54" s="20">
        <v>175</v>
      </c>
      <c r="L54" s="20">
        <v>4</v>
      </c>
      <c r="M54" s="20">
        <v>15</v>
      </c>
      <c r="N54" s="20">
        <v>84943</v>
      </c>
      <c r="O54" s="504">
        <v>3789043</v>
      </c>
      <c r="P54" s="26">
        <v>20284571</v>
      </c>
      <c r="Q54" s="496" t="s">
        <v>26</v>
      </c>
      <c r="R54" s="19">
        <f>IF(表1_8612182224267288[[#This Row],[目标国家]]="魏",0,IF(表1_8612182224267288[[#This Row],[目标国家]]="蜀",1,2))</f>
        <v>1</v>
      </c>
      <c r="S54" s="20">
        <v>439754</v>
      </c>
      <c r="T54" s="20">
        <v>0</v>
      </c>
      <c r="U54" s="20">
        <v>716129</v>
      </c>
      <c r="V54" s="20">
        <v>21942</v>
      </c>
      <c r="W54" s="507">
        <v>1072658</v>
      </c>
      <c r="X54" s="508" t="str">
        <f>"{"&amp;"'coin':"&amp;表1_8612182224267288[[#This Row],[补偿Coin]]&amp;",'"&amp;配置!$A$2&amp;"':"&amp;表1_8612182224267288[[#This Row],[补偿辎重]]&amp;"},"</f>
        <v>{'coin':1000,'item036':10},</v>
      </c>
      <c r="Y54" s="34" t="str">
        <f>"            'to_zone':'"&amp;表1_8612182224267288[[#This Row],[目标区服]]&amp;"',
            'reward':"&amp;表1_8612182224267288[[#This Row],[辅助导出]]&amp;"
            'country':["&amp;R53&amp;","&amp;R54&amp;","&amp;R55&amp;"],"</f>
        <v>            'to_zone':'h1_554',
            'reward':{'coin':1000,'item036':10},
            'country':[0,1,2],</v>
      </c>
    </row>
    <row r="55" ht="14.25" customHeight="1" spans="1:25">
      <c r="A55" s="500">
        <v>5118</v>
      </c>
      <c r="B55" s="17">
        <f>VLOOKUP(表1_8612182224267288[[#This Row],[区服]],$P$86:$Q$112,2,FALSE)</f>
        <v>43</v>
      </c>
      <c r="C55" s="45" t="s">
        <v>178</v>
      </c>
      <c r="D55" s="19" t="str">
        <f>表1_8612182224267288[[#This Row],[目标国家]]</f>
        <v>吴</v>
      </c>
      <c r="E55" s="501">
        <f>(VLOOKUP(表1_8612182224267288[[#This Row],[目标区服]],$R$86:$S$112,2,FALSE)-表1_8612182224267288[[#This Row],[开服天数]])*配置!$B$1</f>
        <v>1000</v>
      </c>
      <c r="F55" s="20">
        <f>表1_8612182224267288[[#This Row],[补偿Coin]]*(表1_8612182224267288[[#This Row],[活跃高战玩家数]]+表1_8612182224267288[[#This Row],[活跃中坚玩家数]])</f>
        <v>32000</v>
      </c>
      <c r="G55" s="502">
        <f>(VLOOKUP(表1_8612182224267288[[#This Row],[目标区服]],$R$86:$S$98,2,FALSE)-表1_8612182224267288[[#This Row],[开服天数]])*配置!$B$2</f>
        <v>10</v>
      </c>
      <c r="H55" s="19" t="s">
        <v>27</v>
      </c>
      <c r="I55" s="503">
        <f>IF(表1_8612182224267288[[#This Row],[原国家]]="魏",0,IF(表1_8612182224267288[[#This Row],[原国家]]="蜀",1,2))</f>
        <v>2</v>
      </c>
      <c r="J55" s="20">
        <v>3</v>
      </c>
      <c r="K55" s="20">
        <v>124</v>
      </c>
      <c r="L55" s="20">
        <v>5</v>
      </c>
      <c r="M55" s="20">
        <v>27</v>
      </c>
      <c r="N55" s="20">
        <v>143788</v>
      </c>
      <c r="O55" s="504">
        <v>3275762</v>
      </c>
      <c r="P55" s="26">
        <v>26992526</v>
      </c>
      <c r="Q55" s="496" t="s">
        <v>27</v>
      </c>
      <c r="R55" s="19">
        <f>IF(表1_8612182224267288[[#This Row],[目标国家]]="魏",0,IF(表1_8612182224267288[[#This Row],[目标国家]]="蜀",1,2))</f>
        <v>2</v>
      </c>
      <c r="S55" s="20">
        <v>99968</v>
      </c>
      <c r="T55" s="20">
        <v>77890</v>
      </c>
      <c r="U55" s="20">
        <v>475508</v>
      </c>
      <c r="V55" s="20">
        <v>12249</v>
      </c>
      <c r="W55" s="507">
        <v>1048226</v>
      </c>
      <c r="X55" s="508" t="str">
        <f>"{"&amp;"'coin':"&amp;表1_8612182224267288[[#This Row],[补偿Coin]]&amp;",'"&amp;配置!$A$2&amp;"':"&amp;表1_8612182224267288[[#This Row],[补偿辎重]]&amp;"},"</f>
        <v>{'coin':1000,'item036':10},</v>
      </c>
      <c r="Y55" s="34" t="str">
        <f t="shared" si="5"/>
        <v>      },</v>
      </c>
    </row>
    <row r="56" ht="14.25" customHeight="1" spans="1:25">
      <c r="A56" s="500">
        <v>5119</v>
      </c>
      <c r="B56" s="17">
        <f>VLOOKUP(表1_8612182224267288[[#This Row],[区服]],$P$86:$Q$112,2,FALSE)</f>
        <v>43</v>
      </c>
      <c r="C56" s="45" t="s">
        <v>178</v>
      </c>
      <c r="D56" s="19" t="str">
        <f>表1_8612182224267288[[#This Row],[目标国家]]</f>
        <v>魏</v>
      </c>
      <c r="E56" s="501">
        <f>(VLOOKUP(表1_8612182224267288[[#This Row],[目标区服]],$R$86:$S$112,2,FALSE)-表1_8612182224267288[[#This Row],[开服天数]])*配置!$B$1</f>
        <v>1000</v>
      </c>
      <c r="F56" s="20">
        <f>表1_8612182224267288[[#This Row],[补偿Coin]]*(表1_8612182224267288[[#This Row],[活跃高战玩家数]]+表1_8612182224267288[[#This Row],[活跃中坚玩家数]])</f>
        <v>27000</v>
      </c>
      <c r="G56" s="502">
        <f>(VLOOKUP(表1_8612182224267288[[#This Row],[目标区服]],$R$86:$S$98,2,FALSE)-表1_8612182224267288[[#This Row],[开服天数]])*配置!$B$2</f>
        <v>10</v>
      </c>
      <c r="H56" s="19" t="s">
        <v>25</v>
      </c>
      <c r="I56" s="503">
        <f>IF(表1_8612182224267288[[#This Row],[原国家]]="魏",0,IF(表1_8612182224267288[[#This Row],[原国家]]="蜀",1,2))</f>
        <v>0</v>
      </c>
      <c r="J56" s="20">
        <v>4</v>
      </c>
      <c r="K56" s="20">
        <v>223</v>
      </c>
      <c r="L56" s="20">
        <v>5</v>
      </c>
      <c r="M56" s="20">
        <v>22</v>
      </c>
      <c r="N56" s="20">
        <v>126343</v>
      </c>
      <c r="O56" s="504">
        <v>2066733</v>
      </c>
      <c r="P56" s="26">
        <v>20874833</v>
      </c>
      <c r="Q56" s="496" t="s">
        <v>25</v>
      </c>
      <c r="R56" s="19">
        <f>IF(表1_8612182224267288[[#This Row],[目标国家]]="魏",0,IF(表1_8612182224267288[[#This Row],[目标国家]]="蜀",1,2))</f>
        <v>0</v>
      </c>
      <c r="S56" s="20">
        <v>40922</v>
      </c>
      <c r="T56" s="20">
        <v>0</v>
      </c>
      <c r="U56" s="20">
        <v>478907</v>
      </c>
      <c r="V56" s="20">
        <v>8883</v>
      </c>
      <c r="W56" s="507">
        <v>623051</v>
      </c>
      <c r="X56" s="508" t="str">
        <f>"{"&amp;"'coin':"&amp;表1_8612182224267288[[#This Row],[补偿Coin]]&amp;",'"&amp;配置!$A$2&amp;"':"&amp;表1_8612182224267288[[#This Row],[补偿辎重]]&amp;"},"</f>
        <v>{'coin':1000,'item036':10},</v>
      </c>
      <c r="Y56" s="34" t="str">
        <f>"      '"&amp;表1_8612182224267288[[#This Row],[区服]]&amp;"':{"</f>
        <v>      '5119':{</v>
      </c>
    </row>
    <row r="57" ht="14.25" customHeight="1" spans="1:25">
      <c r="A57" s="500">
        <v>5119</v>
      </c>
      <c r="B57" s="17">
        <f>VLOOKUP(表1_8612182224267288[[#This Row],[区服]],$P$86:$Q$112,2,FALSE)</f>
        <v>43</v>
      </c>
      <c r="C57" s="45" t="s">
        <v>178</v>
      </c>
      <c r="D57" s="19" t="str">
        <f>表1_8612182224267288[[#This Row],[目标国家]]</f>
        <v>吴</v>
      </c>
      <c r="E57" s="501">
        <f>(VLOOKUP(表1_8612182224267288[[#This Row],[目标区服]],$R$86:$S$112,2,FALSE)-表1_8612182224267288[[#This Row],[开服天数]])*配置!$B$1</f>
        <v>1000</v>
      </c>
      <c r="F57" s="20">
        <f>表1_8612182224267288[[#This Row],[补偿Coin]]*(表1_8612182224267288[[#This Row],[活跃高战玩家数]]+表1_8612182224267288[[#This Row],[活跃中坚玩家数]])</f>
        <v>25000</v>
      </c>
      <c r="G57" s="502">
        <f>(VLOOKUP(表1_8612182224267288[[#This Row],[目标区服]],$R$86:$S$98,2,FALSE)-表1_8612182224267288[[#This Row],[开服天数]])*配置!$B$2</f>
        <v>10</v>
      </c>
      <c r="H57" s="19" t="s">
        <v>26</v>
      </c>
      <c r="I57" s="503">
        <f>IF(表1_8612182224267288[[#This Row],[原国家]]="魏",0,IF(表1_8612182224267288[[#This Row],[原国家]]="蜀",1,2))</f>
        <v>1</v>
      </c>
      <c r="J57" s="20">
        <v>3</v>
      </c>
      <c r="K57" s="20">
        <v>90</v>
      </c>
      <c r="L57" s="20">
        <v>4</v>
      </c>
      <c r="M57" s="20">
        <v>21</v>
      </c>
      <c r="N57" s="20">
        <v>107490</v>
      </c>
      <c r="O57" s="504">
        <v>1961169</v>
      </c>
      <c r="P57" s="26">
        <v>17657542</v>
      </c>
      <c r="Q57" s="496" t="s">
        <v>27</v>
      </c>
      <c r="R57" s="19">
        <f>IF(表1_8612182224267288[[#This Row],[目标国家]]="魏",0,IF(表1_8612182224267288[[#This Row],[目标国家]]="蜀",1,2))</f>
        <v>2</v>
      </c>
      <c r="S57" s="20">
        <v>36950</v>
      </c>
      <c r="T57" s="20">
        <v>0</v>
      </c>
      <c r="U57" s="20">
        <v>192694</v>
      </c>
      <c r="V57" s="20">
        <v>6669</v>
      </c>
      <c r="W57" s="507">
        <v>641414</v>
      </c>
      <c r="X57" s="508" t="str">
        <f>"{"&amp;"'coin':"&amp;表1_8612182224267288[[#This Row],[补偿Coin]]&amp;",'"&amp;配置!$A$2&amp;"':"&amp;表1_8612182224267288[[#This Row],[补偿辎重]]&amp;"},"</f>
        <v>{'coin':1000,'item036':10},</v>
      </c>
      <c r="Y57" s="34" t="str">
        <f>"            'to_zone':'"&amp;表1_8612182224267288[[#This Row],[目标区服]]&amp;"',
            'reward':"&amp;表1_8612182224267288[[#This Row],[辅助导出]]&amp;"
            'country':["&amp;R56&amp;","&amp;R57&amp;","&amp;R58&amp;"],"</f>
        <v>            'to_zone':'h1_554',
            'reward':{'coin':1000,'item036':10},
            'country':[0,2,1],</v>
      </c>
    </row>
    <row r="58" ht="14.25" customHeight="1" spans="1:25">
      <c r="A58" s="500">
        <v>5119</v>
      </c>
      <c r="B58" s="17">
        <f>VLOOKUP(表1_8612182224267288[[#This Row],[区服]],$P$86:$Q$112,2,FALSE)</f>
        <v>43</v>
      </c>
      <c r="C58" s="45" t="s">
        <v>178</v>
      </c>
      <c r="D58" s="19" t="str">
        <f>表1_8612182224267288[[#This Row],[目标国家]]</f>
        <v>蜀</v>
      </c>
      <c r="E58" s="501">
        <f>(VLOOKUP(表1_8612182224267288[[#This Row],[目标区服]],$R$86:$S$112,2,FALSE)-表1_8612182224267288[[#This Row],[开服天数]])*配置!$B$1</f>
        <v>1000</v>
      </c>
      <c r="F58" s="20">
        <f>表1_8612182224267288[[#This Row],[补偿Coin]]*(表1_8612182224267288[[#This Row],[活跃高战玩家数]]+表1_8612182224267288[[#This Row],[活跃中坚玩家数]])</f>
        <v>19000</v>
      </c>
      <c r="G58" s="502">
        <f>(VLOOKUP(表1_8612182224267288[[#This Row],[目标区服]],$R$86:$S$98,2,FALSE)-表1_8612182224267288[[#This Row],[开服天数]])*配置!$B$2</f>
        <v>10</v>
      </c>
      <c r="H58" s="19" t="s">
        <v>27</v>
      </c>
      <c r="I58" s="503">
        <f>IF(表1_8612182224267288[[#This Row],[原国家]]="魏",0,IF(表1_8612182224267288[[#This Row],[原国家]]="蜀",1,2))</f>
        <v>2</v>
      </c>
      <c r="J58" s="20">
        <v>2</v>
      </c>
      <c r="K58" s="20">
        <v>82</v>
      </c>
      <c r="L58" s="20">
        <v>1</v>
      </c>
      <c r="M58" s="20">
        <v>18</v>
      </c>
      <c r="N58" s="20">
        <v>68646</v>
      </c>
      <c r="O58" s="504">
        <v>1558276</v>
      </c>
      <c r="P58" s="26">
        <v>11531461</v>
      </c>
      <c r="Q58" s="496" t="s">
        <v>26</v>
      </c>
      <c r="R58" s="19">
        <f>IF(表1_8612182224267288[[#This Row],[目标国家]]="魏",0,IF(表1_8612182224267288[[#This Row],[目标国家]]="蜀",1,2))</f>
        <v>1</v>
      </c>
      <c r="S58" s="20">
        <v>9356</v>
      </c>
      <c r="T58" s="20">
        <v>0</v>
      </c>
      <c r="U58" s="20">
        <v>120221</v>
      </c>
      <c r="V58" s="20">
        <v>4415</v>
      </c>
      <c r="W58" s="507">
        <v>478772</v>
      </c>
      <c r="X58" s="508" t="str">
        <f>"{"&amp;"'coin':"&amp;表1_8612182224267288[[#This Row],[补偿Coin]]&amp;",'"&amp;配置!$A$2&amp;"':"&amp;表1_8612182224267288[[#This Row],[补偿辎重]]&amp;"},"</f>
        <v>{'coin':1000,'item036':10},</v>
      </c>
      <c r="Y58" s="34" t="str">
        <f t="shared" si="4"/>
        <v>      },</v>
      </c>
    </row>
    <row r="59" ht="14.25" customHeight="1" spans="1:25">
      <c r="A59" s="367">
        <v>5120</v>
      </c>
      <c r="B59" s="214">
        <f>VLOOKUP(表1_8612182224267288[[#This Row],[区服]],$P$86:$Q$112,2,FALSE)</f>
        <v>42</v>
      </c>
      <c r="C59" s="308" t="s">
        <v>179</v>
      </c>
      <c r="D59" s="216" t="str">
        <f>表1_8612182224267288[[#This Row],[目标国家]]</f>
        <v>魏</v>
      </c>
      <c r="E59" s="413">
        <f>(VLOOKUP(表1_8612182224267288[[#This Row],[目标区服]],$R$86:$S$112,2,FALSE)-表1_8612182224267288[[#This Row],[开服天数]])*配置!$B$1</f>
        <v>1000</v>
      </c>
      <c r="F59" s="217">
        <f>表1_8612182224267288[[#This Row],[补偿Coin]]*(表1_8612182224267288[[#This Row],[活跃高战玩家数]]+表1_8612182224267288[[#This Row],[活跃中坚玩家数]])</f>
        <v>13000</v>
      </c>
      <c r="G59" s="368">
        <f>(VLOOKUP(表1_8612182224267288[[#This Row],[目标区服]],$R$86:$S$98,2,FALSE)-表1_8612182224267288[[#This Row],[开服天数]])*配置!$B$2</f>
        <v>10</v>
      </c>
      <c r="H59" s="216" t="s">
        <v>25</v>
      </c>
      <c r="I59" s="377">
        <f>IF(表1_8612182224267288[[#This Row],[原国家]]="魏",0,IF(表1_8612182224267288[[#This Row],[原国家]]="蜀",1,2))</f>
        <v>0</v>
      </c>
      <c r="J59" s="217">
        <v>0</v>
      </c>
      <c r="K59" s="217">
        <v>21</v>
      </c>
      <c r="L59" s="217">
        <v>1</v>
      </c>
      <c r="M59" s="217">
        <v>12</v>
      </c>
      <c r="N59" s="217">
        <v>21273</v>
      </c>
      <c r="O59" s="378">
        <v>824606</v>
      </c>
      <c r="P59" s="334">
        <v>4881354</v>
      </c>
      <c r="Q59" s="247" t="s">
        <v>25</v>
      </c>
      <c r="R59" s="216">
        <f>IF(表1_8612182224267288[[#This Row],[目标国家]]="魏",0,IF(表1_8612182224267288[[#This Row],[目标国家]]="蜀",1,2))</f>
        <v>0</v>
      </c>
      <c r="S59" s="217">
        <v>4970</v>
      </c>
      <c r="T59" s="217">
        <v>0</v>
      </c>
      <c r="U59" s="217">
        <v>43317</v>
      </c>
      <c r="V59" s="217">
        <v>1799</v>
      </c>
      <c r="W59" s="488">
        <v>263665</v>
      </c>
      <c r="X59" s="382" t="str">
        <f>"{"&amp;"'coin':"&amp;表1_8612182224267288[[#This Row],[补偿Coin]]&amp;",'"&amp;配置!$A$2&amp;"':"&amp;表1_8612182224267288[[#This Row],[补偿辎重]]&amp;"},"</f>
        <v>{'coin':1000,'item036':10},</v>
      </c>
      <c r="Y59" s="251" t="str">
        <f>"      '"&amp;表1_8612182224267288[[#This Row],[区服]]&amp;"':{"</f>
        <v>      '5120':{</v>
      </c>
    </row>
    <row r="60" ht="14.25" customHeight="1" spans="1:25">
      <c r="A60" s="367">
        <v>5120</v>
      </c>
      <c r="B60" s="214">
        <f>VLOOKUP(表1_8612182224267288[[#This Row],[区服]],$P$86:$Q$112,2,FALSE)</f>
        <v>42</v>
      </c>
      <c r="C60" s="308" t="s">
        <v>179</v>
      </c>
      <c r="D60" s="216" t="str">
        <f>表1_8612182224267288[[#This Row],[目标国家]]</f>
        <v>吴</v>
      </c>
      <c r="E60" s="413">
        <f>(VLOOKUP(表1_8612182224267288[[#This Row],[目标区服]],$R$86:$S$112,2,FALSE)-表1_8612182224267288[[#This Row],[开服天数]])*配置!$B$1</f>
        <v>1000</v>
      </c>
      <c r="F60" s="217">
        <f>表1_8612182224267288[[#This Row],[补偿Coin]]*(表1_8612182224267288[[#This Row],[活跃高战玩家数]]+表1_8612182224267288[[#This Row],[活跃中坚玩家数]])</f>
        <v>35000</v>
      </c>
      <c r="G60" s="368">
        <f>(VLOOKUP(表1_8612182224267288[[#This Row],[目标区服]],$R$86:$S$98,2,FALSE)-表1_8612182224267288[[#This Row],[开服天数]])*配置!$B$2</f>
        <v>10</v>
      </c>
      <c r="H60" s="216" t="s">
        <v>26</v>
      </c>
      <c r="I60" s="377">
        <f>IF(表1_8612182224267288[[#This Row],[原国家]]="魏",0,IF(表1_8612182224267288[[#This Row],[原国家]]="蜀",1,2))</f>
        <v>1</v>
      </c>
      <c r="J60" s="217">
        <v>7</v>
      </c>
      <c r="K60" s="217">
        <v>280</v>
      </c>
      <c r="L60" s="217">
        <v>7</v>
      </c>
      <c r="M60" s="217">
        <v>28</v>
      </c>
      <c r="N60" s="217">
        <v>185737</v>
      </c>
      <c r="O60" s="378">
        <v>2162773</v>
      </c>
      <c r="P60" s="334">
        <v>26804805</v>
      </c>
      <c r="Q60" s="247" t="s">
        <v>27</v>
      </c>
      <c r="R60" s="216">
        <f>IF(表1_8612182224267288[[#This Row],[目标国家]]="魏",0,IF(表1_8612182224267288[[#This Row],[目标国家]]="蜀",1,2))</f>
        <v>2</v>
      </c>
      <c r="S60" s="217">
        <v>87710</v>
      </c>
      <c r="T60" s="217">
        <v>0</v>
      </c>
      <c r="U60" s="217">
        <v>696834</v>
      </c>
      <c r="V60" s="217">
        <v>12251</v>
      </c>
      <c r="W60" s="488">
        <v>569680</v>
      </c>
      <c r="X60" s="382" t="str">
        <f>"{"&amp;"'coin':"&amp;表1_8612182224267288[[#This Row],[补偿Coin]]&amp;",'"&amp;配置!$A$2&amp;"':"&amp;表1_8612182224267288[[#This Row],[补偿辎重]]&amp;"},"</f>
        <v>{'coin':1000,'item036':10},</v>
      </c>
      <c r="Y60" s="251" t="str">
        <f>"            'to_zone':'"&amp;表1_8612182224267288[[#This Row],[目标区服]]&amp;"',
            'reward':"&amp;表1_8612182224267288[[#This Row],[辅助导出]]&amp;"
            'country':["&amp;R59&amp;","&amp;R60&amp;","&amp;R61&amp;"],"</f>
        <v>            'to_zone':'h1_555',
            'reward':{'coin':1000,'item036':10},
            'country':[0,2,2],</v>
      </c>
    </row>
    <row r="61" ht="14.25" customHeight="1" spans="1:25">
      <c r="A61" s="367">
        <v>5120</v>
      </c>
      <c r="B61" s="214">
        <f>VLOOKUP(表1_8612182224267288[[#This Row],[区服]],$P$86:$Q$112,2,FALSE)</f>
        <v>42</v>
      </c>
      <c r="C61" s="308" t="s">
        <v>179</v>
      </c>
      <c r="D61" s="216" t="str">
        <f>表1_8612182224267288[[#This Row],[目标国家]]</f>
        <v>吴</v>
      </c>
      <c r="E61" s="413">
        <f>(VLOOKUP(表1_8612182224267288[[#This Row],[目标区服]],$R$86:$S$112,2,FALSE)-表1_8612182224267288[[#This Row],[开服天数]])*配置!$B$1</f>
        <v>1000</v>
      </c>
      <c r="F61" s="217">
        <f>表1_8612182224267288[[#This Row],[补偿Coin]]*(表1_8612182224267288[[#This Row],[活跃高战玩家数]]+表1_8612182224267288[[#This Row],[活跃中坚玩家数]])</f>
        <v>23000</v>
      </c>
      <c r="G61" s="368">
        <f>(VLOOKUP(表1_8612182224267288[[#This Row],[目标区服]],$R$86:$S$98,2,FALSE)-表1_8612182224267288[[#This Row],[开服天数]])*配置!$B$2</f>
        <v>10</v>
      </c>
      <c r="H61" s="216" t="s">
        <v>27</v>
      </c>
      <c r="I61" s="377">
        <f>IF(表1_8612182224267288[[#This Row],[原国家]]="魏",0,IF(表1_8612182224267288[[#This Row],[原国家]]="蜀",1,2))</f>
        <v>2</v>
      </c>
      <c r="J61" s="217">
        <v>2</v>
      </c>
      <c r="K61" s="217">
        <v>94</v>
      </c>
      <c r="L61" s="217">
        <v>2</v>
      </c>
      <c r="M61" s="217">
        <v>21</v>
      </c>
      <c r="N61" s="217">
        <v>96167</v>
      </c>
      <c r="O61" s="378">
        <v>1498496</v>
      </c>
      <c r="P61" s="334">
        <v>13620099</v>
      </c>
      <c r="Q61" s="247" t="s">
        <v>27</v>
      </c>
      <c r="R61" s="216">
        <f>IF(表1_8612182224267288[[#This Row],[目标国家]]="魏",0,IF(表1_8612182224267288[[#This Row],[目标国家]]="蜀",1,2))</f>
        <v>2</v>
      </c>
      <c r="S61" s="217">
        <v>21152</v>
      </c>
      <c r="T61" s="217">
        <v>0</v>
      </c>
      <c r="U61" s="217">
        <v>133326</v>
      </c>
      <c r="V61" s="217">
        <v>5182</v>
      </c>
      <c r="W61" s="488">
        <v>420393</v>
      </c>
      <c r="X61" s="382" t="str">
        <f>"{"&amp;"'coin':"&amp;表1_8612182224267288[[#This Row],[补偿Coin]]&amp;",'"&amp;配置!$A$2&amp;"':"&amp;表1_8612182224267288[[#This Row],[补偿辎重]]&amp;"},"</f>
        <v>{'coin':1000,'item036':10},</v>
      </c>
      <c r="Y61" s="251" t="str">
        <f t="shared" si="5"/>
        <v>      },</v>
      </c>
    </row>
    <row r="62" ht="14.25" customHeight="1" spans="1:25">
      <c r="A62" s="367">
        <v>5121</v>
      </c>
      <c r="B62" s="214">
        <f>VLOOKUP(表1_8612182224267288[[#This Row],[区服]],$P$86:$Q$112,2,FALSE)</f>
        <v>42</v>
      </c>
      <c r="C62" s="308" t="s">
        <v>179</v>
      </c>
      <c r="D62" s="216" t="str">
        <f>表1_8612182224267288[[#This Row],[目标国家]]</f>
        <v>魏</v>
      </c>
      <c r="E62" s="413">
        <f>(VLOOKUP(表1_8612182224267288[[#This Row],[目标区服]],$R$86:$S$112,2,FALSE)-表1_8612182224267288[[#This Row],[开服天数]])*配置!$B$1</f>
        <v>1000</v>
      </c>
      <c r="F62" s="217">
        <f>表1_8612182224267288[[#This Row],[补偿Coin]]*(表1_8612182224267288[[#This Row],[活跃高战玩家数]]+表1_8612182224267288[[#This Row],[活跃中坚玩家数]])</f>
        <v>21000</v>
      </c>
      <c r="G62" s="368">
        <f>(VLOOKUP(表1_8612182224267288[[#This Row],[目标区服]],$R$86:$S$98,2,FALSE)-表1_8612182224267288[[#This Row],[开服天数]])*配置!$B$2</f>
        <v>10</v>
      </c>
      <c r="H62" s="216" t="s">
        <v>25</v>
      </c>
      <c r="I62" s="377">
        <f>IF(表1_8612182224267288[[#This Row],[原国家]]="魏",0,IF(表1_8612182224267288[[#This Row],[原国家]]="蜀",1,2))</f>
        <v>0</v>
      </c>
      <c r="J62" s="217">
        <v>3</v>
      </c>
      <c r="K62" s="217">
        <v>98</v>
      </c>
      <c r="L62" s="217">
        <v>4</v>
      </c>
      <c r="M62" s="217">
        <v>17</v>
      </c>
      <c r="N62" s="217">
        <v>85445</v>
      </c>
      <c r="O62" s="378">
        <v>3911399</v>
      </c>
      <c r="P62" s="334">
        <v>19315180</v>
      </c>
      <c r="Q62" s="247" t="s">
        <v>25</v>
      </c>
      <c r="R62" s="216">
        <f>IF(表1_8612182224267288[[#This Row],[目标国家]]="魏",0,IF(表1_8612182224267288[[#This Row],[目标国家]]="蜀",1,2))</f>
        <v>0</v>
      </c>
      <c r="S62" s="217">
        <v>10500</v>
      </c>
      <c r="T62" s="217">
        <v>257762</v>
      </c>
      <c r="U62" s="217">
        <v>846273</v>
      </c>
      <c r="V62" s="217">
        <v>10865</v>
      </c>
      <c r="W62" s="488">
        <v>1126449</v>
      </c>
      <c r="X62" s="382" t="str">
        <f>"{"&amp;"'coin':"&amp;表1_8612182224267288[[#This Row],[补偿Coin]]&amp;",'"&amp;配置!$A$2&amp;"':"&amp;表1_8612182224267288[[#This Row],[补偿辎重]]&amp;"},"</f>
        <v>{'coin':1000,'item036':10},</v>
      </c>
      <c r="Y62" s="251" t="str">
        <f>"      '"&amp;表1_8612182224267288[[#This Row],[区服]]&amp;"':{"</f>
        <v>      '5121':{</v>
      </c>
    </row>
    <row r="63" ht="14.25" customHeight="1" spans="1:25">
      <c r="A63" s="367">
        <v>5121</v>
      </c>
      <c r="B63" s="214">
        <f>VLOOKUP(表1_8612182224267288[[#This Row],[区服]],$P$86:$Q$112,2,FALSE)</f>
        <v>42</v>
      </c>
      <c r="C63" s="308" t="s">
        <v>179</v>
      </c>
      <c r="D63" s="216" t="str">
        <f>表1_8612182224267288[[#This Row],[目标国家]]</f>
        <v>蜀</v>
      </c>
      <c r="E63" s="413">
        <f>(VLOOKUP(表1_8612182224267288[[#This Row],[目标区服]],$R$86:$S$112,2,FALSE)-表1_8612182224267288[[#This Row],[开服天数]])*配置!$B$1</f>
        <v>1000</v>
      </c>
      <c r="F63" s="217">
        <f>表1_8612182224267288[[#This Row],[补偿Coin]]*(表1_8612182224267288[[#This Row],[活跃高战玩家数]]+表1_8612182224267288[[#This Row],[活跃中坚玩家数]])</f>
        <v>23000</v>
      </c>
      <c r="G63" s="368">
        <f>(VLOOKUP(表1_8612182224267288[[#This Row],[目标区服]],$R$86:$S$98,2,FALSE)-表1_8612182224267288[[#This Row],[开服天数]])*配置!$B$2</f>
        <v>10</v>
      </c>
      <c r="H63" s="216" t="s">
        <v>26</v>
      </c>
      <c r="I63" s="377">
        <f>IF(表1_8612182224267288[[#This Row],[原国家]]="魏",0,IF(表1_8612182224267288[[#This Row],[原国家]]="蜀",1,2))</f>
        <v>1</v>
      </c>
      <c r="J63" s="217">
        <v>4</v>
      </c>
      <c r="K63" s="217">
        <v>209</v>
      </c>
      <c r="L63" s="217">
        <v>3</v>
      </c>
      <c r="M63" s="217">
        <v>20</v>
      </c>
      <c r="N63" s="217">
        <v>113231</v>
      </c>
      <c r="O63" s="378">
        <v>3609735</v>
      </c>
      <c r="P63" s="334">
        <v>20993824</v>
      </c>
      <c r="Q63" s="247" t="s">
        <v>26</v>
      </c>
      <c r="R63" s="216">
        <f>IF(表1_8612182224267288[[#This Row],[目标国家]]="魏",0,IF(表1_8612182224267288[[#This Row],[目标国家]]="蜀",1,2))</f>
        <v>1</v>
      </c>
      <c r="S63" s="217">
        <v>85856</v>
      </c>
      <c r="T63" s="217">
        <v>0</v>
      </c>
      <c r="U63" s="217">
        <v>349669</v>
      </c>
      <c r="V63" s="217">
        <v>11515</v>
      </c>
      <c r="W63" s="488">
        <v>1153059</v>
      </c>
      <c r="X63" s="382" t="str">
        <f>"{"&amp;"'coin':"&amp;表1_8612182224267288[[#This Row],[补偿Coin]]&amp;",'"&amp;配置!$A$2&amp;"':"&amp;表1_8612182224267288[[#This Row],[补偿辎重]]&amp;"},"</f>
        <v>{'coin':1000,'item036':10},</v>
      </c>
      <c r="Y63" s="251" t="str">
        <f>"            'to_zone':'"&amp;表1_8612182224267288[[#This Row],[目标区服]]&amp;"',
            'reward':"&amp;表1_8612182224267288[[#This Row],[辅助导出]]&amp;"
            'country':["&amp;R62&amp;","&amp;R63&amp;","&amp;R64&amp;"],"</f>
        <v>            'to_zone':'h1_555',
            'reward':{'coin':1000,'item036':10},
            'country':[0,1,1],</v>
      </c>
    </row>
    <row r="64" ht="14.25" customHeight="1" spans="1:25">
      <c r="A64" s="367">
        <v>5121</v>
      </c>
      <c r="B64" s="214">
        <f>VLOOKUP(表1_8612182224267288[[#This Row],[区服]],$P$86:$Q$112,2,FALSE)</f>
        <v>42</v>
      </c>
      <c r="C64" s="308" t="s">
        <v>179</v>
      </c>
      <c r="D64" s="216" t="str">
        <f>表1_8612182224267288[[#This Row],[目标国家]]</f>
        <v>蜀</v>
      </c>
      <c r="E64" s="413">
        <f>(VLOOKUP(表1_8612182224267288[[#This Row],[目标区服]],$R$86:$S$112,2,FALSE)-表1_8612182224267288[[#This Row],[开服天数]])*配置!$B$1</f>
        <v>1000</v>
      </c>
      <c r="F64" s="217">
        <f>表1_8612182224267288[[#This Row],[补偿Coin]]*(表1_8612182224267288[[#This Row],[活跃高战玩家数]]+表1_8612182224267288[[#This Row],[活跃中坚玩家数]])</f>
        <v>16000</v>
      </c>
      <c r="G64" s="368">
        <f>(VLOOKUP(表1_8612182224267288[[#This Row],[目标区服]],$R$86:$S$98,2,FALSE)-表1_8612182224267288[[#This Row],[开服天数]])*配置!$B$2</f>
        <v>10</v>
      </c>
      <c r="H64" s="216" t="s">
        <v>27</v>
      </c>
      <c r="I64" s="377">
        <f>IF(表1_8612182224267288[[#This Row],[原国家]]="魏",0,IF(表1_8612182224267288[[#This Row],[原国家]]="蜀",1,2))</f>
        <v>2</v>
      </c>
      <c r="J64" s="217">
        <v>2</v>
      </c>
      <c r="K64" s="217">
        <v>88</v>
      </c>
      <c r="L64" s="217">
        <v>2</v>
      </c>
      <c r="M64" s="217">
        <v>14</v>
      </c>
      <c r="N64" s="217">
        <v>60013</v>
      </c>
      <c r="O64" s="378">
        <v>1584249</v>
      </c>
      <c r="P64" s="334">
        <v>10038288</v>
      </c>
      <c r="Q64" s="247" t="s">
        <v>26</v>
      </c>
      <c r="R64" s="216">
        <f>IF(表1_8612182224267288[[#This Row],[目标国家]]="魏",0,IF(表1_8612182224267288[[#This Row],[目标国家]]="蜀",1,2))</f>
        <v>1</v>
      </c>
      <c r="S64" s="217">
        <v>16562</v>
      </c>
      <c r="T64" s="217">
        <v>0</v>
      </c>
      <c r="U64" s="217">
        <v>85596</v>
      </c>
      <c r="V64" s="217">
        <v>4507</v>
      </c>
      <c r="W64" s="488">
        <v>451527</v>
      </c>
      <c r="X64" s="382" t="str">
        <f>"{"&amp;"'coin':"&amp;表1_8612182224267288[[#This Row],[补偿Coin]]&amp;",'"&amp;配置!$A$2&amp;"':"&amp;表1_8612182224267288[[#This Row],[补偿辎重]]&amp;"},"</f>
        <v>{'coin':1000,'item036':10},</v>
      </c>
      <c r="Y64" s="251" t="str">
        <f t="shared" si="4"/>
        <v>      },</v>
      </c>
    </row>
    <row r="65" ht="14.25" customHeight="1" spans="1:25">
      <c r="A65" s="370">
        <v>5122</v>
      </c>
      <c r="B65" s="81">
        <f>VLOOKUP(表1_8612182224267288[[#This Row],[区服]],$P$86:$Q$112,2,FALSE)</f>
        <v>42</v>
      </c>
      <c r="C65" s="414" t="s">
        <v>180</v>
      </c>
      <c r="D65" s="83" t="str">
        <f>表1_8612182224267288[[#This Row],[目标国家]]</f>
        <v>蜀</v>
      </c>
      <c r="E65" s="415">
        <f>(VLOOKUP(表1_8612182224267288[[#This Row],[目标区服]],$R$86:$S$112,2,FALSE)-表1_8612182224267288[[#This Row],[开服天数]])*配置!$B$1</f>
        <v>1000</v>
      </c>
      <c r="F65" s="85">
        <f>表1_8612182224267288[[#This Row],[补偿Coin]]*(表1_8612182224267288[[#This Row],[活跃高战玩家数]]+表1_8612182224267288[[#This Row],[活跃中坚玩家数]])</f>
        <v>27000</v>
      </c>
      <c r="G65" s="416">
        <f>(VLOOKUP(表1_8612182224267288[[#This Row],[目标区服]],$R$86:$S$98,2,FALSE)-表1_8612182224267288[[#This Row],[开服天数]])*配置!$B$2</f>
        <v>10</v>
      </c>
      <c r="H65" s="83" t="s">
        <v>25</v>
      </c>
      <c r="I65" s="421">
        <f>IF(表1_8612182224267288[[#This Row],[原国家]]="魏",0,IF(表1_8612182224267288[[#This Row],[原国家]]="蜀",1,2))</f>
        <v>0</v>
      </c>
      <c r="J65" s="85">
        <v>4</v>
      </c>
      <c r="K65" s="85">
        <v>128</v>
      </c>
      <c r="L65" s="85">
        <v>5</v>
      </c>
      <c r="M65" s="85">
        <v>22</v>
      </c>
      <c r="N65" s="85">
        <v>136988</v>
      </c>
      <c r="O65" s="422">
        <v>1980561</v>
      </c>
      <c r="P65" s="379">
        <v>19816916</v>
      </c>
      <c r="Q65" s="128" t="s">
        <v>26</v>
      </c>
      <c r="R65" s="83">
        <f>IF(表1_8612182224267288[[#This Row],[目标国家]]="魏",0,IF(表1_8612182224267288[[#This Row],[目标国家]]="蜀",1,2))</f>
        <v>1</v>
      </c>
      <c r="S65" s="85">
        <v>53160</v>
      </c>
      <c r="T65" s="85">
        <v>0</v>
      </c>
      <c r="U65" s="85">
        <v>441198</v>
      </c>
      <c r="V65" s="85">
        <v>8142</v>
      </c>
      <c r="W65" s="489">
        <v>570068</v>
      </c>
      <c r="X65" s="431" t="str">
        <f>"{"&amp;"'coin':"&amp;表1_8612182224267288[[#This Row],[补偿Coin]]&amp;",'"&amp;配置!$A$2&amp;"':"&amp;表1_8612182224267288[[#This Row],[补偿辎重]]&amp;"},"</f>
        <v>{'coin':1000,'item036':10},</v>
      </c>
      <c r="Y65" s="149" t="str">
        <f>"      '"&amp;表1_8612182224267288[[#This Row],[区服]]&amp;"':{"</f>
        <v>      '5122':{</v>
      </c>
    </row>
    <row r="66" ht="14.25" customHeight="1" spans="1:25">
      <c r="A66" s="370">
        <v>5122</v>
      </c>
      <c r="B66" s="81">
        <f>VLOOKUP(表1_8612182224267288[[#This Row],[区服]],$P$86:$Q$112,2,FALSE)</f>
        <v>42</v>
      </c>
      <c r="C66" s="414" t="s">
        <v>180</v>
      </c>
      <c r="D66" s="83" t="str">
        <f>表1_8612182224267288[[#This Row],[目标国家]]</f>
        <v>魏</v>
      </c>
      <c r="E66" s="415">
        <f>(VLOOKUP(表1_8612182224267288[[#This Row],[目标区服]],$R$86:$S$112,2,FALSE)-表1_8612182224267288[[#This Row],[开服天数]])*配置!$B$1</f>
        <v>1000</v>
      </c>
      <c r="F66" s="85">
        <f>表1_8612182224267288[[#This Row],[补偿Coin]]*(表1_8612182224267288[[#This Row],[活跃高战玩家数]]+表1_8612182224267288[[#This Row],[活跃中坚玩家数]])</f>
        <v>25000</v>
      </c>
      <c r="G66" s="416">
        <f>(VLOOKUP(表1_8612182224267288[[#This Row],[目标区服]],$R$86:$S$98,2,FALSE)-表1_8612182224267288[[#This Row],[开服天数]])*配置!$B$2</f>
        <v>10</v>
      </c>
      <c r="H66" s="83" t="s">
        <v>26</v>
      </c>
      <c r="I66" s="421">
        <f>IF(表1_8612182224267288[[#This Row],[原国家]]="魏",0,IF(表1_8612182224267288[[#This Row],[原国家]]="蜀",1,2))</f>
        <v>1</v>
      </c>
      <c r="J66" s="85">
        <v>3</v>
      </c>
      <c r="K66" s="85">
        <v>184</v>
      </c>
      <c r="L66" s="85">
        <v>4</v>
      </c>
      <c r="M66" s="85">
        <v>21</v>
      </c>
      <c r="N66" s="85">
        <v>98190</v>
      </c>
      <c r="O66" s="422">
        <v>2215895</v>
      </c>
      <c r="P66" s="379">
        <v>17036601</v>
      </c>
      <c r="Q66" s="128" t="s">
        <v>25</v>
      </c>
      <c r="R66" s="83">
        <f>IF(表1_8612182224267288[[#This Row],[目标国家]]="魏",0,IF(表1_8612182224267288[[#This Row],[目标国家]]="蜀",1,2))</f>
        <v>0</v>
      </c>
      <c r="S66" s="85">
        <v>96498</v>
      </c>
      <c r="T66" s="85">
        <v>0</v>
      </c>
      <c r="U66" s="85">
        <v>457044</v>
      </c>
      <c r="V66" s="85">
        <v>9673</v>
      </c>
      <c r="W66" s="489">
        <v>828767</v>
      </c>
      <c r="X66" s="431" t="str">
        <f>"{"&amp;"'coin':"&amp;表1_8612182224267288[[#This Row],[补偿Coin]]&amp;",'"&amp;配置!$A$2&amp;"':"&amp;表1_8612182224267288[[#This Row],[补偿辎重]]&amp;"},"</f>
        <v>{'coin':1000,'item036':10},</v>
      </c>
      <c r="Y66" s="149" t="str">
        <f>"            'to_zone':'"&amp;表1_8612182224267288[[#This Row],[目标区服]]&amp;"',
            'reward':"&amp;表1_8612182224267288[[#This Row],[辅助导出]]&amp;"
            'country':["&amp;R65&amp;","&amp;R66&amp;","&amp;R67&amp;"],"</f>
        <v>            'to_zone':'h1_556',
            'reward':{'coin':1000,'item036':10},
            'country':[1,0,2],</v>
      </c>
    </row>
    <row r="67" ht="14.25" customHeight="1" spans="1:25">
      <c r="A67" s="370">
        <v>5122</v>
      </c>
      <c r="B67" s="81">
        <f>VLOOKUP(表1_8612182224267288[[#This Row],[区服]],$P$86:$Q$112,2,FALSE)</f>
        <v>42</v>
      </c>
      <c r="C67" s="414" t="s">
        <v>180</v>
      </c>
      <c r="D67" s="83" t="str">
        <f>表1_8612182224267288[[#This Row],[目标国家]]</f>
        <v>吴</v>
      </c>
      <c r="E67" s="415">
        <f>(VLOOKUP(表1_8612182224267288[[#This Row],[目标区服]],$R$86:$S$112,2,FALSE)-表1_8612182224267288[[#This Row],[开服天数]])*配置!$B$1</f>
        <v>1000</v>
      </c>
      <c r="F67" s="85">
        <f>表1_8612182224267288[[#This Row],[补偿Coin]]*(表1_8612182224267288[[#This Row],[活跃高战玩家数]]+表1_8612182224267288[[#This Row],[活跃中坚玩家数]])</f>
        <v>17000</v>
      </c>
      <c r="G67" s="416">
        <f>(VLOOKUP(表1_8612182224267288[[#This Row],[目标区服]],$R$86:$S$98,2,FALSE)-表1_8612182224267288[[#This Row],[开服天数]])*配置!$B$2</f>
        <v>10</v>
      </c>
      <c r="H67" s="83" t="s">
        <v>27</v>
      </c>
      <c r="I67" s="421">
        <f>IF(表1_8612182224267288[[#This Row],[原国家]]="魏",0,IF(表1_8612182224267288[[#This Row],[原国家]]="蜀",1,2))</f>
        <v>2</v>
      </c>
      <c r="J67" s="85">
        <v>2</v>
      </c>
      <c r="K67" s="85">
        <v>83</v>
      </c>
      <c r="L67" s="85">
        <v>1</v>
      </c>
      <c r="M67" s="85">
        <v>16</v>
      </c>
      <c r="N67" s="85">
        <v>61308</v>
      </c>
      <c r="O67" s="422">
        <v>1392777</v>
      </c>
      <c r="P67" s="379">
        <v>9789767</v>
      </c>
      <c r="Q67" s="128" t="s">
        <v>27</v>
      </c>
      <c r="R67" s="83">
        <f>IF(表1_8612182224267288[[#This Row],[目标国家]]="魏",0,IF(表1_8612182224267288[[#This Row],[目标国家]]="蜀",1,2))</f>
        <v>2</v>
      </c>
      <c r="S67" s="85">
        <v>40650</v>
      </c>
      <c r="T67" s="85">
        <v>0</v>
      </c>
      <c r="U67" s="85">
        <v>349470</v>
      </c>
      <c r="V67" s="85">
        <v>5102</v>
      </c>
      <c r="W67" s="489">
        <v>726304</v>
      </c>
      <c r="X67" s="431" t="str">
        <f>"{"&amp;"'coin':"&amp;表1_8612182224267288[[#This Row],[补偿Coin]]&amp;",'"&amp;配置!$A$2&amp;"':"&amp;表1_8612182224267288[[#This Row],[补偿辎重]]&amp;"},"</f>
        <v>{'coin':1000,'item036':10},</v>
      </c>
      <c r="Y67" s="149" t="str">
        <f t="shared" si="5"/>
        <v>      },</v>
      </c>
    </row>
    <row r="68" ht="14.25" customHeight="1" spans="1:25">
      <c r="A68" s="370">
        <v>5123</v>
      </c>
      <c r="B68" s="81">
        <f>VLOOKUP(表1_8612182224267288[[#This Row],[区服]],$P$86:$Q$112,2,FALSE)</f>
        <v>42</v>
      </c>
      <c r="C68" s="414" t="s">
        <v>180</v>
      </c>
      <c r="D68" s="83" t="str">
        <f>表1_8612182224267288[[#This Row],[目标国家]]</f>
        <v>魏</v>
      </c>
      <c r="E68" s="415">
        <f>(VLOOKUP(表1_8612182224267288[[#This Row],[目标区服]],$R$86:$S$112,2,FALSE)-表1_8612182224267288[[#This Row],[开服天数]])*配置!$B$1</f>
        <v>1000</v>
      </c>
      <c r="F68" s="85">
        <f>表1_8612182224267288[[#This Row],[补偿Coin]]*(表1_8612182224267288[[#This Row],[活跃高战玩家数]]+表1_8612182224267288[[#This Row],[活跃中坚玩家数]])</f>
        <v>11000</v>
      </c>
      <c r="G68" s="416">
        <f>(VLOOKUP(表1_8612182224267288[[#This Row],[目标区服]],$R$86:$S$98,2,FALSE)-表1_8612182224267288[[#This Row],[开服天数]])*配置!$B$2</f>
        <v>10</v>
      </c>
      <c r="H68" s="83" t="s">
        <v>25</v>
      </c>
      <c r="I68" s="421">
        <f>IF(表1_8612182224267288[[#This Row],[原国家]]="魏",0,IF(表1_8612182224267288[[#This Row],[原国家]]="蜀",1,2))</f>
        <v>0</v>
      </c>
      <c r="J68" s="85">
        <v>0</v>
      </c>
      <c r="K68" s="85">
        <v>34</v>
      </c>
      <c r="L68" s="85">
        <v>1</v>
      </c>
      <c r="M68" s="85">
        <v>10</v>
      </c>
      <c r="N68" s="85">
        <v>38626</v>
      </c>
      <c r="O68" s="422">
        <v>1204062</v>
      </c>
      <c r="P68" s="379">
        <v>5780342</v>
      </c>
      <c r="Q68" s="128" t="s">
        <v>25</v>
      </c>
      <c r="R68" s="83">
        <f>IF(表1_8612182224267288[[#This Row],[目标国家]]="魏",0,IF(表1_8612182224267288[[#This Row],[目标国家]]="蜀",1,2))</f>
        <v>0</v>
      </c>
      <c r="S68" s="85">
        <v>35556</v>
      </c>
      <c r="T68" s="85">
        <v>0</v>
      </c>
      <c r="U68" s="85">
        <v>58204</v>
      </c>
      <c r="V68" s="85">
        <v>3411</v>
      </c>
      <c r="W68" s="489">
        <v>500570</v>
      </c>
      <c r="X68" s="431" t="str">
        <f>"{"&amp;"'coin':"&amp;表1_8612182224267288[[#This Row],[补偿Coin]]&amp;",'"&amp;配置!$A$2&amp;"':"&amp;表1_8612182224267288[[#This Row],[补偿辎重]]&amp;"},"</f>
        <v>{'coin':1000,'item036':10},</v>
      </c>
      <c r="Y68" s="149" t="str">
        <f>"      '"&amp;表1_8612182224267288[[#This Row],[区服]]&amp;"':{"</f>
        <v>      '5123':{</v>
      </c>
    </row>
    <row r="69" ht="14.25" customHeight="1" spans="1:25">
      <c r="A69" s="370">
        <v>5123</v>
      </c>
      <c r="B69" s="81">
        <f>VLOOKUP(表1_8612182224267288[[#This Row],[区服]],$P$86:$Q$112,2,FALSE)</f>
        <v>42</v>
      </c>
      <c r="C69" s="414" t="s">
        <v>180</v>
      </c>
      <c r="D69" s="83" t="str">
        <f>表1_8612182224267288[[#This Row],[目标国家]]</f>
        <v>蜀</v>
      </c>
      <c r="E69" s="415">
        <f>(VLOOKUP(表1_8612182224267288[[#This Row],[目标区服]],$R$86:$S$112,2,FALSE)-表1_8612182224267288[[#This Row],[开服天数]])*配置!$B$1</f>
        <v>1000</v>
      </c>
      <c r="F69" s="85">
        <f>表1_8612182224267288[[#This Row],[补偿Coin]]*(表1_8612182224267288[[#This Row],[活跃高战玩家数]]+表1_8612182224267288[[#This Row],[活跃中坚玩家数]])</f>
        <v>36000</v>
      </c>
      <c r="G69" s="416">
        <f>(VLOOKUP(表1_8612182224267288[[#This Row],[目标区服]],$R$86:$S$98,2,FALSE)-表1_8612182224267288[[#This Row],[开服天数]])*配置!$B$2</f>
        <v>10</v>
      </c>
      <c r="H69" s="83" t="s">
        <v>26</v>
      </c>
      <c r="I69" s="421">
        <f>IF(表1_8612182224267288[[#This Row],[原国家]]="魏",0,IF(表1_8612182224267288[[#This Row],[原国家]]="蜀",1,2))</f>
        <v>1</v>
      </c>
      <c r="J69" s="85">
        <v>9</v>
      </c>
      <c r="K69" s="85">
        <v>299</v>
      </c>
      <c r="L69" s="85">
        <v>7</v>
      </c>
      <c r="M69" s="85">
        <v>29</v>
      </c>
      <c r="N69" s="85">
        <v>172216</v>
      </c>
      <c r="O69" s="422">
        <v>2743837</v>
      </c>
      <c r="P69" s="379">
        <v>26312785</v>
      </c>
      <c r="Q69" s="128" t="s">
        <v>26</v>
      </c>
      <c r="R69" s="83">
        <f>IF(表1_8612182224267288[[#This Row],[目标国家]]="魏",0,IF(表1_8612182224267288[[#This Row],[目标国家]]="蜀",1,2))</f>
        <v>1</v>
      </c>
      <c r="S69" s="85">
        <v>75456</v>
      </c>
      <c r="T69" s="85">
        <v>0</v>
      </c>
      <c r="U69" s="85">
        <v>495864</v>
      </c>
      <c r="V69" s="85">
        <v>12637</v>
      </c>
      <c r="W69" s="489">
        <v>768295</v>
      </c>
      <c r="X69" s="431" t="str">
        <f>"{"&amp;"'coin':"&amp;表1_8612182224267288[[#This Row],[补偿Coin]]&amp;",'"&amp;配置!$A$2&amp;"':"&amp;表1_8612182224267288[[#This Row],[补偿辎重]]&amp;"},"</f>
        <v>{'coin':1000,'item036':10},</v>
      </c>
      <c r="Y69" s="149" t="str">
        <f>"            'to_zone':'"&amp;表1_8612182224267288[[#This Row],[目标区服]]&amp;"',
            'reward':"&amp;表1_8612182224267288[[#This Row],[辅助导出]]&amp;"
            'country':["&amp;R68&amp;","&amp;R69&amp;","&amp;R70&amp;"],"</f>
        <v>            'to_zone':'h1_556',
            'reward':{'coin':1000,'item036':10},
            'country':[0,1,2],</v>
      </c>
    </row>
    <row r="70" ht="14.25" customHeight="1" spans="1:25">
      <c r="A70" s="370">
        <v>5123</v>
      </c>
      <c r="B70" s="81">
        <f>VLOOKUP(表1_8612182224267288[[#This Row],[区服]],$P$86:$Q$112,2,FALSE)</f>
        <v>42</v>
      </c>
      <c r="C70" s="414" t="s">
        <v>180</v>
      </c>
      <c r="D70" s="83" t="str">
        <f>表1_8612182224267288[[#This Row],[目标国家]]</f>
        <v>吴</v>
      </c>
      <c r="E70" s="415">
        <f>(VLOOKUP(表1_8612182224267288[[#This Row],[目标区服]],$R$86:$S$112,2,FALSE)-表1_8612182224267288[[#This Row],[开服天数]])*配置!$B$1</f>
        <v>1000</v>
      </c>
      <c r="F70" s="85">
        <f>表1_8612182224267288[[#This Row],[补偿Coin]]*(表1_8612182224267288[[#This Row],[活跃高战玩家数]]+表1_8612182224267288[[#This Row],[活跃中坚玩家数]])</f>
        <v>18000</v>
      </c>
      <c r="G70" s="416">
        <f>(VLOOKUP(表1_8612182224267288[[#This Row],[目标区服]],$R$86:$S$98,2,FALSE)-表1_8612182224267288[[#This Row],[开服天数]])*配置!$B$2</f>
        <v>10</v>
      </c>
      <c r="H70" s="83" t="s">
        <v>27</v>
      </c>
      <c r="I70" s="421">
        <f>IF(表1_8612182224267288[[#This Row],[原国家]]="魏",0,IF(表1_8612182224267288[[#This Row],[原国家]]="蜀",1,2))</f>
        <v>2</v>
      </c>
      <c r="J70" s="85">
        <v>0</v>
      </c>
      <c r="K70" s="85">
        <v>62</v>
      </c>
      <c r="L70" s="85">
        <v>1</v>
      </c>
      <c r="M70" s="85">
        <v>17</v>
      </c>
      <c r="N70" s="85">
        <v>50056</v>
      </c>
      <c r="O70" s="422">
        <v>1708822</v>
      </c>
      <c r="P70" s="379">
        <v>8916207</v>
      </c>
      <c r="Q70" s="128" t="s">
        <v>27</v>
      </c>
      <c r="R70" s="83">
        <f>IF(表1_8612182224267288[[#This Row],[目标国家]]="魏",0,IF(表1_8612182224267288[[#This Row],[目标国家]]="蜀",1,2))</f>
        <v>2</v>
      </c>
      <c r="S70" s="85">
        <v>53898</v>
      </c>
      <c r="T70" s="85">
        <v>0</v>
      </c>
      <c r="U70" s="85">
        <v>124950</v>
      </c>
      <c r="V70" s="85">
        <v>5150</v>
      </c>
      <c r="W70" s="489">
        <v>552901</v>
      </c>
      <c r="X70" s="431" t="str">
        <f>"{"&amp;"'coin':"&amp;表1_8612182224267288[[#This Row],[补偿Coin]]&amp;",'"&amp;配置!$A$2&amp;"':"&amp;表1_8612182224267288[[#This Row],[补偿辎重]]&amp;"},"</f>
        <v>{'coin':1000,'item036':10},</v>
      </c>
      <c r="Y70" s="149" t="str">
        <f t="shared" si="4"/>
        <v>      },</v>
      </c>
    </row>
    <row r="71" ht="14.25" customHeight="1" spans="1:25">
      <c r="A71" s="314">
        <v>5124</v>
      </c>
      <c r="B71" s="91">
        <f>VLOOKUP(表1_8612182224267288[[#This Row],[区服]],$P$86:$Q$112,2,FALSE)</f>
        <v>41</v>
      </c>
      <c r="C71" s="177" t="s">
        <v>181</v>
      </c>
      <c r="D71" s="93" t="str">
        <f>表1_8612182224267288[[#This Row],[目标国家]]</f>
        <v>魏</v>
      </c>
      <c r="E71" s="417">
        <f>(VLOOKUP(表1_8612182224267288[[#This Row],[目标区服]],$R$86:$S$112,2,FALSE)-表1_8612182224267288[[#This Row],[开服天数]])*配置!$B$1</f>
        <v>1000</v>
      </c>
      <c r="F71" s="95">
        <f>表1_8612182224267288[[#This Row],[补偿Coin]]*(表1_8612182224267288[[#This Row],[活跃高战玩家数]]+表1_8612182224267288[[#This Row],[活跃中坚玩家数]])</f>
        <v>32000</v>
      </c>
      <c r="G71" s="418">
        <f>(VLOOKUP(表1_8612182224267288[[#This Row],[目标区服]],$R$86:$S$98,2,FALSE)-表1_8612182224267288[[#This Row],[开服天数]])*配置!$B$2</f>
        <v>10</v>
      </c>
      <c r="H71" s="93" t="s">
        <v>25</v>
      </c>
      <c r="I71" s="423">
        <f>IF(表1_8612182224267288[[#This Row],[原国家]]="魏",0,IF(表1_8612182224267288[[#This Row],[原国家]]="蜀",1,2))</f>
        <v>0</v>
      </c>
      <c r="J71" s="95">
        <v>3</v>
      </c>
      <c r="K71" s="95">
        <v>132</v>
      </c>
      <c r="L71" s="95">
        <v>3</v>
      </c>
      <c r="M71" s="95">
        <v>29</v>
      </c>
      <c r="N71" s="95">
        <v>110726</v>
      </c>
      <c r="O71" s="424">
        <v>2424839</v>
      </c>
      <c r="P71" s="326">
        <v>24429754</v>
      </c>
      <c r="Q71" s="137" t="s">
        <v>25</v>
      </c>
      <c r="R71" s="93">
        <f>IF(表1_8612182224267288[[#This Row],[目标国家]]="魏",0,IF(表1_8612182224267288[[#This Row],[目标国家]]="蜀",1,2))</f>
        <v>0</v>
      </c>
      <c r="S71" s="95">
        <v>21284</v>
      </c>
      <c r="T71" s="95">
        <v>81314</v>
      </c>
      <c r="U71" s="95">
        <v>411179</v>
      </c>
      <c r="V71" s="95">
        <v>8698</v>
      </c>
      <c r="W71" s="495">
        <v>769319</v>
      </c>
      <c r="X71" s="433" t="str">
        <f>"{"&amp;"'coin':"&amp;表1_8612182224267288[[#This Row],[补偿Coin]]&amp;",'"&amp;配置!$A$2&amp;"':"&amp;表1_8612182224267288[[#This Row],[补偿辎重]]&amp;"},"</f>
        <v>{'coin':1000,'item036':10},</v>
      </c>
      <c r="Y71" s="138" t="str">
        <f>"      '"&amp;表1_8612182224267288[[#This Row],[区服]]&amp;"':{"</f>
        <v>      '5124':{</v>
      </c>
    </row>
    <row r="72" ht="14.25" customHeight="1" spans="1:25">
      <c r="A72" s="314">
        <v>5124</v>
      </c>
      <c r="B72" s="91">
        <f>VLOOKUP(表1_8612182224267288[[#This Row],[区服]],$P$86:$Q$112,2,FALSE)</f>
        <v>41</v>
      </c>
      <c r="C72" s="177" t="s">
        <v>181</v>
      </c>
      <c r="D72" s="93" t="str">
        <f>表1_8612182224267288[[#This Row],[目标国家]]</f>
        <v>吴</v>
      </c>
      <c r="E72" s="417">
        <f>(VLOOKUP(表1_8612182224267288[[#This Row],[目标区服]],$R$86:$S$112,2,FALSE)-表1_8612182224267288[[#This Row],[开服天数]])*配置!$B$1</f>
        <v>1000</v>
      </c>
      <c r="F72" s="95">
        <f>表1_8612182224267288[[#This Row],[补偿Coin]]*(表1_8612182224267288[[#This Row],[活跃高战玩家数]]+表1_8612182224267288[[#This Row],[活跃中坚玩家数]])</f>
        <v>27000</v>
      </c>
      <c r="G72" s="418">
        <f>(VLOOKUP(表1_8612182224267288[[#This Row],[目标区服]],$R$86:$S$98,2,FALSE)-表1_8612182224267288[[#This Row],[开服天数]])*配置!$B$2</f>
        <v>10</v>
      </c>
      <c r="H72" s="93" t="s">
        <v>26</v>
      </c>
      <c r="I72" s="423">
        <f>IF(表1_8612182224267288[[#This Row],[原国家]]="魏",0,IF(表1_8612182224267288[[#This Row],[原国家]]="蜀",1,2))</f>
        <v>1</v>
      </c>
      <c r="J72" s="95">
        <v>4</v>
      </c>
      <c r="K72" s="95">
        <v>194</v>
      </c>
      <c r="L72" s="95">
        <v>6</v>
      </c>
      <c r="M72" s="95">
        <v>21</v>
      </c>
      <c r="N72" s="95">
        <v>151431</v>
      </c>
      <c r="O72" s="424">
        <v>3060522</v>
      </c>
      <c r="P72" s="326">
        <v>31256202</v>
      </c>
      <c r="Q72" s="137" t="s">
        <v>27</v>
      </c>
      <c r="R72" s="93">
        <f>IF(表1_8612182224267288[[#This Row],[目标国家]]="魏",0,IF(表1_8612182224267288[[#This Row],[目标国家]]="蜀",1,2))</f>
        <v>2</v>
      </c>
      <c r="S72" s="95">
        <v>151628</v>
      </c>
      <c r="T72" s="95">
        <v>0</v>
      </c>
      <c r="U72" s="95">
        <v>568516</v>
      </c>
      <c r="V72" s="95">
        <v>14116</v>
      </c>
      <c r="W72" s="495">
        <v>785137</v>
      </c>
      <c r="X72" s="433" t="str">
        <f>"{"&amp;"'coin':"&amp;表1_8612182224267288[[#This Row],[补偿Coin]]&amp;",'"&amp;配置!$A$2&amp;"':"&amp;表1_8612182224267288[[#This Row],[补偿辎重]]&amp;"},"</f>
        <v>{'coin':1000,'item036':10},</v>
      </c>
      <c r="Y72" s="138" t="str">
        <f>"            'to_zone':'"&amp;表1_8612182224267288[[#This Row],[目标区服]]&amp;"',
            'reward':"&amp;表1_8612182224267288[[#This Row],[辅助导出]]&amp;"
            'country':["&amp;R71&amp;","&amp;R72&amp;","&amp;R73&amp;"],"</f>
        <v>            'to_zone':'h1_557',
            'reward':{'coin':1000,'item036':10},
            'country':[0,2,1],</v>
      </c>
    </row>
    <row r="73" ht="14.25" customHeight="1" spans="1:25">
      <c r="A73" s="314">
        <v>5124</v>
      </c>
      <c r="B73" s="91">
        <f>VLOOKUP(表1_8612182224267288[[#This Row],[区服]],$P$86:$Q$112,2,FALSE)</f>
        <v>41</v>
      </c>
      <c r="C73" s="177" t="s">
        <v>181</v>
      </c>
      <c r="D73" s="93" t="str">
        <f>表1_8612182224267288[[#This Row],[目标国家]]</f>
        <v>蜀</v>
      </c>
      <c r="E73" s="417">
        <f>(VLOOKUP(表1_8612182224267288[[#This Row],[目标区服]],$R$86:$S$112,2,FALSE)-表1_8612182224267288[[#This Row],[开服天数]])*配置!$B$1</f>
        <v>1000</v>
      </c>
      <c r="F73" s="95">
        <f>表1_8612182224267288[[#This Row],[补偿Coin]]*(表1_8612182224267288[[#This Row],[活跃高战玩家数]]+表1_8612182224267288[[#This Row],[活跃中坚玩家数]])</f>
        <v>22000</v>
      </c>
      <c r="G73" s="418">
        <f>(VLOOKUP(表1_8612182224267288[[#This Row],[目标区服]],$R$86:$S$98,2,FALSE)-表1_8612182224267288[[#This Row],[开服天数]])*配置!$B$2</f>
        <v>10</v>
      </c>
      <c r="H73" s="93" t="s">
        <v>27</v>
      </c>
      <c r="I73" s="423">
        <f>IF(表1_8612182224267288[[#This Row],[原国家]]="魏",0,IF(表1_8612182224267288[[#This Row],[原国家]]="蜀",1,2))</f>
        <v>2</v>
      </c>
      <c r="J73" s="95">
        <v>2</v>
      </c>
      <c r="K73" s="95">
        <v>69</v>
      </c>
      <c r="L73" s="95">
        <v>0</v>
      </c>
      <c r="M73" s="95">
        <v>22</v>
      </c>
      <c r="N73" s="95">
        <v>41510</v>
      </c>
      <c r="O73" s="424">
        <v>1157255</v>
      </c>
      <c r="P73" s="326">
        <v>12129993</v>
      </c>
      <c r="Q73" s="137" t="s">
        <v>26</v>
      </c>
      <c r="R73" s="93">
        <f>IF(表1_8612182224267288[[#This Row],[目标国家]]="魏",0,IF(表1_8612182224267288[[#This Row],[目标国家]]="蜀",1,2))</f>
        <v>1</v>
      </c>
      <c r="S73" s="95">
        <v>5094</v>
      </c>
      <c r="T73" s="95">
        <v>0</v>
      </c>
      <c r="U73" s="95">
        <v>83773</v>
      </c>
      <c r="V73" s="95">
        <v>3662</v>
      </c>
      <c r="W73" s="495">
        <v>293035</v>
      </c>
      <c r="X73" s="433" t="str">
        <f>"{"&amp;"'coin':"&amp;表1_8612182224267288[[#This Row],[补偿Coin]]&amp;",'"&amp;配置!$A$2&amp;"':"&amp;表1_8612182224267288[[#This Row],[补偿辎重]]&amp;"},"</f>
        <v>{'coin':1000,'item036':10},</v>
      </c>
      <c r="Y73" s="138" t="str">
        <f t="shared" si="5"/>
        <v>      },</v>
      </c>
    </row>
    <row r="74" ht="14.25" customHeight="1" spans="1:25">
      <c r="A74" s="314">
        <v>5125</v>
      </c>
      <c r="B74" s="91">
        <f>VLOOKUP(表1_8612182224267288[[#This Row],[区服]],$P$86:$Q$112,2,FALSE)</f>
        <v>41</v>
      </c>
      <c r="C74" s="177" t="s">
        <v>181</v>
      </c>
      <c r="D74" s="93" t="str">
        <f>表1_8612182224267288[[#This Row],[目标国家]]</f>
        <v>魏</v>
      </c>
      <c r="E74" s="417">
        <f>(VLOOKUP(表1_8612182224267288[[#This Row],[目标区服]],$R$86:$S$112,2,FALSE)-表1_8612182224267288[[#This Row],[开服天数]])*配置!$B$1</f>
        <v>1000</v>
      </c>
      <c r="F74" s="95">
        <f>表1_8612182224267288[[#This Row],[补偿Coin]]*(表1_8612182224267288[[#This Row],[活跃高战玩家数]]+表1_8612182224267288[[#This Row],[活跃中坚玩家数]])</f>
        <v>22000</v>
      </c>
      <c r="G74" s="418">
        <f>(VLOOKUP(表1_8612182224267288[[#This Row],[目标区服]],$R$86:$S$98,2,FALSE)-表1_8612182224267288[[#This Row],[开服天数]])*配置!$B$2</f>
        <v>10</v>
      </c>
      <c r="H74" s="93" t="s">
        <v>25</v>
      </c>
      <c r="I74" s="423">
        <f>IF(表1_8612182224267288[[#This Row],[原国家]]="魏",0,IF(表1_8612182224267288[[#This Row],[原国家]]="蜀",1,2))</f>
        <v>0</v>
      </c>
      <c r="J74" s="95">
        <v>4</v>
      </c>
      <c r="K74" s="95">
        <v>152</v>
      </c>
      <c r="L74" s="95">
        <v>4</v>
      </c>
      <c r="M74" s="95">
        <v>18</v>
      </c>
      <c r="N74" s="95">
        <v>84333</v>
      </c>
      <c r="O74" s="424">
        <v>2645196</v>
      </c>
      <c r="P74" s="326">
        <v>17738677</v>
      </c>
      <c r="Q74" s="137" t="s">
        <v>25</v>
      </c>
      <c r="R74" s="93">
        <f>IF(表1_8612182224267288[[#This Row],[目标国家]]="魏",0,IF(表1_8612182224267288[[#This Row],[目标国家]]="蜀",1,2))</f>
        <v>0</v>
      </c>
      <c r="S74" s="95">
        <v>71702</v>
      </c>
      <c r="T74" s="95">
        <v>0</v>
      </c>
      <c r="U74" s="95">
        <v>625875</v>
      </c>
      <c r="V74" s="95">
        <v>9224</v>
      </c>
      <c r="W74" s="495">
        <v>728315</v>
      </c>
      <c r="X74" s="433" t="str">
        <f>"{"&amp;"'coin':"&amp;表1_8612182224267288[[#This Row],[补偿Coin]]&amp;",'"&amp;配置!$A$2&amp;"':"&amp;表1_8612182224267288[[#This Row],[补偿辎重]]&amp;"},"</f>
        <v>{'coin':1000,'item036':10},</v>
      </c>
      <c r="Y74" s="138" t="str">
        <f>"      '"&amp;表1_8612182224267288[[#This Row],[区服]]&amp;"':{"</f>
        <v>      '5125':{</v>
      </c>
    </row>
    <row r="75" ht="14.25" customHeight="1" spans="1:25">
      <c r="A75" s="314">
        <v>5125</v>
      </c>
      <c r="B75" s="91">
        <f>VLOOKUP(表1_8612182224267288[[#This Row],[区服]],$P$86:$Q$112,2,FALSE)</f>
        <v>41</v>
      </c>
      <c r="C75" s="177" t="s">
        <v>181</v>
      </c>
      <c r="D75" s="93" t="str">
        <f>表1_8612182224267288[[#This Row],[目标国家]]</f>
        <v>蜀</v>
      </c>
      <c r="E75" s="417">
        <f>(VLOOKUP(表1_8612182224267288[[#This Row],[目标区服]],$R$86:$S$112,2,FALSE)-表1_8612182224267288[[#This Row],[开服天数]])*配置!$B$1</f>
        <v>1000</v>
      </c>
      <c r="F75" s="95">
        <f>表1_8612182224267288[[#This Row],[补偿Coin]]*(表1_8612182224267288[[#This Row],[活跃高战玩家数]]+表1_8612182224267288[[#This Row],[活跃中坚玩家数]])</f>
        <v>38000</v>
      </c>
      <c r="G75" s="418">
        <f>(VLOOKUP(表1_8612182224267288[[#This Row],[目标区服]],$R$86:$S$98,2,FALSE)-表1_8612182224267288[[#This Row],[开服天数]])*配置!$B$2</f>
        <v>10</v>
      </c>
      <c r="H75" s="93" t="s">
        <v>26</v>
      </c>
      <c r="I75" s="423">
        <f>IF(表1_8612182224267288[[#This Row],[原国家]]="魏",0,IF(表1_8612182224267288[[#This Row],[原国家]]="蜀",1,2))</f>
        <v>1</v>
      </c>
      <c r="J75" s="95">
        <v>3</v>
      </c>
      <c r="K75" s="95">
        <v>120</v>
      </c>
      <c r="L75" s="95">
        <v>5</v>
      </c>
      <c r="M75" s="95">
        <v>33</v>
      </c>
      <c r="N75" s="95">
        <v>153331</v>
      </c>
      <c r="O75" s="424">
        <v>2898712</v>
      </c>
      <c r="P75" s="326">
        <v>30627877</v>
      </c>
      <c r="Q75" s="137" t="s">
        <v>26</v>
      </c>
      <c r="R75" s="93">
        <f>IF(表1_8612182224267288[[#This Row],[目标国家]]="魏",0,IF(表1_8612182224267288[[#This Row],[目标国家]]="蜀",1,2))</f>
        <v>1</v>
      </c>
      <c r="S75" s="95">
        <v>139824</v>
      </c>
      <c r="T75" s="95">
        <v>0</v>
      </c>
      <c r="U75" s="95">
        <v>902163</v>
      </c>
      <c r="V75" s="95">
        <v>12873</v>
      </c>
      <c r="W75" s="495">
        <v>905353</v>
      </c>
      <c r="X75" s="433" t="str">
        <f>"{"&amp;"'coin':"&amp;表1_8612182224267288[[#This Row],[补偿Coin]]&amp;",'"&amp;配置!$A$2&amp;"':"&amp;表1_8612182224267288[[#This Row],[补偿辎重]]&amp;"},"</f>
        <v>{'coin':1000,'item036':10},</v>
      </c>
      <c r="Y75" s="138" t="str">
        <f>"            'to_zone':'"&amp;表1_8612182224267288[[#This Row],[目标区服]]&amp;"',
            'reward':"&amp;表1_8612182224267288[[#This Row],[辅助导出]]&amp;"
            'country':["&amp;R74&amp;","&amp;R75&amp;","&amp;R76&amp;"],"</f>
        <v>            'to_zone':'h1_557',
            'reward':{'coin':1000,'item036':10},
            'country':[0,1,2],</v>
      </c>
    </row>
    <row r="76" ht="14.25" customHeight="1" spans="1:25">
      <c r="A76" s="314">
        <v>5125</v>
      </c>
      <c r="B76" s="91">
        <f>VLOOKUP(表1_8612182224267288[[#This Row],[区服]],$P$86:$Q$112,2,FALSE)</f>
        <v>41</v>
      </c>
      <c r="C76" s="177" t="s">
        <v>181</v>
      </c>
      <c r="D76" s="93" t="str">
        <f>表1_8612182224267288[[#This Row],[目标国家]]</f>
        <v>吴</v>
      </c>
      <c r="E76" s="417">
        <f>(VLOOKUP(表1_8612182224267288[[#This Row],[目标区服]],$R$86:$S$112,2,FALSE)-表1_8612182224267288[[#This Row],[开服天数]])*配置!$B$1</f>
        <v>1000</v>
      </c>
      <c r="F76" s="95">
        <f>表1_8612182224267288[[#This Row],[补偿Coin]]*(表1_8612182224267288[[#This Row],[活跃高战玩家数]]+表1_8612182224267288[[#This Row],[活跃中坚玩家数]])</f>
        <v>26000</v>
      </c>
      <c r="G76" s="418">
        <f>(VLOOKUP(表1_8612182224267288[[#This Row],[目标区服]],$R$86:$S$98,2,FALSE)-表1_8612182224267288[[#This Row],[开服天数]])*配置!$B$2</f>
        <v>10</v>
      </c>
      <c r="H76" s="93" t="s">
        <v>27</v>
      </c>
      <c r="I76" s="423">
        <f>IF(表1_8612182224267288[[#This Row],[原国家]]="魏",0,IF(表1_8612182224267288[[#This Row],[原国家]]="蜀",1,2))</f>
        <v>2</v>
      </c>
      <c r="J76" s="95">
        <v>2</v>
      </c>
      <c r="K76" s="95">
        <v>123</v>
      </c>
      <c r="L76" s="95">
        <v>1</v>
      </c>
      <c r="M76" s="95">
        <v>25</v>
      </c>
      <c r="N76" s="95">
        <v>86673</v>
      </c>
      <c r="O76" s="424">
        <v>1410481</v>
      </c>
      <c r="P76" s="326">
        <v>16554082</v>
      </c>
      <c r="Q76" s="137" t="s">
        <v>27</v>
      </c>
      <c r="R76" s="93">
        <f>IF(表1_8612182224267288[[#This Row],[目标国家]]="魏",0,IF(表1_8612182224267288[[#This Row],[目标国家]]="蜀",1,2))</f>
        <v>2</v>
      </c>
      <c r="S76" s="95">
        <v>16930</v>
      </c>
      <c r="T76" s="95">
        <v>0</v>
      </c>
      <c r="U76" s="95">
        <v>177579</v>
      </c>
      <c r="V76" s="95">
        <v>5525</v>
      </c>
      <c r="W76" s="495">
        <v>460213</v>
      </c>
      <c r="X76" s="433" t="str">
        <f>"{"&amp;"'coin':"&amp;表1_8612182224267288[[#This Row],[补偿Coin]]&amp;",'"&amp;配置!$A$2&amp;"':"&amp;表1_8612182224267288[[#This Row],[补偿辎重]]&amp;"},"</f>
        <v>{'coin':1000,'item036':10},</v>
      </c>
      <c r="Y76" s="138" t="str">
        <f t="shared" si="4"/>
        <v>      },</v>
      </c>
    </row>
    <row r="77" ht="14.25" customHeight="1" spans="1:25">
      <c r="A77" s="375">
        <v>5126</v>
      </c>
      <c r="B77" s="371">
        <f>VLOOKUP(表1_8612182224267288[[#This Row],[区服]],$P$86:$Q$112,2,FALSE)</f>
        <v>41</v>
      </c>
      <c r="C77" s="509" t="s">
        <v>182</v>
      </c>
      <c r="D77" s="376" t="str">
        <f>表1_8612182224267288[[#This Row],[目标国家]]</f>
        <v>魏</v>
      </c>
      <c r="E77" s="499">
        <f>(VLOOKUP(表1_8612182224267288[[#This Row],[目标区服]],$R$86:$S$112,2,FALSE)-表1_8612182224267288[[#This Row],[开服天数]])*配置!$B$1</f>
        <v>1000</v>
      </c>
      <c r="F77" s="380">
        <f>表1_8612182224267288[[#This Row],[补偿Coin]]*(表1_8612182224267288[[#This Row],[活跃高战玩家数]]+表1_8612182224267288[[#This Row],[活跃中坚玩家数]])</f>
        <v>26000</v>
      </c>
      <c r="G77" s="490">
        <f>(VLOOKUP(表1_8612182224267288[[#This Row],[目标区服]],$R$86:$S$98,2,FALSE)-表1_8612182224267288[[#This Row],[开服天数]])*配置!$B$2</f>
        <v>10</v>
      </c>
      <c r="H77" s="376" t="s">
        <v>25</v>
      </c>
      <c r="I77" s="491">
        <f>IF(表1_8612182224267288[[#This Row],[原国家]]="魏",0,IF(表1_8612182224267288[[#This Row],[原国家]]="蜀",1,2))</f>
        <v>0</v>
      </c>
      <c r="J77" s="380">
        <v>3</v>
      </c>
      <c r="K77" s="380">
        <v>147</v>
      </c>
      <c r="L77" s="380">
        <v>3</v>
      </c>
      <c r="M77" s="380">
        <v>23</v>
      </c>
      <c r="N77" s="380">
        <v>112659</v>
      </c>
      <c r="O77" s="492">
        <v>2377042</v>
      </c>
      <c r="P77" s="381">
        <v>20300419</v>
      </c>
      <c r="Q77" s="493" t="s">
        <v>25</v>
      </c>
      <c r="R77" s="376">
        <f>IF(表1_8612182224267288[[#This Row],[目标国家]]="魏",0,IF(表1_8612182224267288[[#This Row],[目标国家]]="蜀",1,2))</f>
        <v>0</v>
      </c>
      <c r="S77" s="380">
        <v>53288</v>
      </c>
      <c r="T77" s="380">
        <v>0</v>
      </c>
      <c r="U77" s="380">
        <v>586878</v>
      </c>
      <c r="V77" s="380">
        <v>8632</v>
      </c>
      <c r="W77" s="505">
        <v>780151</v>
      </c>
      <c r="X77" s="494" t="str">
        <f>"{"&amp;"'coin':"&amp;表1_8612182224267288[[#This Row],[补偿Coin]]&amp;",'"&amp;配置!$A$2&amp;"':"&amp;表1_8612182224267288[[#This Row],[补偿辎重]]&amp;"},"</f>
        <v>{'coin':1000,'item036':10},</v>
      </c>
      <c r="Y77" s="388" t="str">
        <f>"      '"&amp;表1_8612182224267288[[#This Row],[区服]]&amp;"':{"</f>
        <v>      '5126':{</v>
      </c>
    </row>
    <row r="78" ht="14.25" customHeight="1" spans="1:25">
      <c r="A78" s="375">
        <v>5126</v>
      </c>
      <c r="B78" s="371">
        <f>VLOOKUP(表1_8612182224267288[[#This Row],[区服]],$P$86:$Q$112,2,FALSE)</f>
        <v>41</v>
      </c>
      <c r="C78" s="509" t="s">
        <v>182</v>
      </c>
      <c r="D78" s="376" t="str">
        <f>表1_8612182224267288[[#This Row],[目标国家]]</f>
        <v>蜀</v>
      </c>
      <c r="E78" s="499">
        <f>(VLOOKUP(表1_8612182224267288[[#This Row],[目标区服]],$R$86:$S$112,2,FALSE)-表1_8612182224267288[[#This Row],[开服天数]])*配置!$B$1</f>
        <v>1000</v>
      </c>
      <c r="F78" s="380">
        <f>表1_8612182224267288[[#This Row],[补偿Coin]]*(表1_8612182224267288[[#This Row],[活跃高战玩家数]]+表1_8612182224267288[[#This Row],[活跃中坚玩家数]])</f>
        <v>37000</v>
      </c>
      <c r="G78" s="490">
        <f>(VLOOKUP(表1_8612182224267288[[#This Row],[目标区服]],$R$86:$S$98,2,FALSE)-表1_8612182224267288[[#This Row],[开服天数]])*配置!$B$2</f>
        <v>10</v>
      </c>
      <c r="H78" s="376" t="s">
        <v>26</v>
      </c>
      <c r="I78" s="491">
        <f>IF(表1_8612182224267288[[#This Row],[原国家]]="魏",0,IF(表1_8612182224267288[[#This Row],[原国家]]="蜀",1,2))</f>
        <v>1</v>
      </c>
      <c r="J78" s="380">
        <v>4</v>
      </c>
      <c r="K78" s="380">
        <v>174</v>
      </c>
      <c r="L78" s="380">
        <v>6</v>
      </c>
      <c r="M78" s="380">
        <v>31</v>
      </c>
      <c r="N78" s="380">
        <v>167488</v>
      </c>
      <c r="O78" s="492">
        <v>3369539</v>
      </c>
      <c r="P78" s="381">
        <v>32125335</v>
      </c>
      <c r="Q78" s="493" t="s">
        <v>26</v>
      </c>
      <c r="R78" s="376">
        <f>IF(表1_8612182224267288[[#This Row],[目标国家]]="魏",0,IF(表1_8612182224267288[[#This Row],[目标国家]]="蜀",1,2))</f>
        <v>1</v>
      </c>
      <c r="S78" s="380">
        <v>142556</v>
      </c>
      <c r="T78" s="380">
        <v>0</v>
      </c>
      <c r="U78" s="380">
        <v>709516</v>
      </c>
      <c r="V78" s="380">
        <v>14190</v>
      </c>
      <c r="W78" s="505">
        <v>1197766</v>
      </c>
      <c r="X78" s="494" t="str">
        <f>"{"&amp;"'coin':"&amp;表1_8612182224267288[[#This Row],[补偿Coin]]&amp;",'"&amp;配置!$A$2&amp;"':"&amp;表1_8612182224267288[[#This Row],[补偿辎重]]&amp;"},"</f>
        <v>{'coin':1000,'item036':10},</v>
      </c>
      <c r="Y78" s="388" t="str">
        <f>"            'to_zone':'"&amp;表1_8612182224267288[[#This Row],[目标区服]]&amp;"',
            'reward':"&amp;表1_8612182224267288[[#This Row],[辅助导出]]&amp;"
            'country':["&amp;R77&amp;","&amp;R78&amp;","&amp;R79&amp;"],"</f>
        <v>            'to_zone':'h1_558',
            'reward':{'coin':1000,'item036':10},
            'country':[0,1,2],</v>
      </c>
    </row>
    <row r="79" ht="14.25" customHeight="1" spans="1:25">
      <c r="A79" s="375">
        <v>5126</v>
      </c>
      <c r="B79" s="371">
        <f>VLOOKUP(表1_8612182224267288[[#This Row],[区服]],$P$86:$Q$112,2,FALSE)</f>
        <v>41</v>
      </c>
      <c r="C79" s="509" t="s">
        <v>182</v>
      </c>
      <c r="D79" s="376" t="str">
        <f>表1_8612182224267288[[#This Row],[目标国家]]</f>
        <v>吴</v>
      </c>
      <c r="E79" s="499">
        <f>(VLOOKUP(表1_8612182224267288[[#This Row],[目标区服]],$R$86:$S$112,2,FALSE)-表1_8612182224267288[[#This Row],[开服天数]])*配置!$B$1</f>
        <v>1000</v>
      </c>
      <c r="F79" s="380">
        <f>表1_8612182224267288[[#This Row],[补偿Coin]]*(表1_8612182224267288[[#This Row],[活跃高战玩家数]]+表1_8612182224267288[[#This Row],[活跃中坚玩家数]])</f>
        <v>14000</v>
      </c>
      <c r="G79" s="490">
        <f>(VLOOKUP(表1_8612182224267288[[#This Row],[目标区服]],$R$86:$S$98,2,FALSE)-表1_8612182224267288[[#This Row],[开服天数]])*配置!$B$2</f>
        <v>10</v>
      </c>
      <c r="H79" s="376" t="s">
        <v>27</v>
      </c>
      <c r="I79" s="491">
        <f>IF(表1_8612182224267288[[#This Row],[原国家]]="魏",0,IF(表1_8612182224267288[[#This Row],[原国家]]="蜀",1,2))</f>
        <v>2</v>
      </c>
      <c r="J79" s="380">
        <v>2</v>
      </c>
      <c r="K79" s="380">
        <v>74</v>
      </c>
      <c r="L79" s="380">
        <v>0</v>
      </c>
      <c r="M79" s="380">
        <v>14</v>
      </c>
      <c r="N79" s="380">
        <v>27352</v>
      </c>
      <c r="O79" s="492">
        <v>1020751</v>
      </c>
      <c r="P79" s="381">
        <v>7370684</v>
      </c>
      <c r="Q79" s="493" t="s">
        <v>27</v>
      </c>
      <c r="R79" s="376">
        <f>IF(表1_8612182224267288[[#This Row],[目标国家]]="魏",0,IF(表1_8612182224267288[[#This Row],[目标国家]]="蜀",1,2))</f>
        <v>2</v>
      </c>
      <c r="S79" s="380">
        <v>14778</v>
      </c>
      <c r="T79" s="380">
        <v>0</v>
      </c>
      <c r="U79" s="380">
        <v>83187</v>
      </c>
      <c r="V79" s="380">
        <v>3319</v>
      </c>
      <c r="W79" s="505">
        <v>268886</v>
      </c>
      <c r="X79" s="494" t="str">
        <f>"{"&amp;"'coin':"&amp;表1_8612182224267288[[#This Row],[补偿Coin]]&amp;",'"&amp;配置!$A$2&amp;"':"&amp;表1_8612182224267288[[#This Row],[补偿辎重]]&amp;"},"</f>
        <v>{'coin':1000,'item036':10},</v>
      </c>
      <c r="Y79" s="388" t="str">
        <f t="shared" si="5"/>
        <v>      },</v>
      </c>
    </row>
    <row r="80" ht="14.25" customHeight="1" spans="1:25">
      <c r="A80" s="375">
        <v>5127</v>
      </c>
      <c r="B80" s="371">
        <f>VLOOKUP(表1_8612182224267288[[#This Row],[区服]],$P$86:$Q$112,2,FALSE)</f>
        <v>41</v>
      </c>
      <c r="C80" s="509" t="s">
        <v>182</v>
      </c>
      <c r="D80" s="376" t="str">
        <f>表1_8612182224267288[[#This Row],[目标国家]]</f>
        <v>魏</v>
      </c>
      <c r="E80" s="499">
        <f>(VLOOKUP(表1_8612182224267288[[#This Row],[目标区服]],$R$86:$S$112,2,FALSE)-表1_8612182224267288[[#This Row],[开服天数]])*配置!$B$1</f>
        <v>1000</v>
      </c>
      <c r="F80" s="380">
        <f>表1_8612182224267288[[#This Row],[补偿Coin]]*(表1_8612182224267288[[#This Row],[活跃高战玩家数]]+表1_8612182224267288[[#This Row],[活跃中坚玩家数]])</f>
        <v>24000</v>
      </c>
      <c r="G80" s="490">
        <f>(VLOOKUP(表1_8612182224267288[[#This Row],[目标区服]],$R$86:$S$98,2,FALSE)-表1_8612182224267288[[#This Row],[开服天数]])*配置!$B$2</f>
        <v>10</v>
      </c>
      <c r="H80" s="376" t="s">
        <v>25</v>
      </c>
      <c r="I80" s="491">
        <f>IF(表1_8612182224267288[[#This Row],[原国家]]="魏",0,IF(表1_8612182224267288[[#This Row],[原国家]]="蜀",1,2))</f>
        <v>0</v>
      </c>
      <c r="J80" s="380">
        <v>1</v>
      </c>
      <c r="K80" s="380">
        <v>62</v>
      </c>
      <c r="L80" s="380">
        <v>2</v>
      </c>
      <c r="M80" s="380">
        <v>22</v>
      </c>
      <c r="N80" s="380">
        <v>92440</v>
      </c>
      <c r="O80" s="492">
        <v>1620843</v>
      </c>
      <c r="P80" s="381">
        <v>13538255</v>
      </c>
      <c r="Q80" s="493" t="s">
        <v>25</v>
      </c>
      <c r="R80" s="376">
        <f>IF(表1_8612182224267288[[#This Row],[目标国家]]="魏",0,IF(表1_8612182224267288[[#This Row],[目标国家]]="蜀",1,2))</f>
        <v>0</v>
      </c>
      <c r="S80" s="380">
        <v>26122</v>
      </c>
      <c r="T80" s="380">
        <v>0</v>
      </c>
      <c r="U80" s="380">
        <v>137755</v>
      </c>
      <c r="V80" s="380">
        <v>5009</v>
      </c>
      <c r="W80" s="505">
        <v>505306</v>
      </c>
      <c r="X80" s="494" t="str">
        <f>"{"&amp;"'coin':"&amp;表1_8612182224267288[[#This Row],[补偿Coin]]&amp;",'"&amp;配置!$A$2&amp;"':"&amp;表1_8612182224267288[[#This Row],[补偿辎重]]&amp;"},"</f>
        <v>{'coin':1000,'item036':10},</v>
      </c>
      <c r="Y80" s="388" t="str">
        <f>"      '"&amp;表1_8612182224267288[[#This Row],[区服]]&amp;"':{"</f>
        <v>      '5127':{</v>
      </c>
    </row>
    <row r="81" ht="14.25" customHeight="1" spans="1:25">
      <c r="A81" s="375">
        <v>5127</v>
      </c>
      <c r="B81" s="371">
        <f>VLOOKUP(表1_8612182224267288[[#This Row],[区服]],$P$86:$Q$112,2,FALSE)</f>
        <v>41</v>
      </c>
      <c r="C81" s="509" t="s">
        <v>182</v>
      </c>
      <c r="D81" s="376" t="str">
        <f>表1_8612182224267288[[#This Row],[目标国家]]</f>
        <v>吴</v>
      </c>
      <c r="E81" s="499">
        <f>(VLOOKUP(表1_8612182224267288[[#This Row],[目标区服]],$R$86:$S$112,2,FALSE)-表1_8612182224267288[[#This Row],[开服天数]])*配置!$B$1</f>
        <v>1000</v>
      </c>
      <c r="F81" s="380">
        <f>表1_8612182224267288[[#This Row],[补偿Coin]]*(表1_8612182224267288[[#This Row],[活跃高战玩家数]]+表1_8612182224267288[[#This Row],[活跃中坚玩家数]])</f>
        <v>20000</v>
      </c>
      <c r="G81" s="490">
        <f>(VLOOKUP(表1_8612182224267288[[#This Row],[目标区服]],$R$86:$S$98,2,FALSE)-表1_8612182224267288[[#This Row],[开服天数]])*配置!$B$2</f>
        <v>10</v>
      </c>
      <c r="H81" s="376" t="s">
        <v>26</v>
      </c>
      <c r="I81" s="491">
        <f>IF(表1_8612182224267288[[#This Row],[原国家]]="魏",0,IF(表1_8612182224267288[[#This Row],[原国家]]="蜀",1,2))</f>
        <v>1</v>
      </c>
      <c r="J81" s="380">
        <v>1</v>
      </c>
      <c r="K81" s="380">
        <v>55</v>
      </c>
      <c r="L81" s="380">
        <v>1</v>
      </c>
      <c r="M81" s="380">
        <v>19</v>
      </c>
      <c r="N81" s="380">
        <v>67942</v>
      </c>
      <c r="O81" s="492">
        <v>1283351</v>
      </c>
      <c r="P81" s="381">
        <v>10052719</v>
      </c>
      <c r="Q81" s="493" t="s">
        <v>27</v>
      </c>
      <c r="R81" s="376">
        <f>IF(表1_8612182224267288[[#This Row],[目标国家]]="魏",0,IF(表1_8612182224267288[[#This Row],[目标国家]]="蜀",1,2))</f>
        <v>2</v>
      </c>
      <c r="S81" s="380">
        <v>21244</v>
      </c>
      <c r="T81" s="380">
        <v>0</v>
      </c>
      <c r="U81" s="380">
        <v>70638</v>
      </c>
      <c r="V81" s="380">
        <v>3950</v>
      </c>
      <c r="W81" s="505">
        <v>370507</v>
      </c>
      <c r="X81" s="494" t="str">
        <f>"{"&amp;"'coin':"&amp;表1_8612182224267288[[#This Row],[补偿Coin]]&amp;",'"&amp;配置!$A$2&amp;"':"&amp;表1_8612182224267288[[#This Row],[补偿辎重]]&amp;"},"</f>
        <v>{'coin':1000,'item036':10},</v>
      </c>
      <c r="Y81" s="388" t="str">
        <f>"            'to_zone':'"&amp;表1_8612182224267288[[#This Row],[目标区服]]&amp;"',
            'reward':"&amp;表1_8612182224267288[[#This Row],[辅助导出]]&amp;"
            'country':["&amp;R80&amp;","&amp;R81&amp;","&amp;R82&amp;"],"</f>
        <v>            'to_zone':'h1_558',
            'reward':{'coin':1000,'item036':10},
            'country':[0,2,2],</v>
      </c>
    </row>
    <row r="82" ht="14.25" customHeight="1" spans="1:25">
      <c r="A82" s="375">
        <v>5127</v>
      </c>
      <c r="B82" s="371">
        <f>VLOOKUP(表1_8612182224267288[[#This Row],[区服]],$P$86:$Q$112,2,FALSE)</f>
        <v>41</v>
      </c>
      <c r="C82" s="509" t="s">
        <v>182</v>
      </c>
      <c r="D82" s="376" t="str">
        <f>表1_8612182224267288[[#This Row],[目标国家]]</f>
        <v>吴</v>
      </c>
      <c r="E82" s="499">
        <f>(VLOOKUP(表1_8612182224267288[[#This Row],[目标区服]],$R$86:$S$112,2,FALSE)-表1_8612182224267288[[#This Row],[开服天数]])*配置!$B$1</f>
        <v>1000</v>
      </c>
      <c r="F82" s="380">
        <f>表1_8612182224267288[[#This Row],[补偿Coin]]*(表1_8612182224267288[[#This Row],[活跃高战玩家数]]+表1_8612182224267288[[#This Row],[活跃中坚玩家数]])</f>
        <v>26000</v>
      </c>
      <c r="G82" s="490">
        <f>(VLOOKUP(表1_8612182224267288[[#This Row],[目标区服]],$R$86:$S$98,2,FALSE)-表1_8612182224267288[[#This Row],[开服天数]])*配置!$B$2</f>
        <v>10</v>
      </c>
      <c r="H82" s="376" t="s">
        <v>27</v>
      </c>
      <c r="I82" s="491">
        <f>IF(表1_8612182224267288[[#This Row],[原国家]]="魏",0,IF(表1_8612182224267288[[#This Row],[原国家]]="蜀",1,2))</f>
        <v>2</v>
      </c>
      <c r="J82" s="380">
        <v>7</v>
      </c>
      <c r="K82" s="380">
        <v>278</v>
      </c>
      <c r="L82" s="380">
        <v>7</v>
      </c>
      <c r="M82" s="380">
        <v>19</v>
      </c>
      <c r="N82" s="380">
        <v>147091</v>
      </c>
      <c r="O82" s="492">
        <v>2731290</v>
      </c>
      <c r="P82" s="381">
        <v>21086860</v>
      </c>
      <c r="Q82" s="493" t="s">
        <v>27</v>
      </c>
      <c r="R82" s="376">
        <f>IF(表1_8612182224267288[[#This Row],[目标国家]]="魏",0,IF(表1_8612182224267288[[#This Row],[目标国家]]="蜀",1,2))</f>
        <v>2</v>
      </c>
      <c r="S82" s="380">
        <v>49786</v>
      </c>
      <c r="T82" s="380">
        <v>0</v>
      </c>
      <c r="U82" s="380">
        <v>592698</v>
      </c>
      <c r="V82" s="380">
        <v>10845</v>
      </c>
      <c r="W82" s="374">
        <v>731363</v>
      </c>
      <c r="X82" s="494" t="str">
        <f>"{"&amp;"'coin':"&amp;表1_8612182224267288[[#This Row],[补偿Coin]]&amp;",'"&amp;配置!$A$2&amp;"':"&amp;表1_8612182224267288[[#This Row],[补偿辎重]]&amp;"},"</f>
        <v>{'coin':1000,'item036':10},</v>
      </c>
      <c r="Y82" s="388" t="str">
        <f t="shared" si="4"/>
        <v>      },</v>
      </c>
    </row>
    <row r="85" ht="27" spans="1:19">
      <c r="A85" s="36" t="s">
        <v>28</v>
      </c>
      <c r="B85" s="37" t="s">
        <v>29</v>
      </c>
      <c r="C85" s="38" t="s">
        <v>30</v>
      </c>
      <c r="D85" s="38" t="s">
        <v>31</v>
      </c>
      <c r="E85" s="38" t="s">
        <v>32</v>
      </c>
      <c r="F85" s="38" t="s">
        <v>33</v>
      </c>
      <c r="G85" s="38" t="s">
        <v>15</v>
      </c>
      <c r="H85" s="37" t="s">
        <v>18</v>
      </c>
      <c r="I85" s="37" t="s">
        <v>19</v>
      </c>
      <c r="J85" s="37" t="s">
        <v>34</v>
      </c>
      <c r="K85" s="38" t="s">
        <v>35</v>
      </c>
      <c r="L85" s="38" t="s">
        <v>36</v>
      </c>
      <c r="M85" s="38" t="s">
        <v>37</v>
      </c>
      <c r="N85" s="38" t="s">
        <v>88</v>
      </c>
      <c r="P85" s="51" t="s">
        <v>0</v>
      </c>
      <c r="Q85" s="51" t="s">
        <v>1</v>
      </c>
      <c r="R85" s="51"/>
      <c r="S85" s="51" t="s">
        <v>38</v>
      </c>
    </row>
    <row r="86" ht="15" spans="1:19">
      <c r="A86" s="39" t="s">
        <v>170</v>
      </c>
      <c r="B86" s="39" t="s">
        <v>25</v>
      </c>
      <c r="C86" s="39">
        <f>COUNTIFS(表1_8612182224267288[目标区服],表2_9713192325277389[[#This Row],[合区区服]],表1_8612182224267288[目标国家（映射）],表2_9713192325277389[[#This Row],[国家]])</f>
        <v>2</v>
      </c>
      <c r="D86" s="39">
        <f>SUMIFS(表1_8612182224267288[活跃高战玩家数],表1_8612182224267288[目标区服],表2_9713192325277389[[#This Row],[合区区服]],表1_8612182224267288[目标国家（映射）],表2_9713192325277389[[#This Row],[国家]])</f>
        <v>7</v>
      </c>
      <c r="E86" s="39">
        <f>SUMIFS(表1_8612182224267288[活跃中坚玩家数],表1_8612182224267288[目标区服],表2_9713192325277389[[#This Row],[合区区服]],表1_8612182224267288[目标国家（映射）],表2_9713192325277389[[#This Row],[国家]])</f>
        <v>25</v>
      </c>
      <c r="F86" s="39">
        <f t="array" ref="F86">MAX((表1_8612182224267288[目标区服]=表2_9713192325277389[[#This Row],[合区区服]])*(表1_8612182224267288[目标国家（映射）]=表2_9713192325277389[[#This Row],[国家]])*表1_8612182224267288[活跃尖端战力])</f>
        <v>3139215</v>
      </c>
      <c r="G86" s="40">
        <f>SUMIFS(表1_8612182224267288[活跃总战力],表1_8612182224267288[目标区服],表2_9713192325277389[[#This Row],[合区区服]],表1_8612182224267288[目标国家（映射）],表2_9713192325277389[[#This Row],[国家]])</f>
        <v>26966971</v>
      </c>
      <c r="H86" s="39">
        <f>SUMIFS(表1_8612182224267288[活跃实际充值],表1_8612182224267288[目标区服],表2_9713192325277389[[#This Row],[合区区服]],表1_8612182224267288[目标国家（映射）],表2_9713192325277389[[#This Row],[国家]])</f>
        <v>143074</v>
      </c>
      <c r="I86" s="39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86" s="39">
        <f>SUMIFS(表1_8612182224267288[活跃Coin],表1_8612182224267288[目标区服],表2_9713192325277389[[#This Row],[合区区服]],表1_8612182224267288[目标国家（映射）],表2_9713192325277389[[#This Row],[国家]])</f>
        <v>448440</v>
      </c>
      <c r="K86" s="39">
        <f>SUMIFS(表1_8612182224267288[共计补偿Coin],表1_8612182224267288[目标区服],表2_9713192325277389[[#This Row],[合区区服]],表1_8612182224267288[目标国家（映射）],表2_9713192325277389[[#This Row],[国家]])</f>
        <v>32000</v>
      </c>
      <c r="L86" s="39">
        <f>表2_9713192325277389[[#This Row],[活跃Coin]]+表2_9713192325277389[[#This Row],[共计补偿Coin]]</f>
        <v>480440</v>
      </c>
      <c r="M86" s="39">
        <f>SUMIFS(表1_8612182224267288[综合国力],表1_8612182224267288[目标区服],表2_9713192325277389[[#This Row],[合区区服]],表1_8612182224267288[目标国家（映射）],表2_9713192325277389[[#This Row],[国家]])</f>
        <v>16263</v>
      </c>
      <c r="N86" s="39">
        <f t="array" ref="N86">MAX((表1_8612182224267288[目标区服]=表2_9713192325277389[[#This Row],[合区区服]])*(表1_8612182224267288[目标国家（映射）]=表2_9713192325277389[[#This Row],[国家]])*表1_8612182224267288[单将最高战力])</f>
        <v>934832</v>
      </c>
      <c r="P86" s="51">
        <v>5101</v>
      </c>
      <c r="Q86" s="51">
        <v>47</v>
      </c>
      <c r="R86" s="51" t="s">
        <v>170</v>
      </c>
      <c r="S86" s="51">
        <v>49</v>
      </c>
    </row>
    <row r="87" ht="15" spans="1:19">
      <c r="A87" s="39" t="s">
        <v>170</v>
      </c>
      <c r="B87" s="39" t="s">
        <v>26</v>
      </c>
      <c r="C87" s="39">
        <f>COUNTIFS(表1_8612182224267288[目标区服],表2_9713192325277389[[#This Row],[合区区服]],表1_8612182224267288[目标国家（映射）],表2_9713192325277389[[#This Row],[国家]])</f>
        <v>1</v>
      </c>
      <c r="D87" s="39">
        <f>SUMIFS(表1_8612182224267288[活跃高战玩家数],表1_8612182224267288[目标区服],表2_9713192325277389[[#This Row],[合区区服]],表1_8612182224267288[目标国家（映射）],表2_9713192325277389[[#This Row],[国家]])</f>
        <v>3</v>
      </c>
      <c r="E87" s="39">
        <f>SUMIFS(表1_8612182224267288[活跃中坚玩家数],表1_8612182224267288[目标区服],表2_9713192325277389[[#This Row],[合区区服]],表1_8612182224267288[目标国家（映射）],表2_9713192325277389[[#This Row],[国家]])</f>
        <v>24</v>
      </c>
      <c r="F87" s="39">
        <f t="array" ref="F87">MAX((表1_8612182224267288[目标区服]=表2_9713192325277389[[#This Row],[合区区服]])*(表1_8612182224267288[目标国家（映射）]=表2_9713192325277389[[#This Row],[国家]])*表1_8612182224267288[活跃尖端战力])</f>
        <v>2720780</v>
      </c>
      <c r="G87" s="40">
        <f>SUMIFS(表1_8612182224267288[活跃总战力],表1_8612182224267288[目标区服],表2_9713192325277389[[#This Row],[合区区服]],表1_8612182224267288[目标国家（映射）],表2_9713192325277389[[#This Row],[国家]])</f>
        <v>24498096</v>
      </c>
      <c r="H87" s="39">
        <f>SUMIFS(表1_8612182224267288[活跃实际充值],表1_8612182224267288[目标区服],表2_9713192325277389[[#This Row],[合区区服]],表1_8612182224267288[目标国家（映射）],表2_9713192325277389[[#This Row],[国家]])</f>
        <v>121058</v>
      </c>
      <c r="I87" s="39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87" s="39">
        <f>SUMIFS(表1_8612182224267288[活跃Coin],表1_8612182224267288[目标区服],表2_9713192325277389[[#This Row],[合区区服]],表1_8612182224267288[目标国家（映射）],表2_9713192325277389[[#This Row],[国家]])</f>
        <v>401528</v>
      </c>
      <c r="K87" s="39">
        <f>SUMIFS(表1_8612182224267288[共计补偿Coin],表1_8612182224267288[目标区服],表2_9713192325277389[[#This Row],[合区区服]],表1_8612182224267288[目标国家（映射）],表2_9713192325277389[[#This Row],[国家]])</f>
        <v>27000</v>
      </c>
      <c r="L87" s="39">
        <f>表2_9713192325277389[[#This Row],[活跃Coin]]+表2_9713192325277389[[#This Row],[共计补偿Coin]]</f>
        <v>428528</v>
      </c>
      <c r="M87" s="39">
        <f>SUMIFS(表1_8612182224267288[综合国力],表1_8612182224267288[目标区服],表2_9713192325277389[[#This Row],[合区区服]],表1_8612182224267288[目标国家（映射）],表2_9713192325277389[[#This Row],[国家]])</f>
        <v>12289</v>
      </c>
      <c r="N87" s="39">
        <f t="array" ref="N87">MAX((表1_8612182224267288[目标区服]=表2_9713192325277389[[#This Row],[合区区服]])*(表1_8612182224267288[目标国家（映射）]=表2_9713192325277389[[#This Row],[国家]])*表1_8612182224267288[单将最高战力])</f>
        <v>829282</v>
      </c>
      <c r="P87" s="51">
        <v>5102</v>
      </c>
      <c r="Q87" s="51">
        <v>47</v>
      </c>
      <c r="R87" s="51" t="s">
        <v>171</v>
      </c>
      <c r="S87" s="51">
        <v>49</v>
      </c>
    </row>
    <row r="88" ht="15" spans="1:19">
      <c r="A88" s="39" t="s">
        <v>170</v>
      </c>
      <c r="B88" s="39" t="s">
        <v>27</v>
      </c>
      <c r="C88" s="39">
        <f>COUNTIFS(表1_8612182224267288[目标区服],表2_9713192325277389[[#This Row],[合区区服]],表1_8612182224267288[目标国家（映射）],表2_9713192325277389[[#This Row],[国家]])</f>
        <v>3</v>
      </c>
      <c r="D88" s="39">
        <f>SUMIFS(表1_8612182224267288[活跃高战玩家数],表1_8612182224267288[目标区服],表2_9713192325277389[[#This Row],[合区区服]],表1_8612182224267288[目标国家（映射）],表2_9713192325277389[[#This Row],[国家]])</f>
        <v>9</v>
      </c>
      <c r="E88" s="39">
        <f>SUMIFS(表1_8612182224267288[活跃中坚玩家数],表1_8612182224267288[目标区服],表2_9713192325277389[[#This Row],[合区区服]],表1_8612182224267288[目标国家（映射）],表2_9713192325277389[[#This Row],[国家]])</f>
        <v>58</v>
      </c>
      <c r="F88" s="39">
        <f t="array" ref="F88">MAX((表1_8612182224267288[目标区服]=表2_9713192325277389[[#This Row],[合区区服]])*(表1_8612182224267288[目标国家（映射）]=表2_9713192325277389[[#This Row],[国家]])*表1_8612182224267288[活跃尖端战力])</f>
        <v>2560794</v>
      </c>
      <c r="G88" s="40">
        <f>SUMIFS(表1_8612182224267288[活跃总战力],表1_8612182224267288[目标区服],表2_9713192325277389[[#This Row],[合区区服]],表1_8612182224267288[目标国家（映射）],表2_9713192325277389[[#This Row],[国家]])</f>
        <v>48551050</v>
      </c>
      <c r="H88" s="39">
        <f>SUMIFS(表1_8612182224267288[活跃实际充值],表1_8612182224267288[目标区服],表2_9713192325277389[[#This Row],[合区区服]],表1_8612182224267288[目标国家（映射）],表2_9713192325277389[[#This Row],[国家]])</f>
        <v>124894</v>
      </c>
      <c r="I88" s="39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88" s="39">
        <f>SUMIFS(表1_8612182224267288[活跃Coin],表1_8612182224267288[目标区服],表2_9713192325277389[[#This Row],[合区区服]],表1_8612182224267288[目标国家（映射）],表2_9713192325277389[[#This Row],[国家]])</f>
        <v>549043</v>
      </c>
      <c r="K88" s="39">
        <f>SUMIFS(表1_8612182224267288[共计补偿Coin],表1_8612182224267288[目标区服],表2_9713192325277389[[#This Row],[合区区服]],表1_8612182224267288[目标国家（映射）],表2_9713192325277389[[#This Row],[国家]])</f>
        <v>67000</v>
      </c>
      <c r="L88" s="39">
        <f>表2_9713192325277389[[#This Row],[活跃Coin]]+表2_9713192325277389[[#This Row],[共计补偿Coin]]</f>
        <v>616043</v>
      </c>
      <c r="M88" s="39">
        <f>SUMIFS(表1_8612182224267288[综合国力],表1_8612182224267288[目标区服],表2_9713192325277389[[#This Row],[合区区服]],表1_8612182224267288[目标国家（映射）],表2_9713192325277389[[#This Row],[国家]])</f>
        <v>20526</v>
      </c>
      <c r="N88" s="39">
        <f t="array" ref="N88">MAX((表1_8612182224267288[目标区服]=表2_9713192325277389[[#This Row],[合区区服]])*(表1_8612182224267288[目标国家（映射）]=表2_9713192325277389[[#This Row],[国家]])*表1_8612182224267288[单将最高战力])</f>
        <v>795174</v>
      </c>
      <c r="P88" s="51">
        <v>5103</v>
      </c>
      <c r="Q88" s="51">
        <v>47</v>
      </c>
      <c r="R88" s="51" t="s">
        <v>172</v>
      </c>
      <c r="S88" s="51">
        <v>48</v>
      </c>
    </row>
    <row r="89" ht="15" spans="1:19">
      <c r="A89" s="41" t="s">
        <v>171</v>
      </c>
      <c r="B89" s="41" t="s">
        <v>25</v>
      </c>
      <c r="C89" s="41">
        <f>COUNTIFS(表1_8612182224267288[目标区服],表2_9713192325277389[[#This Row],[合区区服]],表1_8612182224267288[目标国家（映射）],表2_9713192325277389[[#This Row],[国家]])</f>
        <v>2</v>
      </c>
      <c r="D89" s="41">
        <f>SUMIFS(表1_8612182224267288[活跃高战玩家数],表1_8612182224267288[目标区服],表2_9713192325277389[[#This Row],[合区区服]],表1_8612182224267288[目标国家（映射）],表2_9713192325277389[[#This Row],[国家]])</f>
        <v>8</v>
      </c>
      <c r="E89" s="41">
        <f>SUMIFS(表1_8612182224267288[活跃中坚玩家数],表1_8612182224267288[目标区服],表2_9713192325277389[[#This Row],[合区区服]],表1_8612182224267288[目标国家（映射）],表2_9713192325277389[[#This Row],[国家]])</f>
        <v>41</v>
      </c>
      <c r="F89" s="41">
        <f t="array" ref="F89">MAX((表1_8612182224267288[目标区服]=表2_9713192325277389[[#This Row],[合区区服]])*(表1_8612182224267288[目标国家（映射）]=表2_9713192325277389[[#This Row],[国家]])*表1_8612182224267288[活跃尖端战力])</f>
        <v>2795795</v>
      </c>
      <c r="G89" s="42">
        <f>SUMIFS(表1_8612182224267288[活跃总战力],表1_8612182224267288[目标区服],表2_9713192325277389[[#This Row],[合区区服]],表1_8612182224267288[目标国家（映射）],表2_9713192325277389[[#This Row],[国家]])</f>
        <v>39560122</v>
      </c>
      <c r="H89" s="41">
        <f>SUMIFS(表1_8612182224267288[活跃实际充值],表1_8612182224267288[目标区服],表2_9713192325277389[[#This Row],[合区区服]],表1_8612182224267288[目标国家（映射）],表2_9713192325277389[[#This Row],[国家]])</f>
        <v>103702</v>
      </c>
      <c r="I89" s="41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89" s="41">
        <f>SUMIFS(表1_8612182224267288[活跃Coin],表1_8612182224267288[目标区服],表2_9713192325277389[[#This Row],[合区区服]],表1_8612182224267288[目标国家（映射）],表2_9713192325277389[[#This Row],[国家]])</f>
        <v>884759</v>
      </c>
      <c r="K89" s="41">
        <f>SUMIFS(表1_8612182224267288[共计补偿Coin],表1_8612182224267288[目标区服],表2_9713192325277389[[#This Row],[合区区服]],表1_8612182224267288[目标国家（映射）],表2_9713192325277389[[#This Row],[国家]])</f>
        <v>63000</v>
      </c>
      <c r="L89" s="41">
        <f>表2_9713192325277389[[#This Row],[活跃Coin]]+表2_9713192325277389[[#This Row],[共计补偿Coin]]</f>
        <v>947759</v>
      </c>
      <c r="M89" s="41">
        <f>SUMIFS(表1_8612182224267288[综合国力],表1_8612182224267288[目标区服],表2_9713192325277389[[#This Row],[合区区服]],表1_8612182224267288[目标国家（映射）],表2_9713192325277389[[#This Row],[国家]])</f>
        <v>16971</v>
      </c>
      <c r="N89" s="41">
        <f t="array" ref="N89">MAX((表1_8612182224267288[目标区服]=表2_9713192325277389[[#This Row],[合区区服]])*(表1_8612182224267288[目标国家（映射）]=表2_9713192325277389[[#This Row],[国家]])*表1_8612182224267288[单将最高战力])</f>
        <v>742281</v>
      </c>
      <c r="P89" s="51">
        <v>5104</v>
      </c>
      <c r="Q89" s="51">
        <v>46</v>
      </c>
      <c r="R89" s="51" t="s">
        <v>173</v>
      </c>
      <c r="S89" s="51">
        <v>48</v>
      </c>
    </row>
    <row r="90" ht="15" spans="1:19">
      <c r="A90" s="41" t="s">
        <v>171</v>
      </c>
      <c r="B90" s="41" t="s">
        <v>26</v>
      </c>
      <c r="C90" s="41">
        <f>COUNTIFS(表1_8612182224267288[目标区服],表2_9713192325277389[[#This Row],[合区区服]],表1_8612182224267288[目标国家（映射）],表2_9713192325277389[[#This Row],[国家]])</f>
        <v>2</v>
      </c>
      <c r="D90" s="41">
        <f>SUMIFS(表1_8612182224267288[活跃高战玩家数],表1_8612182224267288[目标区服],表2_9713192325277389[[#This Row],[合区区服]],表1_8612182224267288[目标国家（映射）],表2_9713192325277389[[#This Row],[国家]])</f>
        <v>5</v>
      </c>
      <c r="E90" s="41">
        <f>SUMIFS(表1_8612182224267288[活跃中坚玩家数],表1_8612182224267288[目标区服],表2_9713192325277389[[#This Row],[合区区服]],表1_8612182224267288[目标国家（映射）],表2_9713192325277389[[#This Row],[国家]])</f>
        <v>29</v>
      </c>
      <c r="F90" s="41">
        <f t="array" ref="F90">MAX((表1_8612182224267288[目标区服]=表2_9713192325277389[[#This Row],[合区区服]])*(表1_8612182224267288[目标国家（映射）]=表2_9713192325277389[[#This Row],[国家]])*表1_8612182224267288[活跃尖端战力])</f>
        <v>2544495</v>
      </c>
      <c r="G90" s="42">
        <f>SUMIFS(表1_8612182224267288[活跃总战力],表1_8612182224267288[目标区服],表2_9713192325277389[[#This Row],[合区区服]],表1_8612182224267288[目标国家（映射）],表2_9713192325277389[[#This Row],[国家]])</f>
        <v>26111424</v>
      </c>
      <c r="H90" s="41">
        <f>SUMIFS(表1_8612182224267288[活跃实际充值],表1_8612182224267288[目标区服],表2_9713192325277389[[#This Row],[合区区服]],表1_8612182224267288[目标国家（映射）],表2_9713192325277389[[#This Row],[国家]])</f>
        <v>93814</v>
      </c>
      <c r="I90" s="41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90" s="41">
        <f>SUMIFS(表1_8612182224267288[活跃Coin],表1_8612182224267288[目标区服],表2_9713192325277389[[#This Row],[合区区服]],表1_8612182224267288[目标国家（映射）],表2_9713192325277389[[#This Row],[国家]])</f>
        <v>783057</v>
      </c>
      <c r="K90" s="41">
        <f>SUMIFS(表1_8612182224267288[共计补偿Coin],表1_8612182224267288[目标区服],表2_9713192325277389[[#This Row],[合区区服]],表1_8612182224267288[目标国家（映射）],表2_9713192325277389[[#This Row],[国家]])</f>
        <v>39500</v>
      </c>
      <c r="L90" s="41">
        <f>表2_9713192325277389[[#This Row],[活跃Coin]]+表2_9713192325277389[[#This Row],[共计补偿Coin]]</f>
        <v>822557</v>
      </c>
      <c r="M90" s="41">
        <f>SUMIFS(表1_8612182224267288[综合国力],表1_8612182224267288[目标区服],表2_9713192325277389[[#This Row],[合区区服]],表1_8612182224267288[目标国家（映射）],表2_9713192325277389[[#This Row],[国家]])</f>
        <v>13239</v>
      </c>
      <c r="N90" s="41">
        <f t="array" ref="N90">MAX((表1_8612182224267288[目标区服]=表2_9713192325277389[[#This Row],[合区区服]])*(表1_8612182224267288[目标国家（映射）]=表2_9713192325277389[[#This Row],[国家]])*表1_8612182224267288[单将最高战力])</f>
        <v>796759</v>
      </c>
      <c r="P90" s="51">
        <v>5105</v>
      </c>
      <c r="Q90" s="51">
        <v>46</v>
      </c>
      <c r="R90" s="51" t="s">
        <v>174</v>
      </c>
      <c r="S90" s="51">
        <v>47</v>
      </c>
    </row>
    <row r="91" ht="15" spans="1:19">
      <c r="A91" s="41" t="s">
        <v>171</v>
      </c>
      <c r="B91" s="43" t="s">
        <v>27</v>
      </c>
      <c r="C91" s="43">
        <f>COUNTIFS(表1_8612182224267288[目标区服],表2_9713192325277389[[#This Row],[合区区服]],表1_8612182224267288[目标国家（映射）],表2_9713192325277389[[#This Row],[国家]])</f>
        <v>2</v>
      </c>
      <c r="D91" s="43">
        <f>SUMIFS(表1_8612182224267288[活跃高战玩家数],表1_8612182224267288[目标区服],表2_9713192325277389[[#This Row],[合区区服]],表1_8612182224267288[目标国家（映射）],表2_9713192325277389[[#This Row],[国家]])</f>
        <v>7</v>
      </c>
      <c r="E91" s="43">
        <f>SUMIFS(表1_8612182224267288[活跃中坚玩家数],表1_8612182224267288[目标区服],表2_9713192325277389[[#This Row],[合区区服]],表1_8612182224267288[目标国家（映射）],表2_9713192325277389[[#This Row],[国家]])</f>
        <v>30</v>
      </c>
      <c r="F91" s="43">
        <f t="array" ref="F91">MAX((表1_8612182224267288[目标区服]=表2_9713192325277389[[#This Row],[合区区服]])*(表1_8612182224267288[目标国家（映射）]=表2_9713192325277389[[#This Row],[国家]])*表1_8612182224267288[活跃尖端战力])</f>
        <v>2878296</v>
      </c>
      <c r="G91" s="44">
        <f>SUMIFS(表1_8612182224267288[活跃总战力],表1_8612182224267288[目标区服],表2_9713192325277389[[#This Row],[合区区服]],表1_8612182224267288[目标国家（映射）],表2_9713192325277389[[#This Row],[国家]])</f>
        <v>36153903</v>
      </c>
      <c r="H91" s="43">
        <f>SUMIFS(表1_8612182224267288[活跃实际充值],表1_8612182224267288[目标区服],表2_9713192325277389[[#This Row],[合区区服]],表1_8612182224267288[目标国家（映射）],表2_9713192325277389[[#This Row],[国家]])</f>
        <v>91332</v>
      </c>
      <c r="I91" s="43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91" s="43">
        <f>SUMIFS(表1_8612182224267288[活跃Coin],表1_8612182224267288[目标区服],表2_9713192325277389[[#This Row],[合区区服]],表1_8612182224267288[目标国家（映射）],表2_9713192325277389[[#This Row],[国家]])</f>
        <v>660796</v>
      </c>
      <c r="K91" s="43">
        <f>SUMIFS(表1_8612182224267288[共计补偿Coin],表1_8612182224267288[目标区服],表2_9713192325277389[[#This Row],[合区区服]],表1_8612182224267288[目标国家（映射）],表2_9713192325277389[[#This Row],[国家]])</f>
        <v>44000</v>
      </c>
      <c r="L91" s="43">
        <f>表2_9713192325277389[[#This Row],[活跃Coin]]+表2_9713192325277389[[#This Row],[共计补偿Coin]]</f>
        <v>704796</v>
      </c>
      <c r="M91" s="43">
        <f>SUMIFS(表1_8612182224267288[综合国力],表1_8612182224267288[目标区服],表2_9713192325277389[[#This Row],[合区区服]],表1_8612182224267288[目标国家（映射）],表2_9713192325277389[[#This Row],[国家]])</f>
        <v>16897</v>
      </c>
      <c r="N91" s="41">
        <f t="array" ref="N91">MAX((表1_8612182224267288[目标区服]=表2_9713192325277389[[#This Row],[合区区服]])*(表1_8612182224267288[目标国家（映射）]=表2_9713192325277389[[#This Row],[国家]])*表1_8612182224267288[单将最高战力])</f>
        <v>916516</v>
      </c>
      <c r="P91" s="51">
        <v>5106</v>
      </c>
      <c r="Q91" s="51">
        <v>46</v>
      </c>
      <c r="R91" s="51" t="s">
        <v>175</v>
      </c>
      <c r="S91" s="51">
        <v>47</v>
      </c>
    </row>
    <row r="92" ht="15" spans="1:19">
      <c r="A92" s="45" t="s">
        <v>172</v>
      </c>
      <c r="B92" s="46" t="s">
        <v>25</v>
      </c>
      <c r="C92" s="46">
        <f>COUNTIFS(表1_8612182224267288[目标区服],表2_9713192325277389[[#This Row],[合区区服]],表1_8612182224267288[目标国家（映射）],表2_9713192325277389[[#This Row],[国家]])</f>
        <v>2</v>
      </c>
      <c r="D92" s="46">
        <f>SUMIFS(表1_8612182224267288[活跃高战玩家数],表1_8612182224267288[目标区服],表2_9713192325277389[[#This Row],[合区区服]],表1_8612182224267288[目标国家（映射）],表2_9713192325277389[[#This Row],[国家]])</f>
        <v>7</v>
      </c>
      <c r="E92" s="46">
        <f>SUMIFS(表1_8612182224267288[活跃中坚玩家数],表1_8612182224267288[目标区服],表2_9713192325277389[[#This Row],[合区区服]],表1_8612182224267288[目标国家（映射）],表2_9713192325277389[[#This Row],[国家]])</f>
        <v>40</v>
      </c>
      <c r="F92" s="46">
        <f t="array" ref="F92">MAX((表1_8612182224267288[目标区服]=表2_9713192325277389[[#This Row],[合区区服]])*(表1_8612182224267288[目标国家（映射）]=表2_9713192325277389[[#This Row],[国家]])*表1_8612182224267288[活跃尖端战力])</f>
        <v>2447922</v>
      </c>
      <c r="G92" s="47">
        <f>SUMIFS(表1_8612182224267288[活跃总战力],表1_8612182224267288[目标区服],表2_9713192325277389[[#This Row],[合区区服]],表1_8612182224267288[目标国家（映射）],表2_9713192325277389[[#This Row],[国家]])</f>
        <v>35401690</v>
      </c>
      <c r="H92" s="46">
        <f>SUMIFS(表1_8612182224267288[活跃实际充值],表1_8612182224267288[目标区服],表2_9713192325277389[[#This Row],[合区区服]],表1_8612182224267288[目标国家（映射）],表2_9713192325277389[[#This Row],[国家]])</f>
        <v>88710</v>
      </c>
      <c r="I92" s="46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92" s="46">
        <f>SUMIFS(表1_8612182224267288[活跃Coin],表1_8612182224267288[目标区服],表2_9713192325277389[[#This Row],[合区区服]],表1_8612182224267288[目标国家（映射）],表2_9713192325277389[[#This Row],[国家]])</f>
        <v>463765</v>
      </c>
      <c r="K92" s="46">
        <f>SUMIFS(表1_8612182224267288[共计补偿Coin],表1_8612182224267288[目标区服],表2_9713192325277389[[#This Row],[合区区服]],表1_8612182224267288[目标国家（映射）],表2_9713192325277389[[#This Row],[国家]])</f>
        <v>47000</v>
      </c>
      <c r="L92" s="46">
        <f>表2_9713192325277389[[#This Row],[活跃Coin]]+表2_9713192325277389[[#This Row],[共计补偿Coin]]</f>
        <v>510765</v>
      </c>
      <c r="M92" s="46">
        <f>SUMIFS(表1_8612182224267288[综合国力],表1_8612182224267288[目标区服],表2_9713192325277389[[#This Row],[合区区服]],表1_8612182224267288[目标国家（映射）],表2_9713192325277389[[#This Row],[国家]])</f>
        <v>15014</v>
      </c>
      <c r="N92" s="46">
        <f t="array" ref="N92">MAX((表1_8612182224267288[目标区服]=表2_9713192325277389[[#This Row],[合区区服]])*(表1_8612182224267288[目标国家（映射）]=表2_9713192325277389[[#This Row],[国家]])*表1_8612182224267288[单将最高战力])</f>
        <v>722176</v>
      </c>
      <c r="P92" s="51">
        <v>5107</v>
      </c>
      <c r="Q92" s="51">
        <v>46</v>
      </c>
      <c r="R92" s="51" t="s">
        <v>176</v>
      </c>
      <c r="S92" s="51">
        <v>46</v>
      </c>
    </row>
    <row r="93" ht="15" spans="1:19">
      <c r="A93" s="45" t="s">
        <v>172</v>
      </c>
      <c r="B93" s="46" t="s">
        <v>26</v>
      </c>
      <c r="C93" s="46">
        <f>COUNTIFS(表1_8612182224267288[目标区服],表2_9713192325277389[[#This Row],[合区区服]],表1_8612182224267288[目标国家（映射）],表2_9713192325277389[[#This Row],[国家]])</f>
        <v>1</v>
      </c>
      <c r="D93" s="46">
        <f>SUMIFS(表1_8612182224267288[活跃高战玩家数],表1_8612182224267288[目标区服],表2_9713192325277389[[#This Row],[合区区服]],表1_8612182224267288[目标国家（映射）],表2_9713192325277389[[#This Row],[国家]])</f>
        <v>4</v>
      </c>
      <c r="E93" s="46">
        <f>SUMIFS(表1_8612182224267288[活跃中坚玩家数],表1_8612182224267288[目标区服],表2_9713192325277389[[#This Row],[合区区服]],表1_8612182224267288[目标国家（映射）],表2_9713192325277389[[#This Row],[国家]])</f>
        <v>28</v>
      </c>
      <c r="F93" s="46">
        <f t="array" ref="F93">MAX((表1_8612182224267288[目标区服]=表2_9713192325277389[[#This Row],[合区区服]])*(表1_8612182224267288[目标国家（映射）]=表2_9713192325277389[[#This Row],[国家]])*表1_8612182224267288[活跃尖端战力])</f>
        <v>3218644</v>
      </c>
      <c r="G93" s="47">
        <f>SUMIFS(表1_8612182224267288[活跃总战力],表1_8612182224267288[目标区服],表2_9713192325277389[[#This Row],[合区区服]],表1_8612182224267288[目标国家（映射）],表2_9713192325277389[[#This Row],[国家]])</f>
        <v>29754302</v>
      </c>
      <c r="H93" s="46">
        <f>SUMIFS(表1_8612182224267288[活跃实际充值],表1_8612182224267288[目标区服],表2_9713192325277389[[#This Row],[合区区服]],表1_8612182224267288[目标国家（映射）],表2_9713192325277389[[#This Row],[国家]])</f>
        <v>167364</v>
      </c>
      <c r="I93" s="46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93" s="46">
        <f>SUMIFS(表1_8612182224267288[活跃Coin],表1_8612182224267288[目标区服],表2_9713192325277389[[#This Row],[合区区服]],表1_8612182224267288[目标国家（映射）],表2_9713192325277389[[#This Row],[国家]])</f>
        <v>443159</v>
      </c>
      <c r="K93" s="46">
        <f>SUMIFS(表1_8612182224267288[共计补偿Coin],表1_8612182224267288[目标区服],表2_9713192325277389[[#This Row],[合区区服]],表1_8612182224267288[目标国家（映射）],表2_9713192325277389[[#This Row],[国家]])</f>
        <v>32000</v>
      </c>
      <c r="L93" s="46">
        <f>表2_9713192325277389[[#This Row],[活跃Coin]]+表2_9713192325277389[[#This Row],[共计补偿Coin]]</f>
        <v>475159</v>
      </c>
      <c r="M93" s="46">
        <f>SUMIFS(表1_8612182224267288[综合国力],表1_8612182224267288[目标区服],表2_9713192325277389[[#This Row],[合区区服]],表1_8612182224267288[目标国家（映射）],表2_9713192325277389[[#This Row],[国家]])</f>
        <v>14520</v>
      </c>
      <c r="N93" s="46">
        <f t="array" ref="N93">MAX((表1_8612182224267288[目标区服]=表2_9713192325277389[[#This Row],[合区区服]])*(表1_8612182224267288[目标国家（映射）]=表2_9713192325277389[[#This Row],[国家]])*表1_8612182224267288[单将最高战力])</f>
        <v>952449</v>
      </c>
      <c r="P93" s="51">
        <v>5108</v>
      </c>
      <c r="Q93" s="51">
        <v>46</v>
      </c>
      <c r="R93" s="51" t="s">
        <v>177</v>
      </c>
      <c r="S93" s="51">
        <v>46</v>
      </c>
    </row>
    <row r="94" ht="15" spans="1:19">
      <c r="A94" s="45" t="s">
        <v>172</v>
      </c>
      <c r="B94" s="48" t="s">
        <v>27</v>
      </c>
      <c r="C94" s="48">
        <f>COUNTIFS(表1_8612182224267288[目标区服],表2_9713192325277389[[#This Row],[合区区服]],表1_8612182224267288[目标国家（映射）],表2_9713192325277389[[#This Row],[国家]])</f>
        <v>3</v>
      </c>
      <c r="D94" s="48">
        <f>SUMIFS(表1_8612182224267288[活跃高战玩家数],表1_8612182224267288[目标区服],表2_9713192325277389[[#This Row],[合区区服]],表1_8612182224267288[目标国家（映射）],表2_9713192325277389[[#This Row],[国家]])</f>
        <v>9</v>
      </c>
      <c r="E94" s="48">
        <f>SUMIFS(表1_8612182224267288[活跃中坚玩家数],表1_8612182224267288[目标区服],表2_9713192325277389[[#This Row],[合区区服]],表1_8612182224267288[目标国家（映射）],表2_9713192325277389[[#This Row],[国家]])</f>
        <v>45</v>
      </c>
      <c r="F94" s="48">
        <f t="array" ref="F94">MAX((表1_8612182224267288[目标区服]=表2_9713192325277389[[#This Row],[合区区服]])*(表1_8612182224267288[目标国家（映射）]=表2_9713192325277389[[#This Row],[国家]])*表1_8612182224267288[活跃尖端战力])</f>
        <v>2384833</v>
      </c>
      <c r="G94" s="458">
        <f>SUMIFS(表1_8612182224267288[活跃总战力],表1_8612182224267288[目标区服],表2_9713192325277389[[#This Row],[合区区服]],表1_8612182224267288[目标国家（映射）],表2_9713192325277389[[#This Row],[国家]])</f>
        <v>39954093</v>
      </c>
      <c r="H94" s="48">
        <f>SUMIFS(表1_8612182224267288[活跃实际充值],表1_8612182224267288[目标区服],表2_9713192325277389[[#This Row],[合区区服]],表1_8612182224267288[目标国家（映射）],表2_9713192325277389[[#This Row],[国家]])</f>
        <v>109330</v>
      </c>
      <c r="I94" s="48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94" s="48">
        <f>SUMIFS(表1_8612182224267288[活跃Coin],表1_8612182224267288[目标区服],表2_9713192325277389[[#This Row],[合区区服]],表1_8612182224267288[目标国家（映射）],表2_9713192325277389[[#This Row],[国家]])</f>
        <v>699567</v>
      </c>
      <c r="K94" s="48">
        <f>SUMIFS(表1_8612182224267288[共计补偿Coin],表1_8612182224267288[目标区服],表2_9713192325277389[[#This Row],[合区区服]],表1_8612182224267288[目标国家（映射）],表2_9713192325277389[[#This Row],[国家]])</f>
        <v>54000</v>
      </c>
      <c r="L94" s="48">
        <f>表2_9713192325277389[[#This Row],[活跃Coin]]+表2_9713192325277389[[#This Row],[共计补偿Coin]]</f>
        <v>753567</v>
      </c>
      <c r="M94" s="48">
        <f>SUMIFS(表1_8612182224267288[综合国力],表1_8612182224267288[目标区服],表2_9713192325277389[[#This Row],[合区区服]],表1_8612182224267288[目标国家（映射）],表2_9713192325277389[[#This Row],[国家]])</f>
        <v>19112</v>
      </c>
      <c r="N94" s="46">
        <f t="array" ref="N94">MAX((表1_8612182224267288[目标区服]=表2_9713192325277389[[#This Row],[合区区服]])*(表1_8612182224267288[目标国家（映射）]=表2_9713192325277389[[#This Row],[国家]])*表1_8612182224267288[单将最高战力])</f>
        <v>885083</v>
      </c>
      <c r="P94" s="51">
        <v>5109</v>
      </c>
      <c r="Q94" s="51">
        <v>45</v>
      </c>
      <c r="R94" s="51" t="s">
        <v>178</v>
      </c>
      <c r="S94" s="51">
        <v>45</v>
      </c>
    </row>
    <row r="95" ht="15" spans="1:19">
      <c r="A95" s="308" t="s">
        <v>173</v>
      </c>
      <c r="B95" s="224" t="s">
        <v>25</v>
      </c>
      <c r="C95" s="224">
        <f>COUNTIFS(表1_8612182224267288[目标区服],表2_9713192325277389[[#This Row],[合区区服]],表1_8612182224267288[目标国家（映射）],表2_9713192325277389[[#This Row],[国家]])</f>
        <v>2</v>
      </c>
      <c r="D95" s="224">
        <f>SUMIFS(表1_8612182224267288[活跃高战玩家数],表1_8612182224267288[目标区服],表2_9713192325277389[[#This Row],[合区区服]],表1_8612182224267288[目标国家（映射）],表2_9713192325277389[[#This Row],[国家]])</f>
        <v>8</v>
      </c>
      <c r="E95" s="224">
        <f>SUMIFS(表1_8612182224267288[活跃中坚玩家数],表1_8612182224267288[目标区服],表2_9713192325277389[[#This Row],[合区区服]],表1_8612182224267288[目标国家（映射）],表2_9713192325277389[[#This Row],[国家]])</f>
        <v>31</v>
      </c>
      <c r="F95" s="224">
        <f t="array" ref="F95">MAX((表1_8612182224267288[目标区服]=表2_9713192325277389[[#This Row],[合区区服]])*(表1_8612182224267288[目标国家（映射）]=表2_9713192325277389[[#This Row],[国家]])*表1_8612182224267288[活跃尖端战力])</f>
        <v>2858609</v>
      </c>
      <c r="G95" s="225">
        <f>SUMIFS(表1_8612182224267288[活跃总战力],表1_8612182224267288[目标区服],表2_9713192325277389[[#This Row],[合区区服]],表1_8612182224267288[目标国家（映射）],表2_9713192325277389[[#This Row],[国家]])</f>
        <v>34885821</v>
      </c>
      <c r="H95" s="224">
        <f>SUMIFS(表1_8612182224267288[活跃实际充值],表1_8612182224267288[目标区服],表2_9713192325277389[[#This Row],[合区区服]],表1_8612182224267288[目标国家（映射）],表2_9713192325277389[[#This Row],[国家]])</f>
        <v>154514</v>
      </c>
      <c r="I95" s="224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95" s="224">
        <f>SUMIFS(表1_8612182224267288[活跃Coin],表1_8612182224267288[目标区服],表2_9713192325277389[[#This Row],[合区区服]],表1_8612182224267288[目标国家（映射）],表2_9713192325277389[[#This Row],[国家]])</f>
        <v>794799</v>
      </c>
      <c r="K95" s="224">
        <f>SUMIFS(表1_8612182224267288[共计补偿Coin],表1_8612182224267288[目标区服],表2_9713192325277389[[#This Row],[合区区服]],表1_8612182224267288[目标国家（映射）],表2_9713192325277389[[#This Row],[国家]])</f>
        <v>52000</v>
      </c>
      <c r="L95" s="224">
        <f>表2_9713192325277389[[#This Row],[活跃Coin]]+表2_9713192325277389[[#This Row],[共计补偿Coin]]</f>
        <v>846799</v>
      </c>
      <c r="M95" s="224">
        <f>SUMIFS(表1_8612182224267288[综合国力],表1_8612182224267288[目标区服],表2_9713192325277389[[#This Row],[合区区服]],表1_8612182224267288[目标国家（映射）],表2_9713192325277389[[#This Row],[国家]])</f>
        <v>19410</v>
      </c>
      <c r="N95" s="471">
        <f t="array" ref="N95">MAX((表1_8612182224267288[目标区服]=表2_9713192325277389[[#This Row],[合区区服]])*(表1_8612182224267288[目标国家（映射）]=表2_9713192325277389[[#This Row],[国家]])*表1_8612182224267288[单将最高战力])</f>
        <v>919498</v>
      </c>
      <c r="P95" s="51">
        <v>5110</v>
      </c>
      <c r="Q95" s="51">
        <v>45</v>
      </c>
      <c r="R95" s="51" t="s">
        <v>179</v>
      </c>
      <c r="S95" s="51">
        <v>44</v>
      </c>
    </row>
    <row r="96" ht="15" spans="1:19">
      <c r="A96" s="308" t="s">
        <v>173</v>
      </c>
      <c r="B96" s="224" t="s">
        <v>26</v>
      </c>
      <c r="C96" s="224">
        <f>COUNTIFS(表1_8612182224267288[目标区服],表2_9713192325277389[[#This Row],[合区区服]],表1_8612182224267288[目标国家（映射）],表2_9713192325277389[[#This Row],[国家]])</f>
        <v>3</v>
      </c>
      <c r="D96" s="224">
        <f>SUMIFS(表1_8612182224267288[活跃高战玩家数],表1_8612182224267288[目标区服],表2_9713192325277389[[#This Row],[合区区服]],表1_8612182224267288[目标国家（映射）],表2_9713192325277389[[#This Row],[国家]])</f>
        <v>10</v>
      </c>
      <c r="E96" s="224">
        <f>SUMIFS(表1_8612182224267288[活跃中坚玩家数],表1_8612182224267288[目标区服],表2_9713192325277389[[#This Row],[合区区服]],表1_8612182224267288[目标国家（映射）],表2_9713192325277389[[#This Row],[国家]])</f>
        <v>43</v>
      </c>
      <c r="F96" s="224">
        <f t="array" ref="F96">MAX((表1_8612182224267288[目标区服]=表2_9713192325277389[[#This Row],[合区区服]])*(表1_8612182224267288[目标国家（映射）]=表2_9713192325277389[[#This Row],[国家]])*表1_8612182224267288[活跃尖端战力])</f>
        <v>2668550</v>
      </c>
      <c r="G96" s="225">
        <f>SUMIFS(表1_8612182224267288[活跃总战力],表1_8612182224267288[目标区服],表2_9713192325277389[[#This Row],[合区区服]],表1_8612182224267288[目标国家（映射）],表2_9713192325277389[[#This Row],[国家]])</f>
        <v>39724053</v>
      </c>
      <c r="H96" s="224">
        <f>SUMIFS(表1_8612182224267288[活跃实际充值],表1_8612182224267288[目标区服],表2_9713192325277389[[#This Row],[合区区服]],表1_8612182224267288[目标国家（映射）],表2_9713192325277389[[#This Row],[国家]])</f>
        <v>136518</v>
      </c>
      <c r="I96" s="224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96" s="224">
        <f>SUMIFS(表1_8612182224267288[活跃Coin],表1_8612182224267288[目标区服],表2_9713192325277389[[#This Row],[合区区服]],表1_8612182224267288[目标国家（映射）],表2_9713192325277389[[#This Row],[国家]])</f>
        <v>1092123</v>
      </c>
      <c r="K96" s="224">
        <f>SUMIFS(表1_8612182224267288[共计补偿Coin],表1_8612182224267288[目标区服],表2_9713192325277389[[#This Row],[合区区服]],表1_8612182224267288[目标国家（映射）],表2_9713192325277389[[#This Row],[国家]])</f>
        <v>60500</v>
      </c>
      <c r="L96" s="224">
        <f>表2_9713192325277389[[#This Row],[活跃Coin]]+表2_9713192325277389[[#This Row],[共计补偿Coin]]</f>
        <v>1152623</v>
      </c>
      <c r="M96" s="224">
        <f>SUMIFS(表1_8612182224267288[综合国力],表1_8612182224267288[目标区服],表2_9713192325277389[[#This Row],[合区区服]],表1_8612182224267288[目标国家（映射）],表2_9713192325277389[[#This Row],[国家]])</f>
        <v>21538</v>
      </c>
      <c r="N96" s="471">
        <f t="array" ref="N96">MAX((表1_8612182224267288[目标区服]=表2_9713192325277389[[#This Row],[合区区服]])*(表1_8612182224267288[目标国家（映射）]=表2_9713192325277389[[#This Row],[国家]])*表1_8612182224267288[单将最高战力])</f>
        <v>856283</v>
      </c>
      <c r="P96" s="51">
        <v>5111</v>
      </c>
      <c r="Q96" s="51">
        <v>45</v>
      </c>
      <c r="R96" s="51" t="s">
        <v>180</v>
      </c>
      <c r="S96" s="51">
        <v>44</v>
      </c>
    </row>
    <row r="97" ht="15" spans="1:19">
      <c r="A97" s="308" t="s">
        <v>173</v>
      </c>
      <c r="B97" s="224" t="s">
        <v>27</v>
      </c>
      <c r="C97" s="224">
        <f>COUNTIFS(表1_8612182224267288[目标区服],表2_9713192325277389[[#This Row],[合区区服]],表1_8612182224267288[目标国家（映射）],表2_9713192325277389[[#This Row],[国家]])</f>
        <v>4</v>
      </c>
      <c r="D97" s="224">
        <f>SUMIFS(表1_8612182224267288[活跃高战玩家数],表1_8612182224267288[目标区服],表2_9713192325277389[[#This Row],[合区区服]],表1_8612182224267288[目标国家（映射）],表2_9713192325277389[[#This Row],[国家]])</f>
        <v>12</v>
      </c>
      <c r="E97" s="224">
        <f>SUMIFS(表1_8612182224267288[活跃中坚玩家数],表1_8612182224267288[目标区服],表2_9713192325277389[[#This Row],[合区区服]],表1_8612182224267288[目标国家（映射）],表2_9713192325277389[[#This Row],[国家]])</f>
        <v>48</v>
      </c>
      <c r="F97" s="224">
        <f t="array" ref="F97">MAX((表1_8612182224267288[目标区服]=表2_9713192325277389[[#This Row],[合区区服]])*(表1_8612182224267288[目标国家（映射）]=表2_9713192325277389[[#This Row],[国家]])*表1_8612182224267288[活跃尖端战力])</f>
        <v>2397577</v>
      </c>
      <c r="G97" s="225">
        <f>SUMIFS(表1_8612182224267288[活跃总战力],表1_8612182224267288[目标区服],表2_9713192325277389[[#This Row],[合区区服]],表1_8612182224267288[目标国家（映射）],表2_9713192325277389[[#This Row],[国家]])</f>
        <v>42079395</v>
      </c>
      <c r="H97" s="224">
        <f>SUMIFS(表1_8612182224267288[活跃实际充值],表1_8612182224267288[目标区服],表2_9713192325277389[[#This Row],[合区区服]],表1_8612182224267288[目标国家（映射）],表2_9713192325277389[[#This Row],[国家]])</f>
        <v>134816</v>
      </c>
      <c r="I97" s="224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97" s="224">
        <f>SUMIFS(表1_8612182224267288[活跃Coin],表1_8612182224267288[目标区服],表2_9713192325277389[[#This Row],[合区区服]],表1_8612182224267288[目标国家（映射）],表2_9713192325277389[[#This Row],[国家]])</f>
        <v>782906</v>
      </c>
      <c r="K97" s="224">
        <f>SUMIFS(表1_8612182224267288[共计补偿Coin],表1_8612182224267288[目标区服],表2_9713192325277389[[#This Row],[合区区服]],表1_8612182224267288[目标国家（映射）],表2_9713192325277389[[#This Row],[国家]])</f>
        <v>68500</v>
      </c>
      <c r="L97" s="224">
        <f>表2_9713192325277389[[#This Row],[活跃Coin]]+表2_9713192325277389[[#This Row],[共计补偿Coin]]</f>
        <v>851406</v>
      </c>
      <c r="M97" s="224">
        <f>SUMIFS(表1_8612182224267288[综合国力],表1_8612182224267288[目标区服],表2_9713192325277389[[#This Row],[合区区服]],表1_8612182224267288[目标国家（映射）],表2_9713192325277389[[#This Row],[国家]])</f>
        <v>21731</v>
      </c>
      <c r="N97" s="471">
        <f t="array" ref="N97">MAX((表1_8612182224267288[目标区服]=表2_9713192325277389[[#This Row],[合区区服]])*(表1_8612182224267288[目标国家（映射）]=表2_9713192325277389[[#This Row],[国家]])*表1_8612182224267288[单将最高战力])</f>
        <v>842936</v>
      </c>
      <c r="P97" s="51">
        <v>5112</v>
      </c>
      <c r="Q97" s="51">
        <v>45</v>
      </c>
      <c r="R97" s="51" t="s">
        <v>181</v>
      </c>
      <c r="S97" s="51">
        <v>43</v>
      </c>
    </row>
    <row r="98" ht="15" spans="1:19">
      <c r="A98" s="414" t="s">
        <v>174</v>
      </c>
      <c r="B98" s="455" t="s">
        <v>25</v>
      </c>
      <c r="C98" s="455">
        <f>COUNTIFS(表1_8612182224267288[目标区服],表2_9713192325277389[[#This Row],[合区区服]],表1_8612182224267288[目标国家（映射）],表2_9713192325277389[[#This Row],[国家]])</f>
        <v>3</v>
      </c>
      <c r="D98" s="455">
        <f>SUMIFS(表1_8612182224267288[活跃高战玩家数],表1_8612182224267288[目标区服],表2_9713192325277389[[#This Row],[合区区服]],表1_8612182224267288[目标国家（映射）],表2_9713192325277389[[#This Row],[国家]])</f>
        <v>8</v>
      </c>
      <c r="E98" s="455">
        <f>SUMIFS(表1_8612182224267288[活跃中坚玩家数],表1_8612182224267288[目标区服],表2_9713192325277389[[#This Row],[合区区服]],表1_8612182224267288[目标国家（映射）],表2_9713192325277389[[#This Row],[国家]])</f>
        <v>49</v>
      </c>
      <c r="F98" s="455">
        <f t="array" ref="F98">MAX((表1_8612182224267288[目标区服]=表2_9713192325277389[[#This Row],[合区区服]])*(表1_8612182224267288[目标国家（映射）]=表2_9713192325277389[[#This Row],[国家]])*表1_8612182224267288[活跃尖端战力])</f>
        <v>2466413</v>
      </c>
      <c r="G98" s="456">
        <f>SUMIFS(表1_8612182224267288[活跃总战力],表1_8612182224267288[目标区服],表2_9713192325277389[[#This Row],[合区区服]],表1_8612182224267288[目标国家（映射）],表2_9713192325277389[[#This Row],[国家]])</f>
        <v>37092612</v>
      </c>
      <c r="H98" s="455">
        <f>SUMIFS(表1_8612182224267288[活跃实际充值],表1_8612182224267288[目标区服],表2_9713192325277389[[#This Row],[合区区服]],表1_8612182224267288[目标国家（映射）],表2_9713192325277389[[#This Row],[国家]])</f>
        <v>93938</v>
      </c>
      <c r="I98" s="455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98" s="455">
        <f>SUMIFS(表1_8612182224267288[活跃Coin],表1_8612182224267288[目标区服],表2_9713192325277389[[#This Row],[合区区服]],表1_8612182224267288[目标国家（映射）],表2_9713192325277389[[#This Row],[国家]])</f>
        <v>586075</v>
      </c>
      <c r="K98" s="455">
        <f>SUMIFS(表1_8612182224267288[共计补偿Coin],表1_8612182224267288[目标区服],表2_9713192325277389[[#This Row],[合区区服]],表1_8612182224267288[目标国家（映射）],表2_9713192325277389[[#This Row],[国家]])</f>
        <v>57000</v>
      </c>
      <c r="L98" s="455">
        <f>表2_9713192325277389[[#This Row],[活跃Coin]]+表2_9713192325277389[[#This Row],[共计补偿Coin]]</f>
        <v>643075</v>
      </c>
      <c r="M98" s="455">
        <f>SUMIFS(表1_8612182224267288[综合国力],表1_8612182224267288[目标区服],表2_9713192325277389[[#This Row],[合区区服]],表1_8612182224267288[目标国家（映射）],表2_9713192325277389[[#This Row],[国家]])</f>
        <v>18027</v>
      </c>
      <c r="N98" s="472">
        <f t="array" ref="N98">MAX((表1_8612182224267288[目标区服]=表2_9713192325277389[[#This Row],[合区区服]])*(表1_8612182224267288[目标国家（映射）]=表2_9713192325277389[[#This Row],[国家]])*表1_8612182224267288[单将最高战力])</f>
        <v>659314</v>
      </c>
      <c r="P98" s="51">
        <v>5113</v>
      </c>
      <c r="Q98" s="51">
        <v>44</v>
      </c>
      <c r="R98" s="51" t="s">
        <v>182</v>
      </c>
      <c r="S98" s="51">
        <v>43</v>
      </c>
    </row>
    <row r="99" ht="15" spans="1:17">
      <c r="A99" s="414" t="s">
        <v>174</v>
      </c>
      <c r="B99" s="455" t="s">
        <v>26</v>
      </c>
      <c r="C99" s="455">
        <f>COUNTIFS(表1_8612182224267288[目标区服],表2_9713192325277389[[#This Row],[合区区服]],表1_8612182224267288[目标国家（映射）],表2_9713192325277389[[#This Row],[国家]])</f>
        <v>2</v>
      </c>
      <c r="D99" s="455">
        <f>SUMIFS(表1_8612182224267288[活跃高战玩家数],表1_8612182224267288[目标区服],表2_9713192325277389[[#This Row],[合区区服]],表1_8612182224267288[目标国家（映射）],表2_9713192325277389[[#This Row],[国家]])</f>
        <v>6</v>
      </c>
      <c r="E99" s="455">
        <f>SUMIFS(表1_8612182224267288[活跃中坚玩家数],表1_8612182224267288[目标区服],表2_9713192325277389[[#This Row],[合区区服]],表1_8612182224267288[目标国家（映射）],表2_9713192325277389[[#This Row],[国家]])</f>
        <v>43</v>
      </c>
      <c r="F99" s="455">
        <f t="array" ref="F99">MAX((表1_8612182224267288[目标区服]=表2_9713192325277389[[#This Row],[合区区服]])*(表1_8612182224267288[目标国家（映射）]=表2_9713192325277389[[#This Row],[国家]])*表1_8612182224267288[活跃尖端战力])</f>
        <v>3794635</v>
      </c>
      <c r="G99" s="456">
        <f>SUMIFS(表1_8612182224267288[活跃总战力],表1_8612182224267288[目标区服],表2_9713192325277389[[#This Row],[合区区服]],表1_8612182224267288[目标国家（映射）],表2_9713192325277389[[#This Row],[国家]])</f>
        <v>39869473</v>
      </c>
      <c r="H99" s="455">
        <f>SUMIFS(表1_8612182224267288[活跃实际充值],表1_8612182224267288[目标区服],表2_9713192325277389[[#This Row],[合区区服]],表1_8612182224267288[目标国家（映射）],表2_9713192325277389[[#This Row],[国家]])</f>
        <v>139370</v>
      </c>
      <c r="I99" s="455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99" s="455">
        <f>SUMIFS(表1_8612182224267288[活跃Coin],表1_8612182224267288[目标区服],表2_9713192325277389[[#This Row],[合区区服]],表1_8612182224267288[目标国家（映射）],表2_9713192325277389[[#This Row],[国家]])</f>
        <v>1237037</v>
      </c>
      <c r="K99" s="455">
        <f>SUMIFS(表1_8612182224267288[共计补偿Coin],表1_8612182224267288[目标区服],表2_9713192325277389[[#This Row],[合区区服]],表1_8612182224267288[目标国家（映射）],表2_9713192325277389[[#This Row],[国家]])</f>
        <v>49000</v>
      </c>
      <c r="L99" s="455">
        <f>表2_9713192325277389[[#This Row],[活跃Coin]]+表2_9713192325277389[[#This Row],[共计补偿Coin]]</f>
        <v>1286037</v>
      </c>
      <c r="M99" s="455">
        <f>SUMIFS(表1_8612182224267288[综合国力],表1_8612182224267288[目标区服],表2_9713192325277389[[#This Row],[合区区服]],表1_8612182224267288[目标国家（映射）],表2_9713192325277389[[#This Row],[国家]])</f>
        <v>17826</v>
      </c>
      <c r="N99" s="472">
        <f t="array" ref="N99">MAX((表1_8612182224267288[目标区服]=表2_9713192325277389[[#This Row],[合区区服]])*(表1_8612182224267288[目标国家（映射）]=表2_9713192325277389[[#This Row],[国家]])*表1_8612182224267288[单将最高战力])</f>
        <v>1104662</v>
      </c>
      <c r="P99" s="51">
        <v>5114</v>
      </c>
      <c r="Q99" s="51">
        <v>44</v>
      </c>
    </row>
    <row r="100" ht="15" spans="1:17">
      <c r="A100" s="414" t="s">
        <v>174</v>
      </c>
      <c r="B100" s="457" t="s">
        <v>27</v>
      </c>
      <c r="C100" s="457">
        <f>COUNTIFS(表1_8612182224267288[目标区服],表2_9713192325277389[[#This Row],[合区区服]],表1_8612182224267288[目标国家（映射）],表2_9713192325277389[[#This Row],[国家]])</f>
        <v>1</v>
      </c>
      <c r="D100" s="457">
        <f>SUMIFS(表1_8612182224267288[活跃高战玩家数],表1_8612182224267288[目标区服],表2_9713192325277389[[#This Row],[合区区服]],表1_8612182224267288[目标国家（映射）],表2_9713192325277389[[#This Row],[国家]])</f>
        <v>6</v>
      </c>
      <c r="E100" s="457">
        <f>SUMIFS(表1_8612182224267288[活跃中坚玩家数],表1_8612182224267288[目标区服],表2_9713192325277389[[#This Row],[合区区服]],表1_8612182224267288[目标国家（映射）],表2_9713192325277389[[#This Row],[国家]])</f>
        <v>25</v>
      </c>
      <c r="F100" s="455">
        <f t="array" ref="F100">MAX((表1_8612182224267288[目标区服]=表2_9713192325277389[[#This Row],[合区区服]])*(表1_8612182224267288[目标国家（映射）]=表2_9713192325277389[[#This Row],[国家]])*表1_8612182224267288[活跃尖端战力])</f>
        <v>3698067</v>
      </c>
      <c r="G100" s="456">
        <f>SUMIFS(表1_8612182224267288[活跃总战力],表1_8612182224267288[目标区服],表2_9713192325277389[[#This Row],[合区区服]],表1_8612182224267288[目标国家（映射）],表2_9713192325277389[[#This Row],[国家]])</f>
        <v>29299564</v>
      </c>
      <c r="H100" s="455">
        <f>SUMIFS(表1_8612182224267288[活跃实际充值],表1_8612182224267288[目标区服],表2_9713192325277389[[#This Row],[合区区服]],表1_8612182224267288[目标国家（映射）],表2_9713192325277389[[#This Row],[国家]])</f>
        <v>163508</v>
      </c>
      <c r="I100" s="455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100" s="455">
        <f>SUMIFS(表1_8612182224267288[活跃Coin],表1_8612182224267288[目标区服],表2_9713192325277389[[#This Row],[合区区服]],表1_8612182224267288[目标国家（映射）],表2_9713192325277389[[#This Row],[国家]])</f>
        <v>596772</v>
      </c>
      <c r="K100" s="455">
        <f>SUMIFS(表1_8612182224267288[共计补偿Coin],表1_8612182224267288[目标区服],表2_9713192325277389[[#This Row],[合区区服]],表1_8612182224267288[目标国家（映射）],表2_9713192325277389[[#This Row],[国家]])</f>
        <v>31000</v>
      </c>
      <c r="L100" s="455">
        <f>表2_9713192325277389[[#This Row],[活跃Coin]]+表2_9713192325277389[[#This Row],[共计补偿Coin]]</f>
        <v>627772</v>
      </c>
      <c r="M100" s="455">
        <f>SUMIFS(表1_8612182224267288[综合国力],表1_8612182224267288[目标区服],表2_9713192325277389[[#This Row],[合区区服]],表1_8612182224267288[目标国家（映射）],表2_9713192325277389[[#This Row],[国家]])</f>
        <v>14974</v>
      </c>
      <c r="N100" s="472">
        <f t="array" ref="N100">MAX((表1_8612182224267288[目标区服]=表2_9713192325277389[[#This Row],[合区区服]])*(表1_8612182224267288[目标国家（映射）]=表2_9713192325277389[[#This Row],[国家]])*表1_8612182224267288[单将最高战力])</f>
        <v>1104137</v>
      </c>
      <c r="P100" s="51">
        <v>5115</v>
      </c>
      <c r="Q100" s="51">
        <v>44</v>
      </c>
    </row>
    <row r="101" ht="15" spans="1:17">
      <c r="A101" s="177" t="s">
        <v>175</v>
      </c>
      <c r="B101" s="178" t="s">
        <v>25</v>
      </c>
      <c r="C101" s="178">
        <f>COUNTIFS(表1_8612182224267288[目标区服],表2_9713192325277389[[#This Row],[合区区服]],表1_8612182224267288[目标国家（映射）],表2_9713192325277389[[#This Row],[国家]])</f>
        <v>1</v>
      </c>
      <c r="D101" s="178">
        <f>SUMIFS(表1_8612182224267288[活跃高战玩家数],表1_8612182224267288[目标区服],表2_9713192325277389[[#This Row],[合区区服]],表1_8612182224267288[目标国家（映射）],表2_9713192325277389[[#This Row],[国家]])</f>
        <v>7</v>
      </c>
      <c r="E101" s="178">
        <f>SUMIFS(表1_8612182224267288[活跃中坚玩家数],表1_8612182224267288[目标区服],表2_9713192325277389[[#This Row],[合区区服]],表1_8612182224267288[目标国家（映射）],表2_9713192325277389[[#This Row],[国家]])</f>
        <v>28</v>
      </c>
      <c r="F101" s="178">
        <f t="array" ref="F101">MAX((表1_8612182224267288[目标区服]=表2_9713192325277389[[#This Row],[合区区服]])*(表1_8612182224267288[目标国家（映射）]=表2_9713192325277389[[#This Row],[国家]])*表1_8612182224267288[活跃尖端战力])</f>
        <v>2980678</v>
      </c>
      <c r="G101" s="179">
        <f>SUMIFS(表1_8612182224267288[活跃总战力],表1_8612182224267288[目标区服],表2_9713192325277389[[#This Row],[合区区服]],表1_8612182224267288[目标国家（映射）],表2_9713192325277389[[#This Row],[国家]])</f>
        <v>31811847</v>
      </c>
      <c r="H101" s="178">
        <f>SUMIFS(表1_8612182224267288[活跃实际充值],表1_8612182224267288[目标区服],表2_9713192325277389[[#This Row],[合区区服]],表1_8612182224267288[目标国家（映射）],表2_9713192325277389[[#This Row],[国家]])</f>
        <v>143326</v>
      </c>
      <c r="I101" s="178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101" s="178">
        <f>SUMIFS(表1_8612182224267288[活跃Coin],表1_8612182224267288[目标区服],表2_9713192325277389[[#This Row],[合区区服]],表1_8612182224267288[目标国家（映射）],表2_9713192325277389[[#This Row],[国家]])</f>
        <v>1194713</v>
      </c>
      <c r="K101" s="178">
        <f>SUMIFS(表1_8612182224267288[共计补偿Coin],表1_8612182224267288[目标区服],表2_9713192325277389[[#This Row],[合区区服]],表1_8612182224267288[目标国家（映射）],表2_9713192325277389[[#This Row],[国家]])</f>
        <v>52500</v>
      </c>
      <c r="L101" s="178">
        <f>表2_9713192325277389[[#This Row],[活跃Coin]]+表2_9713192325277389[[#This Row],[共计补偿Coin]]</f>
        <v>1247213</v>
      </c>
      <c r="M101" s="178">
        <f>SUMIFS(表1_8612182224267288[综合国力],表1_8612182224267288[目标区服],表2_9713192325277389[[#This Row],[合区区服]],表1_8612182224267288[目标国家（映射）],表2_9713192325277389[[#This Row],[国家]])</f>
        <v>15860</v>
      </c>
      <c r="N101" s="473">
        <f t="array" ref="N101">MAX((表1_8612182224267288[目标区服]=表2_9713192325277389[[#This Row],[合区区服]])*(表1_8612182224267288[目标国家（映射）]=表2_9713192325277389[[#This Row],[国家]])*表1_8612182224267288[单将最高战力])</f>
        <v>816344</v>
      </c>
      <c r="P101" s="51">
        <v>5116</v>
      </c>
      <c r="Q101" s="51">
        <v>44</v>
      </c>
    </row>
    <row r="102" ht="15" spans="1:17">
      <c r="A102" s="177" t="s">
        <v>175</v>
      </c>
      <c r="B102" s="178" t="s">
        <v>26</v>
      </c>
      <c r="C102" s="178">
        <f>COUNTIFS(表1_8612182224267288[目标区服],表2_9713192325277389[[#This Row],[合区区服]],表1_8612182224267288[目标国家（映射）],表2_9713192325277389[[#This Row],[国家]])</f>
        <v>1</v>
      </c>
      <c r="D102" s="178">
        <f>SUMIFS(表1_8612182224267288[活跃高战玩家数],表1_8612182224267288[目标区服],表2_9713192325277389[[#This Row],[合区区服]],表1_8612182224267288[目标国家（映射）],表2_9713192325277389[[#This Row],[国家]])</f>
        <v>7</v>
      </c>
      <c r="E102" s="178">
        <f>SUMIFS(表1_8612182224267288[活跃中坚玩家数],表1_8612182224267288[目标区服],表2_9713192325277389[[#This Row],[合区区服]],表1_8612182224267288[目标国家（映射）],表2_9713192325277389[[#This Row],[国家]])</f>
        <v>20</v>
      </c>
      <c r="F102" s="178">
        <f t="array" ref="F102">MAX((表1_8612182224267288[目标区服]=表2_9713192325277389[[#This Row],[合区区服]])*(表1_8612182224267288[目标国家（映射）]=表2_9713192325277389[[#This Row],[国家]])*表1_8612182224267288[活跃尖端战力])</f>
        <v>3795090</v>
      </c>
      <c r="G102" s="179">
        <f>SUMIFS(表1_8612182224267288[活跃总战力],表1_8612182224267288[目标区服],表2_9713192325277389[[#This Row],[合区区服]],表1_8612182224267288[目标国家（映射）],表2_9713192325277389[[#This Row],[国家]])</f>
        <v>26853558</v>
      </c>
      <c r="H102" s="178">
        <f>SUMIFS(表1_8612182224267288[活跃实际充值],表1_8612182224267288[目标区服],表2_9713192325277389[[#This Row],[合区区服]],表1_8612182224267288[目标国家（映射）],表2_9713192325277389[[#This Row],[国家]])</f>
        <v>157842</v>
      </c>
      <c r="I102" s="178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102" s="178">
        <f>SUMIFS(表1_8612182224267288[活跃Coin],表1_8612182224267288[目标区服],表2_9713192325277389[[#This Row],[合区区服]],表1_8612182224267288[目标国家（映射）],表2_9713192325277389[[#This Row],[国家]])</f>
        <v>1122619</v>
      </c>
      <c r="K102" s="178">
        <f>SUMIFS(表1_8612182224267288[共计补偿Coin],表1_8612182224267288[目标区服],表2_9713192325277389[[#This Row],[合区区服]],表1_8612182224267288[目标国家（映射）],表2_9713192325277389[[#This Row],[国家]])</f>
        <v>27000</v>
      </c>
      <c r="L102" s="178">
        <f>表2_9713192325277389[[#This Row],[活跃Coin]]+表2_9713192325277389[[#This Row],[共计补偿Coin]]</f>
        <v>1149619</v>
      </c>
      <c r="M102" s="178">
        <f>SUMIFS(表1_8612182224267288[综合国力],表1_8612182224267288[目标区服],表2_9713192325277389[[#This Row],[合区区服]],表1_8612182224267288[目标国家（映射）],表2_9713192325277389[[#This Row],[国家]])</f>
        <v>16767</v>
      </c>
      <c r="N102" s="473">
        <f t="array" ref="N102">MAX((表1_8612182224267288[目标区服]=表2_9713192325277389[[#This Row],[合区区服]])*(表1_8612182224267288[目标国家（映射）]=表2_9713192325277389[[#This Row],[国家]])*表1_8612182224267288[单将最高战力])</f>
        <v>932852</v>
      </c>
      <c r="P102" s="51">
        <v>5117</v>
      </c>
      <c r="Q102" s="51">
        <v>43</v>
      </c>
    </row>
    <row r="103" ht="15" spans="1:17">
      <c r="A103" s="177" t="s">
        <v>175</v>
      </c>
      <c r="B103" s="180" t="s">
        <v>27</v>
      </c>
      <c r="C103" s="180">
        <f>COUNTIFS(表1_8612182224267288[目标区服],表2_9713192325277389[[#This Row],[合区区服]],表1_8612182224267288[目标国家（映射）],表2_9713192325277389[[#This Row],[国家]])</f>
        <v>4</v>
      </c>
      <c r="D103" s="180">
        <f>SUMIFS(表1_8612182224267288[活跃高战玩家数],表1_8612182224267288[目标区服],表2_9713192325277389[[#This Row],[合区区服]],表1_8612182224267288[目标国家（映射）],表2_9713192325277389[[#This Row],[国家]])</f>
        <v>6</v>
      </c>
      <c r="E103" s="180">
        <f>SUMIFS(表1_8612182224267288[活跃中坚玩家数],表1_8612182224267288[目标区服],表2_9713192325277389[[#This Row],[合区区服]],表1_8612182224267288[目标国家（映射）],表2_9713192325277389[[#This Row],[国家]])</f>
        <v>50</v>
      </c>
      <c r="F103" s="180">
        <f t="array" ref="F103">MAX((表1_8612182224267288[目标区服]=表2_9713192325277389[[#This Row],[合区区服]])*(表1_8612182224267288[目标国家（映射）]=表2_9713192325277389[[#This Row],[国家]])*表1_8612182224267288[活跃尖端战力])</f>
        <v>1953167</v>
      </c>
      <c r="G103" s="262">
        <f>SUMIFS(表1_8612182224267288[活跃总战力],表1_8612182224267288[目标区服],表2_9713192325277389[[#This Row],[合区区服]],表1_8612182224267288[目标国家（映射）],表2_9713192325277389[[#This Row],[国家]])</f>
        <v>30572280</v>
      </c>
      <c r="H103" s="180">
        <f>SUMIFS(表1_8612182224267288[活跃实际充值],表1_8612182224267288[目标区服],表2_9713192325277389[[#This Row],[合区区服]],表1_8612182224267288[目标国家（映射）],表2_9713192325277389[[#This Row],[国家]])</f>
        <v>67530</v>
      </c>
      <c r="I103" s="180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103" s="180">
        <f>SUMIFS(表1_8612182224267288[活跃Coin],表1_8612182224267288[目标区服],表2_9713192325277389[[#This Row],[合区区服]],表1_8612182224267288[目标国家（映射）],表2_9713192325277389[[#This Row],[国家]])</f>
        <v>684223</v>
      </c>
      <c r="K103" s="180">
        <f>SUMIFS(表1_8612182224267288[共计补偿Coin],表1_8612182224267288[目标区服],表2_9713192325277389[[#This Row],[合区区服]],表1_8612182224267288[目标国家（映射）],表2_9713192325277389[[#This Row],[国家]])</f>
        <v>69000</v>
      </c>
      <c r="L103" s="180">
        <f>表2_9713192325277389[[#This Row],[活跃Coin]]+表2_9713192325277389[[#This Row],[共计补偿Coin]]</f>
        <v>753223</v>
      </c>
      <c r="M103" s="180">
        <f>SUMIFS(表1_8612182224267288[综合国力],表1_8612182224267288[目标区服],表2_9713192325277389[[#This Row],[合区区服]],表1_8612182224267288[目标国家（映射）],表2_9713192325277389[[#This Row],[国家]])</f>
        <v>13273</v>
      </c>
      <c r="N103" s="474">
        <f t="array" ref="N103">MAX((表1_8612182224267288[目标区服]=表2_9713192325277389[[#This Row],[合区区服]])*(表1_8612182224267288[目标国家（映射）]=表2_9713192325277389[[#This Row],[国家]])*表1_8612182224267288[单将最高战力])</f>
        <v>558347</v>
      </c>
      <c r="P103" s="51">
        <v>5118</v>
      </c>
      <c r="Q103" s="51">
        <v>43</v>
      </c>
    </row>
    <row r="104" ht="15" spans="1:17">
      <c r="A104" s="39" t="s">
        <v>176</v>
      </c>
      <c r="B104" s="39" t="s">
        <v>25</v>
      </c>
      <c r="C104" s="39">
        <f>COUNTIFS(表1_8612182224267288[目标区服],表2_9713192325277389[[#This Row],[合区区服]],表1_8612182224267288[目标国家（映射）],表2_9713192325277389[[#This Row],[国家]])</f>
        <v>1</v>
      </c>
      <c r="D104" s="39">
        <f>SUMIFS(表1_8612182224267288[活跃高战玩家数],表1_8612182224267288[目标区服],表2_9713192325277389[[#This Row],[合区区服]],表1_8612182224267288[目标国家（映射）],表2_9713192325277389[[#This Row],[国家]])</f>
        <v>10</v>
      </c>
      <c r="E104" s="39">
        <f>SUMIFS(表1_8612182224267288[活跃中坚玩家数],表1_8612182224267288[目标区服],表2_9713192325277389[[#This Row],[合区区服]],表1_8612182224267288[目标国家（映射）],表2_9713192325277389[[#This Row],[国家]])</f>
        <v>15</v>
      </c>
      <c r="F104" s="39">
        <f t="array" ref="F104">MAX((表1_8612182224267288[目标区服]=表2_9713192325277389[[#This Row],[合区区服]])*(表1_8612182224267288[目标国家（映射）]=表2_9713192325277389[[#This Row],[国家]])*表1_8612182224267288[活跃尖端战力])</f>
        <v>2463582</v>
      </c>
      <c r="G104" s="40">
        <f>SUMIFS(表1_8612182224267288[活跃总战力],表1_8612182224267288[目标区服],表2_9713192325277389[[#This Row],[合区区服]],表1_8612182224267288[目标国家（映射）],表2_9713192325277389[[#This Row],[国家]])</f>
        <v>21602837</v>
      </c>
      <c r="H104" s="39">
        <f>SUMIFS(表1_8612182224267288[活跃实际充值],表1_8612182224267288[目标区服],表2_9713192325277389[[#This Row],[合区区服]],表1_8612182224267288[目标国家（映射）],表2_9713192325277389[[#This Row],[国家]])</f>
        <v>86144</v>
      </c>
      <c r="I104" s="39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104" s="39">
        <f>SUMIFS(表1_8612182224267288[活跃Coin],表1_8612182224267288[目标区服],表2_9713192325277389[[#This Row],[合区区服]],表1_8612182224267288[目标国家（映射）],表2_9713192325277389[[#This Row],[国家]])</f>
        <v>660575</v>
      </c>
      <c r="K104" s="39">
        <f>SUMIFS(表1_8612182224267288[共计补偿Coin],表1_8612182224267288[目标区服],表2_9713192325277389[[#This Row],[合区区服]],表1_8612182224267288[目标国家（映射）],表2_9713192325277389[[#This Row],[国家]])</f>
        <v>25000</v>
      </c>
      <c r="L104" s="39">
        <f>表2_9713192325277389[[#This Row],[活跃Coin]]+表2_9713192325277389[[#This Row],[共计补偿Coin]]</f>
        <v>685575</v>
      </c>
      <c r="M104" s="39">
        <f>SUMIFS(表1_8612182224267288[综合国力],表1_8612182224267288[目标区服],表2_9713192325277389[[#This Row],[合区区服]],表1_8612182224267288[目标国家（映射）],表2_9713192325277389[[#This Row],[国家]])</f>
        <v>12166</v>
      </c>
      <c r="N104" s="39">
        <f t="array" ref="N104">MAX((表1_8612182224267288[目标区服]=表2_9713192325277389[[#This Row],[合区区服]])*(表1_8612182224267288[目标国家（映射）]=表2_9713192325277389[[#This Row],[国家]])*表1_8612182224267288[单将最高战力])</f>
        <v>724182</v>
      </c>
      <c r="P104" s="51">
        <v>5119</v>
      </c>
      <c r="Q104" s="51">
        <v>43</v>
      </c>
    </row>
    <row r="105" ht="15" spans="1:17">
      <c r="A105" s="39" t="s">
        <v>176</v>
      </c>
      <c r="B105" s="39" t="s">
        <v>26</v>
      </c>
      <c r="C105" s="39">
        <f>COUNTIFS(表1_8612182224267288[目标区服],表2_9713192325277389[[#This Row],[合区区服]],表1_8612182224267288[目标国家（映射）],表2_9713192325277389[[#This Row],[国家]])</f>
        <v>2</v>
      </c>
      <c r="D105" s="39">
        <f>SUMIFS(表1_8612182224267288[活跃高战玩家数],表1_8612182224267288[目标区服],表2_9713192325277389[[#This Row],[合区区服]],表1_8612182224267288[目标国家（映射）],表2_9713192325277389[[#This Row],[国家]])</f>
        <v>6</v>
      </c>
      <c r="E105" s="39">
        <f>SUMIFS(表1_8612182224267288[活跃中坚玩家数],表1_8612182224267288[目标区服],表2_9713192325277389[[#This Row],[合区区服]],表1_8612182224267288[目标国家（映射）],表2_9713192325277389[[#This Row],[国家]])</f>
        <v>41</v>
      </c>
      <c r="F105" s="39">
        <f t="array" ref="F105">MAX((表1_8612182224267288[目标区服]=表2_9713192325277389[[#This Row],[合区区服]])*(表1_8612182224267288[目标国家（映射）]=表2_9713192325277389[[#This Row],[国家]])*表1_8612182224267288[活跃尖端战力])</f>
        <v>2771863</v>
      </c>
      <c r="G105" s="40">
        <f>SUMIFS(表1_8612182224267288[活跃总战力],表1_8612182224267288[目标区服],表2_9713192325277389[[#This Row],[合区区服]],表1_8612182224267288[目标国家（映射）],表2_9713192325277389[[#This Row],[国家]])</f>
        <v>33074189</v>
      </c>
      <c r="H105" s="39">
        <f>SUMIFS(表1_8612182224267288[活跃实际充值],表1_8612182224267288[目标区服],表2_9713192325277389[[#This Row],[合区区服]],表1_8612182224267288[目标国家（映射）],表2_9713192325277389[[#This Row],[国家]])</f>
        <v>73132</v>
      </c>
      <c r="I105" s="39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105" s="39">
        <f>SUMIFS(表1_8612182224267288[活跃Coin],表1_8612182224267288[目标区服],表2_9713192325277389[[#This Row],[合区区服]],表1_8612182224267288[目标国家（映射）],表2_9713192325277389[[#This Row],[国家]])</f>
        <v>547602</v>
      </c>
      <c r="K105" s="39">
        <f>SUMIFS(表1_8612182224267288[共计补偿Coin],表1_8612182224267288[目标区服],表2_9713192325277389[[#This Row],[合区区服]],表1_8612182224267288[目标国家（映射）],表2_9713192325277389[[#This Row],[国家]])</f>
        <v>47000</v>
      </c>
      <c r="L105" s="39">
        <f>表2_9713192325277389[[#This Row],[活跃Coin]]+表2_9713192325277389[[#This Row],[共计补偿Coin]]</f>
        <v>594602</v>
      </c>
      <c r="M105" s="39">
        <f>SUMIFS(表1_8612182224267288[综合国力],表1_8612182224267288[目标区服],表2_9713192325277389[[#This Row],[合区区服]],表1_8612182224267288[目标国家（映射）],表2_9713192325277389[[#This Row],[国家]])</f>
        <v>14496</v>
      </c>
      <c r="N105" s="39">
        <f t="array" ref="N105">MAX((表1_8612182224267288[目标区服]=表2_9713192325277389[[#This Row],[合区区服]])*(表1_8612182224267288[目标国家（映射）]=表2_9713192325277389[[#This Row],[国家]])*表1_8612182224267288[单将最高战力])</f>
        <v>751510</v>
      </c>
      <c r="P105" s="51">
        <v>5120</v>
      </c>
      <c r="Q105" s="51">
        <v>42</v>
      </c>
    </row>
    <row r="106" ht="15" spans="1:17">
      <c r="A106" s="39" t="s">
        <v>176</v>
      </c>
      <c r="B106" s="39" t="s">
        <v>27</v>
      </c>
      <c r="C106" s="39">
        <f>COUNTIFS(表1_8612182224267288[目标区服],表2_9713192325277389[[#This Row],[合区区服]],表1_8612182224267288[目标国家（映射）],表2_9713192325277389[[#This Row],[国家]])</f>
        <v>3</v>
      </c>
      <c r="D106" s="39">
        <f>SUMIFS(表1_8612182224267288[活跃高战玩家数],表1_8612182224267288[目标区服],表2_9713192325277389[[#This Row],[合区区服]],表1_8612182224267288[目标国家（映射）],表2_9713192325277389[[#This Row],[国家]])</f>
        <v>3</v>
      </c>
      <c r="E106" s="39">
        <f>SUMIFS(表1_8612182224267288[活跃中坚玩家数],表1_8612182224267288[目标区服],表2_9713192325277389[[#This Row],[合区区服]],表1_8612182224267288[目标国家（映射）],表2_9713192325277389[[#This Row],[国家]])</f>
        <v>57</v>
      </c>
      <c r="F106" s="39">
        <f t="array" ref="F106">MAX((表1_8612182224267288[目标区服]=表2_9713192325277389[[#This Row],[合区区服]])*(表1_8612182224267288[目标国家（映射）]=表2_9713192325277389[[#This Row],[国家]])*表1_8612182224267288[活跃尖端战力])</f>
        <v>1993685</v>
      </c>
      <c r="G106" s="40">
        <f>SUMIFS(表1_8612182224267288[活跃总战力],表1_8612182224267288[目标区服],表2_9713192325277389[[#This Row],[合区区服]],表1_8612182224267288[目标国家（映射）],表2_9713192325277389[[#This Row],[国家]])</f>
        <v>31496868</v>
      </c>
      <c r="H106" s="39">
        <f>SUMIFS(表1_8612182224267288[活跃实际充值],表1_8612182224267288[目标区服],表2_9713192325277389[[#This Row],[合区区服]],表1_8612182224267288[目标国家（映射）],表2_9713192325277389[[#This Row],[国家]])</f>
        <v>70828</v>
      </c>
      <c r="I106" s="39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106" s="39">
        <f>SUMIFS(表1_8612182224267288[活跃Coin],表1_8612182224267288[目标区服],表2_9713192325277389[[#This Row],[合区区服]],表1_8612182224267288[目标国家（映射）],表2_9713192325277389[[#This Row],[国家]])</f>
        <v>524634</v>
      </c>
      <c r="K106" s="39">
        <f>SUMIFS(表1_8612182224267288[共计补偿Coin],表1_8612182224267288[目标区服],表2_9713192325277389[[#This Row],[合区区服]],表1_8612182224267288[目标国家（映射）],表2_9713192325277389[[#This Row],[国家]])</f>
        <v>60000</v>
      </c>
      <c r="L106" s="39">
        <f>表2_9713192325277389[[#This Row],[活跃Coin]]+表2_9713192325277389[[#This Row],[共计补偿Coin]]</f>
        <v>584634</v>
      </c>
      <c r="M106" s="39">
        <f>SUMIFS(表1_8612182224267288[综合国力],表1_8612182224267288[目标区服],表2_9713192325277389[[#This Row],[合区区服]],表1_8612182224267288[目标国家（映射）],表2_9713192325277389[[#This Row],[国家]])</f>
        <v>13133</v>
      </c>
      <c r="N106" s="39">
        <f t="array" ref="N106">MAX((表1_8612182224267288[目标区服]=表2_9713192325277389[[#This Row],[合区区服]])*(表1_8612182224267288[目标国家（映射）]=表2_9713192325277389[[#This Row],[国家]])*表1_8612182224267288[单将最高战力])</f>
        <v>682896</v>
      </c>
      <c r="P106" s="51">
        <v>5121</v>
      </c>
      <c r="Q106" s="51">
        <v>42</v>
      </c>
    </row>
    <row r="107" ht="15" spans="1:17">
      <c r="A107" s="41" t="s">
        <v>177</v>
      </c>
      <c r="B107" s="41" t="s">
        <v>25</v>
      </c>
      <c r="C107" s="41">
        <f>COUNTIFS(表1_8612182224267288[目标区服],表2_9713192325277389[[#This Row],[合区区服]],表1_8612182224267288[目标国家（映射）],表2_9713192325277389[[#This Row],[国家]])</f>
        <v>2</v>
      </c>
      <c r="D107" s="41">
        <f>SUMIFS(表1_8612182224267288[活跃高战玩家数],表1_8612182224267288[目标区服],表2_9713192325277389[[#This Row],[合区区服]],表1_8612182224267288[目标国家（映射）],表2_9713192325277389[[#This Row],[国家]])</f>
        <v>6</v>
      </c>
      <c r="E107" s="41">
        <f>SUMIFS(表1_8612182224267288[活跃中坚玩家数],表1_8612182224267288[目标区服],表2_9713192325277389[[#This Row],[合区区服]],表1_8612182224267288[目标国家（映射）],表2_9713192325277389[[#This Row],[国家]])</f>
        <v>43</v>
      </c>
      <c r="F107" s="41">
        <f t="array" ref="F107">MAX((表1_8612182224267288[目标区服]=表2_9713192325277389[[#This Row],[合区区服]])*(表1_8612182224267288[目标国家（映射）]=表2_9713192325277389[[#This Row],[国家]])*表1_8612182224267288[活跃尖端战力])</f>
        <v>2251472</v>
      </c>
      <c r="G107" s="42">
        <f>SUMIFS(表1_8612182224267288[活跃总战力],表1_8612182224267288[目标区服],表2_9713192325277389[[#This Row],[合区区服]],表1_8612182224267288[目标国家（映射）],表2_9713192325277389[[#This Row],[国家]])</f>
        <v>33320752</v>
      </c>
      <c r="H107" s="41">
        <f>SUMIFS(表1_8612182224267288[活跃实际充值],表1_8612182224267288[目标区服],表2_9713192325277389[[#This Row],[合区区服]],表1_8612182224267288[目标国家（映射）],表2_9713192325277389[[#This Row],[国家]])</f>
        <v>88602</v>
      </c>
      <c r="I107" s="41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107" s="41">
        <f>SUMIFS(表1_8612182224267288[活跃Coin],表1_8612182224267288[目标区服],表2_9713192325277389[[#This Row],[合区区服]],表1_8612182224267288[目标国家（映射）],表2_9713192325277389[[#This Row],[国家]])</f>
        <v>813952</v>
      </c>
      <c r="K107" s="41">
        <f>SUMIFS(表1_8612182224267288[共计补偿Coin],表1_8612182224267288[目标区服],表2_9713192325277389[[#This Row],[合区区服]],表1_8612182224267288[目标国家（映射）],表2_9713192325277389[[#This Row],[国家]])</f>
        <v>63500</v>
      </c>
      <c r="L107" s="41">
        <f>表2_9713192325277389[[#This Row],[活跃Coin]]+表2_9713192325277389[[#This Row],[共计补偿Coin]]</f>
        <v>877452</v>
      </c>
      <c r="M107" s="41">
        <f>SUMIFS(表1_8612182224267288[综合国力],表1_8612182224267288[目标区服],表2_9713192325277389[[#This Row],[合区区服]],表1_8612182224267288[目标国家（映射）],表2_9713192325277389[[#This Row],[国家]])</f>
        <v>15344</v>
      </c>
      <c r="N107" s="41">
        <f t="array" ref="N107">MAX((表1_8612182224267288[目标区服]=表2_9713192325277389[[#This Row],[合区区服]])*(表1_8612182224267288[目标国家（映射）]=表2_9713192325277389[[#This Row],[国家]])*表1_8612182224267288[单将最高战力])</f>
        <v>692285</v>
      </c>
      <c r="P107" s="51">
        <v>5122</v>
      </c>
      <c r="Q107" s="51">
        <v>42</v>
      </c>
    </row>
    <row r="108" ht="15" spans="1:17">
      <c r="A108" s="41" t="s">
        <v>177</v>
      </c>
      <c r="B108" s="41" t="s">
        <v>26</v>
      </c>
      <c r="C108" s="41">
        <f>COUNTIFS(表1_8612182224267288[目标区服],表2_9713192325277389[[#This Row],[合区区服]],表1_8612182224267288[目标国家（映射）],表2_9713192325277389[[#This Row],[国家]])</f>
        <v>2</v>
      </c>
      <c r="D108" s="41">
        <f>SUMIFS(表1_8612182224267288[活跃高战玩家数],表1_8612182224267288[目标区服],表2_9713192325277389[[#This Row],[合区区服]],表1_8612182224267288[目标国家（映射）],表2_9713192325277389[[#This Row],[国家]])</f>
        <v>10</v>
      </c>
      <c r="E108" s="41">
        <f>SUMIFS(表1_8612182224267288[活跃中坚玩家数],表1_8612182224267288[目标区服],表2_9713192325277389[[#This Row],[合区区服]],表1_8612182224267288[目标国家（映射）],表2_9713192325277389[[#This Row],[国家]])</f>
        <v>45</v>
      </c>
      <c r="F108" s="41">
        <f t="array" ref="F108">MAX((表1_8612182224267288[目标区服]=表2_9713192325277389[[#This Row],[合区区服]])*(表1_8612182224267288[目标国家（映射）]=表2_9713192325277389[[#This Row],[国家]])*表1_8612182224267288[活跃尖端战力])</f>
        <v>3104583</v>
      </c>
      <c r="G108" s="42">
        <f>SUMIFS(表1_8612182224267288[活跃总战力],表1_8612182224267288[目标区服],表2_9713192325277389[[#This Row],[合区区服]],表1_8612182224267288[目标国家（映射）],表2_9713192325277389[[#This Row],[国家]])</f>
        <v>45234908</v>
      </c>
      <c r="H108" s="41">
        <f>SUMIFS(表1_8612182224267288[活跃实际充值],表1_8612182224267288[目标区服],表2_9713192325277389[[#This Row],[合区区服]],表1_8612182224267288[目标国家（映射）],表2_9713192325277389[[#This Row],[国家]])</f>
        <v>120174</v>
      </c>
      <c r="I108" s="41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108" s="41">
        <f>SUMIFS(表1_8612182224267288[活跃Coin],表1_8612182224267288[目标区服],表2_9713192325277389[[#This Row],[合区区服]],表1_8612182224267288[目标国家（映射）],表2_9713192325277389[[#This Row],[国家]])</f>
        <v>921296</v>
      </c>
      <c r="K108" s="41">
        <f>SUMIFS(表1_8612182224267288[共计补偿Coin],表1_8612182224267288[目标区服],表2_9713192325277389[[#This Row],[合区区服]],表1_8612182224267288[目标国家（映射）],表2_9713192325277389[[#This Row],[国家]])</f>
        <v>69000</v>
      </c>
      <c r="L108" s="41">
        <f>表2_9713192325277389[[#This Row],[活跃Coin]]+表2_9713192325277389[[#This Row],[共计补偿Coin]]</f>
        <v>990296</v>
      </c>
      <c r="M108" s="41">
        <f>SUMIFS(表1_8612182224267288[综合国力],表1_8612182224267288[目标区服],表2_9713192325277389[[#This Row],[合区区服]],表1_8612182224267288[目标国家（映射）],表2_9713192325277389[[#This Row],[国家]])</f>
        <v>18728</v>
      </c>
      <c r="N108" s="41">
        <f t="array" ref="N108">MAX((表1_8612182224267288[目标区服]=表2_9713192325277389[[#This Row],[合区区服]])*(表1_8612182224267288[目标国家（映射）]=表2_9713192325277389[[#This Row],[国家]])*表1_8612182224267288[单将最高战力])</f>
        <v>780307</v>
      </c>
      <c r="P108" s="51">
        <v>5123</v>
      </c>
      <c r="Q108" s="51">
        <v>42</v>
      </c>
    </row>
    <row r="109" ht="15" spans="1:17">
      <c r="A109" s="41" t="s">
        <v>177</v>
      </c>
      <c r="B109" s="43" t="s">
        <v>27</v>
      </c>
      <c r="C109" s="43">
        <f>COUNTIFS(表1_8612182224267288[目标区服],表2_9713192325277389[[#This Row],[合区区服]],表1_8612182224267288[目标国家（映射）],表2_9713192325277389[[#This Row],[国家]])</f>
        <v>2</v>
      </c>
      <c r="D109" s="43">
        <f>SUMIFS(表1_8612182224267288[活跃高战玩家数],表1_8612182224267288[目标区服],表2_9713192325277389[[#This Row],[合区区服]],表1_8612182224267288[目标国家（映射）],表2_9713192325277389[[#This Row],[国家]])</f>
        <v>4</v>
      </c>
      <c r="E109" s="43">
        <f>SUMIFS(表1_8612182224267288[活跃中坚玩家数],表1_8612182224267288[目标区服],表2_9713192325277389[[#This Row],[合区区服]],表1_8612182224267288[目标国家（映射）],表2_9713192325277389[[#This Row],[国家]])</f>
        <v>30</v>
      </c>
      <c r="F109" s="43">
        <f t="array" ref="F109">MAX((表1_8612182224267288[目标区服]=表2_9713192325277389[[#This Row],[合区区服]])*(表1_8612182224267288[目标国家（映射）]=表2_9713192325277389[[#This Row],[国家]])*表1_8612182224267288[活跃尖端战力])</f>
        <v>2773166</v>
      </c>
      <c r="G109" s="44">
        <f>SUMIFS(表1_8612182224267288[活跃总战力],表1_8612182224267288[目标区服],表2_9713192325277389[[#This Row],[合区区服]],表1_8612182224267288[目标国家（映射）],表2_9713192325277389[[#This Row],[国家]])</f>
        <v>24582413</v>
      </c>
      <c r="H109" s="43">
        <f>SUMIFS(表1_8612182224267288[活跃实际充值],表1_8612182224267288[目标区服],表2_9713192325277389[[#This Row],[合区区服]],表1_8612182224267288[目标国家（映射）],表2_9713192325277389[[#This Row],[国家]])</f>
        <v>83362</v>
      </c>
      <c r="I109" s="43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109" s="43">
        <f>SUMIFS(表1_8612182224267288[活跃Coin],表1_8612182224267288[目标区服],表2_9713192325277389[[#This Row],[合区区服]],表1_8612182224267288[目标国家（映射）],表2_9713192325277389[[#This Row],[国家]])</f>
        <v>601114</v>
      </c>
      <c r="K109" s="43">
        <f>SUMIFS(表1_8612182224267288[共计补偿Coin],表1_8612182224267288[目标区服],表2_9713192325277389[[#This Row],[合区区服]],表1_8612182224267288[目标国家（映射）],表2_9713192325277389[[#This Row],[国家]])</f>
        <v>39500</v>
      </c>
      <c r="L109" s="43">
        <f>表2_9713192325277389[[#This Row],[活跃Coin]]+表2_9713192325277389[[#This Row],[共计补偿Coin]]</f>
        <v>640614</v>
      </c>
      <c r="M109" s="43">
        <f>SUMIFS(表1_8612182224267288[综合国力],表1_8612182224267288[目标区服],表2_9713192325277389[[#This Row],[合区区服]],表1_8612182224267288[目标国家（映射）],表2_9713192325277389[[#This Row],[国家]])</f>
        <v>11990</v>
      </c>
      <c r="N109" s="41">
        <f t="array" ref="N109">MAX((表1_8612182224267288[目标区服]=表2_9713192325277389[[#This Row],[合区区服]])*(表1_8612182224267288[目标国家（映射）]=表2_9713192325277389[[#This Row],[国家]])*表1_8612182224267288[单将最高战力])</f>
        <v>948604</v>
      </c>
      <c r="P109" s="51">
        <v>5124</v>
      </c>
      <c r="Q109" s="51">
        <v>41</v>
      </c>
    </row>
    <row r="110" ht="15" spans="1:17">
      <c r="A110" s="45" t="s">
        <v>178</v>
      </c>
      <c r="B110" s="46" t="s">
        <v>25</v>
      </c>
      <c r="C110" s="46">
        <f>COUNTIFS(表1_8612182224267288[目标区服],表2_9713192325277389[[#This Row],[合区区服]],表1_8612182224267288[目标国家（映射）],表2_9713192325277389[[#This Row],[国家]])</f>
        <v>2</v>
      </c>
      <c r="D110" s="46">
        <f>SUMIFS(表1_8612182224267288[活跃高战玩家数],表1_8612182224267288[目标区服],表2_9713192325277389[[#This Row],[合区区服]],表1_8612182224267288[目标国家（映射）],表2_9713192325277389[[#This Row],[国家]])</f>
        <v>6</v>
      </c>
      <c r="E110" s="46">
        <f>SUMIFS(表1_8612182224267288[活跃中坚玩家数],表1_8612182224267288[目标区服],表2_9713192325277389[[#This Row],[合区区服]],表1_8612182224267288[目标国家（映射）],表2_9713192325277389[[#This Row],[国家]])</f>
        <v>38</v>
      </c>
      <c r="F110" s="46">
        <f t="array" ref="F110">MAX((表1_8612182224267288[目标区服]=表2_9713192325277389[[#This Row],[合区区服]])*(表1_8612182224267288[目标国家（映射）]=表2_9713192325277389[[#This Row],[国家]])*表1_8612182224267288[活跃尖端战力])</f>
        <v>2292963</v>
      </c>
      <c r="G110" s="47">
        <f>SUMIFS(表1_8612182224267288[活跃总战力],表1_8612182224267288[目标区服],表2_9713192325277389[[#This Row],[合区区服]],表1_8612182224267288[目标国家（映射）],表2_9713192325277389[[#This Row],[国家]])</f>
        <v>33015912</v>
      </c>
      <c r="H110" s="46">
        <f>SUMIFS(表1_8612182224267288[活跃实际充值],表1_8612182224267288[目标区服],表2_9713192325277389[[#This Row],[合区区服]],表1_8612182224267288[目标国家（映射）],表2_9713192325277389[[#This Row],[国家]])</f>
        <v>43398</v>
      </c>
      <c r="I110" s="46">
        <f>SUMIFS(表1_8612182224267288[活跃虚拟充值],表1_8612182224267288[目标区服],表2_9713192325277389[[#This Row],[合区区服]],表1_8612182224267288[目标国家（映射）],表2_9713192325277389[[#This Row],[国家]])</f>
        <v>75210</v>
      </c>
      <c r="J110" s="46">
        <f>SUMIFS(表1_8612182224267288[活跃Coin],表1_8612182224267288[目标区服],表2_9713192325277389[[#This Row],[合区区服]],表1_8612182224267288[目标国家（映射）],表2_9713192325277389[[#This Row],[国家]])</f>
        <v>1015907</v>
      </c>
      <c r="K110" s="46">
        <f>SUMIFS(表1_8612182224267288[共计补偿Coin],表1_8612182224267288[目标区服],表2_9713192325277389[[#This Row],[合区区服]],表1_8612182224267288[目标国家（映射）],表2_9713192325277389[[#This Row],[国家]])</f>
        <v>44000</v>
      </c>
      <c r="L110" s="46">
        <f>表2_9713192325277389[[#This Row],[活跃Coin]]+表2_9713192325277389[[#This Row],[共计补偿Coin]]</f>
        <v>1059907</v>
      </c>
      <c r="M110" s="46">
        <f>SUMIFS(表1_8612182224267288[综合国力],表1_8612182224267288[目标区服],表2_9713192325277389[[#This Row],[合区区服]],表1_8612182224267288[目标国家（映射）],表2_9713192325277389[[#This Row],[国家]])</f>
        <v>14957</v>
      </c>
      <c r="N110" s="46">
        <f t="array" ref="N110">MAX((表1_8612182224267288[目标区服]=表2_9713192325277389[[#This Row],[合区区服]])*(表1_8612182224267288[目标国家（映射）]=表2_9713192325277389[[#This Row],[国家]])*表1_8612182224267288[单将最高战力])</f>
        <v>911568</v>
      </c>
      <c r="P110" s="51">
        <v>5125</v>
      </c>
      <c r="Q110" s="51">
        <v>41</v>
      </c>
    </row>
    <row r="111" ht="15" spans="1:17">
      <c r="A111" s="45" t="s">
        <v>178</v>
      </c>
      <c r="B111" s="46" t="s">
        <v>26</v>
      </c>
      <c r="C111" s="46">
        <f>COUNTIFS(表1_8612182224267288[目标区服],表2_9713192325277389[[#This Row],[合区区服]],表1_8612182224267288[目标国家（映射）],表2_9713192325277389[[#This Row],[国家]])</f>
        <v>2</v>
      </c>
      <c r="D111" s="46">
        <f>SUMIFS(表1_8612182224267288[活跃高战玩家数],表1_8612182224267288[目标区服],表2_9713192325277389[[#This Row],[合区区服]],表1_8612182224267288[目标国家（映射）],表2_9713192325277389[[#This Row],[国家]])</f>
        <v>5</v>
      </c>
      <c r="E111" s="46">
        <f>SUMIFS(表1_8612182224267288[活跃中坚玩家数],表1_8612182224267288[目标区服],表2_9713192325277389[[#This Row],[合区区服]],表1_8612182224267288[目标国家（映射）],表2_9713192325277389[[#This Row],[国家]])</f>
        <v>33</v>
      </c>
      <c r="F111" s="46">
        <f t="array" ref="F111">MAX((表1_8612182224267288[目标区服]=表2_9713192325277389[[#This Row],[合区区服]])*(表1_8612182224267288[目标国家（映射）]=表2_9713192325277389[[#This Row],[国家]])*表1_8612182224267288[活跃尖端战力])</f>
        <v>3789043</v>
      </c>
      <c r="G111" s="47">
        <f>SUMIFS(表1_8612182224267288[活跃总战力],表1_8612182224267288[目标区服],表2_9713192325277389[[#This Row],[合区区服]],表1_8612182224267288[目标国家（映射）],表2_9713192325277389[[#This Row],[国家]])</f>
        <v>31816032</v>
      </c>
      <c r="H111" s="46">
        <f>SUMIFS(表1_8612182224267288[活跃实际充值],表1_8612182224267288[目标区服],表2_9713192325277389[[#This Row],[合区区服]],表1_8612182224267288[目标国家（映射）],表2_9713192325277389[[#This Row],[国家]])</f>
        <v>449110</v>
      </c>
      <c r="I111" s="46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111" s="46">
        <f>SUMIFS(表1_8612182224267288[活跃Coin],表1_8612182224267288[目标区服],表2_9713192325277389[[#This Row],[合区区服]],表1_8612182224267288[目标国家（映射）],表2_9713192325277389[[#This Row],[国家]])</f>
        <v>836350</v>
      </c>
      <c r="K111" s="46">
        <f>SUMIFS(表1_8612182224267288[共计补偿Coin],表1_8612182224267288[目标区服],表2_9713192325277389[[#This Row],[合区区服]],表1_8612182224267288[目标国家（映射）],表2_9713192325277389[[#This Row],[国家]])</f>
        <v>38000</v>
      </c>
      <c r="L111" s="46">
        <f>表2_9713192325277389[[#This Row],[活跃Coin]]+表2_9713192325277389[[#This Row],[共计补偿Coin]]</f>
        <v>874350</v>
      </c>
      <c r="M111" s="46">
        <f>SUMIFS(表1_8612182224267288[综合国力],表1_8612182224267288[目标区服],表2_9713192325277389[[#This Row],[合区区服]],表1_8612182224267288[目标国家（映射）],表2_9713192325277389[[#This Row],[国家]])</f>
        <v>26357</v>
      </c>
      <c r="N111" s="46">
        <f t="array" ref="N111">MAX((表1_8612182224267288[目标区服]=表2_9713192325277389[[#This Row],[合区区服]])*(表1_8612182224267288[目标国家（映射）]=表2_9713192325277389[[#This Row],[国家]])*表1_8612182224267288[单将最高战力])</f>
        <v>1072658</v>
      </c>
      <c r="P111" s="51">
        <v>5126</v>
      </c>
      <c r="Q111" s="51">
        <v>41</v>
      </c>
    </row>
    <row r="112" ht="15" spans="1:17">
      <c r="A112" s="45" t="s">
        <v>178</v>
      </c>
      <c r="B112" s="48" t="s">
        <v>27</v>
      </c>
      <c r="C112" s="48">
        <f>COUNTIFS(表1_8612182224267288[目标区服],表2_9713192325277389[[#This Row],[合区区服]],表1_8612182224267288[目标国家（映射）],表2_9713192325277389[[#This Row],[国家]])</f>
        <v>2</v>
      </c>
      <c r="D112" s="48">
        <f>SUMIFS(表1_8612182224267288[活跃高战玩家数],表1_8612182224267288[目标区服],表2_9713192325277389[[#This Row],[合区区服]],表1_8612182224267288[目标国家（映射）],表2_9713192325277389[[#This Row],[国家]])</f>
        <v>9</v>
      </c>
      <c r="E112" s="48">
        <f>SUMIFS(表1_8612182224267288[活跃中坚玩家数],表1_8612182224267288[目标区服],表2_9713192325277389[[#This Row],[合区区服]],表1_8612182224267288[目标国家（映射）],表2_9713192325277389[[#This Row],[国家]])</f>
        <v>48</v>
      </c>
      <c r="F112" s="48">
        <f t="array" ref="F112">MAX((表1_8612182224267288[目标区服]=表2_9713192325277389[[#This Row],[合区区服]])*(表1_8612182224267288[目标国家（映射）]=表2_9713192325277389[[#This Row],[国家]])*表1_8612182224267288[活跃尖端战力])</f>
        <v>3275762</v>
      </c>
      <c r="G112" s="458">
        <f>SUMIFS(表1_8612182224267288[活跃总战力],表1_8612182224267288[目标区服],表2_9713192325277389[[#This Row],[合区区服]],表1_8612182224267288[目标国家（映射）],表2_9713192325277389[[#This Row],[国家]])</f>
        <v>44650068</v>
      </c>
      <c r="H112" s="48">
        <f>SUMIFS(表1_8612182224267288[活跃实际充值],表1_8612182224267288[目标区服],表2_9713192325277389[[#This Row],[合区区服]],表1_8612182224267288[目标国家（映射）],表2_9713192325277389[[#This Row],[国家]])</f>
        <v>136918</v>
      </c>
      <c r="I112" s="48">
        <f>SUMIFS(表1_8612182224267288[活跃虚拟充值],表1_8612182224267288[目标区服],表2_9713192325277389[[#This Row],[合区区服]],表1_8612182224267288[目标国家（映射）],表2_9713192325277389[[#This Row],[国家]])</f>
        <v>77890</v>
      </c>
      <c r="J112" s="48">
        <f>SUMIFS(表1_8612182224267288[活跃Coin],表1_8612182224267288[目标区服],表2_9713192325277389[[#This Row],[合区区服]],表1_8612182224267288[目标国家（映射）],表2_9713192325277389[[#This Row],[国家]])</f>
        <v>668202</v>
      </c>
      <c r="K112" s="48">
        <f>SUMIFS(表1_8612182224267288[共计补偿Coin],表1_8612182224267288[目标区服],表2_9713192325277389[[#This Row],[合区区服]],表1_8612182224267288[目标国家（映射）],表2_9713192325277389[[#This Row],[国家]])</f>
        <v>57000</v>
      </c>
      <c r="L112" s="48">
        <f>表2_9713192325277389[[#This Row],[活跃Coin]]+表2_9713192325277389[[#This Row],[共计补偿Coin]]</f>
        <v>725202</v>
      </c>
      <c r="M112" s="48">
        <f>SUMIFS(表1_8612182224267288[综合国力],表1_8612182224267288[目标区服],表2_9713192325277389[[#This Row],[合区区服]],表1_8612182224267288[目标国家（映射）],表2_9713192325277389[[#This Row],[国家]])</f>
        <v>18918</v>
      </c>
      <c r="N112" s="46">
        <f t="array" ref="N112">MAX((表1_8612182224267288[目标区服]=表2_9713192325277389[[#This Row],[合区区服]])*(表1_8612182224267288[目标国家（映射）]=表2_9713192325277389[[#This Row],[国家]])*表1_8612182224267288[单将最高战力])</f>
        <v>1048226</v>
      </c>
      <c r="P112" s="51">
        <v>5127</v>
      </c>
      <c r="Q112" s="51">
        <v>41</v>
      </c>
    </row>
    <row r="113" ht="15" spans="1:14">
      <c r="A113" s="308" t="s">
        <v>179</v>
      </c>
      <c r="B113" s="224" t="s">
        <v>25</v>
      </c>
      <c r="C113" s="224">
        <f>COUNTIFS(表1_8612182224267288[目标区服],表2_9713192325277389[[#This Row],[合区区服]],表1_8612182224267288[目标国家（映射）],表2_9713192325277389[[#This Row],[国家]])</f>
        <v>2</v>
      </c>
      <c r="D113" s="224">
        <f>SUMIFS(表1_8612182224267288[活跃高战玩家数],表1_8612182224267288[目标区服],表2_9713192325277389[[#This Row],[合区区服]],表1_8612182224267288[目标国家（映射）],表2_9713192325277389[[#This Row],[国家]])</f>
        <v>5</v>
      </c>
      <c r="E113" s="224">
        <f>SUMIFS(表1_8612182224267288[活跃中坚玩家数],表1_8612182224267288[目标区服],表2_9713192325277389[[#This Row],[合区区服]],表1_8612182224267288[目标国家（映射）],表2_9713192325277389[[#This Row],[国家]])</f>
        <v>29</v>
      </c>
      <c r="F113" s="224">
        <f t="array" ref="F113">MAX((表1_8612182224267288[目标区服]=表2_9713192325277389[[#This Row],[合区区服]])*(表1_8612182224267288[目标国家（映射）]=表2_9713192325277389[[#This Row],[国家]])*表1_8612182224267288[活跃尖端战力])</f>
        <v>3911399</v>
      </c>
      <c r="G113" s="225">
        <f>SUMIFS(表1_8612182224267288[活跃总战力],表1_8612182224267288[目标区服],表2_9713192325277389[[#This Row],[合区区服]],表1_8612182224267288[目标国家（映射）],表2_9713192325277389[[#This Row],[国家]])</f>
        <v>24196534</v>
      </c>
      <c r="H113" s="224">
        <f>SUMIFS(表1_8612182224267288[活跃实际充值],表1_8612182224267288[目标区服],表2_9713192325277389[[#This Row],[合区区服]],表1_8612182224267288[目标国家（映射）],表2_9713192325277389[[#This Row],[国家]])</f>
        <v>15470</v>
      </c>
      <c r="I113" s="224">
        <f>SUMIFS(表1_8612182224267288[活跃虚拟充值],表1_8612182224267288[目标区服],表2_9713192325277389[[#This Row],[合区区服]],表1_8612182224267288[目标国家（映射）],表2_9713192325277389[[#This Row],[国家]])</f>
        <v>257762</v>
      </c>
      <c r="J113" s="224">
        <f>SUMIFS(表1_8612182224267288[活跃Coin],表1_8612182224267288[目标区服],表2_9713192325277389[[#This Row],[合区区服]],表1_8612182224267288[目标国家（映射）],表2_9713192325277389[[#This Row],[国家]])</f>
        <v>889590</v>
      </c>
      <c r="K113" s="224">
        <f>SUMIFS(表1_8612182224267288[共计补偿Coin],表1_8612182224267288[目标区服],表2_9713192325277389[[#This Row],[合区区服]],表1_8612182224267288[目标国家（映射）],表2_9713192325277389[[#This Row],[国家]])</f>
        <v>34000</v>
      </c>
      <c r="L113" s="224">
        <f>表2_9713192325277389[[#This Row],[活跃Coin]]+表2_9713192325277389[[#This Row],[共计补偿Coin]]</f>
        <v>923590</v>
      </c>
      <c r="M113" s="224">
        <f>SUMIFS(表1_8612182224267288[综合国力],表1_8612182224267288[目标区服],表2_9713192325277389[[#This Row],[合区区服]],表1_8612182224267288[目标国家（映射）],表2_9713192325277389[[#This Row],[国家]])</f>
        <v>12664</v>
      </c>
      <c r="N113" s="471">
        <f t="array" ref="N113">MAX((表1_8612182224267288[目标区服]=表2_9713192325277389[[#This Row],[合区区服]])*(表1_8612182224267288[目标国家（映射）]=表2_9713192325277389[[#This Row],[国家]])*表1_8612182224267288[单将最高战力])</f>
        <v>1126449</v>
      </c>
    </row>
    <row r="114" ht="15" spans="1:14">
      <c r="A114" s="308" t="s">
        <v>179</v>
      </c>
      <c r="B114" s="224" t="s">
        <v>26</v>
      </c>
      <c r="C114" s="224">
        <f>COUNTIFS(表1_8612182224267288[目标区服],表2_9713192325277389[[#This Row],[合区区服]],表1_8612182224267288[目标国家（映射）],表2_9713192325277389[[#This Row],[国家]])</f>
        <v>2</v>
      </c>
      <c r="D114" s="224">
        <f>SUMIFS(表1_8612182224267288[活跃高战玩家数],表1_8612182224267288[目标区服],表2_9713192325277389[[#This Row],[合区区服]],表1_8612182224267288[目标国家（映射）],表2_9713192325277389[[#This Row],[国家]])</f>
        <v>5</v>
      </c>
      <c r="E114" s="224">
        <f>SUMIFS(表1_8612182224267288[活跃中坚玩家数],表1_8612182224267288[目标区服],表2_9713192325277389[[#This Row],[合区区服]],表1_8612182224267288[目标国家（映射）],表2_9713192325277389[[#This Row],[国家]])</f>
        <v>34</v>
      </c>
      <c r="F114" s="224">
        <f t="array" ref="F114">MAX((表1_8612182224267288[目标区服]=表2_9713192325277389[[#This Row],[合区区服]])*(表1_8612182224267288[目标国家（映射）]=表2_9713192325277389[[#This Row],[国家]])*表1_8612182224267288[活跃尖端战力])</f>
        <v>3609735</v>
      </c>
      <c r="G114" s="225">
        <f>SUMIFS(表1_8612182224267288[活跃总战力],表1_8612182224267288[目标区服],表2_9713192325277389[[#This Row],[合区区服]],表1_8612182224267288[目标国家（映射）],表2_9713192325277389[[#This Row],[国家]])</f>
        <v>31032112</v>
      </c>
      <c r="H114" s="224">
        <f>SUMIFS(表1_8612182224267288[活跃实际充值],表1_8612182224267288[目标区服],表2_9713192325277389[[#This Row],[合区区服]],表1_8612182224267288[目标国家（映射）],表2_9713192325277389[[#This Row],[国家]])</f>
        <v>102418</v>
      </c>
      <c r="I114" s="224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114" s="224">
        <f>SUMIFS(表1_8612182224267288[活跃Coin],表1_8612182224267288[目标区服],表2_9713192325277389[[#This Row],[合区区服]],表1_8612182224267288[目标国家（映射）],表2_9713192325277389[[#This Row],[国家]])</f>
        <v>435265</v>
      </c>
      <c r="K114" s="224">
        <f>SUMIFS(表1_8612182224267288[共计补偿Coin],表1_8612182224267288[目标区服],表2_9713192325277389[[#This Row],[合区区服]],表1_8612182224267288[目标国家（映射）],表2_9713192325277389[[#This Row],[国家]])</f>
        <v>39000</v>
      </c>
      <c r="L114" s="224">
        <f>表2_9713192325277389[[#This Row],[活跃Coin]]+表2_9713192325277389[[#This Row],[共计补偿Coin]]</f>
        <v>474265</v>
      </c>
      <c r="M114" s="224">
        <f>SUMIFS(表1_8612182224267288[综合国力],表1_8612182224267288[目标区服],表2_9713192325277389[[#This Row],[合区区服]],表1_8612182224267288[目标国家（映射）],表2_9713192325277389[[#This Row],[国家]])</f>
        <v>16022</v>
      </c>
      <c r="N114" s="471">
        <f t="array" ref="N114">MAX((表1_8612182224267288[目标区服]=表2_9713192325277389[[#This Row],[合区区服]])*(表1_8612182224267288[目标国家（映射）]=表2_9713192325277389[[#This Row],[国家]])*表1_8612182224267288[单将最高战力])</f>
        <v>1153059</v>
      </c>
    </row>
    <row r="115" ht="15" spans="1:14">
      <c r="A115" s="308" t="s">
        <v>179</v>
      </c>
      <c r="B115" s="224" t="s">
        <v>27</v>
      </c>
      <c r="C115" s="224">
        <f>COUNTIFS(表1_8612182224267288[目标区服],表2_9713192325277389[[#This Row],[合区区服]],表1_8612182224267288[目标国家（映射）],表2_9713192325277389[[#This Row],[国家]])</f>
        <v>2</v>
      </c>
      <c r="D115" s="224">
        <f>SUMIFS(表1_8612182224267288[活跃高战玩家数],表1_8612182224267288[目标区服],表2_9713192325277389[[#This Row],[合区区服]],表1_8612182224267288[目标国家（映射）],表2_9713192325277389[[#This Row],[国家]])</f>
        <v>9</v>
      </c>
      <c r="E115" s="224">
        <f>SUMIFS(表1_8612182224267288[活跃中坚玩家数],表1_8612182224267288[目标区服],表2_9713192325277389[[#This Row],[合区区服]],表1_8612182224267288[目标国家（映射）],表2_9713192325277389[[#This Row],[国家]])</f>
        <v>49</v>
      </c>
      <c r="F115" s="224">
        <f t="array" ref="F115">MAX((表1_8612182224267288[目标区服]=表2_9713192325277389[[#This Row],[合区区服]])*(表1_8612182224267288[目标国家（映射）]=表2_9713192325277389[[#This Row],[国家]])*表1_8612182224267288[活跃尖端战力])</f>
        <v>2162773</v>
      </c>
      <c r="G115" s="225">
        <f>SUMIFS(表1_8612182224267288[活跃总战力],表1_8612182224267288[目标区服],表2_9713192325277389[[#This Row],[合区区服]],表1_8612182224267288[目标国家（映射）],表2_9713192325277389[[#This Row],[国家]])</f>
        <v>40424904</v>
      </c>
      <c r="H115" s="224">
        <f>SUMIFS(表1_8612182224267288[活跃实际充值],表1_8612182224267288[目标区服],表2_9713192325277389[[#This Row],[合区区服]],表1_8612182224267288[目标国家（映射）],表2_9713192325277389[[#This Row],[国家]])</f>
        <v>108862</v>
      </c>
      <c r="I115" s="224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115" s="224">
        <f>SUMIFS(表1_8612182224267288[活跃Coin],表1_8612182224267288[目标区服],表2_9713192325277389[[#This Row],[合区区服]],表1_8612182224267288[目标国家（映射）],表2_9713192325277389[[#This Row],[国家]])</f>
        <v>830160</v>
      </c>
      <c r="K115" s="224">
        <f>SUMIFS(表1_8612182224267288[共计补偿Coin],表1_8612182224267288[目标区服],表2_9713192325277389[[#This Row],[合区区服]],表1_8612182224267288[目标国家（映射）],表2_9713192325277389[[#This Row],[国家]])</f>
        <v>58000</v>
      </c>
      <c r="L115" s="224">
        <f>表2_9713192325277389[[#This Row],[活跃Coin]]+表2_9713192325277389[[#This Row],[共计补偿Coin]]</f>
        <v>888160</v>
      </c>
      <c r="M115" s="224">
        <f>SUMIFS(表1_8612182224267288[综合国力],表1_8612182224267288[目标区服],表2_9713192325277389[[#This Row],[合区区服]],表1_8612182224267288[目标国家（映射）],表2_9713192325277389[[#This Row],[国家]])</f>
        <v>17433</v>
      </c>
      <c r="N115" s="471">
        <f t="array" ref="N115">MAX((表1_8612182224267288[目标区服]=表2_9713192325277389[[#This Row],[合区区服]])*(表1_8612182224267288[目标国家（映射）]=表2_9713192325277389[[#This Row],[国家]])*表1_8612182224267288[单将最高战力])</f>
        <v>569680</v>
      </c>
    </row>
    <row r="116" ht="15" spans="1:14">
      <c r="A116" s="414" t="s">
        <v>180</v>
      </c>
      <c r="B116" s="455" t="s">
        <v>25</v>
      </c>
      <c r="C116" s="455">
        <f>COUNTIFS(表1_8612182224267288[目标区服],表2_9713192325277389[[#This Row],[合区区服]],表1_8612182224267288[目标国家（映射）],表2_9713192325277389[[#This Row],[国家]])</f>
        <v>2</v>
      </c>
      <c r="D116" s="455">
        <f>SUMIFS(表1_8612182224267288[活跃高战玩家数],表1_8612182224267288[目标区服],表2_9713192325277389[[#This Row],[合区区服]],表1_8612182224267288[目标国家（映射）],表2_9713192325277389[[#This Row],[国家]])</f>
        <v>5</v>
      </c>
      <c r="E116" s="455">
        <f>SUMIFS(表1_8612182224267288[活跃中坚玩家数],表1_8612182224267288[目标区服],表2_9713192325277389[[#This Row],[合区区服]],表1_8612182224267288[目标国家（映射）],表2_9713192325277389[[#This Row],[国家]])</f>
        <v>31</v>
      </c>
      <c r="F116" s="455">
        <f t="array" ref="F116">MAX((表1_8612182224267288[目标区服]=表2_9713192325277389[[#This Row],[合区区服]])*(表1_8612182224267288[目标国家（映射）]=表2_9713192325277389[[#This Row],[国家]])*表1_8612182224267288[活跃尖端战力])</f>
        <v>2215895</v>
      </c>
      <c r="G116" s="456">
        <f>SUMIFS(表1_8612182224267288[活跃总战力],表1_8612182224267288[目标区服],表2_9713192325277389[[#This Row],[合区区服]],表1_8612182224267288[目标国家（映射）],表2_9713192325277389[[#This Row],[国家]])</f>
        <v>22816943</v>
      </c>
      <c r="H116" s="455">
        <f>SUMIFS(表1_8612182224267288[活跃实际充值],表1_8612182224267288[目标区服],表2_9713192325277389[[#This Row],[合区区服]],表1_8612182224267288[目标国家（映射）],表2_9713192325277389[[#This Row],[国家]])</f>
        <v>132054</v>
      </c>
      <c r="I116" s="455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116" s="455">
        <f>SUMIFS(表1_8612182224267288[活跃Coin],表1_8612182224267288[目标区服],表2_9713192325277389[[#This Row],[合区区服]],表1_8612182224267288[目标国家（映射）],表2_9713192325277389[[#This Row],[国家]])</f>
        <v>515248</v>
      </c>
      <c r="K116" s="455">
        <f>SUMIFS(表1_8612182224267288[共计补偿Coin],表1_8612182224267288[目标区服],表2_9713192325277389[[#This Row],[合区区服]],表1_8612182224267288[目标国家（映射）],表2_9713192325277389[[#This Row],[国家]])</f>
        <v>36000</v>
      </c>
      <c r="L116" s="455">
        <f>表2_9713192325277389[[#This Row],[活跃Coin]]+表2_9713192325277389[[#This Row],[共计补偿Coin]]</f>
        <v>551248</v>
      </c>
      <c r="M116" s="455">
        <f>SUMIFS(表1_8612182224267288[综合国力],表1_8612182224267288[目标区服],表2_9713192325277389[[#This Row],[合区区服]],表1_8612182224267288[目标国家（映射）],表2_9713192325277389[[#This Row],[国家]])</f>
        <v>13084</v>
      </c>
      <c r="N116" s="472">
        <f t="array" ref="N116">MAX((表1_8612182224267288[目标区服]=表2_9713192325277389[[#This Row],[合区区服]])*(表1_8612182224267288[目标国家（映射）]=表2_9713192325277389[[#This Row],[国家]])*表1_8612182224267288[单将最高战力])</f>
        <v>828767</v>
      </c>
    </row>
    <row r="117" ht="15" spans="1:14">
      <c r="A117" s="414" t="s">
        <v>180</v>
      </c>
      <c r="B117" s="455" t="s">
        <v>26</v>
      </c>
      <c r="C117" s="455">
        <f>COUNTIFS(表1_8612182224267288[目标区服],表2_9713192325277389[[#This Row],[合区区服]],表1_8612182224267288[目标国家（映射）],表2_9713192325277389[[#This Row],[国家]])</f>
        <v>2</v>
      </c>
      <c r="D117" s="455">
        <f>SUMIFS(表1_8612182224267288[活跃高战玩家数],表1_8612182224267288[目标区服],表2_9713192325277389[[#This Row],[合区区服]],表1_8612182224267288[目标国家（映射）],表2_9713192325277389[[#This Row],[国家]])</f>
        <v>12</v>
      </c>
      <c r="E117" s="455">
        <f>SUMIFS(表1_8612182224267288[活跃中坚玩家数],表1_8612182224267288[目标区服],表2_9713192325277389[[#This Row],[合区区服]],表1_8612182224267288[目标国家（映射）],表2_9713192325277389[[#This Row],[国家]])</f>
        <v>51</v>
      </c>
      <c r="F117" s="455">
        <f t="array" ref="F117">MAX((表1_8612182224267288[目标区服]=表2_9713192325277389[[#This Row],[合区区服]])*(表1_8612182224267288[目标国家（映射）]=表2_9713192325277389[[#This Row],[国家]])*表1_8612182224267288[活跃尖端战力])</f>
        <v>2743837</v>
      </c>
      <c r="G117" s="456">
        <f>SUMIFS(表1_8612182224267288[活跃总战力],表1_8612182224267288[目标区服],表2_9713192325277389[[#This Row],[合区区服]],表1_8612182224267288[目标国家（映射）],表2_9713192325277389[[#This Row],[国家]])</f>
        <v>46129701</v>
      </c>
      <c r="H117" s="455">
        <f>SUMIFS(表1_8612182224267288[活跃实际充值],表1_8612182224267288[目标区服],表2_9713192325277389[[#This Row],[合区区服]],表1_8612182224267288[目标国家（映射）],表2_9713192325277389[[#This Row],[国家]])</f>
        <v>128616</v>
      </c>
      <c r="I117" s="455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117" s="455">
        <f>SUMIFS(表1_8612182224267288[活跃Coin],表1_8612182224267288[目标区服],表2_9713192325277389[[#This Row],[合区区服]],表1_8612182224267288[目标国家（映射）],表2_9713192325277389[[#This Row],[国家]])</f>
        <v>937062</v>
      </c>
      <c r="K117" s="455">
        <f>SUMIFS(表1_8612182224267288[共计补偿Coin],表1_8612182224267288[目标区服],表2_9713192325277389[[#This Row],[合区区服]],表1_8612182224267288[目标国家（映射）],表2_9713192325277389[[#This Row],[国家]])</f>
        <v>63000</v>
      </c>
      <c r="L117" s="455">
        <f>表2_9713192325277389[[#This Row],[活跃Coin]]+表2_9713192325277389[[#This Row],[共计补偿Coin]]</f>
        <v>1000062</v>
      </c>
      <c r="M117" s="455">
        <f>SUMIFS(表1_8612182224267288[综合国力],表1_8612182224267288[目标区服],表2_9713192325277389[[#This Row],[合区区服]],表1_8612182224267288[目标国家（映射）],表2_9713192325277389[[#This Row],[国家]])</f>
        <v>20779</v>
      </c>
      <c r="N117" s="472">
        <f t="array" ref="N117">MAX((表1_8612182224267288[目标区服]=表2_9713192325277389[[#This Row],[合区区服]])*(表1_8612182224267288[目标国家（映射）]=表2_9713192325277389[[#This Row],[国家]])*表1_8612182224267288[单将最高战力])</f>
        <v>768295</v>
      </c>
    </row>
    <row r="118" ht="15" spans="1:14">
      <c r="A118" s="414" t="s">
        <v>180</v>
      </c>
      <c r="B118" s="457" t="s">
        <v>27</v>
      </c>
      <c r="C118" s="457">
        <f>COUNTIFS(表1_8612182224267288[目标区服],表2_9713192325277389[[#This Row],[合区区服]],表1_8612182224267288[目标国家（映射）],表2_9713192325277389[[#This Row],[国家]])</f>
        <v>2</v>
      </c>
      <c r="D118" s="457">
        <f>SUMIFS(表1_8612182224267288[活跃高战玩家数],表1_8612182224267288[目标区服],表2_9713192325277389[[#This Row],[合区区服]],表1_8612182224267288[目标国家（映射）],表2_9713192325277389[[#This Row],[国家]])</f>
        <v>2</v>
      </c>
      <c r="E118" s="457">
        <f>SUMIFS(表1_8612182224267288[活跃中坚玩家数],表1_8612182224267288[目标区服],表2_9713192325277389[[#This Row],[合区区服]],表1_8612182224267288[目标国家（映射）],表2_9713192325277389[[#This Row],[国家]])</f>
        <v>33</v>
      </c>
      <c r="F118" s="455">
        <f t="array" ref="F118">MAX((表1_8612182224267288[目标区服]=表2_9713192325277389[[#This Row],[合区区服]])*(表1_8612182224267288[目标国家（映射）]=表2_9713192325277389[[#This Row],[国家]])*表1_8612182224267288[活跃尖端战力])</f>
        <v>1708822</v>
      </c>
      <c r="G118" s="456">
        <f>SUMIFS(表1_8612182224267288[活跃总战力],表1_8612182224267288[目标区服],表2_9713192325277389[[#This Row],[合区区服]],表1_8612182224267288[目标国家（映射）],表2_9713192325277389[[#This Row],[国家]])</f>
        <v>18705974</v>
      </c>
      <c r="H118" s="455">
        <f>SUMIFS(表1_8612182224267288[活跃实际充值],表1_8612182224267288[目标区服],表2_9713192325277389[[#This Row],[合区区服]],表1_8612182224267288[目标国家（映射）],表2_9713192325277389[[#This Row],[国家]])</f>
        <v>94548</v>
      </c>
      <c r="I118" s="455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118" s="455">
        <f>SUMIFS(表1_8612182224267288[活跃Coin],表1_8612182224267288[目标区服],表2_9713192325277389[[#This Row],[合区区服]],表1_8612182224267288[目标国家（映射）],表2_9713192325277389[[#This Row],[国家]])</f>
        <v>474420</v>
      </c>
      <c r="K118" s="455">
        <f>SUMIFS(表1_8612182224267288[共计补偿Coin],表1_8612182224267288[目标区服],表2_9713192325277389[[#This Row],[合区区服]],表1_8612182224267288[目标国家（映射）],表2_9713192325277389[[#This Row],[国家]])</f>
        <v>35000</v>
      </c>
      <c r="L118" s="455">
        <f>表2_9713192325277389[[#This Row],[活跃Coin]]+表2_9713192325277389[[#This Row],[共计补偿Coin]]</f>
        <v>509420</v>
      </c>
      <c r="M118" s="455">
        <f>SUMIFS(表1_8612182224267288[综合国力],表1_8612182224267288[目标区服],表2_9713192325277389[[#This Row],[合区区服]],表1_8612182224267288[目标国家（映射）],表2_9713192325277389[[#This Row],[国家]])</f>
        <v>10252</v>
      </c>
      <c r="N118" s="472">
        <f t="array" ref="N118">MAX((表1_8612182224267288[目标区服]=表2_9713192325277389[[#This Row],[合区区服]])*(表1_8612182224267288[目标国家（映射）]=表2_9713192325277389[[#This Row],[国家]])*表1_8612182224267288[单将最高战力])</f>
        <v>726304</v>
      </c>
    </row>
    <row r="119" ht="15" spans="1:14">
      <c r="A119" s="177" t="s">
        <v>181</v>
      </c>
      <c r="B119" s="178" t="s">
        <v>25</v>
      </c>
      <c r="C119" s="178">
        <f>COUNTIFS(表1_8612182224267288[目标区服],表2_9713192325277389[[#This Row],[合区区服]],表1_8612182224267288[目标国家（映射）],表2_9713192325277389[[#This Row],[国家]])</f>
        <v>2</v>
      </c>
      <c r="D119" s="178">
        <f>SUMIFS(表1_8612182224267288[活跃高战玩家数],表1_8612182224267288[目标区服],表2_9713192325277389[[#This Row],[合区区服]],表1_8612182224267288[目标国家（映射）],表2_9713192325277389[[#This Row],[国家]])</f>
        <v>7</v>
      </c>
      <c r="E119" s="178">
        <f>SUMIFS(表1_8612182224267288[活跃中坚玩家数],表1_8612182224267288[目标区服],表2_9713192325277389[[#This Row],[合区区服]],表1_8612182224267288[目标国家（映射）],表2_9713192325277389[[#This Row],[国家]])</f>
        <v>47</v>
      </c>
      <c r="F119" s="178">
        <f t="array" ref="F119">MAX((表1_8612182224267288[目标区服]=表2_9713192325277389[[#This Row],[合区区服]])*(表1_8612182224267288[目标国家（映射）]=表2_9713192325277389[[#This Row],[国家]])*表1_8612182224267288[活跃尖端战力])</f>
        <v>2645196</v>
      </c>
      <c r="G119" s="179">
        <f>SUMIFS(表1_8612182224267288[活跃总战力],表1_8612182224267288[目标区服],表2_9713192325277389[[#This Row],[合区区服]],表1_8612182224267288[目标国家（映射）],表2_9713192325277389[[#This Row],[国家]])</f>
        <v>42168431</v>
      </c>
      <c r="H119" s="178">
        <f>SUMIFS(表1_8612182224267288[活跃实际充值],表1_8612182224267288[目标区服],表2_9713192325277389[[#This Row],[合区区服]],表1_8612182224267288[目标国家（映射）],表2_9713192325277389[[#This Row],[国家]])</f>
        <v>92986</v>
      </c>
      <c r="I119" s="178">
        <f>SUMIFS(表1_8612182224267288[活跃虚拟充值],表1_8612182224267288[目标区服],表2_9713192325277389[[#This Row],[合区区服]],表1_8612182224267288[目标国家（映射）],表2_9713192325277389[[#This Row],[国家]])</f>
        <v>81314</v>
      </c>
      <c r="J119" s="178">
        <f>SUMIFS(表1_8612182224267288[活跃Coin],表1_8612182224267288[目标区服],表2_9713192325277389[[#This Row],[合区区服]],表1_8612182224267288[目标国家（映射）],表2_9713192325277389[[#This Row],[国家]])</f>
        <v>1037054</v>
      </c>
      <c r="K119" s="178">
        <f>SUMIFS(表1_8612182224267288[共计补偿Coin],表1_8612182224267288[目标区服],表2_9713192325277389[[#This Row],[合区区服]],表1_8612182224267288[目标国家（映射）],表2_9713192325277389[[#This Row],[国家]])</f>
        <v>54000</v>
      </c>
      <c r="L119" s="178">
        <f>表2_9713192325277389[[#This Row],[活跃Coin]]+表2_9713192325277389[[#This Row],[共计补偿Coin]]</f>
        <v>1091054</v>
      </c>
      <c r="M119" s="178">
        <f>SUMIFS(表1_8612182224267288[综合国力],表1_8612182224267288[目标区服],表2_9713192325277389[[#This Row],[合区区服]],表1_8612182224267288[目标国家（映射）],表2_9713192325277389[[#This Row],[国家]])</f>
        <v>17922</v>
      </c>
      <c r="N119" s="473">
        <f t="array" ref="N119">MAX((表1_8612182224267288[目标区服]=表2_9713192325277389[[#This Row],[合区区服]])*(表1_8612182224267288[目标国家（映射）]=表2_9713192325277389[[#This Row],[国家]])*表1_8612182224267288[单将最高战力])</f>
        <v>769319</v>
      </c>
    </row>
    <row r="120" ht="15" spans="1:14">
      <c r="A120" s="177" t="s">
        <v>181</v>
      </c>
      <c r="B120" s="178" t="s">
        <v>26</v>
      </c>
      <c r="C120" s="178">
        <f>COUNTIFS(表1_8612182224267288[目标区服],表2_9713192325277389[[#This Row],[合区区服]],表1_8612182224267288[目标国家（映射）],表2_9713192325277389[[#This Row],[国家]])</f>
        <v>2</v>
      </c>
      <c r="D120" s="178">
        <f>SUMIFS(表1_8612182224267288[活跃高战玩家数],表1_8612182224267288[目标区服],表2_9713192325277389[[#This Row],[合区区服]],表1_8612182224267288[目标国家（映射）],表2_9713192325277389[[#This Row],[国家]])</f>
        <v>5</v>
      </c>
      <c r="E120" s="178">
        <f>SUMIFS(表1_8612182224267288[活跃中坚玩家数],表1_8612182224267288[目标区服],表2_9713192325277389[[#This Row],[合区区服]],表1_8612182224267288[目标国家（映射）],表2_9713192325277389[[#This Row],[国家]])</f>
        <v>55</v>
      </c>
      <c r="F120" s="178">
        <f t="array" ref="F120">MAX((表1_8612182224267288[目标区服]=表2_9713192325277389[[#This Row],[合区区服]])*(表1_8612182224267288[目标国家（映射）]=表2_9713192325277389[[#This Row],[国家]])*表1_8612182224267288[活跃尖端战力])</f>
        <v>2898712</v>
      </c>
      <c r="G120" s="179">
        <f>SUMIFS(表1_8612182224267288[活跃总战力],表1_8612182224267288[目标区服],表2_9713192325277389[[#This Row],[合区区服]],表1_8612182224267288[目标国家（映射）],表2_9713192325277389[[#This Row],[国家]])</f>
        <v>42757870</v>
      </c>
      <c r="H120" s="178">
        <f>SUMIFS(表1_8612182224267288[活跃实际充值],表1_8612182224267288[目标区服],表2_9713192325277389[[#This Row],[合区区服]],表1_8612182224267288[目标国家（映射）],表2_9713192325277389[[#This Row],[国家]])</f>
        <v>144918</v>
      </c>
      <c r="I120" s="178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120" s="178">
        <f>SUMIFS(表1_8612182224267288[活跃Coin],表1_8612182224267288[目标区服],表2_9713192325277389[[#This Row],[合区区服]],表1_8612182224267288[目标国家（映射）],表2_9713192325277389[[#This Row],[国家]])</f>
        <v>985936</v>
      </c>
      <c r="K120" s="178">
        <f>SUMIFS(表1_8612182224267288[共计补偿Coin],表1_8612182224267288[目标区服],表2_9713192325277389[[#This Row],[合区区服]],表1_8612182224267288[目标国家（映射）],表2_9713192325277389[[#This Row],[国家]])</f>
        <v>60000</v>
      </c>
      <c r="L120" s="178">
        <f>表2_9713192325277389[[#This Row],[活跃Coin]]+表2_9713192325277389[[#This Row],[共计补偿Coin]]</f>
        <v>1045936</v>
      </c>
      <c r="M120" s="178">
        <f>SUMIFS(表1_8612182224267288[综合国力],表1_8612182224267288[目标区服],表2_9713192325277389[[#This Row],[合区区服]],表1_8612182224267288[目标国家（映射）],表2_9713192325277389[[#This Row],[国家]])</f>
        <v>16535</v>
      </c>
      <c r="N120" s="473">
        <f t="array" ref="N120">MAX((表1_8612182224267288[目标区服]=表2_9713192325277389[[#This Row],[合区区服]])*(表1_8612182224267288[目标国家（映射）]=表2_9713192325277389[[#This Row],[国家]])*表1_8612182224267288[单将最高战力])</f>
        <v>905353</v>
      </c>
    </row>
    <row r="121" ht="15" spans="1:14">
      <c r="A121" s="177" t="s">
        <v>181</v>
      </c>
      <c r="B121" s="180" t="s">
        <v>27</v>
      </c>
      <c r="C121" s="180">
        <f>COUNTIFS(表1_8612182224267288[目标区服],表2_9713192325277389[[#This Row],[合区区服]],表1_8612182224267288[目标国家（映射）],表2_9713192325277389[[#This Row],[国家]])</f>
        <v>2</v>
      </c>
      <c r="D121" s="180">
        <f>SUMIFS(表1_8612182224267288[活跃高战玩家数],表1_8612182224267288[目标区服],表2_9713192325277389[[#This Row],[合区区服]],表1_8612182224267288[目标国家（映射）],表2_9713192325277389[[#This Row],[国家]])</f>
        <v>7</v>
      </c>
      <c r="E121" s="180">
        <f>SUMIFS(表1_8612182224267288[活跃中坚玩家数],表1_8612182224267288[目标区服],表2_9713192325277389[[#This Row],[合区区服]],表1_8612182224267288[目标国家（映射）],表2_9713192325277389[[#This Row],[国家]])</f>
        <v>46</v>
      </c>
      <c r="F121" s="180">
        <f t="array" ref="F121">MAX((表1_8612182224267288[目标区服]=表2_9713192325277389[[#This Row],[合区区服]])*(表1_8612182224267288[目标国家（映射）]=表2_9713192325277389[[#This Row],[国家]])*表1_8612182224267288[活跃尖端战力])</f>
        <v>3060522</v>
      </c>
      <c r="G121" s="262">
        <f>SUMIFS(表1_8612182224267288[活跃总战力],表1_8612182224267288[目标区服],表2_9713192325277389[[#This Row],[合区区服]],表1_8612182224267288[目标国家（映射）],表2_9713192325277389[[#This Row],[国家]])</f>
        <v>47810284</v>
      </c>
      <c r="H121" s="180">
        <f>SUMIFS(表1_8612182224267288[活跃实际充值],表1_8612182224267288[目标区服],表2_9713192325277389[[#This Row],[合区区服]],表1_8612182224267288[目标国家（映射）],表2_9713192325277389[[#This Row],[国家]])</f>
        <v>168558</v>
      </c>
      <c r="I121" s="180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121" s="180">
        <f>SUMIFS(表1_8612182224267288[活跃Coin],表1_8612182224267288[目标区服],表2_9713192325277389[[#This Row],[合区区服]],表1_8612182224267288[目标国家（映射）],表2_9713192325277389[[#This Row],[国家]])</f>
        <v>746095</v>
      </c>
      <c r="K121" s="180">
        <f>SUMIFS(表1_8612182224267288[共计补偿Coin],表1_8612182224267288[目标区服],表2_9713192325277389[[#This Row],[合区区服]],表1_8612182224267288[目标国家（映射）],表2_9713192325277389[[#This Row],[国家]])</f>
        <v>53000</v>
      </c>
      <c r="L121" s="180">
        <f>表2_9713192325277389[[#This Row],[活跃Coin]]+表2_9713192325277389[[#This Row],[共计补偿Coin]]</f>
        <v>799095</v>
      </c>
      <c r="M121" s="180">
        <f>SUMIFS(表1_8612182224267288[综合国力],表1_8612182224267288[目标区服],表2_9713192325277389[[#This Row],[合区区服]],表1_8612182224267288[目标国家（映射）],表2_9713192325277389[[#This Row],[国家]])</f>
        <v>19641</v>
      </c>
      <c r="N121" s="474">
        <f t="array" ref="N121">MAX((表1_8612182224267288[目标区服]=表2_9713192325277389[[#This Row],[合区区服]])*(表1_8612182224267288[目标国家（映射）]=表2_9713192325277389[[#This Row],[国家]])*表1_8612182224267288[单将最高战力])</f>
        <v>785137</v>
      </c>
    </row>
    <row r="122" ht="15" spans="1:14">
      <c r="A122" s="509" t="s">
        <v>182</v>
      </c>
      <c r="B122" s="39" t="s">
        <v>25</v>
      </c>
      <c r="C122" s="39">
        <f>COUNTIFS(表1_8612182224267288[目标区服],表2_9713192325277389[[#This Row],[合区区服]],表1_8612182224267288[目标国家（映射）],表2_9713192325277389[[#This Row],[国家]])</f>
        <v>2</v>
      </c>
      <c r="D122" s="39">
        <f>SUMIFS(表1_8612182224267288[活跃高战玩家数],表1_8612182224267288[目标区服],表2_9713192325277389[[#This Row],[合区区服]],表1_8612182224267288[目标国家（映射）],表2_9713192325277389[[#This Row],[国家]])</f>
        <v>5</v>
      </c>
      <c r="E122" s="39">
        <f>SUMIFS(表1_8612182224267288[活跃中坚玩家数],表1_8612182224267288[目标区服],表2_9713192325277389[[#This Row],[合区区服]],表1_8612182224267288[目标国家（映射）],表2_9713192325277389[[#This Row],[国家]])</f>
        <v>45</v>
      </c>
      <c r="F122" s="39">
        <f t="array" ref="F122">MAX((表1_8612182224267288[目标区服]=表2_9713192325277389[[#This Row],[合区区服]])*(表1_8612182224267288[目标国家（映射）]=表2_9713192325277389[[#This Row],[国家]])*表1_8612182224267288[活跃尖端战力])</f>
        <v>2377042</v>
      </c>
      <c r="G122" s="40">
        <f>SUMIFS(表1_8612182224267288[活跃总战力],表1_8612182224267288[目标区服],表2_9713192325277389[[#This Row],[合区区服]],表1_8612182224267288[目标国家（映射）],表2_9713192325277389[[#This Row],[国家]])</f>
        <v>33838674</v>
      </c>
      <c r="H122" s="39">
        <f>SUMIFS(表1_8612182224267288[活跃实际充值],表1_8612182224267288[目标区服],表2_9713192325277389[[#This Row],[合区区服]],表1_8612182224267288[目标国家（映射）],表2_9713192325277389[[#This Row],[国家]])</f>
        <v>79410</v>
      </c>
      <c r="I122" s="39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122" s="39">
        <f>SUMIFS(表1_8612182224267288[活跃Coin],表1_8612182224267288[目标区服],表2_9713192325277389[[#This Row],[合区区服]],表1_8612182224267288[目标国家（映射）],表2_9713192325277389[[#This Row],[国家]])</f>
        <v>724633</v>
      </c>
      <c r="K122" s="39">
        <f>SUMIFS(表1_8612182224267288[共计补偿Coin],表1_8612182224267288[目标区服],表2_9713192325277389[[#This Row],[合区区服]],表1_8612182224267288[目标国家（映射）],表2_9713192325277389[[#This Row],[国家]])</f>
        <v>50000</v>
      </c>
      <c r="L122" s="39">
        <f>表2_9713192325277389[[#This Row],[活跃Coin]]+表2_9713192325277389[[#This Row],[共计补偿Coin]]</f>
        <v>774633</v>
      </c>
      <c r="M122" s="39">
        <f>SUMIFS(表1_8612182224267288[综合国力],表1_8612182224267288[目标区服],表2_9713192325277389[[#This Row],[合区区服]],表1_8612182224267288[目标国家（映射）],表2_9713192325277389[[#This Row],[国家]])</f>
        <v>13641</v>
      </c>
      <c r="N122" s="512">
        <f t="array" ref="N122">MAX((表1_8612182224267288[目标区服]=表2_9713192325277389[[#This Row],[合区区服]])*(表1_8612182224267288[目标国家（映射）]=表2_9713192325277389[[#This Row],[国家]])*表1_8612182224267288[单将最高战力])</f>
        <v>780151</v>
      </c>
    </row>
    <row r="123" ht="15" spans="1:14">
      <c r="A123" s="509" t="s">
        <v>182</v>
      </c>
      <c r="B123" s="39" t="s">
        <v>26</v>
      </c>
      <c r="C123" s="39">
        <f>COUNTIFS(表1_8612182224267288[目标区服],表2_9713192325277389[[#This Row],[合区区服]],表1_8612182224267288[目标国家（映射）],表2_9713192325277389[[#This Row],[国家]])</f>
        <v>1</v>
      </c>
      <c r="D123" s="39">
        <f>SUMIFS(表1_8612182224267288[活跃高战玩家数],表1_8612182224267288[目标区服],表2_9713192325277389[[#This Row],[合区区服]],表1_8612182224267288[目标国家（映射）],表2_9713192325277389[[#This Row],[国家]])</f>
        <v>6</v>
      </c>
      <c r="E123" s="39">
        <f>SUMIFS(表1_8612182224267288[活跃中坚玩家数],表1_8612182224267288[目标区服],表2_9713192325277389[[#This Row],[合区区服]],表1_8612182224267288[目标国家（映射）],表2_9713192325277389[[#This Row],[国家]])</f>
        <v>31</v>
      </c>
      <c r="F123" s="39">
        <f t="array" ref="F123">MAX((表1_8612182224267288[目标区服]=表2_9713192325277389[[#This Row],[合区区服]])*(表1_8612182224267288[目标国家（映射）]=表2_9713192325277389[[#This Row],[国家]])*表1_8612182224267288[活跃尖端战力])</f>
        <v>3369539</v>
      </c>
      <c r="G123" s="40">
        <f>SUMIFS(表1_8612182224267288[活跃总战力],表1_8612182224267288[目标区服],表2_9713192325277389[[#This Row],[合区区服]],表1_8612182224267288[目标国家（映射）],表2_9713192325277389[[#This Row],[国家]])</f>
        <v>32125335</v>
      </c>
      <c r="H123" s="39">
        <f>SUMIFS(表1_8612182224267288[活跃实际充值],表1_8612182224267288[目标区服],表2_9713192325277389[[#This Row],[合区区服]],表1_8612182224267288[目标国家（映射）],表2_9713192325277389[[#This Row],[国家]])</f>
        <v>142556</v>
      </c>
      <c r="I123" s="39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123" s="39">
        <f>SUMIFS(表1_8612182224267288[活跃Coin],表1_8612182224267288[目标区服],表2_9713192325277389[[#This Row],[合区区服]],表1_8612182224267288[目标国家（映射）],表2_9713192325277389[[#This Row],[国家]])</f>
        <v>709516</v>
      </c>
      <c r="K123" s="39">
        <f>SUMIFS(表1_8612182224267288[共计补偿Coin],表1_8612182224267288[目标区服],表2_9713192325277389[[#This Row],[合区区服]],表1_8612182224267288[目标国家（映射）],表2_9713192325277389[[#This Row],[国家]])</f>
        <v>37000</v>
      </c>
      <c r="L123" s="39">
        <f>表2_9713192325277389[[#This Row],[活跃Coin]]+表2_9713192325277389[[#This Row],[共计补偿Coin]]</f>
        <v>746516</v>
      </c>
      <c r="M123" s="39">
        <f>SUMIFS(表1_8612182224267288[综合国力],表1_8612182224267288[目标区服],表2_9713192325277389[[#This Row],[合区区服]],表1_8612182224267288[目标国家（映射）],表2_9713192325277389[[#This Row],[国家]])</f>
        <v>14190</v>
      </c>
      <c r="N123" s="512">
        <f t="array" ref="N123">MAX((表1_8612182224267288[目标区服]=表2_9713192325277389[[#This Row],[合区区服]])*(表1_8612182224267288[目标国家（映射）]=表2_9713192325277389[[#This Row],[国家]])*表1_8612182224267288[单将最高战力])</f>
        <v>1197766</v>
      </c>
    </row>
    <row r="124" ht="15" spans="1:14">
      <c r="A124" s="509" t="s">
        <v>182</v>
      </c>
      <c r="B124" s="510" t="s">
        <v>27</v>
      </c>
      <c r="C124" s="510">
        <f>COUNTIFS(表1_8612182224267288[目标区服],表2_9713192325277389[[#This Row],[合区区服]],表1_8612182224267288[目标国家（映射）],表2_9713192325277389[[#This Row],[国家]])</f>
        <v>3</v>
      </c>
      <c r="D124" s="510">
        <f>SUMIFS(表1_8612182224267288[活跃高战玩家数],表1_8612182224267288[目标区服],表2_9713192325277389[[#This Row],[合区区服]],表1_8612182224267288[目标国家（映射）],表2_9713192325277389[[#This Row],[国家]])</f>
        <v>8</v>
      </c>
      <c r="E124" s="510">
        <f>SUMIFS(表1_8612182224267288[活跃中坚玩家数],表1_8612182224267288[目标区服],表2_9713192325277389[[#This Row],[合区区服]],表1_8612182224267288[目标国家（映射）],表2_9713192325277389[[#This Row],[国家]])</f>
        <v>52</v>
      </c>
      <c r="F124" s="510">
        <f t="array" ref="F124">MAX((表1_8612182224267288[目标区服]=表2_9713192325277389[[#This Row],[合区区服]])*(表1_8612182224267288[目标国家（映射）]=表2_9713192325277389[[#This Row],[国家]])*表1_8612182224267288[活跃尖端战力])</f>
        <v>2731290</v>
      </c>
      <c r="G124" s="511">
        <f>SUMIFS(表1_8612182224267288[活跃总战力],表1_8612182224267288[目标区服],表2_9713192325277389[[#This Row],[合区区服]],表1_8612182224267288[目标国家（映射）],表2_9713192325277389[[#This Row],[国家]])</f>
        <v>38510263</v>
      </c>
      <c r="H124" s="510">
        <f>SUMIFS(表1_8612182224267288[活跃实际充值],表1_8612182224267288[目标区服],表2_9713192325277389[[#This Row],[合区区服]],表1_8612182224267288[目标国家（映射）],表2_9713192325277389[[#This Row],[国家]])</f>
        <v>85808</v>
      </c>
      <c r="I124" s="510">
        <f>SUMIFS(表1_8612182224267288[活跃虚拟充值],表1_8612182224267288[目标区服],表2_9713192325277389[[#This Row],[合区区服]],表1_8612182224267288[目标国家（映射）],表2_9713192325277389[[#This Row],[国家]])</f>
        <v>0</v>
      </c>
      <c r="J124" s="510">
        <f>SUMIFS(表1_8612182224267288[活跃Coin],表1_8612182224267288[目标区服],表2_9713192325277389[[#This Row],[合区区服]],表1_8612182224267288[目标国家（映射）],表2_9713192325277389[[#This Row],[国家]])</f>
        <v>746523</v>
      </c>
      <c r="K124" s="510">
        <f>SUMIFS(表1_8612182224267288[共计补偿Coin],表1_8612182224267288[目标区服],表2_9713192325277389[[#This Row],[合区区服]],表1_8612182224267288[目标国家（映射）],表2_9713192325277389[[#This Row],[国家]])</f>
        <v>60000</v>
      </c>
      <c r="L124" s="510">
        <f>表2_9713192325277389[[#This Row],[活跃Coin]]+表2_9713192325277389[[#This Row],[共计补偿Coin]]</f>
        <v>806523</v>
      </c>
      <c r="M124" s="510">
        <f>SUMIFS(表1_8612182224267288[综合国力],表1_8612182224267288[目标区服],表2_9713192325277389[[#This Row],[合区区服]],表1_8612182224267288[目标国家（映射）],表2_9713192325277389[[#This Row],[国家]])</f>
        <v>18114</v>
      </c>
      <c r="N124" s="513">
        <f t="array" ref="N124">MAX((表1_8612182224267288[目标区服]=表2_9713192325277389[[#This Row],[合区区服]])*(表1_8612182224267288[目标国家（映射）]=表2_9713192325277389[[#This Row],[国家]])*表1_8612182224267288[单将最高战力])</f>
        <v>731363</v>
      </c>
    </row>
    <row r="127" ht="27" spans="2:14">
      <c r="B127" s="49"/>
      <c r="C127" s="50" t="s">
        <v>9</v>
      </c>
      <c r="D127" s="50" t="s">
        <v>10</v>
      </c>
      <c r="E127" s="50" t="s">
        <v>11</v>
      </c>
      <c r="F127" s="50" t="s">
        <v>12</v>
      </c>
      <c r="G127" s="50" t="s">
        <v>13</v>
      </c>
      <c r="H127" s="50" t="s">
        <v>14</v>
      </c>
      <c r="I127" s="50" t="s">
        <v>15</v>
      </c>
      <c r="J127" s="50" t="s">
        <v>18</v>
      </c>
      <c r="K127" s="50" t="s">
        <v>19</v>
      </c>
      <c r="L127" s="50" t="s">
        <v>20</v>
      </c>
      <c r="M127" s="50" t="s">
        <v>21</v>
      </c>
      <c r="N127" s="50" t="s">
        <v>82</v>
      </c>
    </row>
    <row r="128" spans="1:14">
      <c r="A128">
        <v>5101</v>
      </c>
      <c r="B128" s="50" t="s">
        <v>25</v>
      </c>
      <c r="C128" s="50">
        <v>4</v>
      </c>
      <c r="D128" s="50">
        <v>150</v>
      </c>
      <c r="E128" s="50">
        <v>5</v>
      </c>
      <c r="F128" s="50">
        <v>17</v>
      </c>
      <c r="G128" s="50">
        <v>95146</v>
      </c>
      <c r="H128" s="50">
        <v>2560794</v>
      </c>
      <c r="I128" s="50">
        <v>19166533</v>
      </c>
      <c r="J128" s="50">
        <v>63944</v>
      </c>
      <c r="K128" s="50">
        <v>0</v>
      </c>
      <c r="L128" s="50">
        <v>296269</v>
      </c>
      <c r="M128" s="50">
        <v>8919</v>
      </c>
      <c r="N128" s="50">
        <v>795174</v>
      </c>
    </row>
    <row r="129" spans="2:14">
      <c r="B129" s="50" t="s">
        <v>26</v>
      </c>
      <c r="C129" s="50">
        <v>5</v>
      </c>
      <c r="D129" s="50">
        <v>215</v>
      </c>
      <c r="E129" s="50">
        <v>3</v>
      </c>
      <c r="F129" s="50">
        <v>24</v>
      </c>
      <c r="G129" s="50">
        <v>127325</v>
      </c>
      <c r="H129" s="50">
        <v>2720780</v>
      </c>
      <c r="I129" s="50">
        <v>24498096</v>
      </c>
      <c r="J129" s="50">
        <v>121058</v>
      </c>
      <c r="K129" s="50">
        <v>0</v>
      </c>
      <c r="L129" s="50">
        <v>401528</v>
      </c>
      <c r="M129" s="50">
        <v>12289</v>
      </c>
      <c r="N129" s="50">
        <v>829282</v>
      </c>
    </row>
    <row r="130" spans="2:14">
      <c r="B130" s="50" t="s">
        <v>27</v>
      </c>
      <c r="C130" s="50">
        <v>0</v>
      </c>
      <c r="D130" s="50">
        <v>30</v>
      </c>
      <c r="E130" s="50">
        <v>2</v>
      </c>
      <c r="F130" s="50">
        <v>18</v>
      </c>
      <c r="G130" s="50">
        <v>72177</v>
      </c>
      <c r="H130" s="50">
        <v>2072450</v>
      </c>
      <c r="I130" s="50">
        <v>14491196</v>
      </c>
      <c r="J130" s="50">
        <v>23966</v>
      </c>
      <c r="K130" s="50">
        <v>0</v>
      </c>
      <c r="L130" s="50">
        <v>75817</v>
      </c>
      <c r="M130" s="50">
        <v>4939</v>
      </c>
      <c r="N130" s="50">
        <v>648524</v>
      </c>
    </row>
    <row r="131" spans="1:14">
      <c r="A131">
        <v>5102</v>
      </c>
      <c r="B131" s="50" t="s">
        <v>25</v>
      </c>
      <c r="C131" s="50">
        <v>4</v>
      </c>
      <c r="D131" s="50">
        <v>197</v>
      </c>
      <c r="E131" s="50">
        <v>5</v>
      </c>
      <c r="F131" s="50">
        <v>8</v>
      </c>
      <c r="G131" s="50">
        <v>77160</v>
      </c>
      <c r="H131" s="50">
        <v>3139215</v>
      </c>
      <c r="I131" s="50">
        <v>15602722</v>
      </c>
      <c r="J131" s="50">
        <v>129992</v>
      </c>
      <c r="K131" s="50">
        <v>0</v>
      </c>
      <c r="L131" s="50">
        <v>342747</v>
      </c>
      <c r="M131" s="50">
        <v>11526</v>
      </c>
      <c r="N131" s="50">
        <v>934832</v>
      </c>
    </row>
    <row r="132" spans="2:14">
      <c r="B132" s="50" t="s">
        <v>26</v>
      </c>
      <c r="C132" s="50">
        <v>3</v>
      </c>
      <c r="D132" s="50">
        <v>121</v>
      </c>
      <c r="E132" s="50">
        <v>2</v>
      </c>
      <c r="F132" s="50">
        <v>23</v>
      </c>
      <c r="G132" s="50">
        <v>101594</v>
      </c>
      <c r="H132" s="50">
        <v>1963098</v>
      </c>
      <c r="I132" s="50">
        <v>14893321</v>
      </c>
      <c r="J132" s="50">
        <v>36984</v>
      </c>
      <c r="K132" s="50">
        <v>0</v>
      </c>
      <c r="L132" s="50">
        <v>176957</v>
      </c>
      <c r="M132" s="50">
        <v>6668</v>
      </c>
      <c r="N132" s="50">
        <v>660465</v>
      </c>
    </row>
    <row r="133" spans="2:14">
      <c r="B133" s="50" t="s">
        <v>27</v>
      </c>
      <c r="C133" s="50">
        <v>2</v>
      </c>
      <c r="D133" s="50">
        <v>77</v>
      </c>
      <c r="E133" s="50">
        <v>2</v>
      </c>
      <c r="F133" s="50">
        <v>17</v>
      </c>
      <c r="G133" s="50">
        <v>79897</v>
      </c>
      <c r="H133" s="50">
        <v>1786090</v>
      </c>
      <c r="I133" s="50">
        <v>11364249</v>
      </c>
      <c r="J133" s="50">
        <v>13082</v>
      </c>
      <c r="K133" s="50">
        <v>0</v>
      </c>
      <c r="L133" s="50">
        <v>105693</v>
      </c>
      <c r="M133" s="50">
        <v>4737</v>
      </c>
      <c r="N133" s="50">
        <v>683310</v>
      </c>
    </row>
    <row r="134" spans="1:14">
      <c r="A134">
        <v>5103</v>
      </c>
      <c r="B134" s="50" t="s">
        <v>25</v>
      </c>
      <c r="C134" s="50">
        <v>3</v>
      </c>
      <c r="D134" s="50">
        <v>103</v>
      </c>
      <c r="E134" s="50">
        <v>3</v>
      </c>
      <c r="F134" s="50">
        <v>18</v>
      </c>
      <c r="G134" s="50">
        <v>92536</v>
      </c>
      <c r="H134" s="50">
        <v>2510325</v>
      </c>
      <c r="I134" s="50">
        <v>17768469</v>
      </c>
      <c r="J134" s="50">
        <v>34076</v>
      </c>
      <c r="K134" s="50">
        <v>0</v>
      </c>
      <c r="L134" s="50">
        <v>375179</v>
      </c>
      <c r="M134" s="50">
        <v>7289</v>
      </c>
      <c r="N134" s="50">
        <v>742281</v>
      </c>
    </row>
    <row r="135" spans="2:14">
      <c r="B135" s="50" t="s">
        <v>26</v>
      </c>
      <c r="C135" s="50">
        <v>4</v>
      </c>
      <c r="D135" s="50">
        <v>197</v>
      </c>
      <c r="E135" s="50">
        <v>5</v>
      </c>
      <c r="F135" s="50">
        <v>18</v>
      </c>
      <c r="G135" s="50">
        <v>102939</v>
      </c>
      <c r="H135" s="50">
        <v>2544495</v>
      </c>
      <c r="I135" s="50">
        <v>20837996</v>
      </c>
      <c r="J135" s="50">
        <v>90336</v>
      </c>
      <c r="K135" s="50">
        <v>0</v>
      </c>
      <c r="L135" s="50">
        <v>596723</v>
      </c>
      <c r="M135" s="50">
        <v>10521</v>
      </c>
      <c r="N135" s="50">
        <v>796759</v>
      </c>
    </row>
    <row r="136" spans="2:14">
      <c r="B136" s="50" t="s">
        <v>27</v>
      </c>
      <c r="C136" s="50">
        <v>2</v>
      </c>
      <c r="D136" s="50">
        <v>95</v>
      </c>
      <c r="E136" s="50">
        <v>2</v>
      </c>
      <c r="F136" s="50">
        <v>21</v>
      </c>
      <c r="G136" s="50">
        <v>99243</v>
      </c>
      <c r="H136" s="50">
        <v>2459589</v>
      </c>
      <c r="I136" s="50">
        <v>19082221</v>
      </c>
      <c r="J136" s="50">
        <v>35246</v>
      </c>
      <c r="K136" s="50">
        <v>0</v>
      </c>
      <c r="L136" s="50">
        <v>243359</v>
      </c>
      <c r="M136" s="50">
        <v>7193</v>
      </c>
      <c r="N136" s="50">
        <v>715036</v>
      </c>
    </row>
    <row r="137" spans="1:14">
      <c r="A137">
        <v>5104</v>
      </c>
      <c r="B137" s="50" t="s">
        <v>25</v>
      </c>
      <c r="C137" s="50">
        <v>0</v>
      </c>
      <c r="D137" s="50">
        <v>42</v>
      </c>
      <c r="E137" s="50">
        <v>0</v>
      </c>
      <c r="F137" s="50">
        <v>11</v>
      </c>
      <c r="G137" s="50">
        <v>33597</v>
      </c>
      <c r="H137" s="50">
        <v>1406040</v>
      </c>
      <c r="I137" s="50">
        <v>5273428</v>
      </c>
      <c r="J137" s="50">
        <v>3478</v>
      </c>
      <c r="K137" s="50">
        <v>0</v>
      </c>
      <c r="L137" s="50">
        <v>186334</v>
      </c>
      <c r="M137" s="50">
        <v>2718</v>
      </c>
      <c r="N137" s="50">
        <v>519758</v>
      </c>
    </row>
    <row r="138" spans="2:14">
      <c r="B138" s="50" t="s">
        <v>26</v>
      </c>
      <c r="C138" s="50">
        <v>3</v>
      </c>
      <c r="D138" s="50">
        <v>142</v>
      </c>
      <c r="E138" s="50">
        <v>5</v>
      </c>
      <c r="F138" s="50">
        <v>23</v>
      </c>
      <c r="G138" s="50">
        <v>128817</v>
      </c>
      <c r="H138" s="50">
        <v>2795795</v>
      </c>
      <c r="I138" s="50">
        <v>21791653</v>
      </c>
      <c r="J138" s="50">
        <v>69626</v>
      </c>
      <c r="K138" s="50">
        <v>0</v>
      </c>
      <c r="L138" s="50">
        <v>509580</v>
      </c>
      <c r="M138" s="50">
        <v>9682</v>
      </c>
      <c r="N138" s="50">
        <v>722646</v>
      </c>
    </row>
    <row r="139" spans="2:14">
      <c r="B139" s="50" t="s">
        <v>27</v>
      </c>
      <c r="C139" s="50">
        <v>6</v>
      </c>
      <c r="D139" s="50">
        <v>211</v>
      </c>
      <c r="E139" s="50">
        <v>5</v>
      </c>
      <c r="F139" s="50">
        <v>9</v>
      </c>
      <c r="G139" s="50">
        <v>103455</v>
      </c>
      <c r="H139" s="50">
        <v>2878296</v>
      </c>
      <c r="I139" s="50">
        <v>17071682</v>
      </c>
      <c r="J139" s="50">
        <v>56086</v>
      </c>
      <c r="K139" s="50">
        <v>0</v>
      </c>
      <c r="L139" s="50">
        <v>417437</v>
      </c>
      <c r="M139" s="50">
        <v>9704</v>
      </c>
      <c r="N139" s="50">
        <v>916516</v>
      </c>
    </row>
    <row r="140" spans="1:14">
      <c r="A140">
        <v>5105</v>
      </c>
      <c r="B140" s="50" t="s">
        <v>25</v>
      </c>
      <c r="C140" s="50">
        <v>3</v>
      </c>
      <c r="D140" s="50">
        <v>120</v>
      </c>
      <c r="E140" s="50">
        <v>3</v>
      </c>
      <c r="F140" s="50">
        <v>18</v>
      </c>
      <c r="G140" s="50">
        <v>90815</v>
      </c>
      <c r="H140" s="50">
        <v>2447922</v>
      </c>
      <c r="I140" s="50">
        <v>13509112</v>
      </c>
      <c r="J140" s="50">
        <v>32538</v>
      </c>
      <c r="K140" s="50">
        <v>0</v>
      </c>
      <c r="L140" s="50">
        <v>235133</v>
      </c>
      <c r="M140" s="50">
        <v>6846</v>
      </c>
      <c r="N140" s="50">
        <v>722176</v>
      </c>
    </row>
    <row r="141" spans="2:14">
      <c r="B141" s="50" t="s">
        <v>26</v>
      </c>
      <c r="C141" s="50">
        <v>3</v>
      </c>
      <c r="D141" s="50">
        <v>156</v>
      </c>
      <c r="E141" s="50">
        <v>5</v>
      </c>
      <c r="F141" s="50">
        <v>17</v>
      </c>
      <c r="G141" s="50">
        <v>121103</v>
      </c>
      <c r="H141" s="50">
        <v>2384833</v>
      </c>
      <c r="I141" s="50">
        <v>17240421</v>
      </c>
      <c r="J141" s="50">
        <v>65850</v>
      </c>
      <c r="K141" s="50">
        <v>0</v>
      </c>
      <c r="L141" s="50">
        <v>340084</v>
      </c>
      <c r="M141" s="50">
        <v>8719</v>
      </c>
      <c r="N141" s="50">
        <v>885083</v>
      </c>
    </row>
    <row r="142" spans="2:14">
      <c r="B142" s="50" t="s">
        <v>27</v>
      </c>
      <c r="C142" s="50">
        <v>3</v>
      </c>
      <c r="D142" s="50">
        <v>119</v>
      </c>
      <c r="E142" s="50">
        <v>2</v>
      </c>
      <c r="F142" s="50">
        <v>11</v>
      </c>
      <c r="G142" s="50">
        <v>66429</v>
      </c>
      <c r="H142" s="50">
        <v>1341415</v>
      </c>
      <c r="I142" s="50">
        <v>8332795</v>
      </c>
      <c r="J142" s="50">
        <v>5694</v>
      </c>
      <c r="K142" s="50">
        <v>0</v>
      </c>
      <c r="L142" s="50">
        <v>74699</v>
      </c>
      <c r="M142" s="50">
        <v>4205</v>
      </c>
      <c r="N142" s="50">
        <v>380164</v>
      </c>
    </row>
    <row r="143" spans="1:14">
      <c r="A143">
        <v>5106</v>
      </c>
      <c r="B143" s="50" t="s">
        <v>25</v>
      </c>
      <c r="C143" s="50">
        <v>4</v>
      </c>
      <c r="D143" s="50">
        <v>98</v>
      </c>
      <c r="E143" s="50">
        <v>4</v>
      </c>
      <c r="F143" s="50">
        <v>22</v>
      </c>
      <c r="G143" s="50">
        <v>108376</v>
      </c>
      <c r="H143" s="50">
        <v>2258058</v>
      </c>
      <c r="I143" s="50">
        <v>21892578</v>
      </c>
      <c r="J143" s="50">
        <v>56172</v>
      </c>
      <c r="K143" s="50">
        <v>0</v>
      </c>
      <c r="L143" s="50">
        <v>228632</v>
      </c>
      <c r="M143" s="50">
        <v>8168</v>
      </c>
      <c r="N143" s="50">
        <v>657597</v>
      </c>
    </row>
    <row r="144" spans="2:14">
      <c r="B144" s="50" t="s">
        <v>26</v>
      </c>
      <c r="C144" s="50">
        <v>3</v>
      </c>
      <c r="D144" s="50">
        <v>213</v>
      </c>
      <c r="E144" s="50">
        <v>4</v>
      </c>
      <c r="F144" s="50">
        <v>28</v>
      </c>
      <c r="G144" s="50">
        <v>130864</v>
      </c>
      <c r="H144" s="50">
        <v>3218644</v>
      </c>
      <c r="I144" s="50">
        <v>29754302</v>
      </c>
      <c r="J144" s="50">
        <v>167364</v>
      </c>
      <c r="K144" s="50">
        <v>0</v>
      </c>
      <c r="L144" s="50">
        <v>443159</v>
      </c>
      <c r="M144" s="50">
        <v>14520</v>
      </c>
      <c r="N144" s="50">
        <v>952449</v>
      </c>
    </row>
    <row r="145" spans="2:14">
      <c r="B145" s="50" t="s">
        <v>27</v>
      </c>
      <c r="C145" s="50">
        <v>2</v>
      </c>
      <c r="D145" s="50">
        <v>84</v>
      </c>
      <c r="E145" s="50">
        <v>2</v>
      </c>
      <c r="F145" s="50">
        <v>17</v>
      </c>
      <c r="G145" s="50">
        <v>65190</v>
      </c>
      <c r="H145" s="50">
        <v>2108872</v>
      </c>
      <c r="I145" s="50">
        <v>14380877</v>
      </c>
      <c r="J145" s="50">
        <v>37786</v>
      </c>
      <c r="K145" s="50">
        <v>0</v>
      </c>
      <c r="L145" s="50">
        <v>284784</v>
      </c>
      <c r="M145" s="50">
        <v>6188</v>
      </c>
      <c r="N145" s="50">
        <v>579660</v>
      </c>
    </row>
    <row r="146" spans="1:14">
      <c r="A146">
        <v>5107</v>
      </c>
      <c r="B146" s="50" t="s">
        <v>25</v>
      </c>
      <c r="C146" s="50">
        <v>3</v>
      </c>
      <c r="D146" s="50">
        <v>106</v>
      </c>
      <c r="E146" s="50">
        <v>6</v>
      </c>
      <c r="F146" s="50">
        <v>14</v>
      </c>
      <c r="G146" s="50">
        <v>110611</v>
      </c>
      <c r="H146" s="50">
        <v>2089159</v>
      </c>
      <c r="I146" s="50">
        <v>15504280</v>
      </c>
      <c r="J146" s="50">
        <v>53566</v>
      </c>
      <c r="K146" s="50">
        <v>0</v>
      </c>
      <c r="L146" s="50">
        <v>266199</v>
      </c>
      <c r="M146" s="50">
        <v>7292</v>
      </c>
      <c r="N146" s="50">
        <v>618267</v>
      </c>
    </row>
    <row r="147" spans="2:14">
      <c r="B147" s="50" t="s">
        <v>26</v>
      </c>
      <c r="C147" s="50">
        <v>2</v>
      </c>
      <c r="D147" s="50">
        <v>136</v>
      </c>
      <c r="E147" s="50">
        <v>2</v>
      </c>
      <c r="F147" s="50">
        <v>16</v>
      </c>
      <c r="G147" s="50">
        <v>80821</v>
      </c>
      <c r="H147" s="50">
        <v>1786694</v>
      </c>
      <c r="I147" s="50">
        <v>11191043</v>
      </c>
      <c r="J147" s="50">
        <v>26578</v>
      </c>
      <c r="K147" s="50">
        <v>0</v>
      </c>
      <c r="L147" s="50">
        <v>195257</v>
      </c>
      <c r="M147" s="50">
        <v>5764</v>
      </c>
      <c r="N147" s="50">
        <v>610201</v>
      </c>
    </row>
    <row r="148" spans="2:14">
      <c r="B148" s="50" t="s">
        <v>27</v>
      </c>
      <c r="C148" s="50">
        <v>4</v>
      </c>
      <c r="D148" s="50">
        <v>153</v>
      </c>
      <c r="E148" s="50">
        <v>2</v>
      </c>
      <c r="F148" s="50">
        <v>11</v>
      </c>
      <c r="G148" s="50">
        <v>73978</v>
      </c>
      <c r="H148" s="50">
        <v>1901314</v>
      </c>
      <c r="I148" s="50">
        <v>10388131</v>
      </c>
      <c r="J148" s="50">
        <v>47206</v>
      </c>
      <c r="K148" s="50">
        <v>0</v>
      </c>
      <c r="L148" s="50">
        <v>399836</v>
      </c>
      <c r="M148" s="50">
        <v>6856</v>
      </c>
      <c r="N148" s="50">
        <v>691881</v>
      </c>
    </row>
    <row r="149" spans="1:14">
      <c r="A149">
        <v>5108</v>
      </c>
      <c r="B149" s="50" t="s">
        <v>25</v>
      </c>
      <c r="C149" s="50">
        <v>1</v>
      </c>
      <c r="D149" s="50">
        <v>75</v>
      </c>
      <c r="E149" s="50">
        <v>2</v>
      </c>
      <c r="F149" s="50">
        <v>7</v>
      </c>
      <c r="G149" s="50">
        <v>43236</v>
      </c>
      <c r="H149" s="50">
        <v>1493920</v>
      </c>
      <c r="I149" s="50">
        <v>5177906</v>
      </c>
      <c r="J149" s="50">
        <v>5752</v>
      </c>
      <c r="K149" s="50">
        <v>0</v>
      </c>
      <c r="L149" s="50">
        <v>98192</v>
      </c>
      <c r="M149" s="50">
        <v>3299</v>
      </c>
      <c r="N149" s="50">
        <v>509202</v>
      </c>
    </row>
    <row r="150" spans="2:14">
      <c r="B150" s="50" t="s">
        <v>26</v>
      </c>
      <c r="C150" s="50">
        <v>6</v>
      </c>
      <c r="D150" s="50">
        <v>246</v>
      </c>
      <c r="E150" s="50">
        <v>6</v>
      </c>
      <c r="F150" s="50">
        <v>14</v>
      </c>
      <c r="G150" s="50">
        <v>121237</v>
      </c>
      <c r="H150" s="50">
        <v>2668550</v>
      </c>
      <c r="I150" s="50">
        <v>17181207</v>
      </c>
      <c r="J150" s="50">
        <v>68888</v>
      </c>
      <c r="K150" s="50">
        <v>0</v>
      </c>
      <c r="L150" s="50">
        <v>680779</v>
      </c>
      <c r="M150" s="50">
        <v>10459</v>
      </c>
      <c r="N150" s="50">
        <v>856283</v>
      </c>
    </row>
    <row r="151" spans="2:14">
      <c r="B151" s="50" t="s">
        <v>27</v>
      </c>
      <c r="C151" s="50">
        <v>2</v>
      </c>
      <c r="D151" s="50">
        <v>74</v>
      </c>
      <c r="E151" s="50">
        <v>2</v>
      </c>
      <c r="F151" s="50">
        <v>12</v>
      </c>
      <c r="G151" s="50">
        <v>74258</v>
      </c>
      <c r="H151" s="50">
        <v>1426222</v>
      </c>
      <c r="I151" s="50">
        <v>8179880</v>
      </c>
      <c r="J151" s="50">
        <v>9726</v>
      </c>
      <c r="K151" s="50">
        <v>0</v>
      </c>
      <c r="L151" s="50">
        <v>212794</v>
      </c>
      <c r="M151" s="50">
        <v>3953</v>
      </c>
      <c r="N151" s="50">
        <v>542084</v>
      </c>
    </row>
    <row r="152" spans="1:14">
      <c r="A152">
        <v>5109</v>
      </c>
      <c r="B152" s="50" t="s">
        <v>25</v>
      </c>
      <c r="C152" s="50">
        <v>6</v>
      </c>
      <c r="D152" s="50">
        <v>252</v>
      </c>
      <c r="E152" s="50">
        <v>6</v>
      </c>
      <c r="F152" s="50">
        <v>20</v>
      </c>
      <c r="G152" s="50">
        <v>141825</v>
      </c>
      <c r="H152" s="50">
        <v>2858609</v>
      </c>
      <c r="I152" s="50">
        <v>24497690</v>
      </c>
      <c r="J152" s="50">
        <v>107308</v>
      </c>
      <c r="K152" s="50">
        <v>0</v>
      </c>
      <c r="L152" s="50">
        <v>394963</v>
      </c>
      <c r="M152" s="50">
        <v>12554</v>
      </c>
      <c r="N152" s="50">
        <v>919498</v>
      </c>
    </row>
    <row r="153" spans="2:14">
      <c r="B153" s="50" t="s">
        <v>26</v>
      </c>
      <c r="C153" s="50">
        <v>1</v>
      </c>
      <c r="D153" s="50">
        <v>61</v>
      </c>
      <c r="E153" s="50">
        <v>2</v>
      </c>
      <c r="F153" s="50">
        <v>13</v>
      </c>
      <c r="G153" s="50">
        <v>71920</v>
      </c>
      <c r="H153" s="50">
        <v>1771161</v>
      </c>
      <c r="I153" s="50">
        <v>11351803</v>
      </c>
      <c r="J153" s="50">
        <v>41052</v>
      </c>
      <c r="K153" s="50">
        <v>0</v>
      </c>
      <c r="L153" s="50">
        <v>216087</v>
      </c>
      <c r="M153" s="50">
        <v>5315</v>
      </c>
      <c r="N153" s="50">
        <v>481900</v>
      </c>
    </row>
    <row r="154" spans="2:14">
      <c r="B154" s="50" t="s">
        <v>27</v>
      </c>
      <c r="C154" s="50">
        <v>2</v>
      </c>
      <c r="D154" s="50">
        <v>82</v>
      </c>
      <c r="E154" s="50">
        <v>2</v>
      </c>
      <c r="F154" s="50">
        <v>15</v>
      </c>
      <c r="G154" s="50">
        <v>74445</v>
      </c>
      <c r="H154" s="50">
        <v>2397577</v>
      </c>
      <c r="I154" s="50">
        <v>13217329</v>
      </c>
      <c r="J154" s="50">
        <v>65772</v>
      </c>
      <c r="K154" s="50">
        <v>0</v>
      </c>
      <c r="L154" s="50">
        <v>205721</v>
      </c>
      <c r="M154" s="50">
        <v>7187</v>
      </c>
      <c r="N154" s="50">
        <v>842936</v>
      </c>
    </row>
    <row r="155" spans="1:14">
      <c r="A155">
        <v>5110</v>
      </c>
      <c r="B155" s="50" t="s">
        <v>25</v>
      </c>
      <c r="C155" s="50">
        <v>2</v>
      </c>
      <c r="D155" s="50">
        <v>64</v>
      </c>
      <c r="E155" s="50">
        <v>3</v>
      </c>
      <c r="F155" s="50">
        <v>11</v>
      </c>
      <c r="G155" s="50">
        <v>60680</v>
      </c>
      <c r="H155" s="50">
        <v>1226328</v>
      </c>
      <c r="I155" s="50">
        <v>8186657</v>
      </c>
      <c r="J155" s="50">
        <v>14940</v>
      </c>
      <c r="K155" s="50">
        <v>0</v>
      </c>
      <c r="L155" s="50">
        <v>143798</v>
      </c>
      <c r="M155" s="50">
        <v>3708</v>
      </c>
      <c r="N155" s="50">
        <v>341006</v>
      </c>
    </row>
    <row r="156" spans="2:14">
      <c r="B156" s="50" t="s">
        <v>26</v>
      </c>
      <c r="C156" s="50">
        <v>4</v>
      </c>
      <c r="D156" s="50">
        <v>190</v>
      </c>
      <c r="E156" s="50">
        <v>5</v>
      </c>
      <c r="F156" s="50">
        <v>19</v>
      </c>
      <c r="G156" s="50">
        <v>113438</v>
      </c>
      <c r="H156" s="50">
        <v>2466413</v>
      </c>
      <c r="I156" s="50">
        <v>16492266</v>
      </c>
      <c r="J156" s="50">
        <v>47244</v>
      </c>
      <c r="K156" s="50">
        <v>0</v>
      </c>
      <c r="L156" s="50">
        <v>216387</v>
      </c>
      <c r="M156" s="50">
        <v>8508</v>
      </c>
      <c r="N156" s="50">
        <v>659314</v>
      </c>
    </row>
    <row r="157" spans="2:14">
      <c r="B157" s="50" t="s">
        <v>27</v>
      </c>
      <c r="C157" s="50">
        <v>3</v>
      </c>
      <c r="D157" s="50">
        <v>141</v>
      </c>
      <c r="E157" s="50">
        <v>2</v>
      </c>
      <c r="F157" s="50">
        <v>21</v>
      </c>
      <c r="G157" s="50">
        <v>97025</v>
      </c>
      <c r="H157" s="50">
        <v>1697131</v>
      </c>
      <c r="I157" s="50">
        <v>13656814</v>
      </c>
      <c r="J157" s="50">
        <v>43044</v>
      </c>
      <c r="K157" s="50">
        <v>0</v>
      </c>
      <c r="L157" s="50">
        <v>260087</v>
      </c>
      <c r="M157" s="50">
        <v>6679</v>
      </c>
      <c r="N157" s="50">
        <v>546838</v>
      </c>
    </row>
    <row r="158" spans="1:14">
      <c r="A158">
        <v>5111</v>
      </c>
      <c r="B158" s="50" t="s">
        <v>25</v>
      </c>
      <c r="C158" s="50">
        <v>0</v>
      </c>
      <c r="D158" s="50">
        <v>25</v>
      </c>
      <c r="E158" s="50">
        <v>1</v>
      </c>
      <c r="F158" s="50">
        <v>9</v>
      </c>
      <c r="G158" s="50">
        <v>30344</v>
      </c>
      <c r="H158" s="50">
        <v>1580579</v>
      </c>
      <c r="I158" s="50">
        <v>6943532</v>
      </c>
      <c r="J158" s="50">
        <v>3650</v>
      </c>
      <c r="K158" s="50">
        <v>0</v>
      </c>
      <c r="L158" s="50">
        <v>109601</v>
      </c>
      <c r="M158" s="50">
        <v>2840</v>
      </c>
      <c r="N158" s="50">
        <v>634205</v>
      </c>
    </row>
    <row r="159" spans="2:14">
      <c r="B159" s="50" t="s">
        <v>26</v>
      </c>
      <c r="C159" s="50">
        <v>5</v>
      </c>
      <c r="D159" s="50">
        <v>161</v>
      </c>
      <c r="E159" s="50">
        <v>3</v>
      </c>
      <c r="F159" s="50">
        <v>32</v>
      </c>
      <c r="G159" s="50">
        <v>153298</v>
      </c>
      <c r="H159" s="50">
        <v>3794635</v>
      </c>
      <c r="I159" s="50">
        <v>31682816</v>
      </c>
      <c r="J159" s="50">
        <v>124430</v>
      </c>
      <c r="K159" s="50">
        <v>0</v>
      </c>
      <c r="L159" s="50">
        <v>1093239</v>
      </c>
      <c r="M159" s="50">
        <v>14118</v>
      </c>
      <c r="N159" s="50">
        <v>1104662</v>
      </c>
    </row>
    <row r="160" spans="2:14">
      <c r="B160" s="50" t="s">
        <v>27</v>
      </c>
      <c r="C160" s="50">
        <v>4</v>
      </c>
      <c r="D160" s="50">
        <v>209</v>
      </c>
      <c r="E160" s="50">
        <v>6</v>
      </c>
      <c r="F160" s="50">
        <v>25</v>
      </c>
      <c r="G160" s="50">
        <v>130501</v>
      </c>
      <c r="H160" s="50">
        <v>3698067</v>
      </c>
      <c r="I160" s="50">
        <v>29299564</v>
      </c>
      <c r="J160" s="50">
        <v>163508</v>
      </c>
      <c r="K160" s="50">
        <v>0</v>
      </c>
      <c r="L160" s="50">
        <v>596772</v>
      </c>
      <c r="M160" s="50">
        <v>14974</v>
      </c>
      <c r="N160" s="50">
        <v>1104137</v>
      </c>
    </row>
    <row r="161" spans="1:14">
      <c r="A161">
        <v>5112</v>
      </c>
      <c r="B161" s="50" t="s">
        <v>25</v>
      </c>
      <c r="C161" s="50">
        <v>0</v>
      </c>
      <c r="D161" s="50">
        <v>24</v>
      </c>
      <c r="E161" s="50">
        <v>2</v>
      </c>
      <c r="F161" s="50">
        <v>12</v>
      </c>
      <c r="G161" s="50">
        <v>56908</v>
      </c>
      <c r="H161" s="50">
        <v>1305308</v>
      </c>
      <c r="I161" s="50">
        <v>7911732</v>
      </c>
      <c r="J161" s="50">
        <v>11392</v>
      </c>
      <c r="K161" s="50">
        <v>0</v>
      </c>
      <c r="L161" s="50">
        <v>94760</v>
      </c>
      <c r="M161" s="50">
        <v>3010</v>
      </c>
      <c r="N161" s="50">
        <v>390002</v>
      </c>
    </row>
    <row r="162" spans="2:14">
      <c r="B162" s="50" t="s">
        <v>26</v>
      </c>
      <c r="C162" s="50">
        <v>9</v>
      </c>
      <c r="D162" s="50">
        <v>330</v>
      </c>
      <c r="E162" s="50">
        <v>7</v>
      </c>
      <c r="F162" s="50">
        <v>20</v>
      </c>
      <c r="G162" s="50">
        <v>158132</v>
      </c>
      <c r="H162" s="50">
        <v>3795090</v>
      </c>
      <c r="I162" s="50">
        <v>26853558</v>
      </c>
      <c r="J162" s="50">
        <v>157842</v>
      </c>
      <c r="K162" s="50">
        <v>0</v>
      </c>
      <c r="L162" s="50">
        <v>1122619</v>
      </c>
      <c r="M162" s="50">
        <v>16767</v>
      </c>
      <c r="N162" s="50">
        <v>932852</v>
      </c>
    </row>
    <row r="163" spans="2:14">
      <c r="B163" s="50" t="s">
        <v>27</v>
      </c>
      <c r="C163" s="50">
        <v>0</v>
      </c>
      <c r="D163" s="50">
        <v>41</v>
      </c>
      <c r="E163" s="50">
        <v>1</v>
      </c>
      <c r="F163" s="50">
        <v>15</v>
      </c>
      <c r="G163" s="50">
        <v>57560</v>
      </c>
      <c r="H163" s="50">
        <v>1375946</v>
      </c>
      <c r="I163" s="50">
        <v>8185549</v>
      </c>
      <c r="J163" s="50">
        <v>13196</v>
      </c>
      <c r="K163" s="50">
        <v>0</v>
      </c>
      <c r="L163" s="50">
        <v>175789</v>
      </c>
      <c r="M163" s="50">
        <v>3376</v>
      </c>
      <c r="N163" s="50">
        <v>517363</v>
      </c>
    </row>
    <row r="164" spans="1:14">
      <c r="A164">
        <v>5113</v>
      </c>
      <c r="B164" s="50" t="s">
        <v>25</v>
      </c>
      <c r="C164" s="50">
        <v>8</v>
      </c>
      <c r="D164" s="50">
        <v>304</v>
      </c>
      <c r="E164" s="50">
        <v>7</v>
      </c>
      <c r="F164" s="50">
        <v>28</v>
      </c>
      <c r="G164" s="50">
        <v>192282</v>
      </c>
      <c r="H164" s="50">
        <v>2980678</v>
      </c>
      <c r="I164" s="50">
        <v>31811847</v>
      </c>
      <c r="J164" s="50">
        <v>143326</v>
      </c>
      <c r="K164" s="50">
        <v>0</v>
      </c>
      <c r="L164" s="50">
        <v>1194713</v>
      </c>
      <c r="M164" s="50">
        <v>15860</v>
      </c>
      <c r="N164" s="50">
        <v>816344</v>
      </c>
    </row>
    <row r="165" spans="2:14">
      <c r="B165" s="50" t="s">
        <v>26</v>
      </c>
      <c r="C165" s="50">
        <v>0</v>
      </c>
      <c r="D165" s="50">
        <v>27</v>
      </c>
      <c r="E165" s="50">
        <v>0</v>
      </c>
      <c r="F165" s="50">
        <v>9</v>
      </c>
      <c r="G165" s="50">
        <v>21638</v>
      </c>
      <c r="H165" s="50">
        <v>543745</v>
      </c>
      <c r="I165" s="50">
        <v>3557344</v>
      </c>
      <c r="J165" s="50">
        <v>15424</v>
      </c>
      <c r="K165" s="50">
        <v>0</v>
      </c>
      <c r="L165" s="50">
        <v>256022</v>
      </c>
      <c r="M165" s="50">
        <v>1868</v>
      </c>
      <c r="N165" s="50">
        <v>240951</v>
      </c>
    </row>
    <row r="166" spans="2:14">
      <c r="B166" s="50" t="s">
        <v>27</v>
      </c>
      <c r="C166" s="50">
        <v>1</v>
      </c>
      <c r="D166" s="50">
        <v>64</v>
      </c>
      <c r="E166" s="50">
        <v>3</v>
      </c>
      <c r="F166" s="50">
        <v>14</v>
      </c>
      <c r="G166" s="50">
        <v>66086</v>
      </c>
      <c r="H166" s="50">
        <v>1953167</v>
      </c>
      <c r="I166" s="50">
        <v>10917655</v>
      </c>
      <c r="J166" s="50">
        <v>27518</v>
      </c>
      <c r="K166" s="50">
        <v>0</v>
      </c>
      <c r="L166" s="50">
        <v>157652</v>
      </c>
      <c r="M166" s="50">
        <v>5019</v>
      </c>
      <c r="N166" s="50">
        <v>558347</v>
      </c>
    </row>
    <row r="167" spans="1:14">
      <c r="A167">
        <v>5114</v>
      </c>
      <c r="B167" s="50" t="s">
        <v>25</v>
      </c>
      <c r="C167" s="50">
        <v>8</v>
      </c>
      <c r="D167" s="50">
        <v>304</v>
      </c>
      <c r="E167" s="50">
        <v>10</v>
      </c>
      <c r="F167" s="50">
        <v>15</v>
      </c>
      <c r="G167" s="50">
        <v>157549</v>
      </c>
      <c r="H167" s="50">
        <v>2463582</v>
      </c>
      <c r="I167" s="50">
        <v>21602837</v>
      </c>
      <c r="J167" s="50">
        <v>86144</v>
      </c>
      <c r="K167" s="50">
        <v>0</v>
      </c>
      <c r="L167" s="50">
        <v>660575</v>
      </c>
      <c r="M167" s="50">
        <v>12166</v>
      </c>
      <c r="N167" s="50">
        <v>724182</v>
      </c>
    </row>
    <row r="168" spans="2:14">
      <c r="B168" s="50" t="s">
        <v>26</v>
      </c>
      <c r="C168" s="50">
        <v>1</v>
      </c>
      <c r="D168" s="50">
        <v>59</v>
      </c>
      <c r="E168" s="50">
        <v>0</v>
      </c>
      <c r="F168" s="50">
        <v>16</v>
      </c>
      <c r="G168" s="50">
        <v>45644</v>
      </c>
      <c r="H168" s="50">
        <v>1090024</v>
      </c>
      <c r="I168" s="50">
        <v>6709935</v>
      </c>
      <c r="J168" s="50">
        <v>3094</v>
      </c>
      <c r="K168" s="50">
        <v>0</v>
      </c>
      <c r="L168" s="50">
        <v>99610</v>
      </c>
      <c r="M168" s="50">
        <v>2821</v>
      </c>
      <c r="N168" s="50">
        <v>380978</v>
      </c>
    </row>
    <row r="169" spans="2:14">
      <c r="B169" s="50" t="s">
        <v>27</v>
      </c>
      <c r="C169" s="50">
        <v>0</v>
      </c>
      <c r="D169" s="50">
        <v>32</v>
      </c>
      <c r="E169" s="50">
        <v>0</v>
      </c>
      <c r="F169" s="50">
        <v>24</v>
      </c>
      <c r="G169" s="50">
        <v>86723</v>
      </c>
      <c r="H169" s="50">
        <v>1044257</v>
      </c>
      <c r="I169" s="50">
        <v>11269494</v>
      </c>
      <c r="J169" s="50">
        <v>17236</v>
      </c>
      <c r="K169" s="50">
        <v>0</v>
      </c>
      <c r="L169" s="50">
        <v>187535</v>
      </c>
      <c r="M169" s="50">
        <v>3535</v>
      </c>
      <c r="N169" s="50">
        <v>430341</v>
      </c>
    </row>
    <row r="170" spans="1:14">
      <c r="A170">
        <v>5115</v>
      </c>
      <c r="B170" s="50" t="s">
        <v>25</v>
      </c>
      <c r="C170" s="50">
        <v>6</v>
      </c>
      <c r="D170" s="50">
        <v>208</v>
      </c>
      <c r="E170" s="50">
        <v>4</v>
      </c>
      <c r="F170" s="50">
        <v>27</v>
      </c>
      <c r="G170" s="50">
        <v>137635</v>
      </c>
      <c r="H170" s="50">
        <v>2771863</v>
      </c>
      <c r="I170" s="50">
        <v>22586793</v>
      </c>
      <c r="J170" s="50">
        <v>53474</v>
      </c>
      <c r="K170" s="50">
        <v>0</v>
      </c>
      <c r="L170" s="50">
        <v>491888</v>
      </c>
      <c r="M170" s="50">
        <v>10248</v>
      </c>
      <c r="N170" s="50">
        <v>751510</v>
      </c>
    </row>
    <row r="171" spans="2:14">
      <c r="B171" s="50" t="s">
        <v>26</v>
      </c>
      <c r="C171" s="50">
        <v>1</v>
      </c>
      <c r="D171" s="50">
        <v>69</v>
      </c>
      <c r="E171" s="50">
        <v>2</v>
      </c>
      <c r="F171" s="50">
        <v>14</v>
      </c>
      <c r="G171" s="50">
        <v>73567</v>
      </c>
      <c r="H171" s="50">
        <v>1424024</v>
      </c>
      <c r="I171" s="50">
        <v>10487396</v>
      </c>
      <c r="J171" s="50">
        <v>19658</v>
      </c>
      <c r="K171" s="50">
        <v>0</v>
      </c>
      <c r="L171" s="50">
        <v>55714</v>
      </c>
      <c r="M171" s="50">
        <v>4248</v>
      </c>
      <c r="N171" s="50">
        <v>550844</v>
      </c>
    </row>
    <row r="172" spans="2:14">
      <c r="B172" s="50" t="s">
        <v>27</v>
      </c>
      <c r="C172" s="50">
        <v>2</v>
      </c>
      <c r="D172" s="50">
        <v>118</v>
      </c>
      <c r="E172" s="50">
        <v>3</v>
      </c>
      <c r="F172" s="50">
        <v>17</v>
      </c>
      <c r="G172" s="50">
        <v>83612</v>
      </c>
      <c r="H172" s="50">
        <v>1993685</v>
      </c>
      <c r="I172" s="50">
        <v>13517439</v>
      </c>
      <c r="J172" s="50">
        <v>50498</v>
      </c>
      <c r="K172" s="50">
        <v>0</v>
      </c>
      <c r="L172" s="50">
        <v>237489</v>
      </c>
      <c r="M172" s="50">
        <v>6777</v>
      </c>
      <c r="N172" s="50">
        <v>682896</v>
      </c>
    </row>
    <row r="173" spans="1:14">
      <c r="A173">
        <v>5116</v>
      </c>
      <c r="B173" s="50" t="s">
        <v>25</v>
      </c>
      <c r="C173" s="50">
        <v>3</v>
      </c>
      <c r="D173" s="50">
        <v>101</v>
      </c>
      <c r="E173" s="50">
        <v>2</v>
      </c>
      <c r="F173" s="50">
        <v>18</v>
      </c>
      <c r="G173" s="50">
        <v>62272</v>
      </c>
      <c r="H173" s="50">
        <v>1962799</v>
      </c>
      <c r="I173" s="50">
        <v>11435790</v>
      </c>
      <c r="J173" s="50">
        <v>19820</v>
      </c>
      <c r="K173" s="50">
        <v>0</v>
      </c>
      <c r="L173" s="50">
        <v>169117</v>
      </c>
      <c r="M173" s="50">
        <v>5406</v>
      </c>
      <c r="N173" s="50">
        <v>692285</v>
      </c>
    </row>
    <row r="174" spans="2:14">
      <c r="B174" s="50" t="s">
        <v>26</v>
      </c>
      <c r="C174" s="50">
        <v>4</v>
      </c>
      <c r="D174" s="50">
        <v>217</v>
      </c>
      <c r="E174" s="50">
        <v>5</v>
      </c>
      <c r="F174" s="50">
        <v>22</v>
      </c>
      <c r="G174" s="50">
        <v>142548</v>
      </c>
      <c r="H174" s="50">
        <v>3104583</v>
      </c>
      <c r="I174" s="50">
        <v>26020154</v>
      </c>
      <c r="J174" s="50">
        <v>93602</v>
      </c>
      <c r="K174" s="50">
        <v>0</v>
      </c>
      <c r="L174" s="50">
        <v>615053</v>
      </c>
      <c r="M174" s="50">
        <v>12104</v>
      </c>
      <c r="N174" s="50">
        <v>780307</v>
      </c>
    </row>
    <row r="175" spans="2:14">
      <c r="B175" s="50" t="s">
        <v>27</v>
      </c>
      <c r="C175" s="50">
        <v>2</v>
      </c>
      <c r="D175" s="50">
        <v>77</v>
      </c>
      <c r="E175" s="50">
        <v>3</v>
      </c>
      <c r="F175" s="50">
        <v>20</v>
      </c>
      <c r="G175" s="50">
        <v>93918</v>
      </c>
      <c r="H175" s="50">
        <v>2773166</v>
      </c>
      <c r="I175" s="50">
        <v>17834820</v>
      </c>
      <c r="J175" s="50">
        <v>77508</v>
      </c>
      <c r="K175" s="50">
        <v>0</v>
      </c>
      <c r="L175" s="50">
        <v>330546</v>
      </c>
      <c r="M175" s="50">
        <v>8486</v>
      </c>
      <c r="N175" s="50">
        <v>948604</v>
      </c>
    </row>
    <row r="176" spans="1:14">
      <c r="A176">
        <v>5117</v>
      </c>
      <c r="B176" s="50" t="s">
        <v>25</v>
      </c>
      <c r="C176" s="50">
        <v>3</v>
      </c>
      <c r="D176" s="50">
        <v>104</v>
      </c>
      <c r="E176" s="50">
        <v>5</v>
      </c>
      <c r="F176" s="50">
        <v>23</v>
      </c>
      <c r="G176" s="50">
        <v>121398</v>
      </c>
      <c r="H176" s="50">
        <v>1805797</v>
      </c>
      <c r="I176" s="50">
        <v>19214754</v>
      </c>
      <c r="J176" s="50">
        <v>26572</v>
      </c>
      <c r="K176" s="50">
        <v>0</v>
      </c>
      <c r="L176" s="50">
        <v>306243</v>
      </c>
      <c r="M176" s="50">
        <v>6624</v>
      </c>
      <c r="N176" s="50">
        <v>540971</v>
      </c>
    </row>
    <row r="177" spans="2:14">
      <c r="B177" s="50" t="s">
        <v>26</v>
      </c>
      <c r="C177" s="50">
        <v>4</v>
      </c>
      <c r="D177" s="50">
        <v>207</v>
      </c>
      <c r="E177" s="50">
        <v>4</v>
      </c>
      <c r="F177" s="50">
        <v>25</v>
      </c>
      <c r="G177" s="50">
        <v>128590</v>
      </c>
      <c r="H177" s="50">
        <v>2251472</v>
      </c>
      <c r="I177" s="50">
        <v>21884962</v>
      </c>
      <c r="J177" s="50">
        <v>68782</v>
      </c>
      <c r="K177" s="50">
        <v>0</v>
      </c>
      <c r="L177" s="50">
        <v>644835</v>
      </c>
      <c r="M177" s="50">
        <v>9938</v>
      </c>
      <c r="N177" s="50">
        <v>586273</v>
      </c>
    </row>
    <row r="178" spans="2:14">
      <c r="B178" s="50" t="s">
        <v>27</v>
      </c>
      <c r="C178" s="50">
        <v>2</v>
      </c>
      <c r="D178" s="50">
        <v>84</v>
      </c>
      <c r="E178" s="50">
        <v>1</v>
      </c>
      <c r="F178" s="50">
        <v>10</v>
      </c>
      <c r="G178" s="50">
        <v>39993</v>
      </c>
      <c r="H178" s="50">
        <v>1278557</v>
      </c>
      <c r="I178" s="50">
        <v>6747593</v>
      </c>
      <c r="J178" s="50">
        <v>5854</v>
      </c>
      <c r="K178" s="50">
        <v>0</v>
      </c>
      <c r="L178" s="50">
        <v>270568</v>
      </c>
      <c r="M178" s="50">
        <v>3504</v>
      </c>
      <c r="N178" s="50">
        <v>370190</v>
      </c>
    </row>
    <row r="179" spans="1:14">
      <c r="A179">
        <v>5118</v>
      </c>
      <c r="B179" s="50" t="s">
        <v>25</v>
      </c>
      <c r="C179" s="50">
        <v>2</v>
      </c>
      <c r="D179" s="50">
        <v>96</v>
      </c>
      <c r="E179" s="50">
        <v>1</v>
      </c>
      <c r="F179" s="50">
        <v>16</v>
      </c>
      <c r="G179" s="50">
        <v>62434</v>
      </c>
      <c r="H179" s="50">
        <v>2292963</v>
      </c>
      <c r="I179" s="50">
        <v>12141079</v>
      </c>
      <c r="J179" s="50">
        <v>2476</v>
      </c>
      <c r="K179" s="50">
        <v>75210</v>
      </c>
      <c r="L179" s="50">
        <v>537000</v>
      </c>
      <c r="M179" s="50">
        <v>6074</v>
      </c>
      <c r="N179" s="50">
        <v>911568</v>
      </c>
    </row>
    <row r="180" spans="2:14">
      <c r="B180" s="50" t="s">
        <v>26</v>
      </c>
      <c r="C180" s="50">
        <v>4</v>
      </c>
      <c r="D180" s="50">
        <v>175</v>
      </c>
      <c r="E180" s="50">
        <v>4</v>
      </c>
      <c r="F180" s="50">
        <v>15</v>
      </c>
      <c r="G180" s="50">
        <v>84943</v>
      </c>
      <c r="H180" s="50">
        <v>3789043</v>
      </c>
      <c r="I180" s="50">
        <v>20284571</v>
      </c>
      <c r="J180" s="50">
        <v>439754</v>
      </c>
      <c r="K180" s="50">
        <v>0</v>
      </c>
      <c r="L180" s="50">
        <v>716129</v>
      </c>
      <c r="M180" s="50">
        <v>21942</v>
      </c>
      <c r="N180" s="50">
        <v>1072658</v>
      </c>
    </row>
    <row r="181" spans="2:14">
      <c r="B181" s="50" t="s">
        <v>27</v>
      </c>
      <c r="C181" s="50">
        <v>3</v>
      </c>
      <c r="D181" s="50">
        <v>124</v>
      </c>
      <c r="E181" s="50">
        <v>5</v>
      </c>
      <c r="F181" s="50">
        <v>27</v>
      </c>
      <c r="G181" s="50">
        <v>143788</v>
      </c>
      <c r="H181" s="50">
        <v>3275762</v>
      </c>
      <c r="I181" s="50">
        <v>26992526</v>
      </c>
      <c r="J181" s="50">
        <v>99968</v>
      </c>
      <c r="K181" s="50">
        <v>77890</v>
      </c>
      <c r="L181" s="50">
        <v>475508</v>
      </c>
      <c r="M181" s="50">
        <v>12249</v>
      </c>
      <c r="N181" s="50">
        <v>1048226</v>
      </c>
    </row>
    <row r="182" spans="1:14">
      <c r="A182">
        <v>5119</v>
      </c>
      <c r="B182" s="50" t="s">
        <v>25</v>
      </c>
      <c r="C182" s="50">
        <v>4</v>
      </c>
      <c r="D182" s="50">
        <v>223</v>
      </c>
      <c r="E182" s="50">
        <v>5</v>
      </c>
      <c r="F182" s="50">
        <v>22</v>
      </c>
      <c r="G182" s="50">
        <v>126343</v>
      </c>
      <c r="H182" s="50">
        <v>2066733</v>
      </c>
      <c r="I182" s="50">
        <v>20874833</v>
      </c>
      <c r="J182" s="50">
        <v>40922</v>
      </c>
      <c r="K182" s="50">
        <v>0</v>
      </c>
      <c r="L182" s="50">
        <v>478907</v>
      </c>
      <c r="M182" s="50">
        <v>8883</v>
      </c>
      <c r="N182" s="50">
        <v>623051</v>
      </c>
    </row>
    <row r="183" spans="2:14">
      <c r="B183" s="50" t="s">
        <v>26</v>
      </c>
      <c r="C183" s="50">
        <v>3</v>
      </c>
      <c r="D183" s="50">
        <v>90</v>
      </c>
      <c r="E183" s="50">
        <v>4</v>
      </c>
      <c r="F183" s="50">
        <v>21</v>
      </c>
      <c r="G183" s="50">
        <v>107490</v>
      </c>
      <c r="H183" s="50">
        <v>1961169</v>
      </c>
      <c r="I183" s="50">
        <v>17657542</v>
      </c>
      <c r="J183" s="50">
        <v>36950</v>
      </c>
      <c r="K183" s="50">
        <v>0</v>
      </c>
      <c r="L183" s="50">
        <v>192694</v>
      </c>
      <c r="M183" s="50">
        <v>6669</v>
      </c>
      <c r="N183" s="50">
        <v>641414</v>
      </c>
    </row>
    <row r="184" spans="2:14">
      <c r="B184" s="50" t="s">
        <v>27</v>
      </c>
      <c r="C184" s="50">
        <v>2</v>
      </c>
      <c r="D184" s="50">
        <v>82</v>
      </c>
      <c r="E184" s="50">
        <v>1</v>
      </c>
      <c r="F184" s="50">
        <v>18</v>
      </c>
      <c r="G184" s="50">
        <v>68646</v>
      </c>
      <c r="H184" s="50">
        <v>1558276</v>
      </c>
      <c r="I184" s="50">
        <v>11531461</v>
      </c>
      <c r="J184" s="50">
        <v>9356</v>
      </c>
      <c r="K184" s="50">
        <v>0</v>
      </c>
      <c r="L184" s="50">
        <v>120221</v>
      </c>
      <c r="M184" s="50">
        <v>4415</v>
      </c>
      <c r="N184" s="50">
        <v>478772</v>
      </c>
    </row>
    <row r="185" spans="1:14">
      <c r="A185">
        <v>5120</v>
      </c>
      <c r="B185" s="50" t="s">
        <v>25</v>
      </c>
      <c r="C185" s="50">
        <v>0</v>
      </c>
      <c r="D185" s="50">
        <v>21</v>
      </c>
      <c r="E185" s="50">
        <v>1</v>
      </c>
      <c r="F185" s="50">
        <v>12</v>
      </c>
      <c r="G185" s="50">
        <v>21273</v>
      </c>
      <c r="H185" s="50">
        <v>824606</v>
      </c>
      <c r="I185" s="50">
        <v>4881354</v>
      </c>
      <c r="J185" s="50">
        <v>4970</v>
      </c>
      <c r="K185" s="50">
        <v>0</v>
      </c>
      <c r="L185" s="50">
        <v>43317</v>
      </c>
      <c r="M185" s="50">
        <v>1799</v>
      </c>
      <c r="N185" s="50">
        <v>263665</v>
      </c>
    </row>
    <row r="186" spans="2:14">
      <c r="B186" s="50" t="s">
        <v>26</v>
      </c>
      <c r="C186" s="50">
        <v>7</v>
      </c>
      <c r="D186" s="50">
        <v>280</v>
      </c>
      <c r="E186" s="50">
        <v>7</v>
      </c>
      <c r="F186" s="50">
        <v>28</v>
      </c>
      <c r="G186" s="50">
        <v>185737</v>
      </c>
      <c r="H186" s="50">
        <v>2162773</v>
      </c>
      <c r="I186" s="50">
        <v>26804805</v>
      </c>
      <c r="J186" s="50">
        <v>87710</v>
      </c>
      <c r="K186" s="50">
        <v>0</v>
      </c>
      <c r="L186" s="50">
        <v>696834</v>
      </c>
      <c r="M186" s="50">
        <v>12251</v>
      </c>
      <c r="N186" s="50">
        <v>569680</v>
      </c>
    </row>
    <row r="187" spans="2:14">
      <c r="B187" s="50" t="s">
        <v>27</v>
      </c>
      <c r="C187" s="50">
        <v>2</v>
      </c>
      <c r="D187" s="50">
        <v>94</v>
      </c>
      <c r="E187" s="50">
        <v>2</v>
      </c>
      <c r="F187" s="50">
        <v>21</v>
      </c>
      <c r="G187" s="50">
        <v>96167</v>
      </c>
      <c r="H187" s="50">
        <v>1498496</v>
      </c>
      <c r="I187" s="50">
        <v>13620099</v>
      </c>
      <c r="J187" s="50">
        <v>21152</v>
      </c>
      <c r="K187" s="50">
        <v>0</v>
      </c>
      <c r="L187" s="50">
        <v>133326</v>
      </c>
      <c r="M187" s="50">
        <v>5182</v>
      </c>
      <c r="N187" s="50">
        <v>420393</v>
      </c>
    </row>
    <row r="188" spans="1:14">
      <c r="A188">
        <v>5121</v>
      </c>
      <c r="B188" s="50" t="s">
        <v>25</v>
      </c>
      <c r="C188" s="50">
        <v>3</v>
      </c>
      <c r="D188" s="50">
        <v>98</v>
      </c>
      <c r="E188" s="50">
        <v>4</v>
      </c>
      <c r="F188" s="50">
        <v>17</v>
      </c>
      <c r="G188" s="50">
        <v>85445</v>
      </c>
      <c r="H188" s="50">
        <v>3911399</v>
      </c>
      <c r="I188" s="50">
        <v>19315180</v>
      </c>
      <c r="J188" s="50">
        <v>10500</v>
      </c>
      <c r="K188" s="50">
        <v>257762</v>
      </c>
      <c r="L188" s="50">
        <v>846273</v>
      </c>
      <c r="M188" s="50">
        <v>10865</v>
      </c>
      <c r="N188" s="50">
        <v>1126449</v>
      </c>
    </row>
    <row r="189" spans="2:14">
      <c r="B189" s="50" t="s">
        <v>26</v>
      </c>
      <c r="C189" s="50">
        <v>4</v>
      </c>
      <c r="D189" s="50">
        <v>209</v>
      </c>
      <c r="E189" s="50">
        <v>3</v>
      </c>
      <c r="F189" s="50">
        <v>20</v>
      </c>
      <c r="G189" s="50">
        <v>113231</v>
      </c>
      <c r="H189" s="50">
        <v>3609735</v>
      </c>
      <c r="I189" s="50">
        <v>20993824</v>
      </c>
      <c r="J189" s="50">
        <v>85856</v>
      </c>
      <c r="K189" s="50">
        <v>0</v>
      </c>
      <c r="L189" s="50">
        <v>349669</v>
      </c>
      <c r="M189" s="50">
        <v>11515</v>
      </c>
      <c r="N189" s="50">
        <v>1153059</v>
      </c>
    </row>
    <row r="190" spans="2:14">
      <c r="B190" s="50" t="s">
        <v>27</v>
      </c>
      <c r="C190" s="50">
        <v>2</v>
      </c>
      <c r="D190" s="50">
        <v>88</v>
      </c>
      <c r="E190" s="50">
        <v>2</v>
      </c>
      <c r="F190" s="50">
        <v>14</v>
      </c>
      <c r="G190" s="50">
        <v>60013</v>
      </c>
      <c r="H190" s="50">
        <v>1584249</v>
      </c>
      <c r="I190" s="50">
        <v>10038288</v>
      </c>
      <c r="J190" s="50">
        <v>16562</v>
      </c>
      <c r="K190" s="50">
        <v>0</v>
      </c>
      <c r="L190" s="50">
        <v>85596</v>
      </c>
      <c r="M190" s="50">
        <v>4507</v>
      </c>
      <c r="N190" s="50">
        <v>451527</v>
      </c>
    </row>
    <row r="191" spans="1:14">
      <c r="A191">
        <v>5122</v>
      </c>
      <c r="B191" s="50" t="s">
        <v>25</v>
      </c>
      <c r="C191" s="50">
        <v>4</v>
      </c>
      <c r="D191" s="50">
        <v>128</v>
      </c>
      <c r="E191" s="50">
        <v>5</v>
      </c>
      <c r="F191" s="50">
        <v>22</v>
      </c>
      <c r="G191" s="50">
        <v>136988</v>
      </c>
      <c r="H191" s="50">
        <v>1980561</v>
      </c>
      <c r="I191" s="50">
        <v>19816916</v>
      </c>
      <c r="J191" s="50">
        <v>53160</v>
      </c>
      <c r="K191" s="50">
        <v>0</v>
      </c>
      <c r="L191" s="50">
        <v>441198</v>
      </c>
      <c r="M191" s="50">
        <v>8142</v>
      </c>
      <c r="N191" s="50">
        <v>570068</v>
      </c>
    </row>
    <row r="192" spans="2:14">
      <c r="B192" s="50" t="s">
        <v>26</v>
      </c>
      <c r="C192" s="50">
        <v>3</v>
      </c>
      <c r="D192" s="50">
        <v>184</v>
      </c>
      <c r="E192" s="50">
        <v>4</v>
      </c>
      <c r="F192" s="50">
        <v>21</v>
      </c>
      <c r="G192" s="50">
        <v>98190</v>
      </c>
      <c r="H192" s="50">
        <v>2215895</v>
      </c>
      <c r="I192" s="50">
        <v>17036601</v>
      </c>
      <c r="J192" s="50">
        <v>96498</v>
      </c>
      <c r="K192" s="50">
        <v>0</v>
      </c>
      <c r="L192" s="50">
        <v>457044</v>
      </c>
      <c r="M192" s="50">
        <v>9673</v>
      </c>
      <c r="N192" s="50">
        <v>828767</v>
      </c>
    </row>
    <row r="193" spans="2:14">
      <c r="B193" s="50" t="s">
        <v>27</v>
      </c>
      <c r="C193" s="50">
        <v>2</v>
      </c>
      <c r="D193" s="50">
        <v>83</v>
      </c>
      <c r="E193" s="50">
        <v>1</v>
      </c>
      <c r="F193" s="50">
        <v>16</v>
      </c>
      <c r="G193" s="50">
        <v>61308</v>
      </c>
      <c r="H193" s="50">
        <v>1392777</v>
      </c>
      <c r="I193" s="50">
        <v>9789767</v>
      </c>
      <c r="J193" s="50">
        <v>40650</v>
      </c>
      <c r="K193" s="50">
        <v>0</v>
      </c>
      <c r="L193" s="50">
        <v>349470</v>
      </c>
      <c r="M193" s="50">
        <v>5102</v>
      </c>
      <c r="N193" s="50">
        <v>726304</v>
      </c>
    </row>
    <row r="194" spans="1:14">
      <c r="A194">
        <v>5123</v>
      </c>
      <c r="B194" s="50" t="s">
        <v>25</v>
      </c>
      <c r="C194" s="50">
        <v>0</v>
      </c>
      <c r="D194" s="50">
        <v>34</v>
      </c>
      <c r="E194" s="50">
        <v>1</v>
      </c>
      <c r="F194" s="50">
        <v>10</v>
      </c>
      <c r="G194" s="50">
        <v>38626</v>
      </c>
      <c r="H194" s="50">
        <v>1204062</v>
      </c>
      <c r="I194" s="50">
        <v>5780342</v>
      </c>
      <c r="J194" s="50">
        <v>35556</v>
      </c>
      <c r="K194" s="50">
        <v>0</v>
      </c>
      <c r="L194" s="50">
        <v>58204</v>
      </c>
      <c r="M194" s="50">
        <v>3411</v>
      </c>
      <c r="N194" s="50">
        <v>500570</v>
      </c>
    </row>
    <row r="195" spans="2:14">
      <c r="B195" s="50" t="s">
        <v>26</v>
      </c>
      <c r="C195" s="50">
        <v>9</v>
      </c>
      <c r="D195" s="50">
        <v>299</v>
      </c>
      <c r="E195" s="50">
        <v>7</v>
      </c>
      <c r="F195" s="50">
        <v>29</v>
      </c>
      <c r="G195" s="50">
        <v>172216</v>
      </c>
      <c r="H195" s="50">
        <v>2743837</v>
      </c>
      <c r="I195" s="50">
        <v>26312785</v>
      </c>
      <c r="J195" s="50">
        <v>75456</v>
      </c>
      <c r="K195" s="50">
        <v>0</v>
      </c>
      <c r="L195" s="50">
        <v>495864</v>
      </c>
      <c r="M195" s="50">
        <v>12637</v>
      </c>
      <c r="N195" s="50">
        <v>768295</v>
      </c>
    </row>
    <row r="196" spans="2:14">
      <c r="B196" s="50" t="s">
        <v>27</v>
      </c>
      <c r="C196" s="50">
        <v>0</v>
      </c>
      <c r="D196" s="50">
        <v>62</v>
      </c>
      <c r="E196" s="50">
        <v>1</v>
      </c>
      <c r="F196" s="50">
        <v>17</v>
      </c>
      <c r="G196" s="50">
        <v>50056</v>
      </c>
      <c r="H196" s="50">
        <v>1708822</v>
      </c>
      <c r="I196" s="50">
        <v>8916207</v>
      </c>
      <c r="J196" s="50">
        <v>53898</v>
      </c>
      <c r="K196" s="50">
        <v>0</v>
      </c>
      <c r="L196" s="50">
        <v>124950</v>
      </c>
      <c r="M196" s="50">
        <v>5150</v>
      </c>
      <c r="N196" s="50">
        <v>552901</v>
      </c>
    </row>
    <row r="197" spans="1:14">
      <c r="A197">
        <v>5124</v>
      </c>
      <c r="B197" s="50" t="s">
        <v>25</v>
      </c>
      <c r="C197" s="50">
        <v>3</v>
      </c>
      <c r="D197" s="50">
        <v>132</v>
      </c>
      <c r="E197" s="50">
        <v>3</v>
      </c>
      <c r="F197" s="50">
        <v>29</v>
      </c>
      <c r="G197" s="50">
        <v>110726</v>
      </c>
      <c r="H197" s="50">
        <v>2424839</v>
      </c>
      <c r="I197" s="50">
        <v>24429754</v>
      </c>
      <c r="J197" s="50">
        <v>21284</v>
      </c>
      <c r="K197" s="50">
        <v>81314</v>
      </c>
      <c r="L197" s="50">
        <v>411179</v>
      </c>
      <c r="M197" s="50">
        <v>8698</v>
      </c>
      <c r="N197" s="50">
        <v>769319</v>
      </c>
    </row>
    <row r="198" spans="2:14">
      <c r="B198" s="50" t="s">
        <v>26</v>
      </c>
      <c r="C198" s="50">
        <v>4</v>
      </c>
      <c r="D198" s="50">
        <v>194</v>
      </c>
      <c r="E198" s="50">
        <v>6</v>
      </c>
      <c r="F198" s="50">
        <v>21</v>
      </c>
      <c r="G198" s="50">
        <v>151431</v>
      </c>
      <c r="H198" s="50">
        <v>3060522</v>
      </c>
      <c r="I198" s="50">
        <v>31256202</v>
      </c>
      <c r="J198" s="50">
        <v>151628</v>
      </c>
      <c r="K198" s="50">
        <v>0</v>
      </c>
      <c r="L198" s="50">
        <v>568516</v>
      </c>
      <c r="M198" s="50">
        <v>14116</v>
      </c>
      <c r="N198" s="50">
        <v>785137</v>
      </c>
    </row>
    <row r="199" spans="2:14">
      <c r="B199" s="50" t="s">
        <v>27</v>
      </c>
      <c r="C199" s="50">
        <v>2</v>
      </c>
      <c r="D199" s="50">
        <v>69</v>
      </c>
      <c r="E199" s="50">
        <v>0</v>
      </c>
      <c r="F199" s="50">
        <v>22</v>
      </c>
      <c r="G199" s="50">
        <v>41510</v>
      </c>
      <c r="H199" s="50">
        <v>1157255</v>
      </c>
      <c r="I199" s="50">
        <v>12129993</v>
      </c>
      <c r="J199" s="50">
        <v>5094</v>
      </c>
      <c r="K199" s="50">
        <v>0</v>
      </c>
      <c r="L199" s="50">
        <v>83773</v>
      </c>
      <c r="M199" s="50">
        <v>3662</v>
      </c>
      <c r="N199" s="50">
        <v>293035</v>
      </c>
    </row>
    <row r="200" spans="1:14">
      <c r="A200">
        <v>5125</v>
      </c>
      <c r="B200" s="50" t="s">
        <v>25</v>
      </c>
      <c r="C200" s="50">
        <v>4</v>
      </c>
      <c r="D200" s="50">
        <v>152</v>
      </c>
      <c r="E200" s="50">
        <v>4</v>
      </c>
      <c r="F200" s="50">
        <v>18</v>
      </c>
      <c r="G200" s="50">
        <v>84333</v>
      </c>
      <c r="H200" s="50">
        <v>2645196</v>
      </c>
      <c r="I200" s="50">
        <v>17738677</v>
      </c>
      <c r="J200" s="50">
        <v>71702</v>
      </c>
      <c r="K200" s="50">
        <v>0</v>
      </c>
      <c r="L200" s="50">
        <v>625875</v>
      </c>
      <c r="M200" s="50">
        <v>9224</v>
      </c>
      <c r="N200" s="50">
        <v>728315</v>
      </c>
    </row>
    <row r="201" spans="2:14">
      <c r="B201" s="50" t="s">
        <v>26</v>
      </c>
      <c r="C201" s="50">
        <v>3</v>
      </c>
      <c r="D201" s="50">
        <v>120</v>
      </c>
      <c r="E201" s="50">
        <v>5</v>
      </c>
      <c r="F201" s="50">
        <v>33</v>
      </c>
      <c r="G201" s="50">
        <v>153331</v>
      </c>
      <c r="H201" s="50">
        <v>2898712</v>
      </c>
      <c r="I201" s="50">
        <v>30627877</v>
      </c>
      <c r="J201" s="50">
        <v>139824</v>
      </c>
      <c r="K201" s="50">
        <v>0</v>
      </c>
      <c r="L201" s="50">
        <v>902163</v>
      </c>
      <c r="M201" s="50">
        <v>12873</v>
      </c>
      <c r="N201" s="50">
        <v>905353</v>
      </c>
    </row>
    <row r="202" spans="2:14">
      <c r="B202" s="50" t="s">
        <v>27</v>
      </c>
      <c r="C202" s="50">
        <v>2</v>
      </c>
      <c r="D202" s="50">
        <v>123</v>
      </c>
      <c r="E202" s="50">
        <v>1</v>
      </c>
      <c r="F202" s="50">
        <v>25</v>
      </c>
      <c r="G202" s="50">
        <v>86673</v>
      </c>
      <c r="H202" s="50">
        <v>1410481</v>
      </c>
      <c r="I202" s="50">
        <v>16554082</v>
      </c>
      <c r="J202" s="50">
        <v>16930</v>
      </c>
      <c r="K202" s="50">
        <v>0</v>
      </c>
      <c r="L202" s="50">
        <v>177579</v>
      </c>
      <c r="M202" s="50">
        <v>5525</v>
      </c>
      <c r="N202" s="50">
        <v>460213</v>
      </c>
    </row>
    <row r="203" spans="1:14">
      <c r="A203">
        <v>5126</v>
      </c>
      <c r="B203" s="50" t="s">
        <v>25</v>
      </c>
      <c r="C203" s="50">
        <v>3</v>
      </c>
      <c r="D203" s="50">
        <v>147</v>
      </c>
      <c r="E203" s="50">
        <v>3</v>
      </c>
      <c r="F203" s="50">
        <v>23</v>
      </c>
      <c r="G203" s="50">
        <v>112659</v>
      </c>
      <c r="H203" s="50">
        <v>2377042</v>
      </c>
      <c r="I203" s="50">
        <v>20300419</v>
      </c>
      <c r="J203" s="50">
        <v>53288</v>
      </c>
      <c r="K203" s="50">
        <v>0</v>
      </c>
      <c r="L203" s="50">
        <v>586878</v>
      </c>
      <c r="M203" s="50">
        <v>8632</v>
      </c>
      <c r="N203" s="50">
        <v>780151</v>
      </c>
    </row>
    <row r="204" spans="2:14">
      <c r="B204" s="50" t="s">
        <v>26</v>
      </c>
      <c r="C204" s="50">
        <v>4</v>
      </c>
      <c r="D204" s="50">
        <v>174</v>
      </c>
      <c r="E204" s="50">
        <v>6</v>
      </c>
      <c r="F204" s="50">
        <v>31</v>
      </c>
      <c r="G204" s="50">
        <v>167488</v>
      </c>
      <c r="H204" s="50">
        <v>3369539</v>
      </c>
      <c r="I204" s="50">
        <v>32125335</v>
      </c>
      <c r="J204" s="50">
        <v>142556</v>
      </c>
      <c r="K204" s="50">
        <v>0</v>
      </c>
      <c r="L204" s="50">
        <v>709516</v>
      </c>
      <c r="M204" s="50">
        <v>14190</v>
      </c>
      <c r="N204" s="50">
        <v>1197766</v>
      </c>
    </row>
    <row r="205" spans="2:14">
      <c r="B205" s="50" t="s">
        <v>27</v>
      </c>
      <c r="C205" s="50">
        <v>2</v>
      </c>
      <c r="D205" s="50">
        <v>74</v>
      </c>
      <c r="E205" s="50">
        <v>0</v>
      </c>
      <c r="F205" s="50">
        <v>14</v>
      </c>
      <c r="G205" s="50">
        <v>27352</v>
      </c>
      <c r="H205" s="50">
        <v>1020751</v>
      </c>
      <c r="I205" s="50">
        <v>7370684</v>
      </c>
      <c r="J205" s="50">
        <v>14778</v>
      </c>
      <c r="K205" s="50">
        <v>0</v>
      </c>
      <c r="L205" s="50">
        <v>83187</v>
      </c>
      <c r="M205" s="50">
        <v>3319</v>
      </c>
      <c r="N205" s="50">
        <v>268886</v>
      </c>
    </row>
    <row r="206" spans="1:14">
      <c r="A206">
        <v>5127</v>
      </c>
      <c r="B206" s="50" t="s">
        <v>25</v>
      </c>
      <c r="C206" s="50">
        <v>1</v>
      </c>
      <c r="D206" s="50">
        <v>62</v>
      </c>
      <c r="E206" s="50">
        <v>2</v>
      </c>
      <c r="F206" s="50">
        <v>22</v>
      </c>
      <c r="G206" s="50">
        <v>92440</v>
      </c>
      <c r="H206" s="50">
        <v>1620843</v>
      </c>
      <c r="I206" s="50">
        <v>13538255</v>
      </c>
      <c r="J206" s="50">
        <v>26122</v>
      </c>
      <c r="K206" s="50">
        <v>0</v>
      </c>
      <c r="L206" s="50">
        <v>137755</v>
      </c>
      <c r="M206" s="50">
        <v>5009</v>
      </c>
      <c r="N206" s="50">
        <v>505306</v>
      </c>
    </row>
    <row r="207" spans="2:14">
      <c r="B207" s="50" t="s">
        <v>26</v>
      </c>
      <c r="C207" s="50">
        <v>1</v>
      </c>
      <c r="D207" s="50">
        <v>55</v>
      </c>
      <c r="E207" s="50">
        <v>1</v>
      </c>
      <c r="F207" s="50">
        <v>19</v>
      </c>
      <c r="G207" s="50">
        <v>67942</v>
      </c>
      <c r="H207" s="50">
        <v>1283351</v>
      </c>
      <c r="I207" s="50">
        <v>10052719</v>
      </c>
      <c r="J207" s="50">
        <v>21244</v>
      </c>
      <c r="K207" s="50">
        <v>0</v>
      </c>
      <c r="L207" s="50">
        <v>70638</v>
      </c>
      <c r="M207" s="50">
        <v>3950</v>
      </c>
      <c r="N207" s="50">
        <v>370507</v>
      </c>
    </row>
    <row r="208" spans="2:14">
      <c r="B208" s="50" t="s">
        <v>27</v>
      </c>
      <c r="C208" s="50">
        <v>7</v>
      </c>
      <c r="D208" s="50">
        <v>278</v>
      </c>
      <c r="E208" s="50">
        <v>7</v>
      </c>
      <c r="F208" s="50">
        <v>19</v>
      </c>
      <c r="G208" s="50">
        <v>147091</v>
      </c>
      <c r="H208" s="50">
        <v>2731290</v>
      </c>
      <c r="I208" s="50">
        <v>21086860</v>
      </c>
      <c r="J208" s="50">
        <v>49786</v>
      </c>
      <c r="K208" s="50">
        <v>0</v>
      </c>
      <c r="L208" s="50">
        <v>592698</v>
      </c>
      <c r="M208" s="50">
        <v>10845</v>
      </c>
      <c r="N208" s="50">
        <v>731363</v>
      </c>
    </row>
  </sheetData>
  <conditionalFormatting sqref="F86:F88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{a1660b04-79b0-4f7e-924c-ceff55d91e1d}</x14:id>
        </ext>
      </extLst>
    </cfRule>
  </conditionalFormatting>
  <conditionalFormatting sqref="F89:F91">
    <cfRule type="dataBar" priority="5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{8ebed050-6574-40f2-b07c-606bf9cd4e16}</x14:id>
        </ext>
      </extLst>
    </cfRule>
  </conditionalFormatting>
  <conditionalFormatting sqref="F92:F94">
    <cfRule type="dataBar" priority="4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{a26d808e-5a8d-4a93-ad77-aaac07f45d31}</x14:id>
        </ext>
      </extLst>
    </cfRule>
  </conditionalFormatting>
  <conditionalFormatting sqref="F95:F97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{7333b3ad-3277-4c8d-9e08-f7b46c8ba261}</x14:id>
        </ext>
      </extLst>
    </cfRule>
  </conditionalFormatting>
  <conditionalFormatting sqref="F98:F100">
    <cfRule type="dataBar" priority="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{15e79f3a-ba22-4881-9a36-327cc09e0837}</x14:id>
        </ext>
      </extLst>
    </cfRule>
  </conditionalFormatting>
  <conditionalFormatting sqref="F101:F103">
    <cfRule type="dataBar" priority="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{1969d182-04c3-4bc8-bba4-f60296d4a1fd}</x14:id>
        </ext>
      </extLst>
    </cfRule>
  </conditionalFormatting>
  <conditionalFormatting sqref="F104:F106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{3720a015-f45d-4345-8919-0d758d5f9f6e}</x14:id>
        </ext>
      </extLst>
    </cfRule>
  </conditionalFormatting>
  <conditionalFormatting sqref="F107:F109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{ac487d82-2b05-4f49-ad5c-b869b4a11038}</x14:id>
        </ext>
      </extLst>
    </cfRule>
  </conditionalFormatting>
  <conditionalFormatting sqref="F110:F112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{c74b14bd-b807-4690-bff4-3949a4ed7f0f}</x14:id>
        </ext>
      </extLst>
    </cfRule>
  </conditionalFormatting>
  <conditionalFormatting sqref="F113:F11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{31a40834-7142-4b3b-b570-a0152050921d}</x14:id>
        </ext>
      </extLst>
    </cfRule>
  </conditionalFormatting>
  <conditionalFormatting sqref="F116:F118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{fbfa0bac-a4b9-438b-a061-414ddb68f7a7}</x14:id>
        </ext>
      </extLst>
    </cfRule>
  </conditionalFormatting>
  <conditionalFormatting sqref="F119:F12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{e72c354a-9790-4b01-b8ce-86b487079ddf}</x14:id>
        </ext>
      </extLst>
    </cfRule>
  </conditionalFormatting>
  <conditionalFormatting sqref="F122:F124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{bb5fb17b-a6d7-400b-b60f-ed6242c56cf8}</x14:id>
        </ext>
      </extLst>
    </cfRule>
  </conditionalFormatting>
  <conditionalFormatting sqref="G86:G88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{7f353606-2375-4dbb-8d6b-3c73ef36053f}</x14:id>
        </ext>
      </extLst>
    </cfRule>
  </conditionalFormatting>
  <conditionalFormatting sqref="G89:G91">
    <cfRule type="dataBar" priority="5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{6d60517e-ce4a-4612-ac85-3f947720325d}</x14:id>
        </ext>
      </extLst>
    </cfRule>
  </conditionalFormatting>
  <conditionalFormatting sqref="G92:G94">
    <cfRule type="dataBar" priority="4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{5d49ea4c-2370-471c-ba4f-b0fc23cb3a2a}</x14:id>
        </ext>
      </extLst>
    </cfRule>
  </conditionalFormatting>
  <conditionalFormatting sqref="G95:G97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{9aa94710-b218-4f1c-adbd-9f7d49ac093c}</x14:id>
        </ext>
      </extLst>
    </cfRule>
  </conditionalFormatting>
  <conditionalFormatting sqref="G98:G100">
    <cfRule type="dataBar" priority="3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{3b0c59f7-fd93-4fa0-809b-3eacc3d95046}</x14:id>
        </ext>
      </extLst>
    </cfRule>
  </conditionalFormatting>
  <conditionalFormatting sqref="G101:G103">
    <cfRule type="dataBar" priority="3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{204dc25d-6dfc-4ee5-9b3d-2ee944276a9b}</x14:id>
        </ext>
      </extLst>
    </cfRule>
  </conditionalFormatting>
  <conditionalFormatting sqref="G104:G106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{68898bc8-157b-4684-9501-19a7602cbd8c}</x14:id>
        </ext>
      </extLst>
    </cfRule>
  </conditionalFormatting>
  <conditionalFormatting sqref="G107:G10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{29b97c22-ea89-45b2-a8b6-e5ae42daa13a}</x14:id>
        </ext>
      </extLst>
    </cfRule>
  </conditionalFormatting>
  <conditionalFormatting sqref="G110:G112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{ad3fea64-eae9-480a-aff4-baae12456746}</x14:id>
        </ext>
      </extLst>
    </cfRule>
  </conditionalFormatting>
  <conditionalFormatting sqref="G113:G115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{f470a504-7749-4699-8bbd-7d82cc83deab}</x14:id>
        </ext>
      </extLst>
    </cfRule>
  </conditionalFormatting>
  <conditionalFormatting sqref="G116:G118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{e074a286-f9ba-4e92-aba6-83c970c9f31d}</x14:id>
        </ext>
      </extLst>
    </cfRule>
  </conditionalFormatting>
  <conditionalFormatting sqref="G119:G12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{73098000-9c5f-4069-9605-26eac2a903da}</x14:id>
        </ext>
      </extLst>
    </cfRule>
  </conditionalFormatting>
  <conditionalFormatting sqref="G122:G124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{3c9a1a22-1ab9-4220-8f2e-7549e3b4e583}</x14:id>
        </ext>
      </extLst>
    </cfRule>
  </conditionalFormatting>
  <conditionalFormatting sqref="N86:N103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{778d3a2e-9474-4b00-822b-d1e4a2054bdd}</x14:id>
        </ext>
      </extLst>
    </cfRule>
  </conditionalFormatting>
  <conditionalFormatting sqref="N95:N103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{0c52b017-2539-4d7a-8259-870b946cff33}</x14:id>
        </ext>
      </extLst>
    </cfRule>
  </conditionalFormatting>
  <conditionalFormatting sqref="N104:N121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{f4c0a46b-b950-4e42-b39a-e19036c4cdd5}</x14:id>
        </ext>
      </extLst>
    </cfRule>
  </conditionalFormatting>
  <conditionalFormatting sqref="N113:N12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{2907fa14-07f9-4a7c-b622-e981cb8bd0d2}</x14:id>
        </ext>
      </extLst>
    </cfRule>
  </conditionalFormatting>
  <conditionalFormatting sqref="N122:N124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{402286ba-1153-4d0f-8146-882092a43975}</x14:id>
        </ext>
      </extLst>
    </cfRule>
  </conditionalFormatting>
  <conditionalFormatting sqref="O2:O19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{79124597-f4eb-4c42-b757-26cf18912f68}</x14:id>
        </ext>
      </extLst>
    </cfRule>
  </conditionalFormatting>
  <conditionalFormatting sqref="O20:O82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{91aa138e-d6ba-415c-9811-b794282ef0fc}</x14:id>
        </ext>
      </extLst>
    </cfRule>
  </conditionalFormatting>
  <conditionalFormatting sqref="P2:P19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{a4283ba3-9710-41ad-b900-4f5500a5e9be}</x14:id>
        </ext>
      </extLst>
    </cfRule>
  </conditionalFormatting>
  <conditionalFormatting sqref="P20:P82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{bd842013-377e-49e8-8a4c-e5e300157ad4}</x14:id>
        </ext>
      </extLst>
    </cfRule>
  </conditionalFormatting>
  <conditionalFormatting sqref="P86:P112">
    <cfRule type="cellIs" dxfId="37" priority="41" operator="equal">
      <formula>$S$86</formula>
    </cfRule>
  </conditionalFormatting>
  <conditionalFormatting sqref="Q2:Q82">
    <cfRule type="cellIs" dxfId="38" priority="48" operator="equal">
      <formula>配置!$D$4</formula>
    </cfRule>
    <cfRule type="cellIs" dxfId="39" priority="49" operator="equal">
      <formula>配置!$D$3</formula>
    </cfRule>
    <cfRule type="cellIs" dxfId="37" priority="50" operator="equal">
      <formula>配置!$D$2</formula>
    </cfRule>
  </conditionalFormatting>
  <conditionalFormatting sqref="R86:R98">
    <cfRule type="cellIs" dxfId="37" priority="42" operator="equal">
      <formula>$S$86</formula>
    </cfRule>
  </conditionalFormatting>
  <conditionalFormatting sqref="O83:O84 Q1:R1 Q2 Q4:Q5 Q7:Q8 Q10:Q11 Q13:Q14 Q16:Q17 Q19:Q20 Q22:Q82">
    <cfRule type="cellIs" dxfId="37" priority="58" operator="equal">
      <formula>配置!$D$2</formula>
    </cfRule>
  </conditionalFormatting>
  <conditionalFormatting sqref="Q2 Q4:Q5 Q7:Q8 Q10:Q11 Q13:Q14 Q16:Q17 Q19:Q20 Q22:Q82">
    <cfRule type="cellIs" dxfId="38" priority="57" operator="equal">
      <formula>配置!$D$4</formula>
    </cfRule>
  </conditionalFormatting>
  <dataValidations count="1">
    <dataValidation type="list" allowBlank="1" showInputMessage="1" showErrorMessage="1" sqref="Q2:Q82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1660b04-79b0-4f7e-924c-ceff55d91e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F86:F88</xm:sqref>
        </x14:conditionalFormatting>
        <x14:conditionalFormatting xmlns:xm="http://schemas.microsoft.com/office/excel/2006/main">
          <x14:cfRule type="dataBar" id="{8ebed050-6574-40f2-b07c-606bf9cd4e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F89:F91</xm:sqref>
        </x14:conditionalFormatting>
        <x14:conditionalFormatting xmlns:xm="http://schemas.microsoft.com/office/excel/2006/main">
          <x14:cfRule type="dataBar" id="{a26d808e-5a8d-4a93-ad77-aaac07f45d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F92:F94</xm:sqref>
        </x14:conditionalFormatting>
        <x14:conditionalFormatting xmlns:xm="http://schemas.microsoft.com/office/excel/2006/main">
          <x14:cfRule type="dataBar" id="{7333b3ad-3277-4c8d-9e08-f7b46c8ba2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F95:F97</xm:sqref>
        </x14:conditionalFormatting>
        <x14:conditionalFormatting xmlns:xm="http://schemas.microsoft.com/office/excel/2006/main">
          <x14:cfRule type="dataBar" id="{15e79f3a-ba22-4881-9a36-327cc09e08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F98:F100</xm:sqref>
        </x14:conditionalFormatting>
        <x14:conditionalFormatting xmlns:xm="http://schemas.microsoft.com/office/excel/2006/main">
          <x14:cfRule type="dataBar" id="{1969d182-04c3-4bc8-bba4-f60296d4a1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F101:F103</xm:sqref>
        </x14:conditionalFormatting>
        <x14:conditionalFormatting xmlns:xm="http://schemas.microsoft.com/office/excel/2006/main">
          <x14:cfRule type="dataBar" id="{3720a015-f45d-4345-8919-0d758d5f9f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F104:F106</xm:sqref>
        </x14:conditionalFormatting>
        <x14:conditionalFormatting xmlns:xm="http://schemas.microsoft.com/office/excel/2006/main">
          <x14:cfRule type="dataBar" id="{ac487d82-2b05-4f49-ad5c-b869b4a110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F107:F109</xm:sqref>
        </x14:conditionalFormatting>
        <x14:conditionalFormatting xmlns:xm="http://schemas.microsoft.com/office/excel/2006/main">
          <x14:cfRule type="dataBar" id="{c74b14bd-b807-4690-bff4-3949a4ed7f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F110:F112</xm:sqref>
        </x14:conditionalFormatting>
        <x14:conditionalFormatting xmlns:xm="http://schemas.microsoft.com/office/excel/2006/main">
          <x14:cfRule type="dataBar" id="{31a40834-7142-4b3b-b570-a015205092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F113:F115</xm:sqref>
        </x14:conditionalFormatting>
        <x14:conditionalFormatting xmlns:xm="http://schemas.microsoft.com/office/excel/2006/main">
          <x14:cfRule type="dataBar" id="{fbfa0bac-a4b9-438b-a061-414ddb68f7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F116:F118</xm:sqref>
        </x14:conditionalFormatting>
        <x14:conditionalFormatting xmlns:xm="http://schemas.microsoft.com/office/excel/2006/main">
          <x14:cfRule type="dataBar" id="{e72c354a-9790-4b01-b8ce-86b487079d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F119:F121</xm:sqref>
        </x14:conditionalFormatting>
        <x14:conditionalFormatting xmlns:xm="http://schemas.microsoft.com/office/excel/2006/main">
          <x14:cfRule type="dataBar" id="{bb5fb17b-a6d7-400b-b60f-ed6242c56c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F122:F124</xm:sqref>
        </x14:conditionalFormatting>
        <x14:conditionalFormatting xmlns:xm="http://schemas.microsoft.com/office/excel/2006/main">
          <x14:cfRule type="dataBar" id="{7f353606-2375-4dbb-8d6b-3c73ef3605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G86:G88</xm:sqref>
        </x14:conditionalFormatting>
        <x14:conditionalFormatting xmlns:xm="http://schemas.microsoft.com/office/excel/2006/main">
          <x14:cfRule type="dataBar" id="{6d60517e-ce4a-4612-ac85-3f94772032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G89:G91</xm:sqref>
        </x14:conditionalFormatting>
        <x14:conditionalFormatting xmlns:xm="http://schemas.microsoft.com/office/excel/2006/main">
          <x14:cfRule type="dataBar" id="{5d49ea4c-2370-471c-ba4f-b0fc23cb3a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G92:G94</xm:sqref>
        </x14:conditionalFormatting>
        <x14:conditionalFormatting xmlns:xm="http://schemas.microsoft.com/office/excel/2006/main">
          <x14:cfRule type="dataBar" id="{9aa94710-b218-4f1c-adbd-9f7d49ac09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G95:G97</xm:sqref>
        </x14:conditionalFormatting>
        <x14:conditionalFormatting xmlns:xm="http://schemas.microsoft.com/office/excel/2006/main">
          <x14:cfRule type="dataBar" id="{3b0c59f7-fd93-4fa0-809b-3eacc3d950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G98:G100</xm:sqref>
        </x14:conditionalFormatting>
        <x14:conditionalFormatting xmlns:xm="http://schemas.microsoft.com/office/excel/2006/main">
          <x14:cfRule type="dataBar" id="{204dc25d-6dfc-4ee5-9b3d-2ee944276a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G101:G103</xm:sqref>
        </x14:conditionalFormatting>
        <x14:conditionalFormatting xmlns:xm="http://schemas.microsoft.com/office/excel/2006/main">
          <x14:cfRule type="dataBar" id="{68898bc8-157b-4684-9501-19a7602cbd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G104:G106</xm:sqref>
        </x14:conditionalFormatting>
        <x14:conditionalFormatting xmlns:xm="http://schemas.microsoft.com/office/excel/2006/main">
          <x14:cfRule type="dataBar" id="{29b97c22-ea89-45b2-a8b6-e5ae42daa1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G107:G109</xm:sqref>
        </x14:conditionalFormatting>
        <x14:conditionalFormatting xmlns:xm="http://schemas.microsoft.com/office/excel/2006/main">
          <x14:cfRule type="dataBar" id="{ad3fea64-eae9-480a-aff4-baae124567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G110:G112</xm:sqref>
        </x14:conditionalFormatting>
        <x14:conditionalFormatting xmlns:xm="http://schemas.microsoft.com/office/excel/2006/main">
          <x14:cfRule type="dataBar" id="{f470a504-7749-4699-8bbd-7d82cc83de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G113:G115</xm:sqref>
        </x14:conditionalFormatting>
        <x14:conditionalFormatting xmlns:xm="http://schemas.microsoft.com/office/excel/2006/main">
          <x14:cfRule type="dataBar" id="{e074a286-f9ba-4e92-aba6-83c970c9f3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G116:G118</xm:sqref>
        </x14:conditionalFormatting>
        <x14:conditionalFormatting xmlns:xm="http://schemas.microsoft.com/office/excel/2006/main">
          <x14:cfRule type="dataBar" id="{73098000-9c5f-4069-9605-26eac2a903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G119:G121</xm:sqref>
        </x14:conditionalFormatting>
        <x14:conditionalFormatting xmlns:xm="http://schemas.microsoft.com/office/excel/2006/main">
          <x14:cfRule type="dataBar" id="{3c9a1a22-1ab9-4220-8f2e-7549e3b4e5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G122:G124</xm:sqref>
        </x14:conditionalFormatting>
        <x14:conditionalFormatting xmlns:xm="http://schemas.microsoft.com/office/excel/2006/main">
          <x14:cfRule type="dataBar" id="{778d3a2e-9474-4b00-822b-d1e4a2054b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N86:N103</xm:sqref>
        </x14:conditionalFormatting>
        <x14:conditionalFormatting xmlns:xm="http://schemas.microsoft.com/office/excel/2006/main">
          <x14:cfRule type="dataBar" id="{0c52b017-2539-4d7a-8259-870b946cff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N95:N103</xm:sqref>
        </x14:conditionalFormatting>
        <x14:conditionalFormatting xmlns:xm="http://schemas.microsoft.com/office/excel/2006/main">
          <x14:cfRule type="dataBar" id="{f4c0a46b-b950-4e42-b39a-e19036c4cd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N104:N121</xm:sqref>
        </x14:conditionalFormatting>
        <x14:conditionalFormatting xmlns:xm="http://schemas.microsoft.com/office/excel/2006/main">
          <x14:cfRule type="dataBar" id="{2907fa14-07f9-4a7c-b622-e981cb8bd0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N113:N121</xm:sqref>
        </x14:conditionalFormatting>
        <x14:conditionalFormatting xmlns:xm="http://schemas.microsoft.com/office/excel/2006/main">
          <x14:cfRule type="dataBar" id="{402286ba-1153-4d0f-8146-882092a439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N122:N124</xm:sqref>
        </x14:conditionalFormatting>
        <x14:conditionalFormatting xmlns:xm="http://schemas.microsoft.com/office/excel/2006/main">
          <x14:cfRule type="dataBar" id="{79124597-f4eb-4c42-b757-26cf18912f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91aa138e-d6ba-415c-9811-b794282ef0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O20:O82</xm:sqref>
        </x14:conditionalFormatting>
        <x14:conditionalFormatting xmlns:xm="http://schemas.microsoft.com/office/excel/2006/main">
          <x14:cfRule type="dataBar" id="{a4283ba3-9710-41ad-b900-4f5500a5e9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bd842013-377e-49e8-8a4c-e5e300157a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P20:P82</xm:sqref>
        </x14:conditionalFormatting>
      </x14:conditionalFormatting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1"/>
  <sheetViews>
    <sheetView workbookViewId="0">
      <selection activeCell="W26" sqref="W26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71">
        <v>7014</v>
      </c>
      <c r="B2" s="371">
        <f>VLOOKUP(表1_8612182224267290[[#This Row],[区服]],$P$26:$Q$33,2,FALSE)</f>
        <v>49</v>
      </c>
      <c r="C2" s="39" t="s">
        <v>166</v>
      </c>
      <c r="D2" s="373" t="str">
        <f>表1_8612182224267290[[#This Row],[目标国家]]</f>
        <v>蜀</v>
      </c>
      <c r="E2" s="374">
        <f>(VLOOKUP(表1_8612182224267290[[#This Row],[目标区服]],$R$26:$S$29,2,FALSE)-表1_8612182224267290[[#This Row],[开服天数]])*配置!$B$1</f>
        <v>1000</v>
      </c>
      <c r="F2" s="374">
        <f>表1_8612182224267290[[#This Row],[补偿Coin]]*(表1_8612182224267290[[#This Row],[活跃高战玩家数]]+表1_8612182224267290[[#This Row],[活跃中坚玩家数]])</f>
        <v>15000</v>
      </c>
      <c r="G2" s="374">
        <f>(VLOOKUP(表1_8612182224267290[[#This Row],[目标区服]],$R$26:$S$29,2,FALSE)-表1_8612182224267290[[#This Row],[开服天数]])*配置!$B$2</f>
        <v>10</v>
      </c>
      <c r="H2" s="376" t="s">
        <v>25</v>
      </c>
      <c r="I2" s="376">
        <f>IF(表1_8612182224267290[[#This Row],[原国家]]="魏",0,IF(表1_8612182224267290[[#This Row],[原国家]]="蜀",1,2))</f>
        <v>0</v>
      </c>
      <c r="J2" s="380">
        <v>0</v>
      </c>
      <c r="K2" s="380">
        <v>42</v>
      </c>
      <c r="L2" s="380">
        <v>2</v>
      </c>
      <c r="M2" s="380">
        <v>13</v>
      </c>
      <c r="N2" s="380">
        <v>72657</v>
      </c>
      <c r="O2" s="380">
        <v>1214790</v>
      </c>
      <c r="P2" s="381">
        <v>11230693</v>
      </c>
      <c r="Q2" s="31" t="s">
        <v>26</v>
      </c>
      <c r="R2" s="376">
        <f>IF(表1_8612182224267290[[#This Row],[目标国家]]="魏",0,IF(表1_8612182224267290[[#This Row],[目标国家]]="蜀",1,2))</f>
        <v>1</v>
      </c>
      <c r="S2" s="380">
        <v>10610</v>
      </c>
      <c r="T2" s="380">
        <v>0</v>
      </c>
      <c r="U2" s="380">
        <v>88929</v>
      </c>
      <c r="V2" s="380">
        <v>3483</v>
      </c>
      <c r="W2" s="374">
        <v>339142</v>
      </c>
      <c r="X2" s="387" t="str">
        <f>"{"&amp;"'coin':"&amp;表1_8612182224267290[[#This Row],[补偿Coin]]&amp;",'"&amp;配置!$A$2&amp;"':"&amp;表1_8612182224267290[[#This Row],[补偿辎重]]&amp;"},"</f>
        <v>{'coin':1000,'item036':10},</v>
      </c>
      <c r="Y2" s="388" t="str">
        <f>"      '"&amp;表1_8612182224267290[[#This Row],[区服]]&amp;"':{"</f>
        <v>      '7014':{</v>
      </c>
    </row>
    <row r="3" s="354" customFormat="1" ht="14.25" customHeight="1" spans="1:25">
      <c r="A3" s="375">
        <v>7014</v>
      </c>
      <c r="B3" s="371">
        <f>VLOOKUP(表1_8612182224267290[[#This Row],[区服]],$P$26:$Q$33,2,FALSE)</f>
        <v>49</v>
      </c>
      <c r="C3" s="39" t="s">
        <v>166</v>
      </c>
      <c r="D3" s="376" t="str">
        <f>表1_8612182224267290[[#This Row],[目标国家]]</f>
        <v>魏</v>
      </c>
      <c r="E3" s="380">
        <f>(VLOOKUP(表1_8612182224267290[[#This Row],[目标区服]],$R$26:$S$29,2,FALSE)-表1_8612182224267290[[#This Row],[开服天数]])*配置!$B$1</f>
        <v>1000</v>
      </c>
      <c r="F3" s="380">
        <f>表1_8612182224267290[[#This Row],[补偿Coin]]*(表1_8612182224267290[[#This Row],[活跃高战玩家数]]+表1_8612182224267290[[#This Row],[活跃中坚玩家数]])</f>
        <v>20000</v>
      </c>
      <c r="G3" s="380">
        <f>(VLOOKUP(表1_8612182224267290[[#This Row],[目标区服]],$R$26:$S$29,2,FALSE)-表1_8612182224267290[[#This Row],[开服天数]])*配置!$B$2</f>
        <v>10</v>
      </c>
      <c r="H3" s="376" t="s">
        <v>26</v>
      </c>
      <c r="I3" s="376">
        <f>IF(表1_8612182224267290[[#This Row],[原国家]]="魏",0,IF(表1_8612182224267290[[#This Row],[原国家]]="蜀",1,2))</f>
        <v>1</v>
      </c>
      <c r="J3" s="380">
        <v>1</v>
      </c>
      <c r="K3" s="380">
        <v>88</v>
      </c>
      <c r="L3" s="380">
        <v>0</v>
      </c>
      <c r="M3" s="380">
        <v>20</v>
      </c>
      <c r="N3" s="380">
        <v>61245</v>
      </c>
      <c r="O3" s="380">
        <v>1175599</v>
      </c>
      <c r="P3" s="381">
        <v>11410757</v>
      </c>
      <c r="Q3" s="31" t="s">
        <v>25</v>
      </c>
      <c r="R3" s="376">
        <f>IF(表1_8612182224267290[[#This Row],[目标国家]]="魏",0,IF(表1_8612182224267290[[#This Row],[目标国家]]="蜀",1,2))</f>
        <v>0</v>
      </c>
      <c r="S3" s="380">
        <v>5948</v>
      </c>
      <c r="T3" s="380">
        <v>0</v>
      </c>
      <c r="U3" s="380">
        <v>179277</v>
      </c>
      <c r="V3" s="380">
        <v>3870</v>
      </c>
      <c r="W3" s="374">
        <v>323461</v>
      </c>
      <c r="X3" s="387" t="str">
        <f>"{"&amp;"'coin':"&amp;表1_8612182224267290[[#This Row],[补偿Coin]]&amp;",'"&amp;配置!$A$2&amp;"':"&amp;表1_8612182224267290[[#This Row],[补偿辎重]]&amp;"},"</f>
        <v>{'coin':1000,'item036':10},</v>
      </c>
      <c r="Y3" s="388" t="str">
        <f>"            'to_zone':'"&amp;表1_8612182224267290[[#This Row],[目标区服]]&amp;"',
            'reward':"&amp;表1_8612182224267290[[#This Row],[辅助导出]]&amp;"
            'country':["&amp;R2&amp;","&amp;R3&amp;","&amp;R4&amp;"],"</f>
        <v>            'to_zone':'h1_707',
            'reward':{'coin':1000,'item036':10},
            'country':[1,0,2],</v>
      </c>
    </row>
    <row r="4" s="354" customFormat="1" ht="14.25" customHeight="1" spans="1:25">
      <c r="A4" s="375">
        <v>7014</v>
      </c>
      <c r="B4" s="371">
        <f>VLOOKUP(表1_8612182224267290[[#This Row],[区服]],$P$26:$Q$33,2,FALSE)</f>
        <v>49</v>
      </c>
      <c r="C4" s="39" t="s">
        <v>166</v>
      </c>
      <c r="D4" s="376" t="str">
        <f>表1_8612182224267290[[#This Row],[目标国家]]</f>
        <v>吴</v>
      </c>
      <c r="E4" s="380">
        <f>(VLOOKUP(表1_8612182224267290[[#This Row],[目标区服]],$R$26:$S$29,2,FALSE)-表1_8612182224267290[[#This Row],[开服天数]])*配置!$B$1</f>
        <v>1000</v>
      </c>
      <c r="F4" s="380">
        <f>表1_8612182224267290[[#This Row],[补偿Coin]]*(表1_8612182224267290[[#This Row],[活跃高战玩家数]]+表1_8612182224267290[[#This Row],[活跃中坚玩家数]])</f>
        <v>27000</v>
      </c>
      <c r="G4" s="380">
        <f>(VLOOKUP(表1_8612182224267290[[#This Row],[目标区服]],$R$26:$S$29,2,FALSE)-表1_8612182224267290[[#This Row],[开服天数]])*配置!$B$2</f>
        <v>10</v>
      </c>
      <c r="H4" s="376" t="s">
        <v>27</v>
      </c>
      <c r="I4" s="376">
        <f>IF(表1_8612182224267290[[#This Row],[原国家]]="魏",0,IF(表1_8612182224267290[[#This Row],[原国家]]="蜀",1,2))</f>
        <v>2</v>
      </c>
      <c r="J4" s="380">
        <v>8</v>
      </c>
      <c r="K4" s="380">
        <v>265</v>
      </c>
      <c r="L4" s="380">
        <v>8</v>
      </c>
      <c r="M4" s="380">
        <v>19</v>
      </c>
      <c r="N4" s="380">
        <v>150498</v>
      </c>
      <c r="O4" s="380">
        <v>2315273</v>
      </c>
      <c r="P4" s="381">
        <v>24781959</v>
      </c>
      <c r="Q4" s="31" t="s">
        <v>27</v>
      </c>
      <c r="R4" s="376">
        <f>IF(表1_8612182224267290[[#This Row],[目标国家]]="魏",0,IF(表1_8612182224267290[[#This Row],[目标国家]]="蜀",1,2))</f>
        <v>2</v>
      </c>
      <c r="S4" s="380">
        <v>61858</v>
      </c>
      <c r="T4" s="380">
        <v>0</v>
      </c>
      <c r="U4" s="380">
        <v>608241</v>
      </c>
      <c r="V4" s="380">
        <v>11155</v>
      </c>
      <c r="W4" s="374">
        <v>626156</v>
      </c>
      <c r="X4" s="387" t="str">
        <f>"{"&amp;"'coin':"&amp;表1_8612182224267290[[#This Row],[补偿Coin]]&amp;",'"&amp;配置!$A$2&amp;"':"&amp;表1_8612182224267290[[#This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75">
        <v>7015</v>
      </c>
      <c r="B5" s="371">
        <f>VLOOKUP(表1_8612182224267290[[#This Row],[区服]],$P$26:$Q$33,2,FALSE)</f>
        <v>48</v>
      </c>
      <c r="C5" s="39" t="s">
        <v>166</v>
      </c>
      <c r="D5" s="376" t="str">
        <f>表1_8612182224267290[[#This Row],[目标国家]]</f>
        <v>魏</v>
      </c>
      <c r="E5" s="380">
        <f>(VLOOKUP(表1_8612182224267290[[#This Row],[目标区服]],$R$26:$S$29,2,FALSE)-表1_8612182224267290[[#This Row],[开服天数]])*配置!$B$1</f>
        <v>1500</v>
      </c>
      <c r="F5" s="380">
        <f>表1_8612182224267290[[#This Row],[补偿Coin]]*(表1_8612182224267290[[#This Row],[活跃高战玩家数]]+表1_8612182224267290[[#This Row],[活跃中坚玩家数]])</f>
        <v>31500</v>
      </c>
      <c r="G5" s="380">
        <f>(VLOOKUP(表1_8612182224267290[[#This Row],[目标区服]],$R$26:$S$29,2,FALSE)-表1_8612182224267290[[#This Row],[开服天数]])*配置!$B$2</f>
        <v>15</v>
      </c>
      <c r="H5" s="376" t="s">
        <v>25</v>
      </c>
      <c r="I5" s="376">
        <f>IF(表1_8612182224267290[[#This Row],[原国家]]="魏",0,IF(表1_8612182224267290[[#This Row],[原国家]]="蜀",1,2))</f>
        <v>0</v>
      </c>
      <c r="J5" s="380">
        <v>5</v>
      </c>
      <c r="K5" s="380">
        <v>204</v>
      </c>
      <c r="L5" s="380">
        <v>6</v>
      </c>
      <c r="M5" s="380">
        <v>15</v>
      </c>
      <c r="N5" s="380">
        <v>113061</v>
      </c>
      <c r="O5" s="380">
        <v>2059454</v>
      </c>
      <c r="P5" s="381">
        <v>17329862</v>
      </c>
      <c r="Q5" s="31" t="s">
        <v>25</v>
      </c>
      <c r="R5" s="376">
        <f>IF(表1_8612182224267290[[#This Row],[目标国家]]="魏",0,IF(表1_8612182224267290[[#This Row],[目标国家]]="蜀",1,2))</f>
        <v>0</v>
      </c>
      <c r="S5" s="380">
        <v>61938</v>
      </c>
      <c r="T5" s="380">
        <v>0</v>
      </c>
      <c r="U5" s="380">
        <v>365039</v>
      </c>
      <c r="V5" s="380">
        <v>8938</v>
      </c>
      <c r="W5" s="374">
        <v>559641</v>
      </c>
      <c r="X5" s="387" t="str">
        <f>"{"&amp;"'coin':"&amp;表1_8612182224267290[[#This Row],[补偿Coin]]&amp;",'"&amp;配置!$A$2&amp;"':"&amp;表1_8612182224267290[[#This Row],[补偿辎重]]&amp;"},"</f>
        <v>{'coin':1500,'item036':15},</v>
      </c>
      <c r="Y5" s="388" t="str">
        <f>"      '"&amp;表1_8612182224267290[[#This Row],[区服]]&amp;"':{"</f>
        <v>      '7015':{</v>
      </c>
    </row>
    <row r="6" s="354" customFormat="1" ht="14.25" customHeight="1" spans="1:25">
      <c r="A6" s="371">
        <v>7015</v>
      </c>
      <c r="B6" s="371">
        <f>VLOOKUP(表1_8612182224267290[[#This Row],[区服]],$P$26:$Q$33,2,FALSE)</f>
        <v>48</v>
      </c>
      <c r="C6" s="39" t="s">
        <v>166</v>
      </c>
      <c r="D6" s="376" t="str">
        <f>表1_8612182224267290[[#This Row],[目标国家]]</f>
        <v>蜀</v>
      </c>
      <c r="E6" s="380">
        <f>(VLOOKUP(表1_8612182224267290[[#This Row],[目标区服]],$R$26:$S$29,2,FALSE)-表1_8612182224267290[[#This Row],[开服天数]])*配置!$B$1</f>
        <v>1500</v>
      </c>
      <c r="F6" s="380">
        <f>表1_8612182224267290[[#This Row],[补偿Coin]]*(表1_8612182224267290[[#This Row],[活跃高战玩家数]]+表1_8612182224267290[[#This Row],[活跃中坚玩家数]])</f>
        <v>27000</v>
      </c>
      <c r="G6" s="380">
        <f>(VLOOKUP(表1_8612182224267290[[#This Row],[目标区服]],$R$26:$S$29,2,FALSE)-表1_8612182224267290[[#This Row],[开服天数]])*配置!$B$2</f>
        <v>15</v>
      </c>
      <c r="H6" s="376" t="s">
        <v>26</v>
      </c>
      <c r="I6" s="376">
        <f>IF(表1_8612182224267290[[#This Row],[原国家]]="魏",0,IF(表1_8612182224267290[[#This Row],[原国家]]="蜀",1,2))</f>
        <v>1</v>
      </c>
      <c r="J6" s="380">
        <v>1</v>
      </c>
      <c r="K6" s="380">
        <v>79</v>
      </c>
      <c r="L6" s="380">
        <v>2</v>
      </c>
      <c r="M6" s="380">
        <v>16</v>
      </c>
      <c r="N6" s="380">
        <v>70669</v>
      </c>
      <c r="O6" s="380">
        <v>1186828</v>
      </c>
      <c r="P6" s="381">
        <v>10526739</v>
      </c>
      <c r="Q6" s="31" t="s">
        <v>26</v>
      </c>
      <c r="R6" s="376">
        <f>IF(表1_8612182224267290[[#This Row],[目标国家]]="魏",0,IF(表1_8612182224267290[[#This Row],[目标国家]]="蜀",1,2))</f>
        <v>1</v>
      </c>
      <c r="S6" s="380">
        <v>13162</v>
      </c>
      <c r="T6" s="380">
        <v>0</v>
      </c>
      <c r="U6" s="380">
        <v>90283</v>
      </c>
      <c r="V6" s="380">
        <v>3922</v>
      </c>
      <c r="W6" s="374">
        <v>321113</v>
      </c>
      <c r="X6" s="387" t="str">
        <f>"{"&amp;"'coin':"&amp;表1_8612182224267290[[#This Row],[补偿Coin]]&amp;",'"&amp;配置!$A$2&amp;"':"&amp;表1_8612182224267290[[#This Row],[补偿辎重]]&amp;"},"</f>
        <v>{'coin':1500,'item036':15},</v>
      </c>
      <c r="Y6" s="388" t="str">
        <f>"            'to_zone':'"&amp;表1_8612182224267290[[#This Row],[目标区服]]&amp;"',
            'reward':"&amp;表1_8612182224267290[[#This Row],[辅助导出]]&amp;"
            'country':["&amp;R5&amp;","&amp;R6&amp;","&amp;R7&amp;"],"</f>
        <v>            'to_zone':'h1_707',
            'reward':{'coin':1500,'item036':15},
            'country':[0,1,1],</v>
      </c>
    </row>
    <row r="7" s="354" customFormat="1" ht="14.25" customHeight="1" spans="1:25">
      <c r="A7" s="371">
        <v>7015</v>
      </c>
      <c r="B7" s="371">
        <f>VLOOKUP(表1_8612182224267290[[#This Row],[区服]],$P$26:$Q$33,2,FALSE)</f>
        <v>48</v>
      </c>
      <c r="C7" s="39" t="s">
        <v>166</v>
      </c>
      <c r="D7" s="376" t="str">
        <f>表1_8612182224267290[[#This Row],[目标国家]]</f>
        <v>蜀</v>
      </c>
      <c r="E7" s="380">
        <f>(VLOOKUP(表1_8612182224267290[[#This Row],[目标区服]],$R$26:$S$29,2,FALSE)-表1_8612182224267290[[#This Row],[开服天数]])*配置!$B$1</f>
        <v>1500</v>
      </c>
      <c r="F7" s="380">
        <f>表1_8612182224267290[[#This Row],[补偿Coin]]*(表1_8612182224267290[[#This Row],[活跃高战玩家数]]+表1_8612182224267290[[#This Row],[活跃中坚玩家数]])</f>
        <v>37500</v>
      </c>
      <c r="G7" s="380">
        <f>(VLOOKUP(表1_8612182224267290[[#This Row],[目标区服]],$R$26:$S$29,2,FALSE)-表1_8612182224267290[[#This Row],[开服天数]])*配置!$B$2</f>
        <v>15</v>
      </c>
      <c r="H7" s="376" t="s">
        <v>27</v>
      </c>
      <c r="I7" s="376">
        <f>IF(表1_8612182224267290[[#This Row],[原国家]]="魏",0,IF(表1_8612182224267290[[#This Row],[原国家]]="蜀",1,2))</f>
        <v>2</v>
      </c>
      <c r="J7" s="380">
        <v>3</v>
      </c>
      <c r="K7" s="380">
        <v>112</v>
      </c>
      <c r="L7" s="380">
        <v>2</v>
      </c>
      <c r="M7" s="380">
        <v>23</v>
      </c>
      <c r="N7" s="380">
        <v>114657</v>
      </c>
      <c r="O7" s="380">
        <v>1415545</v>
      </c>
      <c r="P7" s="381">
        <v>16433017</v>
      </c>
      <c r="Q7" s="31" t="s">
        <v>26</v>
      </c>
      <c r="R7" s="376">
        <f>IF(表1_8612182224267290[[#This Row],[目标国家]]="魏",0,IF(表1_8612182224267290[[#This Row],[目标国家]]="蜀",1,2))</f>
        <v>1</v>
      </c>
      <c r="S7" s="380">
        <v>15058</v>
      </c>
      <c r="T7" s="380">
        <v>0</v>
      </c>
      <c r="U7" s="380">
        <v>111470</v>
      </c>
      <c r="V7" s="380">
        <v>5559</v>
      </c>
      <c r="W7" s="374">
        <v>405162</v>
      </c>
      <c r="X7" s="387" t="str">
        <f>"{"&amp;"'coin':"&amp;表1_8612182224267290[[#This Row],[补偿Coin]]&amp;",'"&amp;配置!$A$2&amp;"':"&amp;表1_8612182224267290[[#This Row],[补偿辎重]]&amp;"},"</f>
        <v>{'coin':1500,'item036':15},</v>
      </c>
      <c r="Y7" s="388" t="str">
        <f t="shared" ref="Y7" si="0">"      },"</f>
        <v>      },</v>
      </c>
    </row>
    <row r="8" s="354" customFormat="1" ht="14.25" customHeight="1" spans="1:25">
      <c r="A8" s="259">
        <v>7016</v>
      </c>
      <c r="B8" s="210">
        <f>VLOOKUP(表1_8612182224267290[[#This Row],[区服]],$P$26:$Q$33,2,FALSE)</f>
        <v>47</v>
      </c>
      <c r="C8" s="41" t="s">
        <v>183</v>
      </c>
      <c r="D8" s="212" t="str">
        <f>表1_8612182224267290[[#This Row],[目标国家]]</f>
        <v>魏</v>
      </c>
      <c r="E8" s="213">
        <f>(VLOOKUP(表1_8612182224267290[[#This Row],[目标区服]],$R$26:$S$29,2,FALSE)-表1_8612182224267290[[#This Row],[开服天数]])*配置!$B$1</f>
        <v>1000</v>
      </c>
      <c r="F8" s="213">
        <f>表1_8612182224267290[[#This Row],[补偿Coin]]*(表1_8612182224267290[[#This Row],[活跃高战玩家数]]+表1_8612182224267290[[#This Row],[活跃中坚玩家数]])</f>
        <v>27000</v>
      </c>
      <c r="G8" s="260">
        <f>(VLOOKUP(表1_8612182224267290[[#This Row],[目标区服]],$R$26:$S$29,2,FALSE)-表1_8612182224267290[[#This Row],[开服天数]])*配置!$B$2</f>
        <v>10</v>
      </c>
      <c r="H8" s="212" t="s">
        <v>25</v>
      </c>
      <c r="I8" s="268">
        <f>IF(表1_8612182224267290[[#This Row],[原国家]]="魏",0,IF(表1_8612182224267290[[#This Row],[原国家]]="蜀",1,2))</f>
        <v>0</v>
      </c>
      <c r="J8" s="213">
        <v>6</v>
      </c>
      <c r="K8" s="213">
        <v>216</v>
      </c>
      <c r="L8" s="213">
        <v>7</v>
      </c>
      <c r="M8" s="213">
        <v>20</v>
      </c>
      <c r="N8" s="213">
        <v>154212</v>
      </c>
      <c r="O8" s="419">
        <v>3787379</v>
      </c>
      <c r="P8" s="420">
        <v>29034259</v>
      </c>
      <c r="Q8" s="31" t="s">
        <v>25</v>
      </c>
      <c r="R8" s="212">
        <f>IF(表1_8612182224267290[[#This Row],[目标国家]]="魏",0,IF(表1_8612182224267290[[#This Row],[目标国家]]="蜀",1,2))</f>
        <v>0</v>
      </c>
      <c r="S8" s="213">
        <v>235928</v>
      </c>
      <c r="T8" s="213">
        <v>0</v>
      </c>
      <c r="U8" s="213">
        <v>962316</v>
      </c>
      <c r="V8" s="213">
        <v>17780</v>
      </c>
      <c r="W8" s="213">
        <v>1245763</v>
      </c>
      <c r="X8" s="278" t="str">
        <f>"{"&amp;"'coin':"&amp;表1_8612182224267290[[#This Row],[补偿Coin]]&amp;",'"&amp;配置!$A$2&amp;"':"&amp;表1_8612182224267290[[#This Row],[补偿辎重]]&amp;"},"</f>
        <v>{'coin':1000,'item036':10},</v>
      </c>
      <c r="Y8" s="278" t="str">
        <f>"      '"&amp;表1_8612182224267290[[#This Row],[区服]]&amp;"':{"</f>
        <v>      '7016':{</v>
      </c>
    </row>
    <row r="9" s="354" customFormat="1" ht="14.25" customHeight="1" spans="1:25">
      <c r="A9" s="259">
        <v>7016</v>
      </c>
      <c r="B9" s="210">
        <f>VLOOKUP(表1_8612182224267290[[#This Row],[区服]],$P$26:$Q$33,2,FALSE)</f>
        <v>47</v>
      </c>
      <c r="C9" s="41" t="s">
        <v>183</v>
      </c>
      <c r="D9" s="212" t="str">
        <f>表1_8612182224267290[[#This Row],[目标国家]]</f>
        <v>吴</v>
      </c>
      <c r="E9" s="213">
        <f>(VLOOKUP(表1_8612182224267290[[#This Row],[目标区服]],$R$26:$S$29,2,FALSE)-表1_8612182224267290[[#This Row],[开服天数]])*配置!$B$1</f>
        <v>1000</v>
      </c>
      <c r="F9" s="213">
        <f>表1_8612182224267290[[#This Row],[补偿Coin]]*(表1_8612182224267290[[#This Row],[活跃高战玩家数]]+表1_8612182224267290[[#This Row],[活跃中坚玩家数]])</f>
        <v>18000</v>
      </c>
      <c r="G9" s="260">
        <f>(VLOOKUP(表1_8612182224267290[[#This Row],[目标区服]],$R$26:$S$29,2,FALSE)-表1_8612182224267290[[#This Row],[开服天数]])*配置!$B$2</f>
        <v>10</v>
      </c>
      <c r="H9" s="212" t="s">
        <v>26</v>
      </c>
      <c r="I9" s="268">
        <f>IF(表1_8612182224267290[[#This Row],[原国家]]="魏",0,IF(表1_8612182224267290[[#This Row],[原国家]]="蜀",1,2))</f>
        <v>1</v>
      </c>
      <c r="J9" s="213">
        <v>1</v>
      </c>
      <c r="K9" s="213">
        <v>88</v>
      </c>
      <c r="L9" s="213">
        <v>0</v>
      </c>
      <c r="M9" s="213">
        <v>18</v>
      </c>
      <c r="N9" s="213">
        <v>41212</v>
      </c>
      <c r="O9" s="419">
        <v>1275283</v>
      </c>
      <c r="P9" s="420">
        <v>9332403</v>
      </c>
      <c r="Q9" s="31" t="s">
        <v>27</v>
      </c>
      <c r="R9" s="212">
        <f>IF(表1_8612182224267290[[#This Row],[目标国家]]="魏",0,IF(表1_8612182224267290[[#This Row],[目标国家]]="蜀",1,2))</f>
        <v>2</v>
      </c>
      <c r="S9" s="213">
        <v>3032</v>
      </c>
      <c r="T9" s="213">
        <v>0</v>
      </c>
      <c r="U9" s="213">
        <v>105263</v>
      </c>
      <c r="V9" s="213">
        <v>3538</v>
      </c>
      <c r="W9" s="213">
        <v>381210</v>
      </c>
      <c r="X9" s="278" t="str">
        <f>"{"&amp;"'coin':"&amp;表1_8612182224267290[[#This Row],[补偿Coin]]&amp;",'"&amp;配置!$A$2&amp;"':"&amp;表1_8612182224267290[[#This Row],[补偿辎重]]&amp;"},"</f>
        <v>{'coin':1000,'item036':10},</v>
      </c>
      <c r="Y9" s="278" t="str">
        <f>"            'to_zone':'"&amp;表1_8612182224267290[[#This Row],[目标区服]]&amp;"',
            'reward':"&amp;表1_8612182224267290[[#This Row],[辅助导出]]&amp;"
            'country':["&amp;R8&amp;","&amp;R9&amp;","&amp;R10&amp;"],"</f>
        <v>            'to_zone':'h1_708',
            'reward':{'coin':1000,'item036':10},
            'country':[0,2,2],</v>
      </c>
    </row>
    <row r="10" s="354" customFormat="1" ht="14.25" customHeight="1" spans="1:25">
      <c r="A10" s="259">
        <v>7016</v>
      </c>
      <c r="B10" s="210">
        <f>VLOOKUP(表1_8612182224267290[[#This Row],[区服]],$P$26:$Q$33,2,FALSE)</f>
        <v>47</v>
      </c>
      <c r="C10" s="41" t="s">
        <v>183</v>
      </c>
      <c r="D10" s="212" t="str">
        <f>表1_8612182224267290[[#This Row],[目标国家]]</f>
        <v>吴</v>
      </c>
      <c r="E10" s="213">
        <f>(VLOOKUP(表1_8612182224267290[[#This Row],[目标区服]],$R$26:$S$29,2,FALSE)-表1_8612182224267290[[#This Row],[开服天数]])*配置!$B$1</f>
        <v>1000</v>
      </c>
      <c r="F10" s="213">
        <f>表1_8612182224267290[[#This Row],[补偿Coin]]*(表1_8612182224267290[[#This Row],[活跃高战玩家数]]+表1_8612182224267290[[#This Row],[活跃中坚玩家数]])</f>
        <v>14000</v>
      </c>
      <c r="G10" s="260">
        <f>(VLOOKUP(表1_8612182224267290[[#This Row],[目标区服]],$R$26:$S$29,2,FALSE)-表1_8612182224267290[[#This Row],[开服天数]])*配置!$B$2</f>
        <v>10</v>
      </c>
      <c r="H10" s="212" t="s">
        <v>27</v>
      </c>
      <c r="I10" s="268">
        <f>IF(表1_8612182224267290[[#This Row],[原国家]]="魏",0,IF(表1_8612182224267290[[#This Row],[原国家]]="蜀",1,2))</f>
        <v>2</v>
      </c>
      <c r="J10" s="213">
        <v>2</v>
      </c>
      <c r="K10" s="213">
        <v>91</v>
      </c>
      <c r="L10" s="213">
        <v>2</v>
      </c>
      <c r="M10" s="213">
        <v>12</v>
      </c>
      <c r="N10" s="213">
        <v>55930</v>
      </c>
      <c r="O10" s="419">
        <v>2368235</v>
      </c>
      <c r="P10" s="420">
        <v>11882611</v>
      </c>
      <c r="Q10" s="31" t="s">
        <v>27</v>
      </c>
      <c r="R10" s="212">
        <f>IF(表1_8612182224267290[[#This Row],[目标国家]]="魏",0,IF(表1_8612182224267290[[#This Row],[目标国家]]="蜀",1,2))</f>
        <v>2</v>
      </c>
      <c r="S10" s="213">
        <v>47804</v>
      </c>
      <c r="T10" s="213">
        <v>0</v>
      </c>
      <c r="U10" s="213">
        <v>215198</v>
      </c>
      <c r="V10" s="213">
        <v>6487</v>
      </c>
      <c r="W10" s="213">
        <v>803632</v>
      </c>
      <c r="X10" s="278" t="str">
        <f>"{"&amp;"'coin':"&amp;表1_8612182224267290[[#This Row],[补偿Coin]]&amp;",'"&amp;配置!$A$2&amp;"':"&amp;表1_8612182224267290[[#This Row],[补偿辎重]]&amp;"},"</f>
        <v>{'coin':1000,'item036':10},</v>
      </c>
      <c r="Y10" s="278" t="str">
        <f>"      },"</f>
        <v>      },</v>
      </c>
    </row>
    <row r="11" s="354" customFormat="1" ht="14.25" customHeight="1" spans="1:25">
      <c r="A11" s="259">
        <v>7017</v>
      </c>
      <c r="B11" s="210">
        <f>VLOOKUP(表1_8612182224267290[[#This Row],[区服]],$P$26:$Q$33,2,FALSE)</f>
        <v>46</v>
      </c>
      <c r="C11" s="41" t="s">
        <v>183</v>
      </c>
      <c r="D11" s="212" t="str">
        <f>表1_8612182224267290[[#This Row],[目标国家]]</f>
        <v>蜀</v>
      </c>
      <c r="E11" s="213">
        <f>(VLOOKUP(表1_8612182224267290[[#This Row],[目标区服]],$R$26:$S$29,2,FALSE)-表1_8612182224267290[[#This Row],[开服天数]])*配置!$B$1</f>
        <v>1500</v>
      </c>
      <c r="F11" s="213">
        <f>表1_8612182224267290[[#This Row],[补偿Coin]]*(表1_8612182224267290[[#This Row],[活跃高战玩家数]]+表1_8612182224267290[[#This Row],[活跃中坚玩家数]])</f>
        <v>24000</v>
      </c>
      <c r="G11" s="260">
        <f>(VLOOKUP(表1_8612182224267290[[#This Row],[目标区服]],$R$26:$S$29,2,FALSE)-表1_8612182224267290[[#This Row],[开服天数]])*配置!$B$2</f>
        <v>15</v>
      </c>
      <c r="H11" s="212" t="s">
        <v>25</v>
      </c>
      <c r="I11" s="268">
        <f>IF(表1_8612182224267290[[#This Row],[原国家]]="魏",0,IF(表1_8612182224267290[[#This Row],[原国家]]="蜀",1,2))</f>
        <v>0</v>
      </c>
      <c r="J11" s="213">
        <v>0</v>
      </c>
      <c r="K11" s="213">
        <v>62</v>
      </c>
      <c r="L11" s="213">
        <v>0</v>
      </c>
      <c r="M11" s="213">
        <v>16</v>
      </c>
      <c r="N11" s="213">
        <v>50823</v>
      </c>
      <c r="O11" s="419">
        <v>1176645</v>
      </c>
      <c r="P11" s="420">
        <v>9536853</v>
      </c>
      <c r="Q11" s="31" t="s">
        <v>26</v>
      </c>
      <c r="R11" s="212">
        <f>IF(表1_8612182224267290[[#This Row],[目标国家]]="魏",0,IF(表1_8612182224267290[[#This Row],[目标国家]]="蜀",1,2))</f>
        <v>1</v>
      </c>
      <c r="S11" s="213">
        <v>6270</v>
      </c>
      <c r="T11" s="213">
        <v>0</v>
      </c>
      <c r="U11" s="213">
        <v>102663</v>
      </c>
      <c r="V11" s="213">
        <v>3243</v>
      </c>
      <c r="W11" s="213">
        <v>367108</v>
      </c>
      <c r="X11" s="278" t="str">
        <f>"{"&amp;"'coin':"&amp;表1_8612182224267290[[#This Row],[补偿Coin]]&amp;",'"&amp;配置!$A$2&amp;"':"&amp;表1_8612182224267290[[#This Row],[补偿辎重]]&amp;"},"</f>
        <v>{'coin':1500,'item036':15},</v>
      </c>
      <c r="Y11" s="278" t="str">
        <f>"      '"&amp;表1_8612182224267290[[#This Row],[区服]]&amp;"':{"</f>
        <v>      '7017':{</v>
      </c>
    </row>
    <row r="12" s="354" customFormat="1" ht="14.25" customHeight="1" spans="1:25">
      <c r="A12" s="259">
        <v>7017</v>
      </c>
      <c r="B12" s="210">
        <f>VLOOKUP(表1_8612182224267290[[#This Row],[区服]],$P$26:$Q$33,2,FALSE)</f>
        <v>46</v>
      </c>
      <c r="C12" s="41" t="s">
        <v>183</v>
      </c>
      <c r="D12" s="212" t="str">
        <f>表1_8612182224267290[[#This Row],[目标国家]]</f>
        <v>蜀</v>
      </c>
      <c r="E12" s="213">
        <f>(VLOOKUP(表1_8612182224267290[[#This Row],[目标区服]],$R$26:$S$29,2,FALSE)-表1_8612182224267290[[#This Row],[开服天数]])*配置!$B$1</f>
        <v>1500</v>
      </c>
      <c r="F12" s="213">
        <f>表1_8612182224267290[[#This Row],[补偿Coin]]*(表1_8612182224267290[[#This Row],[活跃高战玩家数]]+表1_8612182224267290[[#This Row],[活跃中坚玩家数]])</f>
        <v>48000</v>
      </c>
      <c r="G12" s="260">
        <f>(VLOOKUP(表1_8612182224267290[[#This Row],[目标区服]],$R$26:$S$29,2,FALSE)-表1_8612182224267290[[#This Row],[开服天数]])*配置!$B$2</f>
        <v>15</v>
      </c>
      <c r="H12" s="212" t="s">
        <v>26</v>
      </c>
      <c r="I12" s="268">
        <f>IF(表1_8612182224267290[[#This Row],[原国家]]="魏",0,IF(表1_8612182224267290[[#This Row],[原国家]]="蜀",1,2))</f>
        <v>1</v>
      </c>
      <c r="J12" s="213">
        <v>6</v>
      </c>
      <c r="K12" s="213">
        <v>214</v>
      </c>
      <c r="L12" s="213">
        <v>4</v>
      </c>
      <c r="M12" s="213">
        <v>28</v>
      </c>
      <c r="N12" s="213">
        <v>137425</v>
      </c>
      <c r="O12" s="419">
        <v>2615721</v>
      </c>
      <c r="P12" s="420">
        <v>25139826</v>
      </c>
      <c r="Q12" s="31" t="s">
        <v>26</v>
      </c>
      <c r="R12" s="212">
        <f>IF(表1_8612182224267290[[#This Row],[目标国家]]="魏",0,IF(表1_8612182224267290[[#This Row],[目标国家]]="蜀",1,2))</f>
        <v>1</v>
      </c>
      <c r="S12" s="213">
        <v>83120</v>
      </c>
      <c r="T12" s="213">
        <v>0</v>
      </c>
      <c r="U12" s="213">
        <v>660882</v>
      </c>
      <c r="V12" s="213">
        <v>11380</v>
      </c>
      <c r="W12" s="213">
        <v>684135</v>
      </c>
      <c r="X12" s="278" t="str">
        <f>"{"&amp;"'coin':"&amp;表1_8612182224267290[[#This Row],[补偿Coin]]&amp;",'"&amp;配置!$A$2&amp;"':"&amp;表1_8612182224267290[[#This Row],[补偿辎重]]&amp;"},"</f>
        <v>{'coin':1500,'item036':15},</v>
      </c>
      <c r="Y12" s="278" t="str">
        <f>"            'to_zone':'"&amp;表1_8612182224267290[[#This Row],[目标区服]]&amp;"',
            'reward':"&amp;表1_8612182224267290[[#This Row],[辅助导出]]&amp;"
            'country':["&amp;R11&amp;","&amp;R12&amp;","&amp;R13&amp;"],"</f>
        <v>            'to_zone':'h1_708',
            'reward':{'coin':1500,'item036':15},
            'country':[1,1,2],</v>
      </c>
    </row>
    <row r="13" s="354" customFormat="1" ht="14.25" customHeight="1" spans="1:25">
      <c r="A13" s="259">
        <v>7017</v>
      </c>
      <c r="B13" s="210">
        <f>VLOOKUP(表1_8612182224267290[[#This Row],[区服]],$P$26:$Q$33,2,FALSE)</f>
        <v>46</v>
      </c>
      <c r="C13" s="41" t="s">
        <v>183</v>
      </c>
      <c r="D13" s="212" t="str">
        <f>表1_8612182224267290[[#This Row],[目标国家]]</f>
        <v>吴</v>
      </c>
      <c r="E13" s="213">
        <f>(VLOOKUP(表1_8612182224267290[[#This Row],[目标区服]],$R$26:$S$29,2,FALSE)-表1_8612182224267290[[#This Row],[开服天数]])*配置!$B$1</f>
        <v>1500</v>
      </c>
      <c r="F13" s="213">
        <f>表1_8612182224267290[[#This Row],[补偿Coin]]*(表1_8612182224267290[[#This Row],[活跃高战玩家数]]+表1_8612182224267290[[#This Row],[活跃中坚玩家数]])</f>
        <v>24000</v>
      </c>
      <c r="G13" s="260">
        <f>(VLOOKUP(表1_8612182224267290[[#This Row],[目标区服]],$R$26:$S$29,2,FALSE)-表1_8612182224267290[[#This Row],[开服天数]])*配置!$B$2</f>
        <v>15</v>
      </c>
      <c r="H13" s="212" t="s">
        <v>27</v>
      </c>
      <c r="I13" s="268">
        <f>IF(表1_8612182224267290[[#This Row],[原国家]]="魏",0,IF(表1_8612182224267290[[#This Row],[原国家]]="蜀",1,2))</f>
        <v>2</v>
      </c>
      <c r="J13" s="213">
        <v>3</v>
      </c>
      <c r="K13" s="213">
        <v>119</v>
      </c>
      <c r="L13" s="213">
        <v>4</v>
      </c>
      <c r="M13" s="213">
        <v>12</v>
      </c>
      <c r="N13" s="213">
        <v>76165</v>
      </c>
      <c r="O13" s="419">
        <v>2008227</v>
      </c>
      <c r="P13" s="420">
        <v>13204213</v>
      </c>
      <c r="Q13" s="31" t="s">
        <v>27</v>
      </c>
      <c r="R13" s="212">
        <f>IF(表1_8612182224267290[[#This Row],[目标国家]]="魏",0,IF(表1_8612182224267290[[#This Row],[目标国家]]="蜀",1,2))</f>
        <v>2</v>
      </c>
      <c r="S13" s="213">
        <v>24678</v>
      </c>
      <c r="T13" s="213">
        <v>0</v>
      </c>
      <c r="U13" s="213">
        <v>167413</v>
      </c>
      <c r="V13" s="213">
        <v>6023</v>
      </c>
      <c r="W13" s="213">
        <v>475873</v>
      </c>
      <c r="X13" s="278" t="str">
        <f>"{"&amp;"'coin':"&amp;表1_8612182224267290[[#This Row],[补偿Coin]]&amp;",'"&amp;配置!$A$2&amp;"':"&amp;表1_8612182224267290[[#This Row],[补偿辎重]]&amp;"},"</f>
        <v>{'coin':1500,'item036':15},</v>
      </c>
      <c r="Y13" s="278" t="str">
        <f t="shared" ref="Y13" si="1">"      },"</f>
        <v>      },</v>
      </c>
    </row>
    <row r="14" ht="14.25" customHeight="1" spans="1:25">
      <c r="A14" s="17">
        <v>7018</v>
      </c>
      <c r="B14" s="17">
        <f>VLOOKUP(表1_8612182224267290[[#This Row],[区服]],$P$26:$Q$33,2,FALSE)</f>
        <v>45</v>
      </c>
      <c r="C14" s="45" t="s">
        <v>184</v>
      </c>
      <c r="D14" s="19" t="str">
        <f>表1_8612182224267290[[#This Row],[目标国家]]</f>
        <v>魏</v>
      </c>
      <c r="E14" s="20">
        <f>(VLOOKUP(表1_8612182224267290[[#This Row],[目标区服]],$R$26:$S$29,2,FALSE)-表1_8612182224267290[[#This Row],[开服天数]])*配置!$B$1</f>
        <v>1000</v>
      </c>
      <c r="F14" s="20">
        <f>表1_8612182224267290[[#This Row],[补偿Coin]]*(表1_8612182224267290[[#This Row],[活跃高战玩家数]]+表1_8612182224267290[[#This Row],[活跃中坚玩家数]])</f>
        <v>18000</v>
      </c>
      <c r="G14" s="20">
        <f>(VLOOKUP(表1_8612182224267290[[#This Row],[目标区服]],$R$26:$S$29,2,FALSE)-表1_8612182224267290[[#This Row],[开服天数]])*配置!$B$2</f>
        <v>10</v>
      </c>
      <c r="H14" s="19" t="s">
        <v>25</v>
      </c>
      <c r="I14" s="19">
        <f>IF(表1_8612182224267290[[#This Row],[原国家]]="魏",0,IF(表1_8612182224267290[[#This Row],[原国家]]="蜀",1,2))</f>
        <v>0</v>
      </c>
      <c r="J14" s="20">
        <v>0</v>
      </c>
      <c r="K14" s="20">
        <v>35</v>
      </c>
      <c r="L14" s="20">
        <v>1</v>
      </c>
      <c r="M14" s="20">
        <v>17</v>
      </c>
      <c r="N14" s="20">
        <v>46272</v>
      </c>
      <c r="O14" s="20">
        <v>1085213</v>
      </c>
      <c r="P14" s="26">
        <v>9573447</v>
      </c>
      <c r="Q14" s="31" t="s">
        <v>25</v>
      </c>
      <c r="R14" s="19">
        <f>IF(表1_8612182224267290[[#This Row],[目标国家]]="魏",0,IF(表1_8612182224267290[[#This Row],[目标国家]]="蜀",1,2))</f>
        <v>0</v>
      </c>
      <c r="S14" s="20">
        <v>10532</v>
      </c>
      <c r="T14" s="20">
        <v>0</v>
      </c>
      <c r="U14" s="20">
        <v>69548</v>
      </c>
      <c r="V14" s="20">
        <v>2974</v>
      </c>
      <c r="W14" s="32">
        <v>277077</v>
      </c>
      <c r="X14" s="33" t="str">
        <f>"{"&amp;"'coin':"&amp;表1_8612182224267290[[#This Row],[补偿Coin]]&amp;",'"&amp;配置!$A$2&amp;"':"&amp;表1_8612182224267290[[#This Row],[补偿辎重]]&amp;"},"</f>
        <v>{'coin':1000,'item036':10},</v>
      </c>
      <c r="Y14" s="34" t="str">
        <f>"      '"&amp;表1_8612182224267290[[#This Row],[区服]]&amp;"':{"</f>
        <v>      '7018':{</v>
      </c>
    </row>
    <row r="15" ht="14.25" customHeight="1" spans="1:25">
      <c r="A15" s="17">
        <v>7018</v>
      </c>
      <c r="B15" s="17">
        <f>VLOOKUP(表1_8612182224267290[[#This Row],[区服]],$P$26:$Q$33,2,FALSE)</f>
        <v>45</v>
      </c>
      <c r="C15" s="45" t="s">
        <v>184</v>
      </c>
      <c r="D15" s="19" t="str">
        <f>表1_8612182224267290[[#This Row],[目标国家]]</f>
        <v>蜀</v>
      </c>
      <c r="E15" s="20">
        <f>(VLOOKUP(表1_8612182224267290[[#This Row],[目标区服]],$R$26:$S$29,2,FALSE)-表1_8612182224267290[[#This Row],[开服天数]])*配置!$B$1</f>
        <v>1000</v>
      </c>
      <c r="F15" s="20">
        <f>表1_8612182224267290[[#This Row],[补偿Coin]]*(表1_8612182224267290[[#This Row],[活跃高战玩家数]]+表1_8612182224267290[[#This Row],[活跃中坚玩家数]])</f>
        <v>33000</v>
      </c>
      <c r="G15" s="20">
        <f>(VLOOKUP(表1_8612182224267290[[#This Row],[目标区服]],$R$26:$S$29,2,FALSE)-表1_8612182224267290[[#This Row],[开服天数]])*配置!$B$2</f>
        <v>10</v>
      </c>
      <c r="H15" s="19" t="s">
        <v>26</v>
      </c>
      <c r="I15" s="19">
        <f>IF(表1_8612182224267290[[#This Row],[原国家]]="魏",0,IF(表1_8612182224267290[[#This Row],[原国家]]="蜀",1,2))</f>
        <v>1</v>
      </c>
      <c r="J15" s="20">
        <v>8</v>
      </c>
      <c r="K15" s="20">
        <v>322</v>
      </c>
      <c r="L15" s="20">
        <v>7</v>
      </c>
      <c r="M15" s="20">
        <v>26</v>
      </c>
      <c r="N15" s="20">
        <v>177124</v>
      </c>
      <c r="O15" s="20">
        <v>2735004</v>
      </c>
      <c r="P15" s="26">
        <v>29545874</v>
      </c>
      <c r="Q15" s="31" t="s">
        <v>26</v>
      </c>
      <c r="R15" s="19">
        <f>IF(表1_8612182224267290[[#This Row],[目标国家]]="魏",0,IF(表1_8612182224267290[[#This Row],[目标国家]]="蜀",1,2))</f>
        <v>1</v>
      </c>
      <c r="S15" s="20">
        <v>148518</v>
      </c>
      <c r="T15" s="20">
        <v>0</v>
      </c>
      <c r="U15" s="20">
        <v>365751</v>
      </c>
      <c r="V15" s="20">
        <v>15233</v>
      </c>
      <c r="W15" s="32">
        <v>790175</v>
      </c>
      <c r="X15" s="33" t="str">
        <f>"{"&amp;"'coin':"&amp;表1_8612182224267290[[#This Row],[补偿Coin]]&amp;",'"&amp;配置!$A$2&amp;"':"&amp;表1_8612182224267290[[#This Row],[补偿辎重]]&amp;"},"</f>
        <v>{'coin':1000,'item036':10},</v>
      </c>
      <c r="Y15" s="34" t="str">
        <f>"            'to_zone':'"&amp;表1_8612182224267290[[#This Row],[目标区服]]&amp;"',
            'reward':"&amp;表1_8612182224267290[[#This Row],[辅助导出]]&amp;"
            'country':["&amp;R14&amp;","&amp;R15&amp;","&amp;R16&amp;"],"</f>
        <v>            'to_zone':'h1_709',
            'reward':{'coin':1000,'item036':10},
            'country':[0,1,0],</v>
      </c>
    </row>
    <row r="16" ht="14.25" customHeight="1" spans="1:25">
      <c r="A16" s="17">
        <v>7018</v>
      </c>
      <c r="B16" s="17">
        <f>VLOOKUP(表1_8612182224267290[[#This Row],[区服]],$P$26:$Q$33,2,FALSE)</f>
        <v>45</v>
      </c>
      <c r="C16" s="45" t="s">
        <v>184</v>
      </c>
      <c r="D16" s="19" t="str">
        <f>表1_8612182224267290[[#This Row],[目标国家]]</f>
        <v>魏</v>
      </c>
      <c r="E16" s="20">
        <f>(VLOOKUP(表1_8612182224267290[[#This Row],[目标区服]],$R$26:$S$29,2,FALSE)-表1_8612182224267290[[#This Row],[开服天数]])*配置!$B$1</f>
        <v>1000</v>
      </c>
      <c r="F16" s="20">
        <f>表1_8612182224267290[[#This Row],[补偿Coin]]*(表1_8612182224267290[[#This Row],[活跃高战玩家数]]+表1_8612182224267290[[#This Row],[活跃中坚玩家数]])</f>
        <v>18000</v>
      </c>
      <c r="G16" s="20">
        <f>(VLOOKUP(表1_8612182224267290[[#This Row],[目标区服]],$R$26:$S$29,2,FALSE)-表1_8612182224267290[[#This Row],[开服天数]])*配置!$B$2</f>
        <v>10</v>
      </c>
      <c r="H16" s="19" t="s">
        <v>27</v>
      </c>
      <c r="I16" s="19">
        <f>IF(表1_8612182224267290[[#This Row],[原国家]]="魏",0,IF(表1_8612182224267290[[#This Row],[原国家]]="蜀",1,2))</f>
        <v>2</v>
      </c>
      <c r="J16" s="20">
        <v>1</v>
      </c>
      <c r="K16" s="20">
        <v>38</v>
      </c>
      <c r="L16" s="20">
        <v>2</v>
      </c>
      <c r="M16" s="20">
        <v>16</v>
      </c>
      <c r="N16" s="20">
        <v>68078</v>
      </c>
      <c r="O16" s="20">
        <v>1384192</v>
      </c>
      <c r="P16" s="26">
        <v>11566668</v>
      </c>
      <c r="Q16" s="31" t="s">
        <v>25</v>
      </c>
      <c r="R16" s="19">
        <f>IF(表1_8612182224267290[[#This Row],[目标国家]]="魏",0,IF(表1_8612182224267290[[#This Row],[目标国家]]="蜀",1,2))</f>
        <v>0</v>
      </c>
      <c r="S16" s="20">
        <v>28698</v>
      </c>
      <c r="T16" s="20">
        <v>0</v>
      </c>
      <c r="U16" s="20">
        <v>188716</v>
      </c>
      <c r="V16" s="20">
        <v>4316</v>
      </c>
      <c r="W16" s="32">
        <v>433405</v>
      </c>
      <c r="X16" s="33" t="str">
        <f>"{"&amp;"'coin':"&amp;表1_8612182224267290[[#This Row],[补偿Coin]]&amp;",'"&amp;配置!$A$2&amp;"':"&amp;表1_8612182224267290[[#This Row],[补偿辎重]]&amp;"},"</f>
        <v>{'coin':1000,'item036':10},</v>
      </c>
      <c r="Y16" s="34" t="str">
        <f t="shared" ref="Y16" si="2">"      },"</f>
        <v>      },</v>
      </c>
    </row>
    <row r="17" ht="14.25" customHeight="1" spans="1:25">
      <c r="A17" s="17">
        <v>7019</v>
      </c>
      <c r="B17" s="17">
        <f>VLOOKUP(表1_8612182224267290[[#This Row],[区服]],$P$26:$Q$33,2,FALSE)</f>
        <v>44</v>
      </c>
      <c r="C17" s="45" t="s">
        <v>184</v>
      </c>
      <c r="D17" s="19" t="str">
        <f>表1_8612182224267290[[#This Row],[目标国家]]</f>
        <v>魏</v>
      </c>
      <c r="E17" s="20">
        <f>(VLOOKUP(表1_8612182224267290[[#This Row],[目标区服]],$R$26:$S$29,2,FALSE)-表1_8612182224267290[[#This Row],[开服天数]])*配置!$B$1</f>
        <v>1500</v>
      </c>
      <c r="F17" s="20">
        <f>表1_8612182224267290[[#This Row],[补偿Coin]]*(表1_8612182224267290[[#This Row],[活跃高战玩家数]]+表1_8612182224267290[[#This Row],[活跃中坚玩家数]])</f>
        <v>24000</v>
      </c>
      <c r="G17" s="20">
        <f>(VLOOKUP(表1_8612182224267290[[#This Row],[目标区服]],$R$26:$S$29,2,FALSE)-表1_8612182224267290[[#This Row],[开服天数]])*配置!$B$2</f>
        <v>15</v>
      </c>
      <c r="H17" s="19" t="s">
        <v>25</v>
      </c>
      <c r="I17" s="19">
        <f>IF(表1_8612182224267290[[#This Row],[原国家]]="魏",0,IF(表1_8612182224267290[[#This Row],[原国家]]="蜀",1,2))</f>
        <v>0</v>
      </c>
      <c r="J17" s="20">
        <v>0</v>
      </c>
      <c r="K17" s="20">
        <v>50</v>
      </c>
      <c r="L17" s="20">
        <v>0</v>
      </c>
      <c r="M17" s="20">
        <v>16</v>
      </c>
      <c r="N17" s="20">
        <v>57974</v>
      </c>
      <c r="O17" s="20">
        <v>907453</v>
      </c>
      <c r="P17" s="26">
        <v>6984607</v>
      </c>
      <c r="Q17" s="31" t="s">
        <v>25</v>
      </c>
      <c r="R17" s="19">
        <f>IF(表1_8612182224267290[[#This Row],[目标国家]]="魏",0,IF(表1_8612182224267290[[#This Row],[目标国家]]="蜀",1,2))</f>
        <v>0</v>
      </c>
      <c r="S17" s="20">
        <v>6444</v>
      </c>
      <c r="T17" s="20">
        <v>0</v>
      </c>
      <c r="U17" s="20">
        <v>83062</v>
      </c>
      <c r="V17" s="20">
        <v>2630</v>
      </c>
      <c r="W17" s="32">
        <v>266805</v>
      </c>
      <c r="X17" s="33" t="str">
        <f>"{"&amp;"'coin':"&amp;表1_8612182224267290[[#This Row],[补偿Coin]]&amp;",'"&amp;配置!$A$2&amp;"':"&amp;表1_8612182224267290[[#This Row],[补偿辎重]]&amp;"},"</f>
        <v>{'coin':1500,'item036':15},</v>
      </c>
      <c r="Y17" s="34" t="str">
        <f>"      '"&amp;表1_8612182224267290[[#This Row],[区服]]&amp;"':{"</f>
        <v>      '7019':{</v>
      </c>
    </row>
    <row r="18" ht="14.25" customHeight="1" spans="1:25">
      <c r="A18" s="17">
        <v>7019</v>
      </c>
      <c r="B18" s="17">
        <f>VLOOKUP(表1_8612182224267290[[#This Row],[区服]],$P$26:$Q$33,2,FALSE)</f>
        <v>44</v>
      </c>
      <c r="C18" s="45" t="s">
        <v>184</v>
      </c>
      <c r="D18" s="19" t="str">
        <f>表1_8612182224267290[[#This Row],[目标国家]]</f>
        <v>吴</v>
      </c>
      <c r="E18" s="20">
        <f>(VLOOKUP(表1_8612182224267290[[#This Row],[目标区服]],$R$26:$S$29,2,FALSE)-表1_8612182224267290[[#This Row],[开服天数]])*配置!$B$1</f>
        <v>1500</v>
      </c>
      <c r="F18" s="20">
        <f>表1_8612182224267290[[#This Row],[补偿Coin]]*(表1_8612182224267290[[#This Row],[活跃高战玩家数]]+表1_8612182224267290[[#This Row],[活跃中坚玩家数]])</f>
        <v>45000</v>
      </c>
      <c r="G18" s="20">
        <f>(VLOOKUP(表1_8612182224267290[[#This Row],[目标区服]],$R$26:$S$29,2,FALSE)-表1_8612182224267290[[#This Row],[开服天数]])*配置!$B$2</f>
        <v>15</v>
      </c>
      <c r="H18" s="19" t="s">
        <v>26</v>
      </c>
      <c r="I18" s="19">
        <f>IF(表1_8612182224267290[[#This Row],[原国家]]="魏",0,IF(表1_8612182224267290[[#This Row],[原国家]]="蜀",1,2))</f>
        <v>1</v>
      </c>
      <c r="J18" s="20">
        <v>9</v>
      </c>
      <c r="K18" s="20">
        <v>311</v>
      </c>
      <c r="L18" s="20">
        <v>10</v>
      </c>
      <c r="M18" s="20">
        <v>20</v>
      </c>
      <c r="N18" s="20">
        <v>161770</v>
      </c>
      <c r="O18" s="20">
        <v>2494272</v>
      </c>
      <c r="P18" s="26">
        <v>23182905</v>
      </c>
      <c r="Q18" s="31" t="s">
        <v>27</v>
      </c>
      <c r="R18" s="19">
        <f>IF(表1_8612182224267290[[#This Row],[目标国家]]="魏",0,IF(表1_8612182224267290[[#This Row],[目标国家]]="蜀",1,2))</f>
        <v>2</v>
      </c>
      <c r="S18" s="20">
        <v>69230</v>
      </c>
      <c r="T18" s="20">
        <v>0</v>
      </c>
      <c r="U18" s="20">
        <v>438665</v>
      </c>
      <c r="V18" s="20">
        <v>11927</v>
      </c>
      <c r="W18" s="32">
        <v>786271</v>
      </c>
      <c r="X18" s="33" t="str">
        <f>"{"&amp;"'coin':"&amp;表1_8612182224267290[[#This Row],[补偿Coin]]&amp;",'"&amp;配置!$A$2&amp;"':"&amp;表1_8612182224267290[[#This Row],[补偿辎重]]&amp;"},"</f>
        <v>{'coin':1500,'item036':15},</v>
      </c>
      <c r="Y18" s="34" t="str">
        <f>"            'to_zone':'"&amp;表1_8612182224267290[[#This Row],[目标区服]]&amp;"',
            'reward':"&amp;表1_8612182224267290[[#This Row],[辅助导出]]&amp;"
            'country':["&amp;R17&amp;","&amp;R18&amp;","&amp;R19&amp;"],"</f>
        <v>            'to_zone':'h1_709',
            'reward':{'coin':1500,'item036':15},
            'country':[0,2,2],</v>
      </c>
    </row>
    <row r="19" ht="14.25" customHeight="1" spans="1:25">
      <c r="A19" s="17">
        <v>7019</v>
      </c>
      <c r="B19" s="17">
        <f>VLOOKUP(表1_8612182224267290[[#This Row],[区服]],$P$26:$Q$33,2,FALSE)</f>
        <v>44</v>
      </c>
      <c r="C19" s="45" t="s">
        <v>184</v>
      </c>
      <c r="D19" s="19" t="str">
        <f>表1_8612182224267290[[#This Row],[目标国家]]</f>
        <v>吴</v>
      </c>
      <c r="E19" s="20">
        <f>(VLOOKUP(表1_8612182224267290[[#This Row],[目标区服]],$R$26:$S$29,2,FALSE)-表1_8612182224267290[[#This Row],[开服天数]])*配置!$B$1</f>
        <v>1500</v>
      </c>
      <c r="F19" s="20">
        <f>表1_8612182224267290[[#This Row],[补偿Coin]]*(表1_8612182224267290[[#This Row],[活跃高战玩家数]]+表1_8612182224267290[[#This Row],[活跃中坚玩家数]])</f>
        <v>18000</v>
      </c>
      <c r="G19" s="20">
        <f>(VLOOKUP(表1_8612182224267290[[#This Row],[目标区服]],$R$26:$S$29,2,FALSE)-表1_8612182224267290[[#This Row],[开服天数]])*配置!$B$2</f>
        <v>15</v>
      </c>
      <c r="H19" s="19" t="s">
        <v>27</v>
      </c>
      <c r="I19" s="19">
        <f>IF(表1_8612182224267290[[#This Row],[原国家]]="魏",0,IF(表1_8612182224267290[[#This Row],[原国家]]="蜀",1,2))</f>
        <v>2</v>
      </c>
      <c r="J19" s="20">
        <v>0</v>
      </c>
      <c r="K19" s="20">
        <v>34</v>
      </c>
      <c r="L19" s="20">
        <v>0</v>
      </c>
      <c r="M19" s="20">
        <v>12</v>
      </c>
      <c r="N19" s="20">
        <v>28226</v>
      </c>
      <c r="O19" s="20">
        <v>675673</v>
      </c>
      <c r="P19" s="26">
        <v>4080620</v>
      </c>
      <c r="Q19" s="31" t="s">
        <v>27</v>
      </c>
      <c r="R19" s="19">
        <f>IF(表1_8612182224267290[[#This Row],[目标国家]]="魏",0,IF(表1_8612182224267290[[#This Row],[目标国家]]="蜀",1,2))</f>
        <v>2</v>
      </c>
      <c r="S19" s="20">
        <v>1092</v>
      </c>
      <c r="T19" s="20">
        <v>0</v>
      </c>
      <c r="U19" s="20">
        <v>71150</v>
      </c>
      <c r="V19" s="20">
        <v>1633</v>
      </c>
      <c r="W19" s="32">
        <v>212217</v>
      </c>
      <c r="X19" s="33" t="str">
        <f>"{"&amp;"'coin':"&amp;表1_8612182224267290[[#This Row],[补偿Coin]]&amp;",'"&amp;配置!$A$2&amp;"':"&amp;表1_8612182224267290[[#This Row],[补偿辎重]]&amp;"},"</f>
        <v>{'coin':1500,'item036':15},</v>
      </c>
      <c r="Y19" s="34" t="str">
        <f t="shared" ref="Y19" si="3">"      },"</f>
        <v>      },</v>
      </c>
    </row>
    <row r="20" ht="14.25" customHeight="1" spans="1:25">
      <c r="A20" s="17"/>
      <c r="B20" s="17" t="e">
        <f>VLOOKUP(表1_8612182224267290[[#This Row],[区服]],$P$26:$Q$33,2,FALSE)</f>
        <v>#N/A</v>
      </c>
      <c r="C20" s="18"/>
      <c r="D20" s="19" t="str">
        <f>表1_8612182224267290[[#This Row],[目标国家]]</f>
        <v>魏</v>
      </c>
      <c r="E20" s="20" t="e">
        <f>(VLOOKUP(表1_8612182224267290[[#This Row],[目标区服]],$R$26:$S$29,2,FALSE)-表1_8612182224267290[[#This Row],[开服天数]])*配置!$B$1</f>
        <v>#N/A</v>
      </c>
      <c r="F20" s="20" t="e">
        <f>表1_8612182224267290[[#This Row],[补偿Coin]]*(表1_8612182224267290[[#This Row],[活跃高战玩家数]]+表1_8612182224267290[[#This Row],[活跃中坚玩家数]])</f>
        <v>#N/A</v>
      </c>
      <c r="G20" s="20" t="e">
        <f>(VLOOKUP(表1_8612182224267290[[#This Row],[目标区服]],$R$26:$S$29,2,FALSE)-表1_8612182224267290[[#This Row],[开服天数]])*配置!$B$2</f>
        <v>#N/A</v>
      </c>
      <c r="H20" s="19" t="s">
        <v>25</v>
      </c>
      <c r="I20" s="19">
        <f>IF(表1_8612182224267290[[#This Row],[原国家]]="魏",0,IF(表1_8612182224267290[[#This Row],[原国家]]="蜀",1,2))</f>
        <v>0</v>
      </c>
      <c r="J20" s="20"/>
      <c r="K20" s="20"/>
      <c r="L20" s="20"/>
      <c r="M20" s="20"/>
      <c r="N20" s="20"/>
      <c r="O20" s="20"/>
      <c r="P20" s="26"/>
      <c r="Q20" s="31" t="s">
        <v>25</v>
      </c>
      <c r="R20" s="19">
        <f>IF(表1_8612182224267290[[#This Row],[目标国家]]="魏",0,IF(表1_8612182224267290[[#This Row],[目标国家]]="蜀",1,2))</f>
        <v>0</v>
      </c>
      <c r="S20" s="20"/>
      <c r="T20" s="20"/>
      <c r="U20" s="20"/>
      <c r="V20" s="20"/>
      <c r="W20" s="32"/>
      <c r="X20" s="33" t="e">
        <f>"{"&amp;"'coin':"&amp;表1_8612182224267290[[#This Row],[补偿Coin]]&amp;",'"&amp;配置!$A$2&amp;"':"&amp;表1_8612182224267290[[#This Row],[补偿辎重]]&amp;"},"</f>
        <v>#N/A</v>
      </c>
      <c r="Y20" s="34" t="str">
        <f>"      '"&amp;表1_8612182224267290[[#This Row],[区服]]&amp;"':{"</f>
        <v>      '':{</v>
      </c>
    </row>
    <row r="21" ht="14.25" customHeight="1" spans="1:25">
      <c r="A21" s="17"/>
      <c r="B21" s="17" t="e">
        <f>VLOOKUP(表1_8612182224267290[[#This Row],[区服]],$P$26:$Q$33,2,FALSE)</f>
        <v>#N/A</v>
      </c>
      <c r="C21" s="18"/>
      <c r="D21" s="19" t="str">
        <f>表1_8612182224267290[[#This Row],[目标国家]]</f>
        <v>蜀</v>
      </c>
      <c r="E21" s="20" t="e">
        <f>(VLOOKUP(表1_8612182224267290[[#This Row],[目标区服]],$R$26:$S$29,2,FALSE)-表1_8612182224267290[[#This Row],[开服天数]])*配置!$B$1</f>
        <v>#N/A</v>
      </c>
      <c r="F21" s="20" t="e">
        <f>表1_8612182224267290[[#This Row],[补偿Coin]]*(表1_8612182224267290[[#This Row],[活跃高战玩家数]]+表1_8612182224267290[[#This Row],[活跃中坚玩家数]])</f>
        <v>#N/A</v>
      </c>
      <c r="G21" s="20" t="e">
        <f>(VLOOKUP(表1_8612182224267290[[#This Row],[目标区服]],$R$26:$S$29,2,FALSE)-表1_8612182224267290[[#This Row],[开服天数]])*配置!$B$2</f>
        <v>#N/A</v>
      </c>
      <c r="H21" s="19" t="s">
        <v>26</v>
      </c>
      <c r="I21" s="19">
        <f>IF(表1_8612182224267290[[#This Row],[原国家]]="魏",0,IF(表1_8612182224267290[[#This Row],[原国家]]="蜀",1,2))</f>
        <v>1</v>
      </c>
      <c r="J21" s="20"/>
      <c r="K21" s="20"/>
      <c r="L21" s="20"/>
      <c r="M21" s="20"/>
      <c r="N21" s="20"/>
      <c r="O21" s="20"/>
      <c r="P21" s="26"/>
      <c r="Q21" s="31" t="s">
        <v>26</v>
      </c>
      <c r="R21" s="19">
        <f>IF(表1_8612182224267290[[#This Row],[目标国家]]="魏",0,IF(表1_8612182224267290[[#This Row],[目标国家]]="蜀",1,2))</f>
        <v>1</v>
      </c>
      <c r="S21" s="20"/>
      <c r="T21" s="20"/>
      <c r="U21" s="20"/>
      <c r="V21" s="20"/>
      <c r="W21" s="32"/>
      <c r="X21" s="33" t="e">
        <f>"{"&amp;"'coin':"&amp;表1_8612182224267290[[#This Row],[补偿Coin]]&amp;",'"&amp;配置!$A$2&amp;"':"&amp;表1_8612182224267290[[#This Row],[补偿辎重]]&amp;"},"</f>
        <v>#N/A</v>
      </c>
      <c r="Y21" s="34" t="e">
        <f>"            'to_zone':'"&amp;表1_8612182224267290[[#This Row],[目标区服]]&amp;"',
            'reward':"&amp;表1_8612182224267290[[#This Row],[辅助导出]]&amp;"
            'country':["&amp;R20&amp;","&amp;R21&amp;","&amp;R22&amp;"],"</f>
        <v>#N/A</v>
      </c>
    </row>
    <row r="22" ht="14.25" customHeight="1" spans="1:25">
      <c r="A22" s="17"/>
      <c r="B22" s="17" t="e">
        <f>VLOOKUP(表1_8612182224267290[[#This Row],[区服]],$P$26:$Q$33,2,FALSE)</f>
        <v>#N/A</v>
      </c>
      <c r="C22" s="18"/>
      <c r="D22" s="19" t="str">
        <f>表1_8612182224267290[[#This Row],[目标国家]]</f>
        <v>吴</v>
      </c>
      <c r="E22" s="20" t="e">
        <f>(VLOOKUP(表1_8612182224267290[[#This Row],[目标区服]],$R$26:$S$29,2,FALSE)-表1_8612182224267290[[#This Row],[开服天数]])*配置!$B$1</f>
        <v>#N/A</v>
      </c>
      <c r="F22" s="20" t="e">
        <f>表1_8612182224267290[[#This Row],[补偿Coin]]*(表1_8612182224267290[[#This Row],[活跃高战玩家数]]+表1_8612182224267290[[#This Row],[活跃中坚玩家数]])</f>
        <v>#N/A</v>
      </c>
      <c r="G22" s="20" t="e">
        <f>(VLOOKUP(表1_8612182224267290[[#This Row],[目标区服]],$R$26:$S$29,2,FALSE)-表1_8612182224267290[[#This Row],[开服天数]])*配置!$B$2</f>
        <v>#N/A</v>
      </c>
      <c r="H22" s="19" t="s">
        <v>27</v>
      </c>
      <c r="I22" s="19">
        <f>IF(表1_8612182224267290[[#This Row],[原国家]]="魏",0,IF(表1_8612182224267290[[#This Row],[原国家]]="蜀",1,2))</f>
        <v>2</v>
      </c>
      <c r="J22" s="20"/>
      <c r="K22" s="20"/>
      <c r="L22" s="20"/>
      <c r="M22" s="20"/>
      <c r="N22" s="20"/>
      <c r="O22" s="20"/>
      <c r="P22" s="26"/>
      <c r="Q22" s="31" t="s">
        <v>27</v>
      </c>
      <c r="R22" s="19">
        <f>IF(表1_8612182224267290[[#This Row],[目标国家]]="魏",0,IF(表1_8612182224267290[[#This Row],[目标国家]]="蜀",1,2))</f>
        <v>2</v>
      </c>
      <c r="S22" s="20"/>
      <c r="T22" s="20"/>
      <c r="U22" s="20"/>
      <c r="V22" s="20"/>
      <c r="W22" s="32"/>
      <c r="X22" s="33" t="e">
        <f>"{"&amp;"'coin':"&amp;表1_8612182224267290[[#This Row],[补偿Coin]]&amp;",'"&amp;配置!$A$2&amp;"':"&amp;表1_8612182224267290[[#This Row],[补偿辎重]]&amp;"},"</f>
        <v>#N/A</v>
      </c>
      <c r="Y22" s="34" t="str">
        <f t="shared" ref="Y22" si="4">"      },"</f>
        <v>      },</v>
      </c>
    </row>
    <row r="25" ht="37.5" customHeight="1" spans="1:19">
      <c r="A25" s="36" t="s">
        <v>28</v>
      </c>
      <c r="B25" s="37" t="s">
        <v>29</v>
      </c>
      <c r="C25" s="38" t="s">
        <v>30</v>
      </c>
      <c r="D25" s="38" t="s">
        <v>31</v>
      </c>
      <c r="E25" s="38" t="s">
        <v>32</v>
      </c>
      <c r="F25" s="38" t="s">
        <v>33</v>
      </c>
      <c r="G25" s="38" t="s">
        <v>15</v>
      </c>
      <c r="H25" s="37" t="s">
        <v>18</v>
      </c>
      <c r="I25" s="37" t="s">
        <v>19</v>
      </c>
      <c r="J25" s="37" t="s">
        <v>34</v>
      </c>
      <c r="K25" s="38" t="s">
        <v>35</v>
      </c>
      <c r="L25" s="38" t="s">
        <v>36</v>
      </c>
      <c r="M25" s="38" t="s">
        <v>37</v>
      </c>
      <c r="N25" s="38" t="s">
        <v>88</v>
      </c>
      <c r="P25" s="51" t="s">
        <v>0</v>
      </c>
      <c r="Q25" s="51" t="s">
        <v>1</v>
      </c>
      <c r="R25" s="51"/>
      <c r="S25" s="51" t="s">
        <v>38</v>
      </c>
    </row>
    <row r="26" ht="15.75" customHeight="1" spans="1:19">
      <c r="A26" s="39" t="s">
        <v>166</v>
      </c>
      <c r="B26" s="39" t="s">
        <v>25</v>
      </c>
      <c r="C26" s="39">
        <f>COUNTIFS(表1_8612182224267290[目标区服],表2_9713192325277391[[#This Row],[合区区服]],表1_8612182224267290[目标国家（映射）],表2_9713192325277391[[#This Row],[国家]])</f>
        <v>2</v>
      </c>
      <c r="D26" s="39">
        <f>SUMIFS(表1_8612182224267290[活跃高战玩家数],表1_8612182224267290[目标区服],表2_9713192325277391[[#This Row],[合区区服]],表1_8612182224267290[目标国家（映射）],表2_9713192325277391[[#This Row],[国家]])</f>
        <v>6</v>
      </c>
      <c r="E26" s="39">
        <f>SUMIFS(表1_8612182224267290[活跃中坚玩家数],表1_8612182224267290[目标区服],表2_9713192325277391[[#This Row],[合区区服]],表1_8612182224267290[目标国家（映射）],表2_9713192325277391[[#This Row],[国家]])</f>
        <v>35</v>
      </c>
      <c r="F26" s="39">
        <f t="array" ref="F26">MAX((表1_8612182224267290[目标区服]=表2_9713192325277391[[#This Row],[合区区服]])*(表1_8612182224267290[目标国家（映射）]=表2_9713192325277391[[#This Row],[国家]])*表1_8612182224267290[活跃尖端战力])</f>
        <v>2059454</v>
      </c>
      <c r="G26" s="40">
        <f>SUMIFS(表1_8612182224267290[活跃总战力],表1_8612182224267290[目标区服],表2_9713192325277391[[#This Row],[合区区服]],表1_8612182224267290[目标国家（映射）],表2_9713192325277391[[#This Row],[国家]])</f>
        <v>28740619</v>
      </c>
      <c r="H26" s="39">
        <f>SUMIFS(表1_8612182224267290[活跃实际充值],表1_8612182224267290[目标区服],表2_9713192325277391[[#This Row],[合区区服]],表1_8612182224267290[目标国家（映射）],表2_9713192325277391[[#This Row],[国家]])</f>
        <v>67886</v>
      </c>
      <c r="I26" s="39">
        <f>SUMIFS(表1_8612182224267290[活跃虚拟充值],表1_8612182224267290[目标区服],表2_9713192325277391[[#This Row],[合区区服]],表1_8612182224267290[目标国家（映射）],表2_9713192325277391[[#This Row],[国家]])</f>
        <v>0</v>
      </c>
      <c r="J26" s="39">
        <f>SUMIFS(表1_8612182224267290[活跃Coin],表1_8612182224267290[目标区服],表2_9713192325277391[[#This Row],[合区区服]],表1_8612182224267290[目标国家（映射）],表2_9713192325277391[[#This Row],[国家]])</f>
        <v>544316</v>
      </c>
      <c r="K26" s="39">
        <f>SUMIFS(表1_8612182224267290[共计补偿Coin],表1_8612182224267290[目标区服],表2_9713192325277391[[#This Row],[合区区服]],表1_8612182224267290[目标国家（映射）],表2_9713192325277391[[#This Row],[国家]])</f>
        <v>51500</v>
      </c>
      <c r="L26" s="39">
        <f>表2_9713192325277391[[#This Row],[活跃Coin]]+表2_9713192325277391[[#This Row],[共计补偿Coin]]</f>
        <v>595816</v>
      </c>
      <c r="M26" s="39">
        <f>SUMIFS(表1_8612182224267290[综合国力],表1_8612182224267290[目标区服],表2_9713192325277391[[#This Row],[合区区服]],表1_8612182224267290[目标国家（映射）],表2_9713192325277391[[#This Row],[国家]])</f>
        <v>12808</v>
      </c>
      <c r="N26" s="39">
        <f t="array" ref="N26">MAX((表1_8612182224267290[目标区服]=表2_9713192325277391[[#This Row],[合区区服]])*(表1_8612182224267290[目标国家（映射）]=表2_9713192325277391[[#This Row],[国家]])*表1_8612182224267290[单将最高战力])</f>
        <v>559641</v>
      </c>
      <c r="P26" s="51">
        <v>7014</v>
      </c>
      <c r="Q26" s="51">
        <v>49</v>
      </c>
      <c r="R26" s="51" t="s">
        <v>166</v>
      </c>
      <c r="S26" s="51">
        <v>51</v>
      </c>
    </row>
    <row r="27" ht="15" spans="1:19">
      <c r="A27" s="39" t="s">
        <v>166</v>
      </c>
      <c r="B27" s="39" t="s">
        <v>26</v>
      </c>
      <c r="C27" s="39">
        <f>COUNTIFS(表1_8612182224267290[目标区服],表2_9713192325277391[[#This Row],[合区区服]],表1_8612182224267290[目标国家（映射）],表2_9713192325277391[[#This Row],[国家]])</f>
        <v>3</v>
      </c>
      <c r="D27" s="39">
        <f>SUMIFS(表1_8612182224267290[活跃高战玩家数],表1_8612182224267290[目标区服],表2_9713192325277391[[#This Row],[合区区服]],表1_8612182224267290[目标国家（映射）],表2_9713192325277391[[#This Row],[国家]])</f>
        <v>6</v>
      </c>
      <c r="E27" s="39">
        <f>SUMIFS(表1_8612182224267290[活跃中坚玩家数],表1_8612182224267290[目标区服],表2_9713192325277391[[#This Row],[合区区服]],表1_8612182224267290[目标国家（映射）],表2_9713192325277391[[#This Row],[国家]])</f>
        <v>52</v>
      </c>
      <c r="F27" s="39">
        <f t="array" ref="F27">MAX((表1_8612182224267290[目标区服]=表2_9713192325277391[[#This Row],[合区区服]])*(表1_8612182224267290[目标国家（映射）]=表2_9713192325277391[[#This Row],[国家]])*表1_8612182224267290[活跃尖端战力])</f>
        <v>1415545</v>
      </c>
      <c r="G27" s="40">
        <f>SUMIFS(表1_8612182224267290[活跃总战力],表1_8612182224267290[目标区服],表2_9713192325277391[[#This Row],[合区区服]],表1_8612182224267290[目标国家（映射）],表2_9713192325277391[[#This Row],[国家]])</f>
        <v>38190449</v>
      </c>
      <c r="H27" s="39">
        <f>SUMIFS(表1_8612182224267290[活跃实际充值],表1_8612182224267290[目标区服],表2_9713192325277391[[#This Row],[合区区服]],表1_8612182224267290[目标国家（映射）],表2_9713192325277391[[#This Row],[国家]])</f>
        <v>38830</v>
      </c>
      <c r="I27" s="39">
        <f>SUMIFS(表1_8612182224267290[活跃虚拟充值],表1_8612182224267290[目标区服],表2_9713192325277391[[#This Row],[合区区服]],表1_8612182224267290[目标国家（映射）],表2_9713192325277391[[#This Row],[国家]])</f>
        <v>0</v>
      </c>
      <c r="J27" s="39">
        <f>SUMIFS(表1_8612182224267290[活跃Coin],表1_8612182224267290[目标区服],表2_9713192325277391[[#This Row],[合区区服]],表1_8612182224267290[目标国家（映射）],表2_9713192325277391[[#This Row],[国家]])</f>
        <v>290682</v>
      </c>
      <c r="K27" s="39">
        <f>SUMIFS(表1_8612182224267290[共计补偿Coin],表1_8612182224267290[目标区服],表2_9713192325277391[[#This Row],[合区区服]],表1_8612182224267290[目标国家（映射）],表2_9713192325277391[[#This Row],[国家]])</f>
        <v>79500</v>
      </c>
      <c r="L27" s="39">
        <f>表2_9713192325277391[[#This Row],[活跃Coin]]+表2_9713192325277391[[#This Row],[共计补偿Coin]]</f>
        <v>370182</v>
      </c>
      <c r="M27" s="39">
        <f>SUMIFS(表1_8612182224267290[综合国力],表1_8612182224267290[目标区服],表2_9713192325277391[[#This Row],[合区区服]],表1_8612182224267290[目标国家（映射）],表2_9713192325277391[[#This Row],[国家]])</f>
        <v>12964</v>
      </c>
      <c r="N27" s="39">
        <f t="array" ref="N27">MAX((表1_8612182224267290[目标区服]=表2_9713192325277391[[#This Row],[合区区服]])*(表1_8612182224267290[目标国家（映射）]=表2_9713192325277391[[#This Row],[国家]])*表1_8612182224267290[单将最高战力])</f>
        <v>405162</v>
      </c>
      <c r="P27" s="51">
        <v>7015</v>
      </c>
      <c r="Q27" s="51">
        <v>48</v>
      </c>
      <c r="R27" s="51" t="s">
        <v>183</v>
      </c>
      <c r="S27" s="51">
        <v>49</v>
      </c>
    </row>
    <row r="28" ht="15" spans="1:19">
      <c r="A28" s="39" t="s">
        <v>166</v>
      </c>
      <c r="B28" s="39" t="s">
        <v>27</v>
      </c>
      <c r="C28" s="39">
        <f>COUNTIFS(表1_8612182224267290[目标区服],表2_9713192325277391[[#This Row],[合区区服]],表1_8612182224267290[目标国家（映射）],表2_9713192325277391[[#This Row],[国家]])</f>
        <v>1</v>
      </c>
      <c r="D28" s="39">
        <f>SUMIFS(表1_8612182224267290[活跃高战玩家数],表1_8612182224267290[目标区服],表2_9713192325277391[[#This Row],[合区区服]],表1_8612182224267290[目标国家（映射）],表2_9713192325277391[[#This Row],[国家]])</f>
        <v>8</v>
      </c>
      <c r="E28" s="39">
        <f>SUMIFS(表1_8612182224267290[活跃中坚玩家数],表1_8612182224267290[目标区服],表2_9713192325277391[[#This Row],[合区区服]],表1_8612182224267290[目标国家（映射）],表2_9713192325277391[[#This Row],[国家]])</f>
        <v>19</v>
      </c>
      <c r="F28" s="39">
        <f t="array" ref="F28">MAX((表1_8612182224267290[目标区服]=表2_9713192325277391[[#This Row],[合区区服]])*(表1_8612182224267290[目标国家（映射）]=表2_9713192325277391[[#This Row],[国家]])*表1_8612182224267290[活跃尖端战力])</f>
        <v>2315273</v>
      </c>
      <c r="G28" s="40">
        <f>SUMIFS(表1_8612182224267290[活跃总战力],表1_8612182224267290[目标区服],表2_9713192325277391[[#This Row],[合区区服]],表1_8612182224267290[目标国家（映射）],表2_9713192325277391[[#This Row],[国家]])</f>
        <v>24781959</v>
      </c>
      <c r="H28" s="39">
        <f>SUMIFS(表1_8612182224267290[活跃实际充值],表1_8612182224267290[目标区服],表2_9713192325277391[[#This Row],[合区区服]],表1_8612182224267290[目标国家（映射）],表2_9713192325277391[[#This Row],[国家]])</f>
        <v>61858</v>
      </c>
      <c r="I28" s="39">
        <f>SUMIFS(表1_8612182224267290[活跃虚拟充值],表1_8612182224267290[目标区服],表2_9713192325277391[[#This Row],[合区区服]],表1_8612182224267290[目标国家（映射）],表2_9713192325277391[[#This Row],[国家]])</f>
        <v>0</v>
      </c>
      <c r="J28" s="39">
        <f>SUMIFS(表1_8612182224267290[活跃Coin],表1_8612182224267290[目标区服],表2_9713192325277391[[#This Row],[合区区服]],表1_8612182224267290[目标国家（映射）],表2_9713192325277391[[#This Row],[国家]])</f>
        <v>608241</v>
      </c>
      <c r="K28" s="39">
        <f>SUMIFS(表1_8612182224267290[共计补偿Coin],表1_8612182224267290[目标区服],表2_9713192325277391[[#This Row],[合区区服]],表1_8612182224267290[目标国家（映射）],表2_9713192325277391[[#This Row],[国家]])</f>
        <v>27000</v>
      </c>
      <c r="L28" s="39">
        <f>表2_9713192325277391[[#This Row],[活跃Coin]]+表2_9713192325277391[[#This Row],[共计补偿Coin]]</f>
        <v>635241</v>
      </c>
      <c r="M28" s="39">
        <f>SUMIFS(表1_8612182224267290[综合国力],表1_8612182224267290[目标区服],表2_9713192325277391[[#This Row],[合区区服]],表1_8612182224267290[目标国家（映射）],表2_9713192325277391[[#This Row],[国家]])</f>
        <v>11155</v>
      </c>
      <c r="N28" s="39">
        <f t="array" ref="N28">MAX((表1_8612182224267290[目标区服]=表2_9713192325277391[[#This Row],[合区区服]])*(表1_8612182224267290[目标国家（映射）]=表2_9713192325277391[[#This Row],[国家]])*表1_8612182224267290[单将最高战力])</f>
        <v>626156</v>
      </c>
      <c r="P28" s="51">
        <v>7016</v>
      </c>
      <c r="Q28" s="51">
        <v>47</v>
      </c>
      <c r="R28" s="51" t="s">
        <v>184</v>
      </c>
      <c r="S28" s="51">
        <v>47</v>
      </c>
    </row>
    <row r="29" ht="15" spans="1:19">
      <c r="A29" s="41" t="s">
        <v>183</v>
      </c>
      <c r="B29" s="41" t="s">
        <v>25</v>
      </c>
      <c r="C29" s="41">
        <f>COUNTIFS(表1_8612182224267290[目标区服],表2_9713192325277391[[#This Row],[合区区服]],表1_8612182224267290[目标国家（映射）],表2_9713192325277391[[#This Row],[国家]])</f>
        <v>1</v>
      </c>
      <c r="D29" s="41">
        <f>SUMIFS(表1_8612182224267290[活跃高战玩家数],表1_8612182224267290[目标区服],表2_9713192325277391[[#This Row],[合区区服]],表1_8612182224267290[目标国家（映射）],表2_9713192325277391[[#This Row],[国家]])</f>
        <v>7</v>
      </c>
      <c r="E29" s="41">
        <f>SUMIFS(表1_8612182224267290[活跃中坚玩家数],表1_8612182224267290[目标区服],表2_9713192325277391[[#This Row],[合区区服]],表1_8612182224267290[目标国家（映射）],表2_9713192325277391[[#This Row],[国家]])</f>
        <v>20</v>
      </c>
      <c r="F29" s="41">
        <f t="array" ref="F29">MAX((表1_8612182224267290[目标区服]=表2_9713192325277391[[#This Row],[合区区服]])*(表1_8612182224267290[目标国家（映射）]=表2_9713192325277391[[#This Row],[国家]])*表1_8612182224267290[活跃尖端战力])</f>
        <v>3787379</v>
      </c>
      <c r="G29" s="42">
        <f>SUMIFS(表1_8612182224267290[活跃总战力],表1_8612182224267290[目标区服],表2_9713192325277391[[#This Row],[合区区服]],表1_8612182224267290[目标国家（映射）],表2_9713192325277391[[#This Row],[国家]])</f>
        <v>29034259</v>
      </c>
      <c r="H29" s="41">
        <f>SUMIFS(表1_8612182224267290[活跃实际充值],表1_8612182224267290[目标区服],表2_9713192325277391[[#This Row],[合区区服]],表1_8612182224267290[目标国家（映射）],表2_9713192325277391[[#This Row],[国家]])</f>
        <v>235928</v>
      </c>
      <c r="I29" s="41">
        <f>SUMIFS(表1_8612182224267290[活跃虚拟充值],表1_8612182224267290[目标区服],表2_9713192325277391[[#This Row],[合区区服]],表1_8612182224267290[目标国家（映射）],表2_9713192325277391[[#This Row],[国家]])</f>
        <v>0</v>
      </c>
      <c r="J29" s="41">
        <f>SUMIFS(表1_8612182224267290[活跃Coin],表1_8612182224267290[目标区服],表2_9713192325277391[[#This Row],[合区区服]],表1_8612182224267290[目标国家（映射）],表2_9713192325277391[[#This Row],[国家]])</f>
        <v>962316</v>
      </c>
      <c r="K29" s="41">
        <f>SUMIFS(表1_8612182224267290[共计补偿Coin],表1_8612182224267290[目标区服],表2_9713192325277391[[#This Row],[合区区服]],表1_8612182224267290[目标国家（映射）],表2_9713192325277391[[#This Row],[国家]])</f>
        <v>27000</v>
      </c>
      <c r="L29" s="41">
        <f>表2_9713192325277391[[#This Row],[活跃Coin]]+表2_9713192325277391[[#This Row],[共计补偿Coin]]</f>
        <v>989316</v>
      </c>
      <c r="M29" s="41">
        <f>SUMIFS(表1_8612182224267290[综合国力],表1_8612182224267290[目标区服],表2_9713192325277391[[#This Row],[合区区服]],表1_8612182224267290[目标国家（映射）],表2_9713192325277391[[#This Row],[国家]])</f>
        <v>17780</v>
      </c>
      <c r="N29" s="41">
        <f t="array" ref="N29">MAX((表1_8612182224267290[目标区服]=表2_9713192325277391[[#This Row],[合区区服]])*(表1_8612182224267290[目标国家（映射）]=表2_9713192325277391[[#This Row],[国家]])*表1_8612182224267290[单将最高战力])</f>
        <v>1245763</v>
      </c>
      <c r="P29" s="51">
        <v>7017</v>
      </c>
      <c r="Q29" s="51">
        <v>46</v>
      </c>
      <c r="R29" s="51"/>
      <c r="S29" s="51"/>
    </row>
    <row r="30" ht="15" spans="1:17">
      <c r="A30" s="41" t="s">
        <v>183</v>
      </c>
      <c r="B30" s="41" t="s">
        <v>26</v>
      </c>
      <c r="C30" s="41">
        <f>COUNTIFS(表1_8612182224267290[目标区服],表2_9713192325277391[[#This Row],[合区区服]],表1_8612182224267290[目标国家（映射）],表2_9713192325277391[[#This Row],[国家]])</f>
        <v>2</v>
      </c>
      <c r="D30" s="41">
        <f>SUMIFS(表1_8612182224267290[活跃高战玩家数],表1_8612182224267290[目标区服],表2_9713192325277391[[#This Row],[合区区服]],表1_8612182224267290[目标国家（映射）],表2_9713192325277391[[#This Row],[国家]])</f>
        <v>4</v>
      </c>
      <c r="E30" s="41">
        <f>SUMIFS(表1_8612182224267290[活跃中坚玩家数],表1_8612182224267290[目标区服],表2_9713192325277391[[#This Row],[合区区服]],表1_8612182224267290[目标国家（映射）],表2_9713192325277391[[#This Row],[国家]])</f>
        <v>44</v>
      </c>
      <c r="F30" s="41">
        <f t="array" ref="F30">MAX((表1_8612182224267290[目标区服]=表2_9713192325277391[[#This Row],[合区区服]])*(表1_8612182224267290[目标国家（映射）]=表2_9713192325277391[[#This Row],[国家]])*表1_8612182224267290[活跃尖端战力])</f>
        <v>2615721</v>
      </c>
      <c r="G30" s="42">
        <f>SUMIFS(表1_8612182224267290[活跃总战力],表1_8612182224267290[目标区服],表2_9713192325277391[[#This Row],[合区区服]],表1_8612182224267290[目标国家（映射）],表2_9713192325277391[[#This Row],[国家]])</f>
        <v>34676679</v>
      </c>
      <c r="H30" s="41">
        <f>SUMIFS(表1_8612182224267290[活跃实际充值],表1_8612182224267290[目标区服],表2_9713192325277391[[#This Row],[合区区服]],表1_8612182224267290[目标国家（映射）],表2_9713192325277391[[#This Row],[国家]])</f>
        <v>89390</v>
      </c>
      <c r="I30" s="41">
        <f>SUMIFS(表1_8612182224267290[活跃虚拟充值],表1_8612182224267290[目标区服],表2_9713192325277391[[#This Row],[合区区服]],表1_8612182224267290[目标国家（映射）],表2_9713192325277391[[#This Row],[国家]])</f>
        <v>0</v>
      </c>
      <c r="J30" s="41">
        <f>SUMIFS(表1_8612182224267290[活跃Coin],表1_8612182224267290[目标区服],表2_9713192325277391[[#This Row],[合区区服]],表1_8612182224267290[目标国家（映射）],表2_9713192325277391[[#This Row],[国家]])</f>
        <v>763545</v>
      </c>
      <c r="K30" s="41">
        <f>SUMIFS(表1_8612182224267290[共计补偿Coin],表1_8612182224267290[目标区服],表2_9713192325277391[[#This Row],[合区区服]],表1_8612182224267290[目标国家（映射）],表2_9713192325277391[[#This Row],[国家]])</f>
        <v>72000</v>
      </c>
      <c r="L30" s="41">
        <f>表2_9713192325277391[[#This Row],[活跃Coin]]+表2_9713192325277391[[#This Row],[共计补偿Coin]]</f>
        <v>835545</v>
      </c>
      <c r="M30" s="41">
        <f>SUMIFS(表1_8612182224267290[综合国力],表1_8612182224267290[目标区服],表2_9713192325277391[[#This Row],[合区区服]],表1_8612182224267290[目标国家（映射）],表2_9713192325277391[[#This Row],[国家]])</f>
        <v>14623</v>
      </c>
      <c r="N30" s="41">
        <f t="array" ref="N30">MAX((表1_8612182224267290[目标区服]=表2_9713192325277391[[#This Row],[合区区服]])*(表1_8612182224267290[目标国家（映射）]=表2_9713192325277391[[#This Row],[国家]])*表1_8612182224267290[单将最高战力])</f>
        <v>684135</v>
      </c>
      <c r="P30" s="51">
        <v>7018</v>
      </c>
      <c r="Q30" s="51">
        <v>45</v>
      </c>
    </row>
    <row r="31" ht="15" spans="1:17">
      <c r="A31" s="41" t="s">
        <v>183</v>
      </c>
      <c r="B31" s="43" t="s">
        <v>27</v>
      </c>
      <c r="C31" s="43">
        <f>COUNTIFS(表1_8612182224267290[目标区服],表2_9713192325277391[[#This Row],[合区区服]],表1_8612182224267290[目标国家（映射）],表2_9713192325277391[[#This Row],[国家]])</f>
        <v>3</v>
      </c>
      <c r="D31" s="43">
        <f>SUMIFS(表1_8612182224267290[活跃高战玩家数],表1_8612182224267290[目标区服],表2_9713192325277391[[#This Row],[合区区服]],表1_8612182224267290[目标国家（映射）],表2_9713192325277391[[#This Row],[国家]])</f>
        <v>6</v>
      </c>
      <c r="E31" s="43">
        <f>SUMIFS(表1_8612182224267290[活跃中坚玩家数],表1_8612182224267290[目标区服],表2_9713192325277391[[#This Row],[合区区服]],表1_8612182224267290[目标国家（映射）],表2_9713192325277391[[#This Row],[国家]])</f>
        <v>42</v>
      </c>
      <c r="F31" s="43">
        <f t="array" ref="F31">MAX((表1_8612182224267290[目标区服]=表2_9713192325277391[[#This Row],[合区区服]])*(表1_8612182224267290[目标国家（映射）]=表2_9713192325277391[[#This Row],[国家]])*表1_8612182224267290[活跃尖端战力])</f>
        <v>2368235</v>
      </c>
      <c r="G31" s="44">
        <f>SUMIFS(表1_8612182224267290[活跃总战力],表1_8612182224267290[目标区服],表2_9713192325277391[[#This Row],[合区区服]],表1_8612182224267290[目标国家（映射）],表2_9713192325277391[[#This Row],[国家]])</f>
        <v>34419227</v>
      </c>
      <c r="H31" s="43">
        <f>SUMIFS(表1_8612182224267290[活跃实际充值],表1_8612182224267290[目标区服],表2_9713192325277391[[#This Row],[合区区服]],表1_8612182224267290[目标国家（映射）],表2_9713192325277391[[#This Row],[国家]])</f>
        <v>75514</v>
      </c>
      <c r="I31" s="43">
        <f>SUMIFS(表1_8612182224267290[活跃虚拟充值],表1_8612182224267290[目标区服],表2_9713192325277391[[#This Row],[合区区服]],表1_8612182224267290[目标国家（映射）],表2_9713192325277391[[#This Row],[国家]])</f>
        <v>0</v>
      </c>
      <c r="J31" s="43">
        <f>SUMIFS(表1_8612182224267290[活跃Coin],表1_8612182224267290[目标区服],表2_9713192325277391[[#This Row],[合区区服]],表1_8612182224267290[目标国家（映射）],表2_9713192325277391[[#This Row],[国家]])</f>
        <v>487874</v>
      </c>
      <c r="K31" s="43">
        <f>SUMIFS(表1_8612182224267290[共计补偿Coin],表1_8612182224267290[目标区服],表2_9713192325277391[[#This Row],[合区区服]],表1_8612182224267290[目标国家（映射）],表2_9713192325277391[[#This Row],[国家]])</f>
        <v>56000</v>
      </c>
      <c r="L31" s="43">
        <f>表2_9713192325277391[[#This Row],[活跃Coin]]+表2_9713192325277391[[#This Row],[共计补偿Coin]]</f>
        <v>543874</v>
      </c>
      <c r="M31" s="43">
        <f>SUMIFS(表1_8612182224267290[综合国力],表1_8612182224267290[目标区服],表2_9713192325277391[[#This Row],[合区区服]],表1_8612182224267290[目标国家（映射）],表2_9713192325277391[[#This Row],[国家]])</f>
        <v>16048</v>
      </c>
      <c r="N31" s="41">
        <f t="array" ref="N31">MAX((表1_8612182224267290[目标区服]=表2_9713192325277391[[#This Row],[合区区服]])*(表1_8612182224267290[目标国家（映射）]=表2_9713192325277391[[#This Row],[国家]])*表1_8612182224267290[单将最高战力])</f>
        <v>803632</v>
      </c>
      <c r="P31" s="51">
        <v>7019</v>
      </c>
      <c r="Q31" s="51">
        <v>44</v>
      </c>
    </row>
    <row r="32" ht="15" spans="1:17">
      <c r="A32" s="45" t="s">
        <v>184</v>
      </c>
      <c r="B32" s="46" t="s">
        <v>25</v>
      </c>
      <c r="C32" s="46">
        <f>COUNTIFS(表1_8612182224267290[目标区服],表2_9713192325277391[[#This Row],[合区区服]],表1_8612182224267290[目标国家（映射）],表2_9713192325277391[[#This Row],[国家]])</f>
        <v>3</v>
      </c>
      <c r="D32" s="46">
        <f>SUMIFS(表1_8612182224267290[活跃高战玩家数],表1_8612182224267290[目标区服],表2_9713192325277391[[#This Row],[合区区服]],表1_8612182224267290[目标国家（映射）],表2_9713192325277391[[#This Row],[国家]])</f>
        <v>3</v>
      </c>
      <c r="E32" s="46">
        <f>SUMIFS(表1_8612182224267290[活跃中坚玩家数],表1_8612182224267290[目标区服],表2_9713192325277391[[#This Row],[合区区服]],表1_8612182224267290[目标国家（映射）],表2_9713192325277391[[#This Row],[国家]])</f>
        <v>49</v>
      </c>
      <c r="F32" s="46">
        <f t="array" ref="F32">MAX((表1_8612182224267290[目标区服]=表2_9713192325277391[[#This Row],[合区区服]])*(表1_8612182224267290[目标国家（映射）]=表2_9713192325277391[[#This Row],[国家]])*表1_8612182224267290[活跃尖端战力])</f>
        <v>1384192</v>
      </c>
      <c r="G32" s="47">
        <f>SUMIFS(表1_8612182224267290[活跃总战力],表1_8612182224267290[目标区服],表2_9713192325277391[[#This Row],[合区区服]],表1_8612182224267290[目标国家（映射）],表2_9713192325277391[[#This Row],[国家]])</f>
        <v>28124722</v>
      </c>
      <c r="H32" s="46">
        <f>SUMIFS(表1_8612182224267290[活跃实际充值],表1_8612182224267290[目标区服],表2_9713192325277391[[#This Row],[合区区服]],表1_8612182224267290[目标国家（映射）],表2_9713192325277391[[#This Row],[国家]])</f>
        <v>45674</v>
      </c>
      <c r="I32" s="46">
        <f>SUMIFS(表1_8612182224267290[活跃虚拟充值],表1_8612182224267290[目标区服],表2_9713192325277391[[#This Row],[合区区服]],表1_8612182224267290[目标国家（映射）],表2_9713192325277391[[#This Row],[国家]])</f>
        <v>0</v>
      </c>
      <c r="J32" s="46">
        <f>SUMIFS(表1_8612182224267290[活跃Coin],表1_8612182224267290[目标区服],表2_9713192325277391[[#This Row],[合区区服]],表1_8612182224267290[目标国家（映射）],表2_9713192325277391[[#This Row],[国家]])</f>
        <v>341326</v>
      </c>
      <c r="K32" s="46">
        <f>SUMIFS(表1_8612182224267290[共计补偿Coin],表1_8612182224267290[目标区服],表2_9713192325277391[[#This Row],[合区区服]],表1_8612182224267290[目标国家（映射）],表2_9713192325277391[[#This Row],[国家]])</f>
        <v>60000</v>
      </c>
      <c r="L32" s="46">
        <f>表2_9713192325277391[[#This Row],[活跃Coin]]+表2_9713192325277391[[#This Row],[共计补偿Coin]]</f>
        <v>401326</v>
      </c>
      <c r="M32" s="46">
        <f>SUMIFS(表1_8612182224267290[综合国力],表1_8612182224267290[目标区服],表2_9713192325277391[[#This Row],[合区区服]],表1_8612182224267290[目标国家（映射）],表2_9713192325277391[[#This Row],[国家]])</f>
        <v>9920</v>
      </c>
      <c r="N32" s="46">
        <f t="array" ref="N32">MAX((表1_8612182224267290[目标区服]=表2_9713192325277391[[#This Row],[合区区服]])*(表1_8612182224267290[目标国家（映射）]=表2_9713192325277391[[#This Row],[国家]])*表1_8612182224267290[单将最高战力])</f>
        <v>433405</v>
      </c>
      <c r="P32" s="51"/>
      <c r="Q32" s="51"/>
    </row>
    <row r="33" ht="15" spans="1:17">
      <c r="A33" s="45" t="s">
        <v>184</v>
      </c>
      <c r="B33" s="46" t="s">
        <v>26</v>
      </c>
      <c r="C33" s="46">
        <f>COUNTIFS(表1_8612182224267290[目标区服],表2_9713192325277391[[#This Row],[合区区服]],表1_8612182224267290[目标国家（映射）],表2_9713192325277391[[#This Row],[国家]])</f>
        <v>1</v>
      </c>
      <c r="D33" s="46">
        <f>SUMIFS(表1_8612182224267290[活跃高战玩家数],表1_8612182224267290[目标区服],表2_9713192325277391[[#This Row],[合区区服]],表1_8612182224267290[目标国家（映射）],表2_9713192325277391[[#This Row],[国家]])</f>
        <v>7</v>
      </c>
      <c r="E33" s="46">
        <f>SUMIFS(表1_8612182224267290[活跃中坚玩家数],表1_8612182224267290[目标区服],表2_9713192325277391[[#This Row],[合区区服]],表1_8612182224267290[目标国家（映射）],表2_9713192325277391[[#This Row],[国家]])</f>
        <v>26</v>
      </c>
      <c r="F33" s="46">
        <f t="array" ref="F33">MAX((表1_8612182224267290[目标区服]=表2_9713192325277391[[#This Row],[合区区服]])*(表1_8612182224267290[目标国家（映射）]=表2_9713192325277391[[#This Row],[国家]])*表1_8612182224267290[活跃尖端战力])</f>
        <v>2735004</v>
      </c>
      <c r="G33" s="47">
        <f>SUMIFS(表1_8612182224267290[活跃总战力],表1_8612182224267290[目标区服],表2_9713192325277391[[#This Row],[合区区服]],表1_8612182224267290[目标国家（映射）],表2_9713192325277391[[#This Row],[国家]])</f>
        <v>29545874</v>
      </c>
      <c r="H33" s="46">
        <f>SUMIFS(表1_8612182224267290[活跃实际充值],表1_8612182224267290[目标区服],表2_9713192325277391[[#This Row],[合区区服]],表1_8612182224267290[目标国家（映射）],表2_9713192325277391[[#This Row],[国家]])</f>
        <v>148518</v>
      </c>
      <c r="I33" s="46">
        <f>SUMIFS(表1_8612182224267290[活跃虚拟充值],表1_8612182224267290[目标区服],表2_9713192325277391[[#This Row],[合区区服]],表1_8612182224267290[目标国家（映射）],表2_9713192325277391[[#This Row],[国家]])</f>
        <v>0</v>
      </c>
      <c r="J33" s="46">
        <f>SUMIFS(表1_8612182224267290[活跃Coin],表1_8612182224267290[目标区服],表2_9713192325277391[[#This Row],[合区区服]],表1_8612182224267290[目标国家（映射）],表2_9713192325277391[[#This Row],[国家]])</f>
        <v>365751</v>
      </c>
      <c r="K33" s="46">
        <f>SUMIFS(表1_8612182224267290[共计补偿Coin],表1_8612182224267290[目标区服],表2_9713192325277391[[#This Row],[合区区服]],表1_8612182224267290[目标国家（映射）],表2_9713192325277391[[#This Row],[国家]])</f>
        <v>33000</v>
      </c>
      <c r="L33" s="46">
        <f>表2_9713192325277391[[#This Row],[活跃Coin]]+表2_9713192325277391[[#This Row],[共计补偿Coin]]</f>
        <v>398751</v>
      </c>
      <c r="M33" s="46">
        <f>SUMIFS(表1_8612182224267290[综合国力],表1_8612182224267290[目标区服],表2_9713192325277391[[#This Row],[合区区服]],表1_8612182224267290[目标国家（映射）],表2_9713192325277391[[#This Row],[国家]])</f>
        <v>15233</v>
      </c>
      <c r="N33" s="46">
        <f t="array" ref="N33">MAX((表1_8612182224267290[目标区服]=表2_9713192325277391[[#This Row],[合区区服]])*(表1_8612182224267290[目标国家（映射）]=表2_9713192325277391[[#This Row],[国家]])*表1_8612182224267290[单将最高战力])</f>
        <v>790175</v>
      </c>
      <c r="P33" s="51"/>
      <c r="Q33" s="51"/>
    </row>
    <row r="34" ht="15" spans="1:14">
      <c r="A34" s="45" t="s">
        <v>184</v>
      </c>
      <c r="B34" s="48" t="s">
        <v>27</v>
      </c>
      <c r="C34" s="48">
        <f>COUNTIFS(表1_8612182224267290[目标区服],表2_9713192325277391[[#This Row],[合区区服]],表1_8612182224267290[目标国家（映射）],表2_9713192325277391[[#This Row],[国家]])</f>
        <v>2</v>
      </c>
      <c r="D34" s="48">
        <f>SUMIFS(表1_8612182224267290[活跃高战玩家数],表1_8612182224267290[目标区服],表2_9713192325277391[[#This Row],[合区区服]],表1_8612182224267290[目标国家（映射）],表2_9713192325277391[[#This Row],[国家]])</f>
        <v>10</v>
      </c>
      <c r="E34" s="48">
        <f>SUMIFS(表1_8612182224267290[活跃中坚玩家数],表1_8612182224267290[目标区服],表2_9713192325277391[[#This Row],[合区区服]],表1_8612182224267290[目标国家（映射）],表2_9713192325277391[[#This Row],[国家]])</f>
        <v>32</v>
      </c>
      <c r="F34" s="48">
        <f t="array" ref="F34">MAX((表1_8612182224267290[目标区服]=表2_9713192325277391[[#This Row],[合区区服]])*(表1_8612182224267290[目标国家（映射）]=表2_9713192325277391[[#This Row],[国家]])*表1_8612182224267290[活跃尖端战力])</f>
        <v>2494272</v>
      </c>
      <c r="G34" s="458">
        <f>SUMIFS(表1_8612182224267290[活跃总战力],表1_8612182224267290[目标区服],表2_9713192325277391[[#This Row],[合区区服]],表1_8612182224267290[目标国家（映射）],表2_9713192325277391[[#This Row],[国家]])</f>
        <v>27263525</v>
      </c>
      <c r="H34" s="48">
        <f>SUMIFS(表1_8612182224267290[活跃实际充值],表1_8612182224267290[目标区服],表2_9713192325277391[[#This Row],[合区区服]],表1_8612182224267290[目标国家（映射）],表2_9713192325277391[[#This Row],[国家]])</f>
        <v>70322</v>
      </c>
      <c r="I34" s="48">
        <f>SUMIFS(表1_8612182224267290[活跃虚拟充值],表1_8612182224267290[目标区服],表2_9713192325277391[[#This Row],[合区区服]],表1_8612182224267290[目标国家（映射）],表2_9713192325277391[[#This Row],[国家]])</f>
        <v>0</v>
      </c>
      <c r="J34" s="48">
        <f>SUMIFS(表1_8612182224267290[活跃Coin],表1_8612182224267290[目标区服],表2_9713192325277391[[#This Row],[合区区服]],表1_8612182224267290[目标国家（映射）],表2_9713192325277391[[#This Row],[国家]])</f>
        <v>509815</v>
      </c>
      <c r="K34" s="48">
        <f>SUMIFS(表1_8612182224267290[共计补偿Coin],表1_8612182224267290[目标区服],表2_9713192325277391[[#This Row],[合区区服]],表1_8612182224267290[目标国家（映射）],表2_9713192325277391[[#This Row],[国家]])</f>
        <v>63000</v>
      </c>
      <c r="L34" s="48">
        <f>表2_9713192325277391[[#This Row],[活跃Coin]]+表2_9713192325277391[[#This Row],[共计补偿Coin]]</f>
        <v>572815</v>
      </c>
      <c r="M34" s="48">
        <f>SUMIFS(表1_8612182224267290[综合国力],表1_8612182224267290[目标区服],表2_9713192325277391[[#This Row],[合区区服]],表1_8612182224267290[目标国家（映射）],表2_9713192325277391[[#This Row],[国家]])</f>
        <v>13560</v>
      </c>
      <c r="N34" s="46">
        <f t="array" ref="N34">MAX((表1_8612182224267290[目标区服]=表2_9713192325277391[[#This Row],[合区区服]])*(表1_8612182224267290[目标国家（映射）]=表2_9713192325277391[[#This Row],[国家]])*表1_8612182224267290[单将最高战力])</f>
        <v>786271</v>
      </c>
    </row>
    <row r="40" ht="27" spans="2:14">
      <c r="B40" s="49"/>
      <c r="C40" s="50" t="s">
        <v>9</v>
      </c>
      <c r="D40" s="50" t="s">
        <v>10</v>
      </c>
      <c r="E40" s="50" t="s">
        <v>11</v>
      </c>
      <c r="F40" s="50" t="s">
        <v>12</v>
      </c>
      <c r="G40" s="50" t="s">
        <v>13</v>
      </c>
      <c r="H40" s="50" t="s">
        <v>14</v>
      </c>
      <c r="I40" s="50" t="s">
        <v>15</v>
      </c>
      <c r="J40" s="50" t="s">
        <v>18</v>
      </c>
      <c r="K40" s="50" t="s">
        <v>19</v>
      </c>
      <c r="L40" s="50" t="s">
        <v>20</v>
      </c>
      <c r="M40" s="50" t="s">
        <v>21</v>
      </c>
      <c r="N40" s="50" t="s">
        <v>82</v>
      </c>
    </row>
    <row r="41" spans="1:14">
      <c r="A41">
        <v>7014</v>
      </c>
      <c r="B41" s="50" t="s">
        <v>25</v>
      </c>
      <c r="C41" s="50">
        <v>0</v>
      </c>
      <c r="D41" s="50">
        <v>42</v>
      </c>
      <c r="E41" s="50">
        <v>2</v>
      </c>
      <c r="F41" s="50">
        <v>13</v>
      </c>
      <c r="G41" s="50">
        <v>72657</v>
      </c>
      <c r="H41" s="50">
        <v>1214790</v>
      </c>
      <c r="I41" s="50">
        <v>11230693</v>
      </c>
      <c r="J41" s="50">
        <v>10610</v>
      </c>
      <c r="K41" s="50">
        <v>0</v>
      </c>
      <c r="L41" s="50">
        <v>88929</v>
      </c>
      <c r="M41" s="50">
        <v>3483</v>
      </c>
      <c r="N41" s="50">
        <v>339142</v>
      </c>
    </row>
    <row r="42" spans="2:14">
      <c r="B42" s="50" t="s">
        <v>26</v>
      </c>
      <c r="C42" s="50">
        <v>1</v>
      </c>
      <c r="D42" s="50">
        <v>88</v>
      </c>
      <c r="E42" s="50">
        <v>0</v>
      </c>
      <c r="F42" s="50">
        <v>20</v>
      </c>
      <c r="G42" s="50">
        <v>61245</v>
      </c>
      <c r="H42" s="50">
        <v>1175599</v>
      </c>
      <c r="I42" s="50">
        <v>11410757</v>
      </c>
      <c r="J42" s="50">
        <v>5948</v>
      </c>
      <c r="K42" s="50">
        <v>0</v>
      </c>
      <c r="L42" s="50">
        <v>179277</v>
      </c>
      <c r="M42" s="50">
        <v>3870</v>
      </c>
      <c r="N42" s="50">
        <v>323461</v>
      </c>
    </row>
    <row r="43" spans="2:14">
      <c r="B43" s="50" t="s">
        <v>27</v>
      </c>
      <c r="C43" s="50">
        <v>8</v>
      </c>
      <c r="D43" s="50">
        <v>265</v>
      </c>
      <c r="E43" s="50">
        <v>8</v>
      </c>
      <c r="F43" s="50">
        <v>19</v>
      </c>
      <c r="G43" s="50">
        <v>150498</v>
      </c>
      <c r="H43" s="50">
        <v>2315273</v>
      </c>
      <c r="I43" s="50">
        <v>24781959</v>
      </c>
      <c r="J43" s="50">
        <v>61858</v>
      </c>
      <c r="K43" s="50">
        <v>0</v>
      </c>
      <c r="L43" s="50">
        <v>608241</v>
      </c>
      <c r="M43" s="50">
        <v>11155</v>
      </c>
      <c r="N43" s="50">
        <v>626156</v>
      </c>
    </row>
    <row r="44" spans="1:14">
      <c r="A44">
        <v>7015</v>
      </c>
      <c r="B44" s="50" t="s">
        <v>25</v>
      </c>
      <c r="C44" s="50">
        <v>5</v>
      </c>
      <c r="D44" s="50">
        <v>204</v>
      </c>
      <c r="E44" s="50">
        <v>6</v>
      </c>
      <c r="F44" s="50">
        <v>15</v>
      </c>
      <c r="G44" s="50">
        <v>113061</v>
      </c>
      <c r="H44" s="50">
        <v>2059454</v>
      </c>
      <c r="I44" s="50">
        <v>17329862</v>
      </c>
      <c r="J44" s="50">
        <v>61938</v>
      </c>
      <c r="K44" s="50">
        <v>0</v>
      </c>
      <c r="L44" s="50">
        <v>365039</v>
      </c>
      <c r="M44" s="50">
        <v>8938</v>
      </c>
      <c r="N44" s="50">
        <v>559641</v>
      </c>
    </row>
    <row r="45" spans="2:14">
      <c r="B45" s="50" t="s">
        <v>26</v>
      </c>
      <c r="C45" s="50">
        <v>1</v>
      </c>
      <c r="D45" s="50">
        <v>79</v>
      </c>
      <c r="E45" s="50">
        <v>2</v>
      </c>
      <c r="F45" s="50">
        <v>16</v>
      </c>
      <c r="G45" s="50">
        <v>70669</v>
      </c>
      <c r="H45" s="50">
        <v>1186828</v>
      </c>
      <c r="I45" s="50">
        <v>10526739</v>
      </c>
      <c r="J45" s="50">
        <v>13162</v>
      </c>
      <c r="K45" s="50">
        <v>0</v>
      </c>
      <c r="L45" s="50">
        <v>90283</v>
      </c>
      <c r="M45" s="50">
        <v>3922</v>
      </c>
      <c r="N45" s="50">
        <v>321113</v>
      </c>
    </row>
    <row r="46" spans="2:14">
      <c r="B46" s="50" t="s">
        <v>27</v>
      </c>
      <c r="C46" s="50">
        <v>3</v>
      </c>
      <c r="D46" s="50">
        <v>112</v>
      </c>
      <c r="E46" s="50">
        <v>2</v>
      </c>
      <c r="F46" s="50">
        <v>23</v>
      </c>
      <c r="G46" s="50">
        <v>114657</v>
      </c>
      <c r="H46" s="50">
        <v>1415545</v>
      </c>
      <c r="I46" s="50">
        <v>16433017</v>
      </c>
      <c r="J46" s="50">
        <v>15058</v>
      </c>
      <c r="K46" s="50">
        <v>0</v>
      </c>
      <c r="L46" s="50">
        <v>111470</v>
      </c>
      <c r="M46" s="50">
        <v>5559</v>
      </c>
      <c r="N46" s="50">
        <v>405162</v>
      </c>
    </row>
    <row r="47" spans="1:14">
      <c r="A47">
        <v>7016</v>
      </c>
      <c r="B47" s="50" t="s">
        <v>25</v>
      </c>
      <c r="C47" s="50">
        <v>6</v>
      </c>
      <c r="D47" s="50">
        <v>216</v>
      </c>
      <c r="E47" s="50">
        <v>7</v>
      </c>
      <c r="F47" s="50">
        <v>20</v>
      </c>
      <c r="G47" s="50">
        <v>154212</v>
      </c>
      <c r="H47" s="50">
        <v>3787379</v>
      </c>
      <c r="I47" s="50">
        <v>29034259</v>
      </c>
      <c r="J47" s="50">
        <v>235928</v>
      </c>
      <c r="K47" s="50">
        <v>0</v>
      </c>
      <c r="L47" s="50">
        <v>962316</v>
      </c>
      <c r="M47" s="50">
        <v>17780</v>
      </c>
      <c r="N47" s="50">
        <v>1245763</v>
      </c>
    </row>
    <row r="48" spans="2:14">
      <c r="B48" s="50" t="s">
        <v>26</v>
      </c>
      <c r="C48" s="50">
        <v>1</v>
      </c>
      <c r="D48" s="50">
        <v>88</v>
      </c>
      <c r="E48" s="50">
        <v>0</v>
      </c>
      <c r="F48" s="50">
        <v>18</v>
      </c>
      <c r="G48" s="50">
        <v>41212</v>
      </c>
      <c r="H48" s="50">
        <v>1275283</v>
      </c>
      <c r="I48" s="50">
        <v>9332403</v>
      </c>
      <c r="J48" s="50">
        <v>3032</v>
      </c>
      <c r="K48" s="50">
        <v>0</v>
      </c>
      <c r="L48" s="50">
        <v>105263</v>
      </c>
      <c r="M48" s="50">
        <v>3538</v>
      </c>
      <c r="N48" s="50">
        <v>381210</v>
      </c>
    </row>
    <row r="49" spans="2:14">
      <c r="B49" s="50" t="s">
        <v>27</v>
      </c>
      <c r="C49" s="50">
        <v>2</v>
      </c>
      <c r="D49" s="50">
        <v>91</v>
      </c>
      <c r="E49" s="50">
        <v>2</v>
      </c>
      <c r="F49" s="50">
        <v>12</v>
      </c>
      <c r="G49" s="50">
        <v>55930</v>
      </c>
      <c r="H49" s="50">
        <v>2368235</v>
      </c>
      <c r="I49" s="50">
        <v>11882611</v>
      </c>
      <c r="J49" s="50">
        <v>47804</v>
      </c>
      <c r="K49" s="50">
        <v>0</v>
      </c>
      <c r="L49" s="50">
        <v>215198</v>
      </c>
      <c r="M49" s="50">
        <v>6487</v>
      </c>
      <c r="N49" s="50">
        <v>803632</v>
      </c>
    </row>
    <row r="50" spans="1:14">
      <c r="A50">
        <v>7017</v>
      </c>
      <c r="B50" s="50" t="s">
        <v>25</v>
      </c>
      <c r="C50" s="50">
        <v>0</v>
      </c>
      <c r="D50" s="50">
        <v>62</v>
      </c>
      <c r="E50" s="50">
        <v>0</v>
      </c>
      <c r="F50" s="50">
        <v>16</v>
      </c>
      <c r="G50" s="50">
        <v>50823</v>
      </c>
      <c r="H50" s="50">
        <v>1176645</v>
      </c>
      <c r="I50" s="50">
        <v>9536853</v>
      </c>
      <c r="J50" s="50">
        <v>6270</v>
      </c>
      <c r="K50" s="50">
        <v>0</v>
      </c>
      <c r="L50" s="50">
        <v>102663</v>
      </c>
      <c r="M50" s="50">
        <v>3243</v>
      </c>
      <c r="N50" s="50">
        <v>367108</v>
      </c>
    </row>
    <row r="51" spans="2:14">
      <c r="B51" s="50" t="s">
        <v>26</v>
      </c>
      <c r="C51" s="50">
        <v>6</v>
      </c>
      <c r="D51" s="50">
        <v>214</v>
      </c>
      <c r="E51" s="50">
        <v>4</v>
      </c>
      <c r="F51" s="50">
        <v>28</v>
      </c>
      <c r="G51" s="50">
        <v>137425</v>
      </c>
      <c r="H51" s="50">
        <v>2615721</v>
      </c>
      <c r="I51" s="50">
        <v>25139826</v>
      </c>
      <c r="J51" s="50">
        <v>83120</v>
      </c>
      <c r="K51" s="50">
        <v>0</v>
      </c>
      <c r="L51" s="50">
        <v>660882</v>
      </c>
      <c r="M51" s="50">
        <v>11380</v>
      </c>
      <c r="N51" s="50">
        <v>684135</v>
      </c>
    </row>
    <row r="52" spans="2:14">
      <c r="B52" s="50" t="s">
        <v>27</v>
      </c>
      <c r="C52" s="50">
        <v>3</v>
      </c>
      <c r="D52" s="50">
        <v>119</v>
      </c>
      <c r="E52" s="50">
        <v>4</v>
      </c>
      <c r="F52" s="50">
        <v>12</v>
      </c>
      <c r="G52" s="50">
        <v>76165</v>
      </c>
      <c r="H52" s="50">
        <v>2008227</v>
      </c>
      <c r="I52" s="50">
        <v>13204213</v>
      </c>
      <c r="J52" s="50">
        <v>24678</v>
      </c>
      <c r="K52" s="50">
        <v>0</v>
      </c>
      <c r="L52" s="50">
        <v>167413</v>
      </c>
      <c r="M52" s="50">
        <v>6023</v>
      </c>
      <c r="N52" s="50">
        <v>475873</v>
      </c>
    </row>
    <row r="53" spans="1:14">
      <c r="A53">
        <v>7018</v>
      </c>
      <c r="B53" s="50" t="s">
        <v>25</v>
      </c>
      <c r="C53" s="50">
        <v>0</v>
      </c>
      <c r="D53" s="50">
        <v>35</v>
      </c>
      <c r="E53" s="50">
        <v>1</v>
      </c>
      <c r="F53" s="50">
        <v>17</v>
      </c>
      <c r="G53" s="50">
        <v>46272</v>
      </c>
      <c r="H53" s="50">
        <v>1085213</v>
      </c>
      <c r="I53" s="50">
        <v>9573447</v>
      </c>
      <c r="J53" s="50">
        <v>10532</v>
      </c>
      <c r="K53" s="50">
        <v>0</v>
      </c>
      <c r="L53" s="50">
        <v>69548</v>
      </c>
      <c r="M53" s="50">
        <v>2974</v>
      </c>
      <c r="N53" s="50">
        <v>277077</v>
      </c>
    </row>
    <row r="54" spans="2:14">
      <c r="B54" s="50" t="s">
        <v>26</v>
      </c>
      <c r="C54" s="50">
        <v>8</v>
      </c>
      <c r="D54" s="50">
        <v>322</v>
      </c>
      <c r="E54" s="50">
        <v>7</v>
      </c>
      <c r="F54" s="50">
        <v>26</v>
      </c>
      <c r="G54" s="50">
        <v>177124</v>
      </c>
      <c r="H54" s="50">
        <v>2735004</v>
      </c>
      <c r="I54" s="50">
        <v>29545874</v>
      </c>
      <c r="J54" s="50">
        <v>148518</v>
      </c>
      <c r="K54" s="50">
        <v>0</v>
      </c>
      <c r="L54" s="50">
        <v>365751</v>
      </c>
      <c r="M54" s="50">
        <v>15233</v>
      </c>
      <c r="N54" s="50">
        <v>790175</v>
      </c>
    </row>
    <row r="55" spans="2:14">
      <c r="B55" s="50" t="s">
        <v>27</v>
      </c>
      <c r="C55" s="50">
        <v>1</v>
      </c>
      <c r="D55" s="50">
        <v>38</v>
      </c>
      <c r="E55" s="50">
        <v>2</v>
      </c>
      <c r="F55" s="50">
        <v>16</v>
      </c>
      <c r="G55" s="50">
        <v>68078</v>
      </c>
      <c r="H55" s="50">
        <v>1384192</v>
      </c>
      <c r="I55" s="50">
        <v>11566668</v>
      </c>
      <c r="J55" s="50">
        <v>28698</v>
      </c>
      <c r="K55" s="50">
        <v>0</v>
      </c>
      <c r="L55" s="50">
        <v>188716</v>
      </c>
      <c r="M55" s="50">
        <v>4316</v>
      </c>
      <c r="N55" s="50">
        <v>433405</v>
      </c>
    </row>
    <row r="56" spans="1:14">
      <c r="A56">
        <v>7019</v>
      </c>
      <c r="B56" s="50" t="s">
        <v>25</v>
      </c>
      <c r="C56" s="50">
        <v>0</v>
      </c>
      <c r="D56" s="50">
        <v>50</v>
      </c>
      <c r="E56" s="50">
        <v>0</v>
      </c>
      <c r="F56" s="50">
        <v>16</v>
      </c>
      <c r="G56" s="50">
        <v>57974</v>
      </c>
      <c r="H56" s="50">
        <v>907453</v>
      </c>
      <c r="I56" s="50">
        <v>6984607</v>
      </c>
      <c r="J56" s="50">
        <v>6444</v>
      </c>
      <c r="K56" s="50">
        <v>0</v>
      </c>
      <c r="L56" s="50">
        <v>83062</v>
      </c>
      <c r="M56" s="50">
        <v>2630</v>
      </c>
      <c r="N56" s="50">
        <v>266805</v>
      </c>
    </row>
    <row r="57" spans="2:14">
      <c r="B57" s="50" t="s">
        <v>26</v>
      </c>
      <c r="C57" s="50">
        <v>9</v>
      </c>
      <c r="D57" s="50">
        <v>311</v>
      </c>
      <c r="E57" s="50">
        <v>10</v>
      </c>
      <c r="F57" s="50">
        <v>20</v>
      </c>
      <c r="G57" s="50">
        <v>161770</v>
      </c>
      <c r="H57" s="50">
        <v>2494272</v>
      </c>
      <c r="I57" s="50">
        <v>23182905</v>
      </c>
      <c r="J57" s="50">
        <v>69230</v>
      </c>
      <c r="K57" s="50">
        <v>0</v>
      </c>
      <c r="L57" s="50">
        <v>438665</v>
      </c>
      <c r="M57" s="50">
        <v>11927</v>
      </c>
      <c r="N57" s="50">
        <v>786271</v>
      </c>
    </row>
    <row r="58" spans="2:14">
      <c r="B58" s="50" t="s">
        <v>27</v>
      </c>
      <c r="C58" s="50">
        <v>0</v>
      </c>
      <c r="D58" s="50">
        <v>34</v>
      </c>
      <c r="E58" s="50">
        <v>0</v>
      </c>
      <c r="F58" s="50">
        <v>12</v>
      </c>
      <c r="G58" s="50">
        <v>28226</v>
      </c>
      <c r="H58" s="50">
        <v>675673</v>
      </c>
      <c r="I58" s="50">
        <v>4080620</v>
      </c>
      <c r="J58" s="50">
        <v>1092</v>
      </c>
      <c r="K58" s="50">
        <v>0</v>
      </c>
      <c r="L58" s="50">
        <v>71150</v>
      </c>
      <c r="M58" s="50">
        <v>1633</v>
      </c>
      <c r="N58" s="50">
        <v>212217</v>
      </c>
    </row>
    <row r="59" spans="2:14"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</row>
    <row r="60" spans="2:14"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</row>
    <row r="61" spans="2:14"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</row>
  </sheetData>
  <conditionalFormatting sqref="F26:F28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{ba2496c3-fac1-4373-8130-78d47335bfea}</x14:id>
        </ext>
      </extLst>
    </cfRule>
  </conditionalFormatting>
  <conditionalFormatting sqref="F29:F31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{d778e172-f4fb-46a3-8dbb-ab35858d6c21}</x14:id>
        </ext>
      </extLst>
    </cfRule>
  </conditionalFormatting>
  <conditionalFormatting sqref="F32:F3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{9ce1858f-cdd4-4f95-b570-3f4f02845a6b}</x14:id>
        </ext>
      </extLst>
    </cfRule>
  </conditionalFormatting>
  <conditionalFormatting sqref="G26:G28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{293a5c0c-e403-4272-b1d9-43141e2b6325}</x14:id>
        </ext>
      </extLst>
    </cfRule>
  </conditionalFormatting>
  <conditionalFormatting sqref="G29:G3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{111d1079-1aa2-43f0-a626-b72a07348fcc}</x14:id>
        </ext>
      </extLst>
    </cfRule>
  </conditionalFormatting>
  <conditionalFormatting sqref="G32:G34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{e840fe49-3b3a-47e9-9338-3618c280d2d3}</x14:id>
        </ext>
      </extLst>
    </cfRule>
  </conditionalFormatting>
  <conditionalFormatting sqref="N26:N34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{b5175944-59ae-4757-9411-0c39c0998323}</x14:id>
        </ext>
      </extLst>
    </cfRule>
  </conditionalFormatting>
  <conditionalFormatting sqref="O2:O19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{5607cf4f-1363-4101-a646-2f5575fd0c93}</x14:id>
        </ext>
      </extLst>
    </cfRule>
  </conditionalFormatting>
  <conditionalFormatting sqref="O20:O22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{efd880bb-2427-4857-a9af-8bcda6dc4026}</x14:id>
        </ext>
      </extLst>
    </cfRule>
  </conditionalFormatting>
  <conditionalFormatting sqref="P2:P19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{d6dffeaf-7b2e-4150-883f-f4e293d7af9f}</x14:id>
        </ext>
      </extLst>
    </cfRule>
  </conditionalFormatting>
  <conditionalFormatting sqref="P20:P2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{95cee5cf-0fd9-4d1d-965d-3cd32a6fcbb0}</x14:id>
        </ext>
      </extLst>
    </cfRule>
  </conditionalFormatting>
  <conditionalFormatting sqref="P26:P33">
    <cfRule type="cellIs" dxfId="37" priority="1" operator="equal">
      <formula>$S$26</formula>
    </cfRule>
  </conditionalFormatting>
  <conditionalFormatting sqref="Q2:Q22">
    <cfRule type="cellIs" dxfId="38" priority="8" operator="equal">
      <formula>配置!$D$4</formula>
    </cfRule>
    <cfRule type="cellIs" dxfId="39" priority="9" operator="equal">
      <formula>配置!$D$3</formula>
    </cfRule>
    <cfRule type="cellIs" dxfId="37" priority="10" operator="equal">
      <formula>配置!$D$2</formula>
    </cfRule>
  </conditionalFormatting>
  <conditionalFormatting sqref="R26:R29">
    <cfRule type="cellIs" dxfId="37" priority="2" operator="equal">
      <formula>$S$26</formula>
    </cfRule>
  </conditionalFormatting>
  <conditionalFormatting sqref="O23:O24 Q1:R1 Q2 Q4:Q5 Q7:Q8 Q10:Q11 Q13:Q14 Q16:Q17 Q19:Q20 Q22">
    <cfRule type="cellIs" dxfId="37" priority="18" operator="equal">
      <formula>配置!$D$2</formula>
    </cfRule>
  </conditionalFormatting>
  <conditionalFormatting sqref="Q2 Q4:Q5 Q7:Q8 Q10:Q11 Q13:Q14 Q16:Q17 Q19:Q20 Q22">
    <cfRule type="cellIs" dxfId="38" priority="17" operator="equal">
      <formula>配置!$D$4</formula>
    </cfRule>
  </conditionalFormatting>
  <dataValidations count="1">
    <dataValidation type="list" allowBlank="1" showInputMessage="1" showErrorMessage="1" sqref="Q2:Q22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a2496c3-fac1-4373-8130-78d47335bf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d778e172-f4fb-46a3-8dbb-ab35858d6c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9ce1858f-cdd4-4f95-b570-3f4f02845a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293a5c0c-e403-4272-b1d9-43141e2b63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111d1079-1aa2-43f0-a626-b72a07348f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e840fe49-3b3a-47e9-9338-3618c280d2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b5175944-59ae-4757-9411-0c39c09983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N26:N34</xm:sqref>
        </x14:conditionalFormatting>
        <x14:conditionalFormatting xmlns:xm="http://schemas.microsoft.com/office/excel/2006/main">
          <x14:cfRule type="dataBar" id="{5607cf4f-1363-4101-a646-2f5575fd0c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efd880bb-2427-4857-a9af-8bcda6dc40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d6dffeaf-7b2e-4150-883f-f4e293d7af9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95cee5cf-0fd9-4d1d-965d-3cd32a6fcb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</x14:conditionalFormatting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5"/>
  <sheetViews>
    <sheetView topLeftCell="A16" workbookViewId="0">
      <selection activeCell="V36" sqref="$A1:$XFD1048576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customHeight="1" spans="1:25">
      <c r="A2" s="371">
        <v>182</v>
      </c>
      <c r="B2" s="371">
        <f>VLOOKUP(表1_8612182224267292[[#This Row],[区服]],$P$35:$Q$52,2,FALSE)</f>
        <v>57</v>
      </c>
      <c r="C2" s="372" t="s">
        <v>185</v>
      </c>
      <c r="D2" s="373" t="str">
        <f>表1_8612182224267292[[#This Row],[目标国家]]</f>
        <v>吴</v>
      </c>
      <c r="E2" s="374">
        <f>(VLOOKUP(表1_8612182224267292[[#This Row],[目标区服]],$R$35:$S$43,2,FALSE)-表1_8612182224267292[[#This Row],[开服天数]])*配置!$B$1</f>
        <v>1000</v>
      </c>
      <c r="F2" s="374">
        <f>表1_8612182224267292[[#This Row],[补偿Coin]]*(表1_8612182224267292[[#This Row],[活跃高战玩家数]]+表1_8612182224267292[[#This Row],[活跃中坚玩家数]])</f>
        <v>31000</v>
      </c>
      <c r="G2" s="374">
        <f>(VLOOKUP(表1_8612182224267292[[#This Row],[目标区服]],$R$35:$S$43,2,FALSE)-表1_8612182224267292[[#This Row],[开服天数]])*配置!$B$2</f>
        <v>10</v>
      </c>
      <c r="H2" s="376" t="s">
        <v>25</v>
      </c>
      <c r="I2" s="376">
        <f>IF(表1_8612182224267292[[#This Row],[原国家]]="魏",0,IF(表1_8612182224267292[[#This Row],[原国家]]="蜀",1,2))</f>
        <v>0</v>
      </c>
      <c r="J2" s="380">
        <v>3</v>
      </c>
      <c r="K2" s="380">
        <v>92</v>
      </c>
      <c r="L2" s="380">
        <v>5</v>
      </c>
      <c r="M2" s="380">
        <v>26</v>
      </c>
      <c r="N2" s="380">
        <v>123255</v>
      </c>
      <c r="O2" s="380">
        <v>3612987</v>
      </c>
      <c r="P2" s="381">
        <v>36772006</v>
      </c>
      <c r="Q2" s="31" t="s">
        <v>27</v>
      </c>
      <c r="R2" s="376">
        <f>IF(表1_8612182224267292[[#This Row],[目标国家]]="魏",0,IF(表1_8612182224267292[[#This Row],[目标国家]]="蜀",1,2))</f>
        <v>2</v>
      </c>
      <c r="S2" s="380">
        <v>112824</v>
      </c>
      <c r="T2" s="380">
        <v>0</v>
      </c>
      <c r="U2" s="380">
        <v>1177660</v>
      </c>
      <c r="V2" s="380">
        <v>13100</v>
      </c>
      <c r="W2" s="374">
        <v>955050</v>
      </c>
      <c r="X2" s="387" t="str">
        <f>"{"&amp;"'coin':"&amp;表1_8612182224267292[[#This Row],[补偿Coin]]&amp;",'"&amp;配置!$A$2&amp;"':"&amp;表1_8612182224267292[[#This Row],[补偿辎重]]&amp;"},"</f>
        <v>{'coin':1000,'item036':10},</v>
      </c>
      <c r="Y2" s="388" t="str">
        <f>"      '"&amp;表1_8612182224267292[[#This Row],[区服]]&amp;"':{"</f>
        <v>      '182':{</v>
      </c>
    </row>
    <row r="3" s="354" customFormat="1" customHeight="1" spans="1:25">
      <c r="A3" s="371">
        <v>182</v>
      </c>
      <c r="B3" s="371">
        <f>VLOOKUP(表1_8612182224267292[[#This Row],[区服]],$P$35:$Q$52,2,FALSE)</f>
        <v>57</v>
      </c>
      <c r="C3" s="372" t="s">
        <v>185</v>
      </c>
      <c r="D3" s="376" t="str">
        <f>表1_8612182224267292[[#This Row],[目标国家]]</f>
        <v>蜀</v>
      </c>
      <c r="E3" s="380">
        <f>(VLOOKUP(表1_8612182224267292[[#This Row],[目标区服]],$R$35:$S$43,2,FALSE)-表1_8612182224267292[[#This Row],[开服天数]])*配置!$B$1</f>
        <v>1000</v>
      </c>
      <c r="F3" s="380">
        <f>表1_8612182224267292[[#This Row],[补偿Coin]]*(表1_8612182224267292[[#This Row],[活跃高战玩家数]]+表1_8612182224267292[[#This Row],[活跃中坚玩家数]])</f>
        <v>22000</v>
      </c>
      <c r="G3" s="380">
        <f>(VLOOKUP(表1_8612182224267292[[#This Row],[目标区服]],$R$35:$S$43,2,FALSE)-表1_8612182224267292[[#This Row],[开服天数]])*配置!$B$2</f>
        <v>10</v>
      </c>
      <c r="H3" s="376" t="s">
        <v>26</v>
      </c>
      <c r="I3" s="376">
        <f>IF(表1_8612182224267292[[#This Row],[原国家]]="魏",0,IF(表1_8612182224267292[[#This Row],[原国家]]="蜀",1,2))</f>
        <v>1</v>
      </c>
      <c r="J3" s="380">
        <v>4</v>
      </c>
      <c r="K3" s="380">
        <v>192</v>
      </c>
      <c r="L3" s="380">
        <v>3</v>
      </c>
      <c r="M3" s="380">
        <v>19</v>
      </c>
      <c r="N3" s="380">
        <v>91225</v>
      </c>
      <c r="O3" s="380">
        <v>3731557</v>
      </c>
      <c r="P3" s="381">
        <v>27879893</v>
      </c>
      <c r="Q3" s="31" t="s">
        <v>26</v>
      </c>
      <c r="R3" s="376">
        <f>IF(表1_8612182224267292[[#This Row],[目标国家]]="魏",0,IF(表1_8612182224267292[[#This Row],[目标国家]]="蜀",1,2))</f>
        <v>1</v>
      </c>
      <c r="S3" s="380">
        <v>92770</v>
      </c>
      <c r="T3" s="380">
        <v>0</v>
      </c>
      <c r="U3" s="380">
        <v>415431</v>
      </c>
      <c r="V3" s="380">
        <v>12286</v>
      </c>
      <c r="W3" s="374">
        <v>1032362</v>
      </c>
      <c r="X3" s="387" t="str">
        <f>"{"&amp;"'coin':"&amp;表1_8612182224267292[[#This Row],[补偿Coin]]&amp;",'"&amp;配置!$A$2&amp;"':"&amp;表1_8612182224267292[[#This Row],[补偿辎重]]&amp;"},"</f>
        <v>{'coin':1000,'item036':10},</v>
      </c>
      <c r="Y3" s="388" t="str">
        <f>"            'to_zone':'"&amp;表1_8612182224267292[[#This Row],[目标区服]]&amp;"',
            'reward':"&amp;表1_8612182224267292[[#This Row],[辅助导出]]&amp;"
            'country':["&amp;R2&amp;","&amp;R3&amp;","&amp;R4&amp;"],"</f>
        <v>            'to_zone':'h1_78',
            'reward':{'coin':1000,'item036':10},
            'country':[2,1,1],</v>
      </c>
    </row>
    <row r="4" s="354" customFormat="1" customHeight="1" spans="1:25">
      <c r="A4" s="371">
        <v>182</v>
      </c>
      <c r="B4" s="371">
        <f>VLOOKUP(表1_8612182224267292[[#This Row],[区服]],$P$35:$Q$52,2,FALSE)</f>
        <v>57</v>
      </c>
      <c r="C4" s="372" t="s">
        <v>185</v>
      </c>
      <c r="D4" s="376" t="str">
        <f>表1_8612182224267292[[#This Row],[目标国家]]</f>
        <v>蜀</v>
      </c>
      <c r="E4" s="380">
        <f>(VLOOKUP(表1_8612182224267292[[#This Row],[目标区服]],$R$35:$S$43,2,FALSE)-表1_8612182224267292[[#This Row],[开服天数]])*配置!$B$1</f>
        <v>1000</v>
      </c>
      <c r="F4" s="380">
        <f>表1_8612182224267292[[#This Row],[补偿Coin]]*(表1_8612182224267292[[#This Row],[活跃高战玩家数]]+表1_8612182224267292[[#This Row],[活跃中坚玩家数]])</f>
        <v>23000</v>
      </c>
      <c r="G4" s="380">
        <f>(VLOOKUP(表1_8612182224267292[[#This Row],[目标区服]],$R$35:$S$43,2,FALSE)-表1_8612182224267292[[#This Row],[开服天数]])*配置!$B$2</f>
        <v>10</v>
      </c>
      <c r="H4" s="376" t="s">
        <v>27</v>
      </c>
      <c r="I4" s="376">
        <f>IF(表1_8612182224267292[[#This Row],[原国家]]="魏",0,IF(表1_8612182224267292[[#This Row],[原国家]]="蜀",1,2))</f>
        <v>2</v>
      </c>
      <c r="J4" s="380">
        <v>2</v>
      </c>
      <c r="K4" s="380">
        <v>111</v>
      </c>
      <c r="L4" s="380">
        <v>2</v>
      </c>
      <c r="M4" s="380">
        <v>21</v>
      </c>
      <c r="N4" s="380">
        <v>93468</v>
      </c>
      <c r="O4" s="380">
        <v>2735595</v>
      </c>
      <c r="P4" s="381">
        <v>26305453</v>
      </c>
      <c r="Q4" s="31" t="s">
        <v>26</v>
      </c>
      <c r="R4" s="376">
        <f>IF(表1_8612182224267292[[#This Row],[目标国家]]="魏",0,IF(表1_8612182224267292[[#This Row],[目标国家]]="蜀",1,2))</f>
        <v>1</v>
      </c>
      <c r="S4" s="380">
        <v>71602</v>
      </c>
      <c r="T4" s="380">
        <v>0</v>
      </c>
      <c r="U4" s="380">
        <v>630026</v>
      </c>
      <c r="V4" s="380">
        <v>9606</v>
      </c>
      <c r="W4" s="374">
        <v>700482</v>
      </c>
      <c r="X4" s="387" t="str">
        <f>"{"&amp;"'coin':"&amp;表1_8612182224267292[[#This Row],[补偿Coin]]&amp;",'"&amp;配置!$A$2&amp;"':"&amp;表1_8612182224267292[[#This Row],[补偿辎重]]&amp;"},"</f>
        <v>{'coin':1000,'item036':10},</v>
      </c>
      <c r="Y4" s="388" t="str">
        <f>"      },"</f>
        <v>      },</v>
      </c>
    </row>
    <row r="5" s="354" customFormat="1" customHeight="1" spans="1:25">
      <c r="A5" s="375">
        <v>183</v>
      </c>
      <c r="B5" s="371">
        <f>VLOOKUP(表1_8612182224267292[[#This Row],[区服]],$P$35:$Q$52,2,FALSE)</f>
        <v>56</v>
      </c>
      <c r="C5" s="372" t="s">
        <v>185</v>
      </c>
      <c r="D5" s="376" t="str">
        <f>表1_8612182224267292[[#This Row],[目标国家]]</f>
        <v>魏</v>
      </c>
      <c r="E5" s="380">
        <f>(VLOOKUP(表1_8612182224267292[[#This Row],[目标区服]],$R$35:$S$43,2,FALSE)-表1_8612182224267292[[#This Row],[开服天数]])*配置!$B$1</f>
        <v>1500</v>
      </c>
      <c r="F5" s="380">
        <f>表1_8612182224267292[[#This Row],[补偿Coin]]*(表1_8612182224267292[[#This Row],[活跃高战玩家数]]+表1_8612182224267292[[#This Row],[活跃中坚玩家数]])</f>
        <v>36000</v>
      </c>
      <c r="G5" s="380">
        <f>(VLOOKUP(表1_8612182224267292[[#This Row],[目标区服]],$R$35:$S$43,2,FALSE)-表1_8612182224267292[[#This Row],[开服天数]])*配置!$B$2</f>
        <v>15</v>
      </c>
      <c r="H5" s="376" t="s">
        <v>25</v>
      </c>
      <c r="I5" s="376">
        <f>IF(表1_8612182224267292[[#This Row],[原国家]]="魏",0,IF(表1_8612182224267292[[#This Row],[原国家]]="蜀",1,2))</f>
        <v>0</v>
      </c>
      <c r="J5" s="380">
        <v>5</v>
      </c>
      <c r="K5" s="380">
        <v>219</v>
      </c>
      <c r="L5" s="380">
        <v>7</v>
      </c>
      <c r="M5" s="380">
        <v>17</v>
      </c>
      <c r="N5" s="380">
        <v>112586</v>
      </c>
      <c r="O5" s="380">
        <v>3983148</v>
      </c>
      <c r="P5" s="381">
        <v>30268611</v>
      </c>
      <c r="Q5" s="31" t="s">
        <v>25</v>
      </c>
      <c r="R5" s="376">
        <f>IF(表1_8612182224267292[[#This Row],[目标国家]]="魏",0,IF(表1_8612182224267292[[#This Row],[目标国家]]="蜀",1,2))</f>
        <v>0</v>
      </c>
      <c r="S5" s="380">
        <v>163926</v>
      </c>
      <c r="T5" s="380">
        <v>0</v>
      </c>
      <c r="U5" s="380">
        <v>668662</v>
      </c>
      <c r="V5" s="380">
        <v>15515</v>
      </c>
      <c r="W5" s="374">
        <v>1149137</v>
      </c>
      <c r="X5" s="387" t="str">
        <f>"{"&amp;"'coin':"&amp;表1_8612182224267292[[#This Row],[补偿Coin]]&amp;",'"&amp;配置!$A$2&amp;"':"&amp;表1_8612182224267292[[#This Row],[补偿辎重]]&amp;"},"</f>
        <v>{'coin':1500,'item036':15},</v>
      </c>
      <c r="Y5" s="388" t="str">
        <f>"      '"&amp;表1_8612182224267292[[#This Row],[区服]]&amp;"':{"</f>
        <v>      '183':{</v>
      </c>
    </row>
    <row r="6" s="354" customFormat="1" customHeight="1" spans="1:25">
      <c r="A6" s="375">
        <v>183</v>
      </c>
      <c r="B6" s="371">
        <f>VLOOKUP(表1_8612182224267292[[#This Row],[区服]],$P$35:$Q$52,2,FALSE)</f>
        <v>56</v>
      </c>
      <c r="C6" s="372" t="s">
        <v>185</v>
      </c>
      <c r="D6" s="376" t="str">
        <f>表1_8612182224267292[[#This Row],[目标国家]]</f>
        <v>吴</v>
      </c>
      <c r="E6" s="380">
        <f>(VLOOKUP(表1_8612182224267292[[#This Row],[目标区服]],$R$35:$S$43,2,FALSE)-表1_8612182224267292[[#This Row],[开服天数]])*配置!$B$1</f>
        <v>1500</v>
      </c>
      <c r="F6" s="380">
        <f>表1_8612182224267292[[#This Row],[补偿Coin]]*(表1_8612182224267292[[#This Row],[活跃高战玩家数]]+表1_8612182224267292[[#This Row],[活跃中坚玩家数]])</f>
        <v>57000</v>
      </c>
      <c r="G6" s="380">
        <f>(VLOOKUP(表1_8612182224267292[[#This Row],[目标区服]],$R$35:$S$43,2,FALSE)-表1_8612182224267292[[#This Row],[开服天数]])*配置!$B$2</f>
        <v>15</v>
      </c>
      <c r="H6" s="376" t="s">
        <v>26</v>
      </c>
      <c r="I6" s="376">
        <f>IF(表1_8612182224267292[[#This Row],[原国家]]="魏",0,IF(表1_8612182224267292[[#This Row],[原国家]]="蜀",1,2))</f>
        <v>1</v>
      </c>
      <c r="J6" s="380">
        <v>3</v>
      </c>
      <c r="K6" s="380">
        <v>124</v>
      </c>
      <c r="L6" s="380">
        <v>3</v>
      </c>
      <c r="M6" s="380">
        <v>35</v>
      </c>
      <c r="N6" s="380">
        <v>151066</v>
      </c>
      <c r="O6" s="380">
        <v>2612562</v>
      </c>
      <c r="P6" s="381">
        <v>37030721</v>
      </c>
      <c r="Q6" s="31" t="s">
        <v>27</v>
      </c>
      <c r="R6" s="376">
        <f>IF(表1_8612182224267292[[#This Row],[目标国家]]="魏",0,IF(表1_8612182224267292[[#This Row],[目标国家]]="蜀",1,2))</f>
        <v>2</v>
      </c>
      <c r="S6" s="380">
        <v>42284</v>
      </c>
      <c r="T6" s="380">
        <v>0</v>
      </c>
      <c r="U6" s="380">
        <v>525775</v>
      </c>
      <c r="V6" s="380">
        <v>10142</v>
      </c>
      <c r="W6" s="374">
        <v>718553</v>
      </c>
      <c r="X6" s="387" t="str">
        <f>"{"&amp;"'coin':"&amp;表1_8612182224267292[[#This Row],[补偿Coin]]&amp;",'"&amp;配置!$A$2&amp;"':"&amp;表1_8612182224267292[[#This Row],[补偿辎重]]&amp;"},"</f>
        <v>{'coin':1500,'item036':15},</v>
      </c>
      <c r="Y6" s="388" t="str">
        <f>"            'to_zone':'"&amp;表1_8612182224267292[[#This Row],[目标区服]]&amp;"',
            'reward':"&amp;表1_8612182224267292[[#This Row],[辅助导出]]&amp;"
            'country':["&amp;R5&amp;","&amp;R6&amp;","&amp;R7&amp;"],"</f>
        <v>            'to_zone':'h1_78',
            'reward':{'coin':1500,'item036':15},
            'country':[0,2,0],</v>
      </c>
    </row>
    <row r="7" s="354" customFormat="1" customHeight="1" spans="1:25">
      <c r="A7" s="375">
        <v>183</v>
      </c>
      <c r="B7" s="371">
        <f>VLOOKUP(表1_8612182224267292[[#This Row],[区服]],$P$35:$Q$52,2,FALSE)</f>
        <v>56</v>
      </c>
      <c r="C7" s="372" t="s">
        <v>185</v>
      </c>
      <c r="D7" s="376" t="str">
        <f>表1_8612182224267292[[#This Row],[目标国家]]</f>
        <v>魏</v>
      </c>
      <c r="E7" s="380">
        <f>(VLOOKUP(表1_8612182224267292[[#This Row],[目标区服]],$R$35:$S$43,2,FALSE)-表1_8612182224267292[[#This Row],[开服天数]])*配置!$B$1</f>
        <v>1500</v>
      </c>
      <c r="F7" s="380">
        <f>表1_8612182224267292[[#This Row],[补偿Coin]]*(表1_8612182224267292[[#This Row],[活跃高战玩家数]]+表1_8612182224267292[[#This Row],[活跃中坚玩家数]])</f>
        <v>15000</v>
      </c>
      <c r="G7" s="380">
        <f>(VLOOKUP(表1_8612182224267292[[#This Row],[目标区服]],$R$35:$S$43,2,FALSE)-表1_8612182224267292[[#This Row],[开服天数]])*配置!$B$2</f>
        <v>15</v>
      </c>
      <c r="H7" s="376" t="s">
        <v>27</v>
      </c>
      <c r="I7" s="376">
        <f>IF(表1_8612182224267292[[#This Row],[原国家]]="魏",0,IF(表1_8612182224267292[[#This Row],[原国家]]="蜀",1,2))</f>
        <v>2</v>
      </c>
      <c r="J7" s="380">
        <v>1</v>
      </c>
      <c r="K7" s="380">
        <v>52</v>
      </c>
      <c r="L7" s="380">
        <v>0</v>
      </c>
      <c r="M7" s="380">
        <v>10</v>
      </c>
      <c r="N7" s="380">
        <v>35665</v>
      </c>
      <c r="O7" s="380">
        <v>1801702</v>
      </c>
      <c r="P7" s="381">
        <v>8930047</v>
      </c>
      <c r="Q7" s="31" t="s">
        <v>25</v>
      </c>
      <c r="R7" s="376">
        <f>IF(表1_8612182224267292[[#This Row],[目标国家]]="魏",0,IF(表1_8612182224267292[[#This Row],[目标国家]]="蜀",1,2))</f>
        <v>0</v>
      </c>
      <c r="S7" s="380">
        <v>12952</v>
      </c>
      <c r="T7" s="380">
        <v>0</v>
      </c>
      <c r="U7" s="380">
        <v>156924</v>
      </c>
      <c r="V7" s="380">
        <v>3960</v>
      </c>
      <c r="W7" s="374">
        <v>604241</v>
      </c>
      <c r="X7" s="387" t="str">
        <f>"{"&amp;"'coin':"&amp;表1_8612182224267292[[#This Row],[补偿Coin]]&amp;",'"&amp;配置!$A$2&amp;"':"&amp;表1_8612182224267292[[#This Row],[补偿辎重]]&amp;"},"</f>
        <v>{'coin':1500,'item036':15},</v>
      </c>
      <c r="Y7" s="388" t="str">
        <f t="shared" ref="Y7" si="0">"      },"</f>
        <v>      },</v>
      </c>
    </row>
    <row r="8" s="354" customFormat="1" customHeight="1" spans="1:25">
      <c r="A8" s="259">
        <v>184</v>
      </c>
      <c r="B8" s="210">
        <f>VLOOKUP(表1_8612182224267292[[#This Row],[区服]],$P$35:$Q$52,2,FALSE)</f>
        <v>55</v>
      </c>
      <c r="C8" s="296" t="s">
        <v>186</v>
      </c>
      <c r="D8" s="212" t="str">
        <f>表1_8612182224267292[[#This Row],[目标国家]]</f>
        <v>蜀</v>
      </c>
      <c r="E8" s="213">
        <f>(VLOOKUP(表1_8612182224267292[[#This Row],[目标区服]],$R$35:$S$43,2,FALSE)-表1_8612182224267292[[#This Row],[开服天数]])*配置!$B$1</f>
        <v>1000</v>
      </c>
      <c r="F8" s="213">
        <f>表1_8612182224267292[[#This Row],[补偿Coin]]*(表1_8612182224267292[[#This Row],[活跃高战玩家数]]+表1_8612182224267292[[#This Row],[活跃中坚玩家数]])</f>
        <v>31000</v>
      </c>
      <c r="G8" s="260">
        <f>(VLOOKUP(表1_8612182224267292[[#This Row],[目标区服]],$R$35:$S$43,2,FALSE)-表1_8612182224267292[[#This Row],[开服天数]])*配置!$B$2</f>
        <v>10</v>
      </c>
      <c r="H8" s="212" t="s">
        <v>25</v>
      </c>
      <c r="I8" s="268">
        <f>IF(表1_8612182224267292[[#This Row],[原国家]]="魏",0,IF(表1_8612182224267292[[#This Row],[原国家]]="蜀",1,2))</f>
        <v>0</v>
      </c>
      <c r="J8" s="213">
        <v>5</v>
      </c>
      <c r="K8" s="213">
        <v>208</v>
      </c>
      <c r="L8" s="213">
        <v>6</v>
      </c>
      <c r="M8" s="213">
        <v>25</v>
      </c>
      <c r="N8" s="213">
        <v>141864</v>
      </c>
      <c r="O8" s="419">
        <v>3628349</v>
      </c>
      <c r="P8" s="420">
        <v>38525091</v>
      </c>
      <c r="Q8" s="31" t="s">
        <v>26</v>
      </c>
      <c r="R8" s="212">
        <f>IF(表1_8612182224267292[[#This Row],[目标国家]]="魏",0,IF(表1_8612182224267292[[#This Row],[目标国家]]="蜀",1,2))</f>
        <v>1</v>
      </c>
      <c r="S8" s="213">
        <v>159642</v>
      </c>
      <c r="T8" s="213">
        <v>0</v>
      </c>
      <c r="U8" s="213">
        <v>931155</v>
      </c>
      <c r="V8" s="213">
        <v>16025</v>
      </c>
      <c r="W8" s="213">
        <v>989716</v>
      </c>
      <c r="X8" s="278" t="str">
        <f>"{"&amp;"'coin':"&amp;表1_8612182224267292[[#This Row],[补偿Coin]]&amp;",'"&amp;配置!$A$2&amp;"':"&amp;表1_8612182224267292[[#This Row],[补偿辎重]]&amp;"},"</f>
        <v>{'coin':1000,'item036':10},</v>
      </c>
      <c r="Y8" s="278" t="str">
        <f>"      '"&amp;表1_8612182224267292[[#This Row],[区服]]&amp;"':{"</f>
        <v>      '184':{</v>
      </c>
    </row>
    <row r="9" s="354" customFormat="1" customHeight="1" spans="1:25">
      <c r="A9" s="259">
        <v>184</v>
      </c>
      <c r="B9" s="210">
        <f>VLOOKUP(表1_8612182224267292[[#This Row],[区服]],$P$35:$Q$52,2,FALSE)</f>
        <v>55</v>
      </c>
      <c r="C9" s="296" t="s">
        <v>186</v>
      </c>
      <c r="D9" s="212" t="str">
        <f>表1_8612182224267292[[#This Row],[目标国家]]</f>
        <v>魏</v>
      </c>
      <c r="E9" s="213">
        <f>(VLOOKUP(表1_8612182224267292[[#This Row],[目标区服]],$R$35:$S$43,2,FALSE)-表1_8612182224267292[[#This Row],[开服天数]])*配置!$B$1</f>
        <v>1000</v>
      </c>
      <c r="F9" s="213">
        <f>表1_8612182224267292[[#This Row],[补偿Coin]]*(表1_8612182224267292[[#This Row],[活跃高战玩家数]]+表1_8612182224267292[[#This Row],[活跃中坚玩家数]])</f>
        <v>16000</v>
      </c>
      <c r="G9" s="260">
        <f>(VLOOKUP(表1_8612182224267292[[#This Row],[目标区服]],$R$35:$S$43,2,FALSE)-表1_8612182224267292[[#This Row],[开服天数]])*配置!$B$2</f>
        <v>10</v>
      </c>
      <c r="H9" s="212" t="s">
        <v>26</v>
      </c>
      <c r="I9" s="268">
        <f>IF(表1_8612182224267292[[#This Row],[原国家]]="魏",0,IF(表1_8612182224267292[[#This Row],[原国家]]="蜀",1,2))</f>
        <v>1</v>
      </c>
      <c r="J9" s="213">
        <v>0</v>
      </c>
      <c r="K9" s="213">
        <v>50</v>
      </c>
      <c r="L9" s="213">
        <v>0</v>
      </c>
      <c r="M9" s="213">
        <v>16</v>
      </c>
      <c r="N9" s="213">
        <v>37635</v>
      </c>
      <c r="O9" s="419">
        <v>1415453</v>
      </c>
      <c r="P9" s="420">
        <v>12591453</v>
      </c>
      <c r="Q9" s="31" t="s">
        <v>25</v>
      </c>
      <c r="R9" s="212">
        <f>IF(表1_8612182224267292[[#This Row],[目标国家]]="魏",0,IF(表1_8612182224267292[[#This Row],[目标国家]]="蜀",1,2))</f>
        <v>0</v>
      </c>
      <c r="S9" s="213">
        <v>6518</v>
      </c>
      <c r="T9" s="213">
        <v>0</v>
      </c>
      <c r="U9" s="213">
        <v>127974</v>
      </c>
      <c r="V9" s="213">
        <v>3622</v>
      </c>
      <c r="W9" s="213">
        <v>444014</v>
      </c>
      <c r="X9" s="278" t="str">
        <f>"{"&amp;"'coin':"&amp;表1_8612182224267292[[#This Row],[补偿Coin]]&amp;",'"&amp;配置!$A$2&amp;"':"&amp;表1_8612182224267292[[#This Row],[补偿辎重]]&amp;"},"</f>
        <v>{'coin':1000,'item036':10},</v>
      </c>
      <c r="Y9" s="278" t="str">
        <f>"            'to_zone':'"&amp;表1_8612182224267292[[#This Row],[目标区服]]&amp;"',
            'reward':"&amp;表1_8612182224267292[[#This Row],[辅助导出]]&amp;"
            'country':["&amp;R8&amp;","&amp;R9&amp;","&amp;R10&amp;"],"</f>
        <v>            'to_zone':'h1_79',
            'reward':{'coin':1000,'item036':10},
            'country':[1,0,2],</v>
      </c>
    </row>
    <row r="10" s="354" customFormat="1" customHeight="1" spans="1:25">
      <c r="A10" s="259">
        <v>184</v>
      </c>
      <c r="B10" s="210">
        <f>VLOOKUP(表1_8612182224267292[[#This Row],[区服]],$P$35:$Q$52,2,FALSE)</f>
        <v>55</v>
      </c>
      <c r="C10" s="296" t="s">
        <v>186</v>
      </c>
      <c r="D10" s="212" t="str">
        <f>表1_8612182224267292[[#This Row],[目标国家]]</f>
        <v>吴</v>
      </c>
      <c r="E10" s="213">
        <f>(VLOOKUP(表1_8612182224267292[[#This Row],[目标区服]],$R$35:$S$43,2,FALSE)-表1_8612182224267292[[#This Row],[开服天数]])*配置!$B$1</f>
        <v>1000</v>
      </c>
      <c r="F10" s="213">
        <f>表1_8612182224267292[[#This Row],[补偿Coin]]*(表1_8612182224267292[[#This Row],[活跃高战玩家数]]+表1_8612182224267292[[#This Row],[活跃中坚玩家数]])</f>
        <v>24000</v>
      </c>
      <c r="G10" s="260">
        <f>(VLOOKUP(表1_8612182224267292[[#This Row],[目标区服]],$R$35:$S$43,2,FALSE)-表1_8612182224267292[[#This Row],[开服天数]])*配置!$B$2</f>
        <v>10</v>
      </c>
      <c r="H10" s="212" t="s">
        <v>27</v>
      </c>
      <c r="I10" s="268">
        <f>IF(表1_8612182224267292[[#This Row],[原国家]]="魏",0,IF(表1_8612182224267292[[#This Row],[原国家]]="蜀",1,2))</f>
        <v>2</v>
      </c>
      <c r="J10" s="213">
        <v>4</v>
      </c>
      <c r="K10" s="213">
        <v>137</v>
      </c>
      <c r="L10" s="213">
        <v>4</v>
      </c>
      <c r="M10" s="213">
        <v>20</v>
      </c>
      <c r="N10" s="213">
        <v>108666</v>
      </c>
      <c r="O10" s="419">
        <v>3950053</v>
      </c>
      <c r="P10" s="420">
        <v>31176281</v>
      </c>
      <c r="Q10" s="31" t="s">
        <v>27</v>
      </c>
      <c r="R10" s="212">
        <f>IF(表1_8612182224267292[[#This Row],[目标国家]]="魏",0,IF(表1_8612182224267292[[#This Row],[目标国家]]="蜀",1,2))</f>
        <v>2</v>
      </c>
      <c r="S10" s="213">
        <v>157534</v>
      </c>
      <c r="T10" s="213">
        <v>0</v>
      </c>
      <c r="U10" s="213">
        <v>853794</v>
      </c>
      <c r="V10" s="213">
        <v>14533</v>
      </c>
      <c r="W10" s="213">
        <v>1088014</v>
      </c>
      <c r="X10" s="278" t="str">
        <f>"{"&amp;"'coin':"&amp;表1_8612182224267292[[#This Row],[补偿Coin]]&amp;",'"&amp;配置!$A$2&amp;"':"&amp;表1_8612182224267292[[#This Row],[补偿辎重]]&amp;"},"</f>
        <v>{'coin':1000,'item036':10},</v>
      </c>
      <c r="Y10" s="278" t="str">
        <f>"      },"</f>
        <v>      },</v>
      </c>
    </row>
    <row r="11" s="354" customFormat="1" customHeight="1" spans="1:25">
      <c r="A11" s="259">
        <v>185</v>
      </c>
      <c r="B11" s="210">
        <f>VLOOKUP(表1_8612182224267292[[#This Row],[区服]],$P$35:$Q$52,2,FALSE)</f>
        <v>54</v>
      </c>
      <c r="C11" s="296" t="s">
        <v>186</v>
      </c>
      <c r="D11" s="212" t="str">
        <f>表1_8612182224267292[[#This Row],[目标国家]]</f>
        <v>魏</v>
      </c>
      <c r="E11" s="213">
        <f>(VLOOKUP(表1_8612182224267292[[#This Row],[目标区服]],$R$35:$S$43,2,FALSE)-表1_8612182224267292[[#This Row],[开服天数]])*配置!$B$1</f>
        <v>1500</v>
      </c>
      <c r="F11" s="213">
        <f>表1_8612182224267292[[#This Row],[补偿Coin]]*(表1_8612182224267292[[#This Row],[活跃高战玩家数]]+表1_8612182224267292[[#This Row],[活跃中坚玩家数]])</f>
        <v>48000</v>
      </c>
      <c r="G11" s="260">
        <f>(VLOOKUP(表1_8612182224267292[[#This Row],[目标区服]],$R$35:$S$43,2,FALSE)-表1_8612182224267292[[#This Row],[开服天数]])*配置!$B$2</f>
        <v>15</v>
      </c>
      <c r="H11" s="212" t="s">
        <v>25</v>
      </c>
      <c r="I11" s="268">
        <f>IF(表1_8612182224267292[[#This Row],[原国家]]="魏",0,IF(表1_8612182224267292[[#This Row],[原国家]]="蜀",1,2))</f>
        <v>0</v>
      </c>
      <c r="J11" s="213">
        <v>5</v>
      </c>
      <c r="K11" s="213">
        <v>234</v>
      </c>
      <c r="L11" s="213">
        <v>6</v>
      </c>
      <c r="M11" s="213">
        <v>26</v>
      </c>
      <c r="N11" s="213">
        <v>145041</v>
      </c>
      <c r="O11" s="419">
        <v>4054295</v>
      </c>
      <c r="P11" s="420">
        <v>38405994</v>
      </c>
      <c r="Q11" s="31" t="s">
        <v>25</v>
      </c>
      <c r="R11" s="212">
        <f>IF(表1_8612182224267292[[#This Row],[目标国家]]="魏",0,IF(表1_8612182224267292[[#This Row],[目标国家]]="蜀",1,2))</f>
        <v>0</v>
      </c>
      <c r="S11" s="213">
        <v>164784</v>
      </c>
      <c r="T11" s="213">
        <v>0</v>
      </c>
      <c r="U11" s="213">
        <v>934653</v>
      </c>
      <c r="V11" s="213">
        <v>16870</v>
      </c>
      <c r="W11" s="213">
        <v>1084538</v>
      </c>
      <c r="X11" s="278" t="str">
        <f>"{"&amp;"'coin':"&amp;表1_8612182224267292[[#This Row],[补偿Coin]]&amp;",'"&amp;配置!$A$2&amp;"':"&amp;表1_8612182224267292[[#This Row],[补偿辎重]]&amp;"},"</f>
        <v>{'coin':1500,'item036':15},</v>
      </c>
      <c r="Y11" s="278" t="str">
        <f>"      '"&amp;表1_8612182224267292[[#This Row],[区服]]&amp;"':{"</f>
        <v>      '185':{</v>
      </c>
    </row>
    <row r="12" s="354" customFormat="1" customHeight="1" spans="1:25">
      <c r="A12" s="259">
        <v>185</v>
      </c>
      <c r="B12" s="210">
        <f>VLOOKUP(表1_8612182224267292[[#This Row],[区服]],$P$35:$Q$52,2,FALSE)</f>
        <v>54</v>
      </c>
      <c r="C12" s="296" t="s">
        <v>186</v>
      </c>
      <c r="D12" s="212" t="str">
        <f>表1_8612182224267292[[#This Row],[目标国家]]</f>
        <v>蜀</v>
      </c>
      <c r="E12" s="213">
        <f>(VLOOKUP(表1_8612182224267292[[#This Row],[目标区服]],$R$35:$S$43,2,FALSE)-表1_8612182224267292[[#This Row],[开服天数]])*配置!$B$1</f>
        <v>1500</v>
      </c>
      <c r="F12" s="213">
        <f>表1_8612182224267292[[#This Row],[补偿Coin]]*(表1_8612182224267292[[#This Row],[活跃高战玩家数]]+表1_8612182224267292[[#This Row],[活跃中坚玩家数]])</f>
        <v>36000</v>
      </c>
      <c r="G12" s="260">
        <f>(VLOOKUP(表1_8612182224267292[[#This Row],[目标区服]],$R$35:$S$43,2,FALSE)-表1_8612182224267292[[#This Row],[开服天数]])*配置!$B$2</f>
        <v>15</v>
      </c>
      <c r="H12" s="212" t="s">
        <v>26</v>
      </c>
      <c r="I12" s="268">
        <f>IF(表1_8612182224267292[[#This Row],[原国家]]="魏",0,IF(表1_8612182224267292[[#This Row],[原国家]]="蜀",1,2))</f>
        <v>1</v>
      </c>
      <c r="J12" s="213">
        <v>2</v>
      </c>
      <c r="K12" s="213">
        <v>85</v>
      </c>
      <c r="L12" s="213">
        <v>2</v>
      </c>
      <c r="M12" s="213">
        <v>22</v>
      </c>
      <c r="N12" s="213">
        <v>88604</v>
      </c>
      <c r="O12" s="419">
        <v>3302697</v>
      </c>
      <c r="P12" s="420">
        <v>24167790</v>
      </c>
      <c r="Q12" s="31" t="s">
        <v>26</v>
      </c>
      <c r="R12" s="212">
        <f>IF(表1_8612182224267292[[#This Row],[目标国家]]="魏",0,IF(表1_8612182224267292[[#This Row],[目标国家]]="蜀",1,2))</f>
        <v>1</v>
      </c>
      <c r="S12" s="213">
        <v>53270</v>
      </c>
      <c r="T12" s="213">
        <v>0</v>
      </c>
      <c r="U12" s="213">
        <v>235204</v>
      </c>
      <c r="V12" s="213">
        <v>8928</v>
      </c>
      <c r="W12" s="213">
        <v>905141</v>
      </c>
      <c r="X12" s="278" t="str">
        <f>"{"&amp;"'coin':"&amp;表1_8612182224267292[[#This Row],[补偿Coin]]&amp;",'"&amp;配置!$A$2&amp;"':"&amp;表1_8612182224267292[[#This Row],[补偿辎重]]&amp;"},"</f>
        <v>{'coin':1500,'item036':15},</v>
      </c>
      <c r="Y12" s="278" t="str">
        <f>"            'to_zone':'"&amp;表1_8612182224267292[[#This Row],[目标区服]]&amp;"',
            'reward':"&amp;表1_8612182224267292[[#This Row],[辅助导出]]&amp;"
            'country':["&amp;R11&amp;","&amp;R12&amp;","&amp;R13&amp;"],"</f>
        <v>            'to_zone':'h1_79',
            'reward':{'coin':1500,'item036':15},
            'country':[0,1,2],</v>
      </c>
    </row>
    <row r="13" s="354" customFormat="1" customHeight="1" spans="1:25">
      <c r="A13" s="259">
        <v>185</v>
      </c>
      <c r="B13" s="210">
        <f>VLOOKUP(表1_8612182224267292[[#This Row],[区服]],$P$35:$Q$52,2,FALSE)</f>
        <v>54</v>
      </c>
      <c r="C13" s="296" t="s">
        <v>186</v>
      </c>
      <c r="D13" s="212" t="str">
        <f>表1_8612182224267292[[#This Row],[目标国家]]</f>
        <v>吴</v>
      </c>
      <c r="E13" s="213">
        <f>(VLOOKUP(表1_8612182224267292[[#This Row],[目标区服]],$R$35:$S$43,2,FALSE)-表1_8612182224267292[[#This Row],[开服天数]])*配置!$B$1</f>
        <v>1500</v>
      </c>
      <c r="F13" s="213">
        <f>表1_8612182224267292[[#This Row],[补偿Coin]]*(表1_8612182224267292[[#This Row],[活跃高战玩家数]]+表1_8612182224267292[[#This Row],[活跃中坚玩家数]])</f>
        <v>31500</v>
      </c>
      <c r="G13" s="260">
        <f>(VLOOKUP(表1_8612182224267292[[#This Row],[目标区服]],$R$35:$S$43,2,FALSE)-表1_8612182224267292[[#This Row],[开服天数]])*配置!$B$2</f>
        <v>15</v>
      </c>
      <c r="H13" s="212" t="s">
        <v>27</v>
      </c>
      <c r="I13" s="268">
        <f>IF(表1_8612182224267292[[#This Row],[原国家]]="魏",0,IF(表1_8612182224267292[[#This Row],[原国家]]="蜀",1,2))</f>
        <v>2</v>
      </c>
      <c r="J13" s="213">
        <v>2</v>
      </c>
      <c r="K13" s="213">
        <v>76</v>
      </c>
      <c r="L13" s="213">
        <v>2</v>
      </c>
      <c r="M13" s="213">
        <v>19</v>
      </c>
      <c r="N13" s="213">
        <v>72727</v>
      </c>
      <c r="O13" s="419">
        <v>2644948</v>
      </c>
      <c r="P13" s="420">
        <v>19999493</v>
      </c>
      <c r="Q13" s="31" t="s">
        <v>27</v>
      </c>
      <c r="R13" s="212">
        <f>IF(表1_8612182224267292[[#This Row],[目标国家]]="魏",0,IF(表1_8612182224267292[[#This Row],[目标国家]]="蜀",1,2))</f>
        <v>2</v>
      </c>
      <c r="S13" s="213">
        <v>36124</v>
      </c>
      <c r="T13" s="213">
        <v>0</v>
      </c>
      <c r="U13" s="213">
        <v>268174</v>
      </c>
      <c r="V13" s="213">
        <v>7186</v>
      </c>
      <c r="W13" s="213">
        <v>739062</v>
      </c>
      <c r="X13" s="278" t="str">
        <f>"{"&amp;"'coin':"&amp;表1_8612182224267292[[#This Row],[补偿Coin]]&amp;",'"&amp;配置!$A$2&amp;"':"&amp;表1_8612182224267292[[#This Row],[补偿辎重]]&amp;"},"</f>
        <v>{'coin':1500,'item036':15},</v>
      </c>
      <c r="Y13" s="278" t="str">
        <f t="shared" ref="Y13" si="1">"      },"</f>
        <v>      },</v>
      </c>
    </row>
    <row r="14" customHeight="1" spans="1:25">
      <c r="A14" s="17">
        <v>186</v>
      </c>
      <c r="B14" s="17">
        <f>VLOOKUP(表1_8612182224267292[[#This Row],[区服]],$P$35:$Q$52,2,FALSE)</f>
        <v>53</v>
      </c>
      <c r="C14" s="18" t="s">
        <v>187</v>
      </c>
      <c r="D14" s="19" t="str">
        <f>表1_8612182224267292[[#This Row],[目标国家]]</f>
        <v>魏</v>
      </c>
      <c r="E14" s="20">
        <f>(VLOOKUP(表1_8612182224267292[[#This Row],[目标区服]],$R$35:$S$43,2,FALSE)-表1_8612182224267292[[#This Row],[开服天数]])*配置!$B$1</f>
        <v>1000</v>
      </c>
      <c r="F14" s="20">
        <f>表1_8612182224267292[[#This Row],[补偿Coin]]*(表1_8612182224267292[[#This Row],[活跃高战玩家数]]+表1_8612182224267292[[#This Row],[活跃中坚玩家数]])</f>
        <v>37000</v>
      </c>
      <c r="G14" s="20">
        <f>(VLOOKUP(表1_8612182224267292[[#This Row],[目标区服]],$R$35:$S$43,2,FALSE)-表1_8612182224267292[[#This Row],[开服天数]])*配置!$B$2</f>
        <v>10</v>
      </c>
      <c r="H14" s="19" t="s">
        <v>25</v>
      </c>
      <c r="I14" s="19">
        <f>IF(表1_8612182224267292[[#This Row],[原国家]]="魏",0,IF(表1_8612182224267292[[#This Row],[原国家]]="蜀",1,2))</f>
        <v>0</v>
      </c>
      <c r="J14" s="20">
        <v>6</v>
      </c>
      <c r="K14" s="20">
        <v>172</v>
      </c>
      <c r="L14" s="20">
        <v>6</v>
      </c>
      <c r="M14" s="20">
        <v>31</v>
      </c>
      <c r="N14" s="20">
        <v>161859</v>
      </c>
      <c r="O14" s="20">
        <v>5255986</v>
      </c>
      <c r="P14" s="26">
        <v>52915014</v>
      </c>
      <c r="Q14" s="31" t="s">
        <v>25</v>
      </c>
      <c r="R14" s="19">
        <f>IF(表1_8612182224267292[[#This Row],[目标国家]]="魏",0,IF(表1_8612182224267292[[#This Row],[目标国家]]="蜀",1,2))</f>
        <v>0</v>
      </c>
      <c r="S14" s="20">
        <v>331378</v>
      </c>
      <c r="T14" s="20">
        <v>0</v>
      </c>
      <c r="U14" s="20">
        <v>736822</v>
      </c>
      <c r="V14" s="20">
        <v>23986</v>
      </c>
      <c r="W14" s="32">
        <v>1300824</v>
      </c>
      <c r="X14" s="33" t="str">
        <f>"{"&amp;"'coin':"&amp;表1_8612182224267292[[#This Row],[补偿Coin]]&amp;",'"&amp;配置!$A$2&amp;"':"&amp;表1_8612182224267292[[#This Row],[补偿辎重]]&amp;"},"</f>
        <v>{'coin':1000,'item036':10},</v>
      </c>
      <c r="Y14" s="34" t="str">
        <f>"      '"&amp;表1_8612182224267292[[#This Row],[区服]]&amp;"':{"</f>
        <v>      '186':{</v>
      </c>
    </row>
    <row r="15" customHeight="1" spans="1:25">
      <c r="A15" s="17">
        <v>186</v>
      </c>
      <c r="B15" s="17">
        <f>VLOOKUP(表1_8612182224267292[[#This Row],[区服]],$P$35:$Q$52,2,FALSE)</f>
        <v>53</v>
      </c>
      <c r="C15" s="18" t="s">
        <v>187</v>
      </c>
      <c r="D15" s="19" t="str">
        <f>表1_8612182224267292[[#This Row],[目标国家]]</f>
        <v>蜀</v>
      </c>
      <c r="E15" s="20">
        <f>(VLOOKUP(表1_8612182224267292[[#This Row],[目标区服]],$R$35:$S$43,2,FALSE)-表1_8612182224267292[[#This Row],[开服天数]])*配置!$B$1</f>
        <v>1000</v>
      </c>
      <c r="F15" s="20">
        <f>表1_8612182224267292[[#This Row],[补偿Coin]]*(表1_8612182224267292[[#This Row],[活跃高战玩家数]]+表1_8612182224267292[[#This Row],[活跃中坚玩家数]])</f>
        <v>33000</v>
      </c>
      <c r="G15" s="20">
        <f>(VLOOKUP(表1_8612182224267292[[#This Row],[目标区服]],$R$35:$S$43,2,FALSE)-表1_8612182224267292[[#This Row],[开服天数]])*配置!$B$2</f>
        <v>10</v>
      </c>
      <c r="H15" s="19" t="s">
        <v>26</v>
      </c>
      <c r="I15" s="19">
        <f>IF(表1_8612182224267292[[#This Row],[原国家]]="魏",0,IF(表1_8612182224267292[[#This Row],[原国家]]="蜀",1,2))</f>
        <v>1</v>
      </c>
      <c r="J15" s="20">
        <v>3</v>
      </c>
      <c r="K15" s="20">
        <v>200</v>
      </c>
      <c r="L15" s="20">
        <v>4</v>
      </c>
      <c r="M15" s="20">
        <v>29</v>
      </c>
      <c r="N15" s="20">
        <v>122925</v>
      </c>
      <c r="O15" s="20">
        <v>4327911</v>
      </c>
      <c r="P15" s="26">
        <v>37694640</v>
      </c>
      <c r="Q15" s="31" t="s">
        <v>26</v>
      </c>
      <c r="R15" s="19">
        <f>IF(表1_8612182224267292[[#This Row],[目标国家]]="魏",0,IF(表1_8612182224267292[[#This Row],[目标国家]]="蜀",1,2))</f>
        <v>1</v>
      </c>
      <c r="S15" s="20">
        <v>186150</v>
      </c>
      <c r="T15" s="20">
        <v>0</v>
      </c>
      <c r="U15" s="20">
        <v>668284</v>
      </c>
      <c r="V15" s="20">
        <v>16930</v>
      </c>
      <c r="W15" s="32">
        <v>1227250</v>
      </c>
      <c r="X15" s="33" t="str">
        <f>"{"&amp;"'coin':"&amp;表1_8612182224267292[[#This Row],[补偿Coin]]&amp;",'"&amp;配置!$A$2&amp;"':"&amp;表1_8612182224267292[[#This Row],[补偿辎重]]&amp;"},"</f>
        <v>{'coin':1000,'item036':10},</v>
      </c>
      <c r="Y15" s="34" t="str">
        <f>"            'to_zone':'"&amp;表1_8612182224267292[[#This Row],[目标区服]]&amp;"',
            'reward':"&amp;表1_8612182224267292[[#This Row],[辅助导出]]&amp;"
            'country':["&amp;R14&amp;","&amp;R15&amp;","&amp;R16&amp;"],"</f>
        <v>            'to_zone':'h1_80',
            'reward':{'coin':1000,'item036':10},
            'country':[0,1,0],</v>
      </c>
    </row>
    <row r="16" customHeight="1" spans="1:25">
      <c r="A16" s="17">
        <v>186</v>
      </c>
      <c r="B16" s="17">
        <f>VLOOKUP(表1_8612182224267292[[#This Row],[区服]],$P$35:$Q$52,2,FALSE)</f>
        <v>53</v>
      </c>
      <c r="C16" s="18" t="s">
        <v>187</v>
      </c>
      <c r="D16" s="19" t="str">
        <f>表1_8612182224267292[[#This Row],[目标国家]]</f>
        <v>魏</v>
      </c>
      <c r="E16" s="20">
        <f>(VLOOKUP(表1_8612182224267292[[#This Row],[目标区服]],$R$35:$S$43,2,FALSE)-表1_8612182224267292[[#This Row],[开服天数]])*配置!$B$1</f>
        <v>1000</v>
      </c>
      <c r="F16" s="20">
        <f>表1_8612182224267292[[#This Row],[补偿Coin]]*(表1_8612182224267292[[#This Row],[活跃高战玩家数]]+表1_8612182224267292[[#This Row],[活跃中坚玩家数]])</f>
        <v>8000</v>
      </c>
      <c r="G16" s="20">
        <f>(VLOOKUP(表1_8612182224267292[[#This Row],[目标区服]],$R$35:$S$43,2,FALSE)-表1_8612182224267292[[#This Row],[开服天数]])*配置!$B$2</f>
        <v>10</v>
      </c>
      <c r="H16" s="19" t="s">
        <v>27</v>
      </c>
      <c r="I16" s="19">
        <f>IF(表1_8612182224267292[[#This Row],[原国家]]="魏",0,IF(表1_8612182224267292[[#This Row],[原国家]]="蜀",1,2))</f>
        <v>2</v>
      </c>
      <c r="J16" s="20">
        <v>0</v>
      </c>
      <c r="K16" s="20">
        <v>23</v>
      </c>
      <c r="L16" s="20">
        <v>0</v>
      </c>
      <c r="M16" s="20">
        <v>8</v>
      </c>
      <c r="N16" s="20">
        <v>14431</v>
      </c>
      <c r="O16" s="20">
        <v>1188157</v>
      </c>
      <c r="P16" s="26">
        <v>6379739</v>
      </c>
      <c r="Q16" s="31" t="s">
        <v>25</v>
      </c>
      <c r="R16" s="19">
        <f>IF(表1_8612182224267292[[#This Row],[目标国家]]="魏",0,IF(表1_8612182224267292[[#This Row],[目标国家]]="蜀",1,2))</f>
        <v>0</v>
      </c>
      <c r="S16" s="20">
        <v>1048</v>
      </c>
      <c r="T16" s="20">
        <v>0</v>
      </c>
      <c r="U16" s="20">
        <v>56028</v>
      </c>
      <c r="V16" s="20">
        <v>2187</v>
      </c>
      <c r="W16" s="32">
        <v>345237</v>
      </c>
      <c r="X16" s="33" t="str">
        <f>"{"&amp;"'coin':"&amp;表1_8612182224267292[[#This Row],[补偿Coin]]&amp;",'"&amp;配置!$A$2&amp;"':"&amp;表1_8612182224267292[[#This Row],[补偿辎重]]&amp;"},"</f>
        <v>{'coin':1000,'item036':10},</v>
      </c>
      <c r="Y16" s="34" t="str">
        <f t="shared" ref="Y16" si="2">"      },"</f>
        <v>      },</v>
      </c>
    </row>
    <row r="17" customHeight="1" spans="1:25">
      <c r="A17" s="17">
        <v>187</v>
      </c>
      <c r="B17" s="17">
        <f>VLOOKUP(表1_8612182224267292[[#This Row],[区服]],$P$35:$Q$52,2,FALSE)</f>
        <v>52</v>
      </c>
      <c r="C17" s="18" t="s">
        <v>187</v>
      </c>
      <c r="D17" s="19" t="str">
        <f>表1_8612182224267292[[#This Row],[目标国家]]</f>
        <v>吴</v>
      </c>
      <c r="E17" s="20">
        <f>(VLOOKUP(表1_8612182224267292[[#This Row],[目标区服]],$R$35:$S$43,2,FALSE)-表1_8612182224267292[[#This Row],[开服天数]])*配置!$B$1</f>
        <v>1500</v>
      </c>
      <c r="F17" s="20">
        <f>表1_8612182224267292[[#This Row],[补偿Coin]]*(表1_8612182224267292[[#This Row],[活跃高战玩家数]]+表1_8612182224267292[[#This Row],[活跃中坚玩家数]])</f>
        <v>31500</v>
      </c>
      <c r="G17" s="20">
        <f>(VLOOKUP(表1_8612182224267292[[#This Row],[目标区服]],$R$35:$S$43,2,FALSE)-表1_8612182224267292[[#This Row],[开服天数]])*配置!$B$2</f>
        <v>15</v>
      </c>
      <c r="H17" s="19" t="s">
        <v>25</v>
      </c>
      <c r="I17" s="19">
        <f>IF(表1_8612182224267292[[#This Row],[原国家]]="魏",0,IF(表1_8612182224267292[[#This Row],[原国家]]="蜀",1,2))</f>
        <v>0</v>
      </c>
      <c r="J17" s="20">
        <v>3</v>
      </c>
      <c r="K17" s="20">
        <v>118</v>
      </c>
      <c r="L17" s="20">
        <v>3</v>
      </c>
      <c r="M17" s="20">
        <v>18</v>
      </c>
      <c r="N17" s="20">
        <v>81029</v>
      </c>
      <c r="O17" s="20">
        <v>4445314</v>
      </c>
      <c r="P17" s="26">
        <v>27874776</v>
      </c>
      <c r="Q17" s="31" t="s">
        <v>27</v>
      </c>
      <c r="R17" s="19">
        <f>IF(表1_8612182224267292[[#This Row],[目标国家]]="魏",0,IF(表1_8612182224267292[[#This Row],[目标国家]]="蜀",1,2))</f>
        <v>2</v>
      </c>
      <c r="S17" s="20">
        <v>216840</v>
      </c>
      <c r="T17" s="20">
        <v>0</v>
      </c>
      <c r="U17" s="20">
        <v>550997</v>
      </c>
      <c r="V17" s="20">
        <v>15898</v>
      </c>
      <c r="W17" s="32">
        <v>1172219</v>
      </c>
      <c r="X17" s="33" t="str">
        <f>"{"&amp;"'coin':"&amp;表1_8612182224267292[[#This Row],[补偿Coin]]&amp;",'"&amp;配置!$A$2&amp;"':"&amp;表1_8612182224267292[[#This Row],[补偿辎重]]&amp;"},"</f>
        <v>{'coin':1500,'item036':15},</v>
      </c>
      <c r="Y17" s="34" t="str">
        <f>"      '"&amp;表1_8612182224267292[[#This Row],[区服]]&amp;"':{"</f>
        <v>      '187':{</v>
      </c>
    </row>
    <row r="18" customHeight="1" spans="1:25">
      <c r="A18" s="17">
        <v>187</v>
      </c>
      <c r="B18" s="17">
        <f>VLOOKUP(表1_8612182224267292[[#This Row],[区服]],$P$35:$Q$52,2,FALSE)</f>
        <v>52</v>
      </c>
      <c r="C18" s="18" t="s">
        <v>187</v>
      </c>
      <c r="D18" s="19" t="str">
        <f>表1_8612182224267292[[#This Row],[目标国家]]</f>
        <v>蜀</v>
      </c>
      <c r="E18" s="20">
        <f>(VLOOKUP(表1_8612182224267292[[#This Row],[目标区服]],$R$35:$S$43,2,FALSE)-表1_8612182224267292[[#This Row],[开服天数]])*配置!$B$1</f>
        <v>1500</v>
      </c>
      <c r="F18" s="20">
        <f>表1_8612182224267292[[#This Row],[补偿Coin]]*(表1_8612182224267292[[#This Row],[活跃高战玩家数]]+表1_8612182224267292[[#This Row],[活跃中坚玩家数]])</f>
        <v>46500</v>
      </c>
      <c r="G18" s="20">
        <f>(VLOOKUP(表1_8612182224267292[[#This Row],[目标区服]],$R$35:$S$43,2,FALSE)-表1_8612182224267292[[#This Row],[开服天数]])*配置!$B$2</f>
        <v>15</v>
      </c>
      <c r="H18" s="19" t="s">
        <v>26</v>
      </c>
      <c r="I18" s="19">
        <f>IF(表1_8612182224267292[[#This Row],[原国家]]="魏",0,IF(表1_8612182224267292[[#This Row],[原国家]]="蜀",1,2))</f>
        <v>1</v>
      </c>
      <c r="J18" s="20">
        <v>3</v>
      </c>
      <c r="K18" s="20">
        <v>155</v>
      </c>
      <c r="L18" s="20">
        <v>4</v>
      </c>
      <c r="M18" s="20">
        <v>27</v>
      </c>
      <c r="N18" s="20">
        <v>128440</v>
      </c>
      <c r="O18" s="20">
        <v>4473657</v>
      </c>
      <c r="P18" s="26">
        <v>40954023</v>
      </c>
      <c r="Q18" s="31" t="s">
        <v>26</v>
      </c>
      <c r="R18" s="19">
        <f>IF(表1_8612182224267292[[#This Row],[目标国家]]="魏",0,IF(表1_8612182224267292[[#This Row],[目标国家]]="蜀",1,2))</f>
        <v>1</v>
      </c>
      <c r="S18" s="20">
        <v>241442</v>
      </c>
      <c r="T18" s="20">
        <v>0</v>
      </c>
      <c r="U18" s="20">
        <v>649376</v>
      </c>
      <c r="V18" s="20">
        <v>18629</v>
      </c>
      <c r="W18" s="32">
        <v>1189289</v>
      </c>
      <c r="X18" s="33" t="str">
        <f>"{"&amp;"'coin':"&amp;表1_8612182224267292[[#This Row],[补偿Coin]]&amp;",'"&amp;配置!$A$2&amp;"':"&amp;表1_8612182224267292[[#This Row],[补偿辎重]]&amp;"},"</f>
        <v>{'coin':1500,'item036':15},</v>
      </c>
      <c r="Y18" s="34" t="str">
        <f>"            'to_zone':'"&amp;表1_8612182224267292[[#This Row],[目标区服]]&amp;"',
            'reward':"&amp;表1_8612182224267292[[#This Row],[辅助导出]]&amp;"
            'country':["&amp;R17&amp;","&amp;R18&amp;","&amp;R19&amp;"],"</f>
        <v>            'to_zone':'h1_80',
            'reward':{'coin':1500,'item036':15},
            'country':[2,1,2],</v>
      </c>
    </row>
    <row r="19" customHeight="1" spans="1:25">
      <c r="A19" s="17">
        <v>187</v>
      </c>
      <c r="B19" s="17">
        <f>VLOOKUP(表1_8612182224267292[[#This Row],[区服]],$P$35:$Q$52,2,FALSE)</f>
        <v>52</v>
      </c>
      <c r="C19" s="18" t="s">
        <v>187</v>
      </c>
      <c r="D19" s="19" t="str">
        <f>表1_8612182224267292[[#This Row],[目标国家]]</f>
        <v>吴</v>
      </c>
      <c r="E19" s="20">
        <f>(VLOOKUP(表1_8612182224267292[[#This Row],[目标区服]],$R$35:$S$43,2,FALSE)-表1_8612182224267292[[#This Row],[开服天数]])*配置!$B$1</f>
        <v>1500</v>
      </c>
      <c r="F19" s="20">
        <f>表1_8612182224267292[[#This Row],[补偿Coin]]*(表1_8612182224267292[[#This Row],[活跃高战玩家数]]+表1_8612182224267292[[#This Row],[活跃中坚玩家数]])</f>
        <v>36000</v>
      </c>
      <c r="G19" s="20">
        <f>(VLOOKUP(表1_8612182224267292[[#This Row],[目标区服]],$R$35:$S$43,2,FALSE)-表1_8612182224267292[[#This Row],[开服天数]])*配置!$B$2</f>
        <v>15</v>
      </c>
      <c r="H19" s="19" t="s">
        <v>27</v>
      </c>
      <c r="I19" s="19">
        <f>IF(表1_8612182224267292[[#This Row],[原国家]]="魏",0,IF(表1_8612182224267292[[#This Row],[原国家]]="蜀",1,2))</f>
        <v>2</v>
      </c>
      <c r="J19" s="20">
        <v>3</v>
      </c>
      <c r="K19" s="20">
        <v>122</v>
      </c>
      <c r="L19" s="20">
        <v>2</v>
      </c>
      <c r="M19" s="20">
        <v>22</v>
      </c>
      <c r="N19" s="20">
        <v>88807</v>
      </c>
      <c r="O19" s="20">
        <v>4112161</v>
      </c>
      <c r="P19" s="26">
        <v>27992531</v>
      </c>
      <c r="Q19" s="31" t="s">
        <v>27</v>
      </c>
      <c r="R19" s="19">
        <f>IF(表1_8612182224267292[[#This Row],[目标国家]]="魏",0,IF(表1_8612182224267292[[#This Row],[目标国家]]="蜀",1,2))</f>
        <v>2</v>
      </c>
      <c r="S19" s="20">
        <v>126814</v>
      </c>
      <c r="T19" s="20">
        <v>0</v>
      </c>
      <c r="U19" s="20">
        <v>522362</v>
      </c>
      <c r="V19" s="20">
        <v>12941</v>
      </c>
      <c r="W19" s="32">
        <v>1243598</v>
      </c>
      <c r="X19" s="33" t="str">
        <f>"{"&amp;"'coin':"&amp;表1_8612182224267292[[#This Row],[补偿Coin]]&amp;",'"&amp;配置!$A$2&amp;"':"&amp;表1_8612182224267292[[#This Row],[补偿辎重]]&amp;"},"</f>
        <v>{'coin':1500,'item036':15},</v>
      </c>
      <c r="Y19" s="34" t="str">
        <f t="shared" ref="Y19" si="3">"      },"</f>
        <v>      },</v>
      </c>
    </row>
    <row r="20" customHeight="1" spans="1:25">
      <c r="A20" s="214">
        <v>188</v>
      </c>
      <c r="B20" s="214">
        <f>VLOOKUP(表1_8612182224267292[[#This Row],[区服]],$P$35:$Q$52,2,FALSE)</f>
        <v>51</v>
      </c>
      <c r="C20" s="293" t="s">
        <v>188</v>
      </c>
      <c r="D20" s="216" t="str">
        <f>表1_8612182224267292[[#This Row],[目标国家]]</f>
        <v>魏</v>
      </c>
      <c r="E20" s="217">
        <f>(VLOOKUP(表1_8612182224267292[[#This Row],[目标区服]],$R$35:$S$43,2,FALSE)-表1_8612182224267292[[#This Row],[开服天数]])*配置!$B$1</f>
        <v>1000</v>
      </c>
      <c r="F20" s="217">
        <f>表1_8612182224267292[[#This Row],[补偿Coin]]*(表1_8612182224267292[[#This Row],[活跃高战玩家数]]+表1_8612182224267292[[#This Row],[活跃中坚玩家数]])</f>
        <v>25000</v>
      </c>
      <c r="G20" s="217">
        <f>(VLOOKUP(表1_8612182224267292[[#This Row],[目标区服]],$R$35:$S$43,2,FALSE)-表1_8612182224267292[[#This Row],[开服天数]])*配置!$B$2</f>
        <v>10</v>
      </c>
      <c r="H20" s="216" t="s">
        <v>25</v>
      </c>
      <c r="I20" s="216">
        <f>IF(表1_8612182224267292[[#This Row],[原国家]]="魏",0,IF(表1_8612182224267292[[#This Row],[原国家]]="蜀",1,2))</f>
        <v>0</v>
      </c>
      <c r="J20" s="217">
        <v>3</v>
      </c>
      <c r="K20" s="217">
        <v>159</v>
      </c>
      <c r="L20" s="217">
        <v>7</v>
      </c>
      <c r="M20" s="217">
        <v>18</v>
      </c>
      <c r="N20" s="217">
        <v>106559</v>
      </c>
      <c r="O20" s="217">
        <v>3954481</v>
      </c>
      <c r="P20" s="334">
        <v>29312809</v>
      </c>
      <c r="Q20" s="247" t="s">
        <v>25</v>
      </c>
      <c r="R20" s="216">
        <f>IF(表1_8612182224267292[[#This Row],[目标国家]]="魏",0,IF(表1_8612182224267292[[#This Row],[目标国家]]="蜀",1,2))</f>
        <v>0</v>
      </c>
      <c r="S20" s="217">
        <v>104718</v>
      </c>
      <c r="T20" s="217">
        <v>0</v>
      </c>
      <c r="U20" s="217">
        <v>471593</v>
      </c>
      <c r="V20" s="217">
        <v>12685</v>
      </c>
      <c r="W20" s="294">
        <v>1116322</v>
      </c>
      <c r="X20" s="249" t="str">
        <f>"{"&amp;"'coin':"&amp;表1_8612182224267292[[#This Row],[补偿Coin]]&amp;",'"&amp;配置!$A$2&amp;"':"&amp;表1_8612182224267292[[#This Row],[补偿辎重]]&amp;"},"</f>
        <v>{'coin':1000,'item036':10},</v>
      </c>
      <c r="Y20" s="251" t="str">
        <f>"      '"&amp;表1_8612182224267292[[#This Row],[区服]]&amp;"':{"</f>
        <v>      '188':{</v>
      </c>
    </row>
    <row r="21" customHeight="1" spans="1:25">
      <c r="A21" s="214">
        <v>188</v>
      </c>
      <c r="B21" s="214">
        <f>VLOOKUP(表1_8612182224267292[[#This Row],[区服]],$P$35:$Q$52,2,FALSE)</f>
        <v>51</v>
      </c>
      <c r="C21" s="293" t="s">
        <v>188</v>
      </c>
      <c r="D21" s="216" t="str">
        <f>表1_8612182224267292[[#This Row],[目标国家]]</f>
        <v>蜀</v>
      </c>
      <c r="E21" s="217">
        <f>(VLOOKUP(表1_8612182224267292[[#This Row],[目标区服]],$R$35:$S$43,2,FALSE)-表1_8612182224267292[[#This Row],[开服天数]])*配置!$B$1</f>
        <v>1000</v>
      </c>
      <c r="F21" s="217">
        <f>表1_8612182224267292[[#This Row],[补偿Coin]]*(表1_8612182224267292[[#This Row],[活跃高战玩家数]]+表1_8612182224267292[[#This Row],[活跃中坚玩家数]])</f>
        <v>26000</v>
      </c>
      <c r="G21" s="217">
        <f>(VLOOKUP(表1_8612182224267292[[#This Row],[目标区服]],$R$35:$S$43,2,FALSE)-表1_8612182224267292[[#This Row],[开服天数]])*配置!$B$2</f>
        <v>10</v>
      </c>
      <c r="H21" s="216" t="s">
        <v>26</v>
      </c>
      <c r="I21" s="216">
        <f>IF(表1_8612182224267292[[#This Row],[原国家]]="魏",0,IF(表1_8612182224267292[[#This Row],[原国家]]="蜀",1,2))</f>
        <v>1</v>
      </c>
      <c r="J21" s="217">
        <v>3</v>
      </c>
      <c r="K21" s="217">
        <v>123</v>
      </c>
      <c r="L21" s="217">
        <v>2</v>
      </c>
      <c r="M21" s="217">
        <v>24</v>
      </c>
      <c r="N21" s="217">
        <v>88237</v>
      </c>
      <c r="O21" s="217">
        <v>4020237</v>
      </c>
      <c r="P21" s="334">
        <v>27634571</v>
      </c>
      <c r="Q21" s="247" t="s">
        <v>26</v>
      </c>
      <c r="R21" s="216">
        <f>IF(表1_8612182224267292[[#This Row],[目标国家]]="魏",0,IF(表1_8612182224267292[[#This Row],[目标国家]]="蜀",1,2))</f>
        <v>1</v>
      </c>
      <c r="S21" s="217">
        <v>168722</v>
      </c>
      <c r="T21" s="217">
        <v>0</v>
      </c>
      <c r="U21" s="217">
        <v>468922</v>
      </c>
      <c r="V21" s="217">
        <v>14051</v>
      </c>
      <c r="W21" s="294">
        <v>1491893</v>
      </c>
      <c r="X21" s="249" t="str">
        <f>"{"&amp;"'coin':"&amp;表1_8612182224267292[[#This Row],[补偿Coin]]&amp;",'"&amp;配置!$A$2&amp;"':"&amp;表1_8612182224267292[[#This Row],[补偿辎重]]&amp;"},"</f>
        <v>{'coin':1000,'item036':10},</v>
      </c>
      <c r="Y21" s="251" t="str">
        <f>"            'to_zone':'"&amp;表1_8612182224267292[[#This Row],[目标区服]]&amp;"',
            'reward':"&amp;表1_8612182224267292[[#This Row],[辅助导出]]&amp;"
            'country':["&amp;R20&amp;","&amp;R21&amp;","&amp;R22&amp;"],"</f>
        <v>            'to_zone':'h1_81',
            'reward':{'coin':1000,'item036':10},
            'country':[0,1,1],</v>
      </c>
    </row>
    <row r="22" customHeight="1" spans="1:25">
      <c r="A22" s="214">
        <v>188</v>
      </c>
      <c r="B22" s="214">
        <f>VLOOKUP(表1_8612182224267292[[#This Row],[区服]],$P$35:$Q$52,2,FALSE)</f>
        <v>51</v>
      </c>
      <c r="C22" s="293" t="s">
        <v>188</v>
      </c>
      <c r="D22" s="216" t="str">
        <f>表1_8612182224267292[[#This Row],[目标国家]]</f>
        <v>蜀</v>
      </c>
      <c r="E22" s="217">
        <f>(VLOOKUP(表1_8612182224267292[[#This Row],[目标区服]],$R$35:$S$43,2,FALSE)-表1_8612182224267292[[#This Row],[开服天数]])*配置!$B$1</f>
        <v>1000</v>
      </c>
      <c r="F22" s="217">
        <f>表1_8612182224267292[[#This Row],[补偿Coin]]*(表1_8612182224267292[[#This Row],[活跃高战玩家数]]+表1_8612182224267292[[#This Row],[活跃中坚玩家数]])</f>
        <v>27000</v>
      </c>
      <c r="G22" s="217">
        <f>(VLOOKUP(表1_8612182224267292[[#This Row],[目标区服]],$R$35:$S$43,2,FALSE)-表1_8612182224267292[[#This Row],[开服天数]])*配置!$B$2</f>
        <v>10</v>
      </c>
      <c r="H22" s="216" t="s">
        <v>27</v>
      </c>
      <c r="I22" s="216">
        <f>IF(表1_8612182224267292[[#This Row],[原国家]]="魏",0,IF(表1_8612182224267292[[#This Row],[原国家]]="蜀",1,2))</f>
        <v>2</v>
      </c>
      <c r="J22" s="217">
        <v>3</v>
      </c>
      <c r="K22" s="217">
        <v>113</v>
      </c>
      <c r="L22" s="217">
        <v>1</v>
      </c>
      <c r="M22" s="217">
        <v>26</v>
      </c>
      <c r="N22" s="217">
        <v>107499</v>
      </c>
      <c r="O22" s="217">
        <v>2654145</v>
      </c>
      <c r="P22" s="334">
        <v>27357437</v>
      </c>
      <c r="Q22" s="247" t="s">
        <v>26</v>
      </c>
      <c r="R22" s="216">
        <f>IF(表1_8612182224267292[[#This Row],[目标国家]]="魏",0,IF(表1_8612182224267292[[#This Row],[目标国家]]="蜀",1,2))</f>
        <v>1</v>
      </c>
      <c r="S22" s="217">
        <v>44088</v>
      </c>
      <c r="T22" s="217">
        <v>68</v>
      </c>
      <c r="U22" s="217">
        <v>525528</v>
      </c>
      <c r="V22" s="217">
        <v>8943</v>
      </c>
      <c r="W22" s="294">
        <v>834270</v>
      </c>
      <c r="X22" s="249" t="str">
        <f>"{"&amp;"'coin':"&amp;表1_8612182224267292[[#This Row],[补偿Coin]]&amp;",'"&amp;配置!$A$2&amp;"':"&amp;表1_8612182224267292[[#This Row],[补偿辎重]]&amp;"},"</f>
        <v>{'coin':1000,'item036':10},</v>
      </c>
      <c r="Y22" s="251" t="str">
        <f t="shared" ref="Y22" si="4">"      },"</f>
        <v>      },</v>
      </c>
    </row>
    <row r="23" customHeight="1" spans="1:25">
      <c r="A23" s="367">
        <v>189</v>
      </c>
      <c r="B23" s="214">
        <f>VLOOKUP(表1_8612182224267292[[#This Row],[区服]],$P$35:$Q$52,2,FALSE)</f>
        <v>50</v>
      </c>
      <c r="C23" s="293" t="s">
        <v>188</v>
      </c>
      <c r="D23" s="216" t="str">
        <f>表1_8612182224267292[[#This Row],[目标国家]]</f>
        <v>魏</v>
      </c>
      <c r="E23" s="413">
        <f>(VLOOKUP(表1_8612182224267292[[#This Row],[目标区服]],$R$35:$S$43,2,FALSE)-表1_8612182224267292[[#This Row],[开服天数]])*配置!$B$1</f>
        <v>1500</v>
      </c>
      <c r="F23" s="217">
        <f>表1_8612182224267292[[#This Row],[补偿Coin]]*(表1_8612182224267292[[#This Row],[活跃高战玩家数]]+表1_8612182224267292[[#This Row],[活跃中坚玩家数]])</f>
        <v>40500</v>
      </c>
      <c r="G23" s="368">
        <f>(VLOOKUP(表1_8612182224267292[[#This Row],[目标区服]],$R$35:$S$43,2,FALSE)-表1_8612182224267292[[#This Row],[开服天数]])*配置!$B$2</f>
        <v>15</v>
      </c>
      <c r="H23" s="216" t="s">
        <v>25</v>
      </c>
      <c r="I23" s="377">
        <f>IF(表1_8612182224267292[[#This Row],[原国家]]="魏",0,IF(表1_8612182224267292[[#This Row],[原国家]]="蜀",1,2))</f>
        <v>0</v>
      </c>
      <c r="J23" s="217">
        <v>4</v>
      </c>
      <c r="K23" s="217">
        <v>88</v>
      </c>
      <c r="L23" s="217">
        <v>4</v>
      </c>
      <c r="M23" s="217">
        <v>23</v>
      </c>
      <c r="N23" s="217">
        <v>96833</v>
      </c>
      <c r="O23" s="378">
        <v>3435947</v>
      </c>
      <c r="P23" s="334">
        <v>26710540</v>
      </c>
      <c r="Q23" s="247" t="s">
        <v>25</v>
      </c>
      <c r="R23" s="216">
        <f>IF(表1_8612182224267292[[#This Row],[目标国家]]="魏",0,IF(表1_8612182224267292[[#This Row],[目标国家]]="蜀",1,2))</f>
        <v>0</v>
      </c>
      <c r="S23" s="217">
        <v>84266</v>
      </c>
      <c r="T23" s="217">
        <v>0</v>
      </c>
      <c r="U23" s="217">
        <v>257842</v>
      </c>
      <c r="V23" s="217">
        <v>10528</v>
      </c>
      <c r="W23" s="488">
        <v>1008025</v>
      </c>
      <c r="X23" s="382" t="str">
        <f>"{"&amp;"'coin':"&amp;表1_8612182224267292[[#This Row],[补偿Coin]]&amp;",'"&amp;配置!$A$2&amp;"':"&amp;表1_8612182224267292[[#This Row],[补偿辎重]]&amp;"},"</f>
        <v>{'coin':1500,'item036':15},</v>
      </c>
      <c r="Y23" s="251" t="str">
        <f>"      '"&amp;表1_8612182224267292[[#This Row],[区服]]&amp;"':{"</f>
        <v>      '189':{</v>
      </c>
    </row>
    <row r="24" customHeight="1" spans="1:25">
      <c r="A24" s="367">
        <v>189</v>
      </c>
      <c r="B24" s="214">
        <f>VLOOKUP(表1_8612182224267292[[#This Row],[区服]],$P$35:$Q$52,2,FALSE)</f>
        <v>50</v>
      </c>
      <c r="C24" s="293" t="s">
        <v>188</v>
      </c>
      <c r="D24" s="216" t="str">
        <f>表1_8612182224267292[[#This Row],[目标国家]]</f>
        <v>吴</v>
      </c>
      <c r="E24" s="413">
        <f>(VLOOKUP(表1_8612182224267292[[#This Row],[目标区服]],$R$35:$S$43,2,FALSE)-表1_8612182224267292[[#This Row],[开服天数]])*配置!$B$1</f>
        <v>1500</v>
      </c>
      <c r="F24" s="217">
        <f>表1_8612182224267292[[#This Row],[补偿Coin]]*(表1_8612182224267292[[#This Row],[活跃高战玩家数]]+表1_8612182224267292[[#This Row],[活跃中坚玩家数]])</f>
        <v>37500</v>
      </c>
      <c r="G24" s="368">
        <f>(VLOOKUP(表1_8612182224267292[[#This Row],[目标区服]],$R$35:$S$43,2,FALSE)-表1_8612182224267292[[#This Row],[开服天数]])*配置!$B$2</f>
        <v>15</v>
      </c>
      <c r="H24" s="216" t="s">
        <v>26</v>
      </c>
      <c r="I24" s="377">
        <f>IF(表1_8612182224267292[[#This Row],[原国家]]="魏",0,IF(表1_8612182224267292[[#This Row],[原国家]]="蜀",1,2))</f>
        <v>1</v>
      </c>
      <c r="J24" s="217">
        <v>3</v>
      </c>
      <c r="K24" s="217">
        <v>184</v>
      </c>
      <c r="L24" s="217">
        <v>2</v>
      </c>
      <c r="M24" s="217">
        <v>23</v>
      </c>
      <c r="N24" s="217">
        <v>96789</v>
      </c>
      <c r="O24" s="378">
        <v>2314588</v>
      </c>
      <c r="P24" s="334">
        <v>23058859</v>
      </c>
      <c r="Q24" s="247" t="s">
        <v>27</v>
      </c>
      <c r="R24" s="216">
        <f>IF(表1_8612182224267292[[#This Row],[目标国家]]="魏",0,IF(表1_8612182224267292[[#This Row],[目标国家]]="蜀",1,2))</f>
        <v>2</v>
      </c>
      <c r="S24" s="217">
        <v>52216</v>
      </c>
      <c r="T24" s="217">
        <v>0</v>
      </c>
      <c r="U24" s="217">
        <v>269543</v>
      </c>
      <c r="V24" s="217">
        <v>8945</v>
      </c>
      <c r="W24" s="488">
        <v>710182</v>
      </c>
      <c r="X24" s="382" t="str">
        <f>"{"&amp;"'coin':"&amp;表1_8612182224267292[[#This Row],[补偿Coin]]&amp;",'"&amp;配置!$A$2&amp;"':"&amp;表1_8612182224267292[[#This Row],[补偿辎重]]&amp;"},"</f>
        <v>{'coin':1500,'item036':15},</v>
      </c>
      <c r="Y24" s="251" t="str">
        <f>"            'to_zone':'"&amp;表1_8612182224267292[[#This Row],[目标区服]]&amp;"',
            'reward':"&amp;表1_8612182224267292[[#This Row],[辅助导出]]&amp;"
            'country':["&amp;R23&amp;","&amp;R24&amp;","&amp;R25&amp;"],"</f>
        <v>            'to_zone':'h1_81',
            'reward':{'coin':1500,'item036':15},
            'country':[0,2,2],</v>
      </c>
    </row>
    <row r="25" customHeight="1" spans="1:25">
      <c r="A25" s="367">
        <v>189</v>
      </c>
      <c r="B25" s="214">
        <f>VLOOKUP(表1_8612182224267292[[#This Row],[区服]],$P$35:$Q$52,2,FALSE)</f>
        <v>50</v>
      </c>
      <c r="C25" s="293" t="s">
        <v>188</v>
      </c>
      <c r="D25" s="216" t="str">
        <f>表1_8612182224267292[[#This Row],[目标国家]]</f>
        <v>吴</v>
      </c>
      <c r="E25" s="413">
        <f>(VLOOKUP(表1_8612182224267292[[#This Row],[目标区服]],$R$35:$S$43,2,FALSE)-表1_8612182224267292[[#This Row],[开服天数]])*配置!$B$1</f>
        <v>1500</v>
      </c>
      <c r="F25" s="217">
        <f>表1_8612182224267292[[#This Row],[补偿Coin]]*(表1_8612182224267292[[#This Row],[活跃高战玩家数]]+表1_8612182224267292[[#This Row],[活跃中坚玩家数]])</f>
        <v>40500</v>
      </c>
      <c r="G25" s="368">
        <f>(VLOOKUP(表1_8612182224267292[[#This Row],[目标区服]],$R$35:$S$43,2,FALSE)-表1_8612182224267292[[#This Row],[开服天数]])*配置!$B$2</f>
        <v>15</v>
      </c>
      <c r="H25" s="216" t="s">
        <v>27</v>
      </c>
      <c r="I25" s="377">
        <f>IF(表1_8612182224267292[[#This Row],[原国家]]="魏",0,IF(表1_8612182224267292[[#This Row],[原国家]]="蜀",1,2))</f>
        <v>2</v>
      </c>
      <c r="J25" s="217">
        <v>2</v>
      </c>
      <c r="K25" s="217">
        <v>123</v>
      </c>
      <c r="L25" s="217">
        <v>3</v>
      </c>
      <c r="M25" s="217">
        <v>24</v>
      </c>
      <c r="N25" s="217">
        <v>105910</v>
      </c>
      <c r="O25" s="378">
        <v>3503337</v>
      </c>
      <c r="P25" s="334">
        <v>27650965</v>
      </c>
      <c r="Q25" s="247" t="s">
        <v>27</v>
      </c>
      <c r="R25" s="216">
        <f>IF(表1_8612182224267292[[#This Row],[目标国家]]="魏",0,IF(表1_8612182224267292[[#This Row],[目标国家]]="蜀",1,2))</f>
        <v>2</v>
      </c>
      <c r="S25" s="217">
        <v>103130</v>
      </c>
      <c r="T25" s="217">
        <v>0</v>
      </c>
      <c r="U25" s="217">
        <v>445257</v>
      </c>
      <c r="V25" s="217">
        <v>11544</v>
      </c>
      <c r="W25" s="488">
        <v>1331076</v>
      </c>
      <c r="X25" s="382" t="str">
        <f>"{"&amp;"'coin':"&amp;表1_8612182224267292[[#This Row],[补偿Coin]]&amp;",'"&amp;配置!$A$2&amp;"':"&amp;表1_8612182224267292[[#This Row],[补偿辎重]]&amp;"},"</f>
        <v>{'coin':1500,'item036':15},</v>
      </c>
      <c r="Y25" s="251" t="str">
        <f t="shared" ref="Y25:Y31" si="5">"      },"</f>
        <v>      },</v>
      </c>
    </row>
    <row r="26" customHeight="1" spans="1:25">
      <c r="A26" s="370">
        <v>190</v>
      </c>
      <c r="B26" s="81">
        <f>VLOOKUP(表1_8612182224267292[[#This Row],[区服]],$P$35:$Q$52,2,FALSE)</f>
        <v>49</v>
      </c>
      <c r="C26" s="485" t="s">
        <v>189</v>
      </c>
      <c r="D26" s="83" t="str">
        <f>表1_8612182224267292[[#This Row],[目标国家]]</f>
        <v>魏</v>
      </c>
      <c r="E26" s="415">
        <f>(VLOOKUP(表1_8612182224267292[[#This Row],[目标区服]],$R$35:$S$43,2,FALSE)-表1_8612182224267292[[#This Row],[开服天数]])*配置!$B$1</f>
        <v>1000</v>
      </c>
      <c r="F26" s="85">
        <f>表1_8612182224267292[[#This Row],[补偿Coin]]*(表1_8612182224267292[[#This Row],[活跃高战玩家数]]+表1_8612182224267292[[#This Row],[活跃中坚玩家数]])</f>
        <v>29000</v>
      </c>
      <c r="G26" s="416">
        <f>(VLOOKUP(表1_8612182224267292[[#This Row],[目标区服]],$R$35:$S$43,2,FALSE)-表1_8612182224267292[[#This Row],[开服天数]])*配置!$B$2</f>
        <v>10</v>
      </c>
      <c r="H26" s="83" t="s">
        <v>25</v>
      </c>
      <c r="I26" s="421">
        <f>IF(表1_8612182224267292[[#This Row],[原国家]]="魏",0,IF(表1_8612182224267292[[#This Row],[原国家]]="蜀",1,2))</f>
        <v>0</v>
      </c>
      <c r="J26" s="85">
        <v>7</v>
      </c>
      <c r="K26" s="85">
        <v>233</v>
      </c>
      <c r="L26" s="85">
        <v>4</v>
      </c>
      <c r="M26" s="85">
        <v>25</v>
      </c>
      <c r="N26" s="85">
        <v>136058</v>
      </c>
      <c r="O26" s="422">
        <v>3933232</v>
      </c>
      <c r="P26" s="379">
        <v>32907168</v>
      </c>
      <c r="Q26" s="128" t="s">
        <v>25</v>
      </c>
      <c r="R26" s="83">
        <f>IF(表1_8612182224267292[[#This Row],[目标国家]]="魏",0,IF(表1_8612182224267292[[#This Row],[目标国家]]="蜀",1,2))</f>
        <v>0</v>
      </c>
      <c r="S26" s="85">
        <v>96806</v>
      </c>
      <c r="T26" s="85">
        <v>6228</v>
      </c>
      <c r="U26" s="85">
        <v>880713</v>
      </c>
      <c r="V26" s="85">
        <v>14341</v>
      </c>
      <c r="W26" s="489">
        <v>1250864</v>
      </c>
      <c r="X26" s="431" t="str">
        <f>"{"&amp;"'coin':"&amp;表1_8612182224267292[[#This Row],[补偿Coin]]&amp;",'"&amp;配置!$A$2&amp;"':"&amp;表1_8612182224267292[[#This Row],[补偿辎重]]&amp;"},"</f>
        <v>{'coin':1000,'item036':10},</v>
      </c>
      <c r="Y26" s="149" t="str">
        <f>"      '"&amp;表1_8612182224267292[[#This Row],[区服]]&amp;"':{"</f>
        <v>      '190':{</v>
      </c>
    </row>
    <row r="27" customHeight="1" spans="1:25">
      <c r="A27" s="370">
        <v>190</v>
      </c>
      <c r="B27" s="81">
        <f>VLOOKUP(表1_8612182224267292[[#This Row],[区服]],$P$35:$Q$52,2,FALSE)</f>
        <v>49</v>
      </c>
      <c r="C27" s="485" t="s">
        <v>189</v>
      </c>
      <c r="D27" s="83" t="str">
        <f>表1_8612182224267292[[#This Row],[目标国家]]</f>
        <v>吴</v>
      </c>
      <c r="E27" s="415">
        <f>(VLOOKUP(表1_8612182224267292[[#This Row],[目标区服]],$R$35:$S$43,2,FALSE)-表1_8612182224267292[[#This Row],[开服天数]])*配置!$B$1</f>
        <v>1000</v>
      </c>
      <c r="F27" s="85">
        <f>表1_8612182224267292[[#This Row],[补偿Coin]]*(表1_8612182224267292[[#This Row],[活跃高战玩家数]]+表1_8612182224267292[[#This Row],[活跃中坚玩家数]])</f>
        <v>15000</v>
      </c>
      <c r="G27" s="416">
        <f>(VLOOKUP(表1_8612182224267292[[#This Row],[目标区服]],$R$35:$S$43,2,FALSE)-表1_8612182224267292[[#This Row],[开服天数]])*配置!$B$2</f>
        <v>10</v>
      </c>
      <c r="H27" s="83" t="s">
        <v>26</v>
      </c>
      <c r="I27" s="421">
        <f>IF(表1_8612182224267292[[#This Row],[原国家]]="魏",0,IF(表1_8612182224267292[[#This Row],[原国家]]="蜀",1,2))</f>
        <v>1</v>
      </c>
      <c r="J27" s="85">
        <v>1</v>
      </c>
      <c r="K27" s="85">
        <v>87</v>
      </c>
      <c r="L27" s="85">
        <v>1</v>
      </c>
      <c r="M27" s="85">
        <v>14</v>
      </c>
      <c r="N27" s="85">
        <v>38075</v>
      </c>
      <c r="O27" s="422">
        <v>1905589</v>
      </c>
      <c r="P27" s="379">
        <v>10997564</v>
      </c>
      <c r="Q27" s="128" t="s">
        <v>27</v>
      </c>
      <c r="R27" s="83">
        <f>IF(表1_8612182224267292[[#This Row],[目标国家]]="魏",0,IF(表1_8612182224267292[[#This Row],[目标国家]]="蜀",1,2))</f>
        <v>2</v>
      </c>
      <c r="S27" s="85">
        <v>32262</v>
      </c>
      <c r="T27" s="85">
        <v>0</v>
      </c>
      <c r="U27" s="85">
        <v>228688</v>
      </c>
      <c r="V27" s="85">
        <v>5247</v>
      </c>
      <c r="W27" s="489">
        <v>611177</v>
      </c>
      <c r="X27" s="431" t="str">
        <f>"{"&amp;"'coin':"&amp;表1_8612182224267292[[#This Row],[补偿Coin]]&amp;",'"&amp;配置!$A$2&amp;"':"&amp;表1_8612182224267292[[#This Row],[补偿辎重]]&amp;"},"</f>
        <v>{'coin':1000,'item036':10},</v>
      </c>
      <c r="Y27" s="149" t="str">
        <f>"            'to_zone':'"&amp;表1_8612182224267292[[#This Row],[目标区服]]&amp;"',
            'reward':"&amp;表1_8612182224267292[[#This Row],[辅助导出]]&amp;"
            'country':["&amp;R26&amp;","&amp;R27&amp;","&amp;R28&amp;"],"</f>
        <v>            'to_zone':'h1_82',
            'reward':{'coin':1000,'item036':10},
            'country':[0,2,1],</v>
      </c>
    </row>
    <row r="28" customHeight="1" spans="1:25">
      <c r="A28" s="370">
        <v>190</v>
      </c>
      <c r="B28" s="81">
        <f>VLOOKUP(表1_8612182224267292[[#This Row],[区服]],$P$35:$Q$52,2,FALSE)</f>
        <v>49</v>
      </c>
      <c r="C28" s="485" t="s">
        <v>189</v>
      </c>
      <c r="D28" s="83" t="str">
        <f>表1_8612182224267292[[#This Row],[目标国家]]</f>
        <v>蜀</v>
      </c>
      <c r="E28" s="415">
        <f>(VLOOKUP(表1_8612182224267292[[#This Row],[目标区服]],$R$35:$S$43,2,FALSE)-表1_8612182224267292[[#This Row],[开服天数]])*配置!$B$1</f>
        <v>1000</v>
      </c>
      <c r="F28" s="85">
        <f>表1_8612182224267292[[#This Row],[补偿Coin]]*(表1_8612182224267292[[#This Row],[活跃高战玩家数]]+表1_8612182224267292[[#This Row],[活跃中坚玩家数]])</f>
        <v>28000</v>
      </c>
      <c r="G28" s="416">
        <f>(VLOOKUP(表1_8612182224267292[[#This Row],[目标区服]],$R$35:$S$43,2,FALSE)-表1_8612182224267292[[#This Row],[开服天数]])*配置!$B$2</f>
        <v>10</v>
      </c>
      <c r="H28" s="83" t="s">
        <v>27</v>
      </c>
      <c r="I28" s="421">
        <f>IF(表1_8612182224267292[[#This Row],[原国家]]="魏",0,IF(表1_8612182224267292[[#This Row],[原国家]]="蜀",1,2))</f>
        <v>2</v>
      </c>
      <c r="J28" s="85">
        <v>1</v>
      </c>
      <c r="K28" s="85">
        <v>75</v>
      </c>
      <c r="L28" s="85">
        <v>5</v>
      </c>
      <c r="M28" s="85">
        <v>23</v>
      </c>
      <c r="N28" s="85">
        <v>129756</v>
      </c>
      <c r="O28" s="422">
        <v>3310982</v>
      </c>
      <c r="P28" s="379">
        <v>31070923</v>
      </c>
      <c r="Q28" s="128" t="s">
        <v>26</v>
      </c>
      <c r="R28" s="83">
        <f>IF(表1_8612182224267292[[#This Row],[目标国家]]="魏",0,IF(表1_8612182224267292[[#This Row],[目标国家]]="蜀",1,2))</f>
        <v>1</v>
      </c>
      <c r="S28" s="85">
        <v>144018</v>
      </c>
      <c r="T28" s="85">
        <v>0</v>
      </c>
      <c r="U28" s="85">
        <v>235818</v>
      </c>
      <c r="V28" s="85">
        <v>12355</v>
      </c>
      <c r="W28" s="489">
        <v>888893</v>
      </c>
      <c r="X28" s="431" t="str">
        <f>"{"&amp;"'coin':"&amp;表1_8612182224267292[[#This Row],[补偿Coin]]&amp;",'"&amp;配置!$A$2&amp;"':"&amp;表1_8612182224267292[[#This Row],[补偿辎重]]&amp;"},"</f>
        <v>{'coin':1000,'item036':10},</v>
      </c>
      <c r="Y28" s="149" t="str">
        <f t="shared" si="5"/>
        <v>      },</v>
      </c>
    </row>
    <row r="29" customHeight="1" spans="1:25">
      <c r="A29" s="370">
        <v>191</v>
      </c>
      <c r="B29" s="81">
        <f>VLOOKUP(表1_8612182224267292[[#This Row],[区服]],$P$35:$Q$52,2,FALSE)</f>
        <v>48</v>
      </c>
      <c r="C29" s="485" t="s">
        <v>189</v>
      </c>
      <c r="D29" s="83" t="str">
        <f>表1_8612182224267292[[#This Row],[目标国家]]</f>
        <v>魏</v>
      </c>
      <c r="E29" s="415">
        <f>(VLOOKUP(表1_8612182224267292[[#This Row],[目标区服]],$R$35:$S$43,2,FALSE)-表1_8612182224267292[[#This Row],[开服天数]])*配置!$B$1</f>
        <v>1500</v>
      </c>
      <c r="F29" s="85">
        <f>表1_8612182224267292[[#This Row],[补偿Coin]]*(表1_8612182224267292[[#This Row],[活跃高战玩家数]]+表1_8612182224267292[[#This Row],[活跃中坚玩家数]])</f>
        <v>22500</v>
      </c>
      <c r="G29" s="416">
        <f>(VLOOKUP(表1_8612182224267292[[#This Row],[目标区服]],$R$35:$S$43,2,FALSE)-表1_8612182224267292[[#This Row],[开服天数]])*配置!$B$2</f>
        <v>15</v>
      </c>
      <c r="H29" s="83" t="s">
        <v>25</v>
      </c>
      <c r="I29" s="421">
        <f>IF(表1_8612182224267292[[#This Row],[原国家]]="魏",0,IF(表1_8612182224267292[[#This Row],[原国家]]="蜀",1,2))</f>
        <v>0</v>
      </c>
      <c r="J29" s="85">
        <v>2</v>
      </c>
      <c r="K29" s="85">
        <v>57</v>
      </c>
      <c r="L29" s="85">
        <v>0</v>
      </c>
      <c r="M29" s="85">
        <v>15</v>
      </c>
      <c r="N29" s="85">
        <v>29629</v>
      </c>
      <c r="O29" s="422">
        <v>1360701</v>
      </c>
      <c r="P29" s="379">
        <v>10713327</v>
      </c>
      <c r="Q29" s="128" t="s">
        <v>25</v>
      </c>
      <c r="R29" s="83">
        <f>IF(表1_8612182224267292[[#This Row],[目标国家]]="魏",0,IF(表1_8612182224267292[[#This Row],[目标国家]]="蜀",1,2))</f>
        <v>0</v>
      </c>
      <c r="S29" s="85">
        <v>14106</v>
      </c>
      <c r="T29" s="85">
        <v>0</v>
      </c>
      <c r="U29" s="85">
        <v>159474</v>
      </c>
      <c r="V29" s="85">
        <v>3853</v>
      </c>
      <c r="W29" s="489">
        <v>458472</v>
      </c>
      <c r="X29" s="431" t="str">
        <f>"{"&amp;"'coin':"&amp;表1_8612182224267292[[#This Row],[补偿Coin]]&amp;",'"&amp;配置!$A$2&amp;"':"&amp;表1_8612182224267292[[#This Row],[补偿辎重]]&amp;"},"</f>
        <v>{'coin':1500,'item036':15},</v>
      </c>
      <c r="Y29" s="149" t="str">
        <f>"      '"&amp;表1_8612182224267292[[#This Row],[区服]]&amp;"':{"</f>
        <v>      '191':{</v>
      </c>
    </row>
    <row r="30" customHeight="1" spans="1:25">
      <c r="A30" s="370">
        <v>191</v>
      </c>
      <c r="B30" s="81">
        <f>VLOOKUP(表1_8612182224267292[[#This Row],[区服]],$P$35:$Q$52,2,FALSE)</f>
        <v>48</v>
      </c>
      <c r="C30" s="485" t="s">
        <v>189</v>
      </c>
      <c r="D30" s="83" t="str">
        <f>表1_8612182224267292[[#This Row],[目标国家]]</f>
        <v>蜀</v>
      </c>
      <c r="E30" s="415">
        <f>(VLOOKUP(表1_8612182224267292[[#This Row],[目标区服]],$R$35:$S$43,2,FALSE)-表1_8612182224267292[[#This Row],[开服天数]])*配置!$B$1</f>
        <v>1500</v>
      </c>
      <c r="F30" s="85">
        <f>表1_8612182224267292[[#This Row],[补偿Coin]]*(表1_8612182224267292[[#This Row],[活跃高战玩家数]]+表1_8612182224267292[[#This Row],[活跃中坚玩家数]])</f>
        <v>46500</v>
      </c>
      <c r="G30" s="416">
        <f>(VLOOKUP(表1_8612182224267292[[#This Row],[目标区服]],$R$35:$S$43,2,FALSE)-表1_8612182224267292[[#This Row],[开服天数]])*配置!$B$2</f>
        <v>15</v>
      </c>
      <c r="H30" s="83" t="s">
        <v>26</v>
      </c>
      <c r="I30" s="421">
        <f>IF(表1_8612182224267292[[#This Row],[原国家]]="魏",0,IF(表1_8612182224267292[[#This Row],[原国家]]="蜀",1,2))</f>
        <v>1</v>
      </c>
      <c r="J30" s="85">
        <v>3</v>
      </c>
      <c r="K30" s="85">
        <v>173</v>
      </c>
      <c r="L30" s="85">
        <v>2</v>
      </c>
      <c r="M30" s="85">
        <v>29</v>
      </c>
      <c r="N30" s="85">
        <v>115357</v>
      </c>
      <c r="O30" s="422">
        <v>2591586</v>
      </c>
      <c r="P30" s="379">
        <v>29528807</v>
      </c>
      <c r="Q30" s="128" t="s">
        <v>26</v>
      </c>
      <c r="R30" s="83">
        <f>IF(表1_8612182224267292[[#This Row],[目标国家]]="魏",0,IF(表1_8612182224267292[[#This Row],[目标国家]]="蜀",1,2))</f>
        <v>1</v>
      </c>
      <c r="S30" s="85">
        <v>58304</v>
      </c>
      <c r="T30" s="85">
        <v>0</v>
      </c>
      <c r="U30" s="85">
        <v>394171</v>
      </c>
      <c r="V30" s="85">
        <v>10097</v>
      </c>
      <c r="W30" s="489">
        <v>732222</v>
      </c>
      <c r="X30" s="431" t="str">
        <f>"{"&amp;"'coin':"&amp;表1_8612182224267292[[#This Row],[补偿Coin]]&amp;",'"&amp;配置!$A$2&amp;"':"&amp;表1_8612182224267292[[#This Row],[补偿辎重]]&amp;"},"</f>
        <v>{'coin':1500,'item036':15},</v>
      </c>
      <c r="Y30" s="149" t="str">
        <f>"            'to_zone':'"&amp;表1_8612182224267292[[#This Row],[目标区服]]&amp;"',
            'reward':"&amp;表1_8612182224267292[[#This Row],[辅助导出]]&amp;"
            'country':["&amp;R29&amp;","&amp;R30&amp;","&amp;R31&amp;"],"</f>
        <v>            'to_zone':'h1_82',
            'reward':{'coin':1500,'item036':15},
            'country':[0,1,2],</v>
      </c>
    </row>
    <row r="31" customHeight="1" spans="1:25">
      <c r="A31" s="370">
        <v>191</v>
      </c>
      <c r="B31" s="81">
        <f>VLOOKUP(表1_8612182224267292[[#This Row],[区服]],$P$35:$Q$52,2,FALSE)</f>
        <v>48</v>
      </c>
      <c r="C31" s="485" t="s">
        <v>189</v>
      </c>
      <c r="D31" s="83" t="str">
        <f>表1_8612182224267292[[#This Row],[目标国家]]</f>
        <v>吴</v>
      </c>
      <c r="E31" s="415">
        <f>(VLOOKUP(表1_8612182224267292[[#This Row],[目标区服]],$R$35:$S$43,2,FALSE)-表1_8612182224267292[[#This Row],[开服天数]])*配置!$B$1</f>
        <v>1500</v>
      </c>
      <c r="F31" s="85">
        <f>表1_8612182224267292[[#This Row],[补偿Coin]]*(表1_8612182224267292[[#This Row],[活跃高战玩家数]]+表1_8612182224267292[[#This Row],[活跃中坚玩家数]])</f>
        <v>60000</v>
      </c>
      <c r="G31" s="416">
        <f>(VLOOKUP(表1_8612182224267292[[#This Row],[目标区服]],$R$35:$S$43,2,FALSE)-表1_8612182224267292[[#This Row],[开服天数]])*配置!$B$2</f>
        <v>15</v>
      </c>
      <c r="H31" s="83" t="s">
        <v>27</v>
      </c>
      <c r="I31" s="421">
        <f>IF(表1_8612182224267292[[#This Row],[原国家]]="魏",0,IF(表1_8612182224267292[[#This Row],[原国家]]="蜀",1,2))</f>
        <v>2</v>
      </c>
      <c r="J31" s="85">
        <v>4</v>
      </c>
      <c r="K31" s="85">
        <v>165</v>
      </c>
      <c r="L31" s="85">
        <v>8</v>
      </c>
      <c r="M31" s="85">
        <v>32</v>
      </c>
      <c r="N31" s="85">
        <v>166013</v>
      </c>
      <c r="O31" s="422">
        <v>3552798</v>
      </c>
      <c r="P31" s="379">
        <v>43978124</v>
      </c>
      <c r="Q31" s="128" t="s">
        <v>27</v>
      </c>
      <c r="R31" s="83">
        <f>IF(表1_8612182224267292[[#This Row],[目标国家]]="魏",0,IF(表1_8612182224267292[[#This Row],[目标国家]]="蜀",1,2))</f>
        <v>2</v>
      </c>
      <c r="S31" s="85">
        <v>142156</v>
      </c>
      <c r="T31" s="85">
        <v>30</v>
      </c>
      <c r="U31" s="85">
        <v>761819</v>
      </c>
      <c r="V31" s="85">
        <v>15476</v>
      </c>
      <c r="W31" s="84">
        <v>988249</v>
      </c>
      <c r="X31" s="431" t="str">
        <f>"{"&amp;"'coin':"&amp;表1_8612182224267292[[#This Row],[补偿Coin]]&amp;",'"&amp;配置!$A$2&amp;"':"&amp;表1_8612182224267292[[#This Row],[补偿辎重]]&amp;"},"</f>
        <v>{'coin':1500,'item036':15},</v>
      </c>
      <c r="Y31" s="149" t="str">
        <f t="shared" si="5"/>
        <v>      },</v>
      </c>
    </row>
    <row r="34" ht="27" spans="1:19">
      <c r="A34" s="36" t="s">
        <v>28</v>
      </c>
      <c r="B34" s="37" t="s">
        <v>29</v>
      </c>
      <c r="C34" s="38" t="s">
        <v>30</v>
      </c>
      <c r="D34" s="38" t="s">
        <v>31</v>
      </c>
      <c r="E34" s="38" t="s">
        <v>32</v>
      </c>
      <c r="F34" s="38" t="s">
        <v>33</v>
      </c>
      <c r="G34" s="38" t="s">
        <v>15</v>
      </c>
      <c r="H34" s="37" t="s">
        <v>18</v>
      </c>
      <c r="I34" s="37" t="s">
        <v>19</v>
      </c>
      <c r="J34" s="37" t="s">
        <v>34</v>
      </c>
      <c r="K34" s="38" t="s">
        <v>35</v>
      </c>
      <c r="L34" s="38" t="s">
        <v>36</v>
      </c>
      <c r="M34" s="38" t="s">
        <v>37</v>
      </c>
      <c r="N34" s="38" t="s">
        <v>88</v>
      </c>
      <c r="P34" s="51" t="s">
        <v>0</v>
      </c>
      <c r="Q34" s="51" t="s">
        <v>1</v>
      </c>
      <c r="R34" s="51"/>
      <c r="S34" s="51" t="s">
        <v>38</v>
      </c>
    </row>
    <row r="35" ht="15" spans="1:19">
      <c r="A35" s="372" t="s">
        <v>185</v>
      </c>
      <c r="B35" s="39" t="s">
        <v>25</v>
      </c>
      <c r="C35" s="39">
        <f>COUNTIFS(表1_8612182224267292[目标区服],表2_9713192325277393[[#This Row],[合区区服]],表1_8612182224267292[目标国家（映射）],表2_9713192325277393[[#This Row],[国家]])</f>
        <v>2</v>
      </c>
      <c r="D35" s="39">
        <f>SUMIFS(表1_8612182224267292[活跃高战玩家数],表1_8612182224267292[目标区服],表2_9713192325277393[[#This Row],[合区区服]],表1_8612182224267292[目标国家（映射）],表2_9713192325277393[[#This Row],[国家]])</f>
        <v>7</v>
      </c>
      <c r="E35" s="39">
        <f>SUMIFS(表1_8612182224267292[活跃中坚玩家数],表1_8612182224267292[目标区服],表2_9713192325277393[[#This Row],[合区区服]],表1_8612182224267292[目标国家（映射）],表2_9713192325277393[[#This Row],[国家]])</f>
        <v>27</v>
      </c>
      <c r="F35" s="39">
        <f t="array" ref="F35">MAX((表1_8612182224267292[目标区服]=表2_9713192325277393[[#This Row],[合区区服]])*(表1_8612182224267292[目标国家（映射）]=表2_9713192325277393[[#This Row],[国家]])*表1_8612182224267292[活跃尖端战力])</f>
        <v>3983148</v>
      </c>
      <c r="G35" s="40">
        <f>SUMIFS(表1_8612182224267292[活跃总战力],表1_8612182224267292[目标区服],表2_9713192325277393[[#This Row],[合区区服]],表1_8612182224267292[目标国家（映射）],表2_9713192325277393[[#This Row],[国家]])</f>
        <v>39198658</v>
      </c>
      <c r="H35" s="39">
        <f>SUMIFS(表1_8612182224267292[活跃实际充值],表1_8612182224267292[目标区服],表2_9713192325277393[[#This Row],[合区区服]],表1_8612182224267292[目标国家（映射）],表2_9713192325277393[[#This Row],[国家]])</f>
        <v>176878</v>
      </c>
      <c r="I35" s="39">
        <f>SUMIFS(表1_8612182224267292[活跃虚拟充值],表1_8612182224267292[目标区服],表2_9713192325277393[[#This Row],[合区区服]],表1_8612182224267292[目标国家（映射）],表2_9713192325277393[[#This Row],[国家]])</f>
        <v>0</v>
      </c>
      <c r="J35" s="39">
        <f>SUMIFS(表1_8612182224267292[活跃Coin],表1_8612182224267292[目标区服],表2_9713192325277393[[#This Row],[合区区服]],表1_8612182224267292[目标国家（映射）],表2_9713192325277393[[#This Row],[国家]])</f>
        <v>825586</v>
      </c>
      <c r="K35" s="39">
        <f>SUMIFS(表1_8612182224267292[共计补偿Coin],表1_8612182224267292[目标区服],表2_9713192325277393[[#This Row],[合区区服]],表1_8612182224267292[目标国家（映射）],表2_9713192325277393[[#This Row],[国家]])</f>
        <v>51000</v>
      </c>
      <c r="L35" s="39">
        <f>表2_9713192325277393[[#This Row],[活跃Coin]]+表2_9713192325277393[[#This Row],[共计补偿Coin]]</f>
        <v>876586</v>
      </c>
      <c r="M35" s="39">
        <f>SUMIFS(表1_8612182224267292[综合国力],表1_8612182224267292[目标区服],表2_9713192325277393[[#This Row],[合区区服]],表1_8612182224267292[目标国家（映射）],表2_9713192325277393[[#This Row],[国家]])</f>
        <v>19475</v>
      </c>
      <c r="N35" s="39">
        <f t="array" ref="N35">MAX((表1_8612182224267292[目标区服]=表2_9713192325277393[[#This Row],[合区区服]])*(表1_8612182224267292[目标国家（映射）]=表2_9713192325277393[[#This Row],[国家]])*表1_8612182224267292[单将最高战力])</f>
        <v>1149137</v>
      </c>
      <c r="P35" s="51">
        <v>182</v>
      </c>
      <c r="Q35" s="51">
        <v>57</v>
      </c>
      <c r="R35" s="51" t="s">
        <v>185</v>
      </c>
      <c r="S35" s="51">
        <v>59</v>
      </c>
    </row>
    <row r="36" ht="15" spans="1:19">
      <c r="A36" s="372" t="s">
        <v>185</v>
      </c>
      <c r="B36" s="39" t="s">
        <v>26</v>
      </c>
      <c r="C36" s="39">
        <f>COUNTIFS(表1_8612182224267292[目标区服],表2_9713192325277393[[#This Row],[合区区服]],表1_8612182224267292[目标国家（映射）],表2_9713192325277393[[#This Row],[国家]])</f>
        <v>2</v>
      </c>
      <c r="D36" s="39">
        <f>SUMIFS(表1_8612182224267292[活跃高战玩家数],表1_8612182224267292[目标区服],表2_9713192325277393[[#This Row],[合区区服]],表1_8612182224267292[目标国家（映射）],表2_9713192325277393[[#This Row],[国家]])</f>
        <v>5</v>
      </c>
      <c r="E36" s="39">
        <f>SUMIFS(表1_8612182224267292[活跃中坚玩家数],表1_8612182224267292[目标区服],表2_9713192325277393[[#This Row],[合区区服]],表1_8612182224267292[目标国家（映射）],表2_9713192325277393[[#This Row],[国家]])</f>
        <v>40</v>
      </c>
      <c r="F36" s="39">
        <f t="array" ref="F36">MAX((表1_8612182224267292[目标区服]=表2_9713192325277393[[#This Row],[合区区服]])*(表1_8612182224267292[目标国家（映射）]=表2_9713192325277393[[#This Row],[国家]])*表1_8612182224267292[活跃尖端战力])</f>
        <v>3731557</v>
      </c>
      <c r="G36" s="40">
        <f>SUMIFS(表1_8612182224267292[活跃总战力],表1_8612182224267292[目标区服],表2_9713192325277393[[#This Row],[合区区服]],表1_8612182224267292[目标国家（映射）],表2_9713192325277393[[#This Row],[国家]])</f>
        <v>54185346</v>
      </c>
      <c r="H36" s="39">
        <f>SUMIFS(表1_8612182224267292[活跃实际充值],表1_8612182224267292[目标区服],表2_9713192325277393[[#This Row],[合区区服]],表1_8612182224267292[目标国家（映射）],表2_9713192325277393[[#This Row],[国家]])</f>
        <v>164372</v>
      </c>
      <c r="I36" s="39">
        <f>SUMIFS(表1_8612182224267292[活跃虚拟充值],表1_8612182224267292[目标区服],表2_9713192325277393[[#This Row],[合区区服]],表1_8612182224267292[目标国家（映射）],表2_9713192325277393[[#This Row],[国家]])</f>
        <v>0</v>
      </c>
      <c r="J36" s="39">
        <f>SUMIFS(表1_8612182224267292[活跃Coin],表1_8612182224267292[目标区服],表2_9713192325277393[[#This Row],[合区区服]],表1_8612182224267292[目标国家（映射）],表2_9713192325277393[[#This Row],[国家]])</f>
        <v>1045457</v>
      </c>
      <c r="K36" s="39">
        <f>SUMIFS(表1_8612182224267292[共计补偿Coin],表1_8612182224267292[目标区服],表2_9713192325277393[[#This Row],[合区区服]],表1_8612182224267292[目标国家（映射）],表2_9713192325277393[[#This Row],[国家]])</f>
        <v>45000</v>
      </c>
      <c r="L36" s="39">
        <f>表2_9713192325277393[[#This Row],[活跃Coin]]+表2_9713192325277393[[#This Row],[共计补偿Coin]]</f>
        <v>1090457</v>
      </c>
      <c r="M36" s="39">
        <f>SUMIFS(表1_8612182224267292[综合国力],表1_8612182224267292[目标区服],表2_9713192325277393[[#This Row],[合区区服]],表1_8612182224267292[目标国家（映射）],表2_9713192325277393[[#This Row],[国家]])</f>
        <v>21892</v>
      </c>
      <c r="N36" s="39">
        <f t="array" ref="N36">MAX((表1_8612182224267292[目标区服]=表2_9713192325277393[[#This Row],[合区区服]])*(表1_8612182224267292[目标国家（映射）]=表2_9713192325277393[[#This Row],[国家]])*表1_8612182224267292[单将最高战力])</f>
        <v>1032362</v>
      </c>
      <c r="P36" s="51">
        <v>183</v>
      </c>
      <c r="Q36" s="51">
        <v>56</v>
      </c>
      <c r="R36" s="51" t="s">
        <v>186</v>
      </c>
      <c r="S36" s="51">
        <v>57</v>
      </c>
    </row>
    <row r="37" ht="15" spans="1:19">
      <c r="A37" s="372" t="s">
        <v>185</v>
      </c>
      <c r="B37" s="39" t="s">
        <v>27</v>
      </c>
      <c r="C37" s="39">
        <f>COUNTIFS(表1_8612182224267292[目标区服],表2_9713192325277393[[#This Row],[合区区服]],表1_8612182224267292[目标国家（映射）],表2_9713192325277393[[#This Row],[国家]])</f>
        <v>2</v>
      </c>
      <c r="D37" s="39">
        <f>SUMIFS(表1_8612182224267292[活跃高战玩家数],表1_8612182224267292[目标区服],表2_9713192325277393[[#This Row],[合区区服]],表1_8612182224267292[目标国家（映射）],表2_9713192325277393[[#This Row],[国家]])</f>
        <v>8</v>
      </c>
      <c r="E37" s="39">
        <f>SUMIFS(表1_8612182224267292[活跃中坚玩家数],表1_8612182224267292[目标区服],表2_9713192325277393[[#This Row],[合区区服]],表1_8612182224267292[目标国家（映射）],表2_9713192325277393[[#This Row],[国家]])</f>
        <v>61</v>
      </c>
      <c r="F37" s="39">
        <f t="array" ref="F37">MAX((表1_8612182224267292[目标区服]=表2_9713192325277393[[#This Row],[合区区服]])*(表1_8612182224267292[目标国家（映射）]=表2_9713192325277393[[#This Row],[国家]])*表1_8612182224267292[活跃尖端战力])</f>
        <v>3612987</v>
      </c>
      <c r="G37" s="40">
        <f>SUMIFS(表1_8612182224267292[活跃总战力],表1_8612182224267292[目标区服],表2_9713192325277393[[#This Row],[合区区服]],表1_8612182224267292[目标国家（映射）],表2_9713192325277393[[#This Row],[国家]])</f>
        <v>73802727</v>
      </c>
      <c r="H37" s="39">
        <f>SUMIFS(表1_8612182224267292[活跃实际充值],表1_8612182224267292[目标区服],表2_9713192325277393[[#This Row],[合区区服]],表1_8612182224267292[目标国家（映射）],表2_9713192325277393[[#This Row],[国家]])</f>
        <v>155108</v>
      </c>
      <c r="I37" s="39">
        <f>SUMIFS(表1_8612182224267292[活跃虚拟充值],表1_8612182224267292[目标区服],表2_9713192325277393[[#This Row],[合区区服]],表1_8612182224267292[目标国家（映射）],表2_9713192325277393[[#This Row],[国家]])</f>
        <v>0</v>
      </c>
      <c r="J37" s="39">
        <f>SUMIFS(表1_8612182224267292[活跃Coin],表1_8612182224267292[目标区服],表2_9713192325277393[[#This Row],[合区区服]],表1_8612182224267292[目标国家（映射）],表2_9713192325277393[[#This Row],[国家]])</f>
        <v>1703435</v>
      </c>
      <c r="K37" s="39">
        <f>SUMIFS(表1_8612182224267292[共计补偿Coin],表1_8612182224267292[目标区服],表2_9713192325277393[[#This Row],[合区区服]],表1_8612182224267292[目标国家（映射）],表2_9713192325277393[[#This Row],[国家]])</f>
        <v>88000</v>
      </c>
      <c r="L37" s="39">
        <f>表2_9713192325277393[[#This Row],[活跃Coin]]+表2_9713192325277393[[#This Row],[共计补偿Coin]]</f>
        <v>1791435</v>
      </c>
      <c r="M37" s="39">
        <f>SUMIFS(表1_8612182224267292[综合国力],表1_8612182224267292[目标区服],表2_9713192325277393[[#This Row],[合区区服]],表1_8612182224267292[目标国家（映射）],表2_9713192325277393[[#This Row],[国家]])</f>
        <v>23242</v>
      </c>
      <c r="N37" s="39">
        <f t="array" ref="N37">MAX((表1_8612182224267292[目标区服]=表2_9713192325277393[[#This Row],[合区区服]])*(表1_8612182224267292[目标国家（映射）]=表2_9713192325277393[[#This Row],[国家]])*表1_8612182224267292[单将最高战力])</f>
        <v>955050</v>
      </c>
      <c r="P37" s="51">
        <v>184</v>
      </c>
      <c r="Q37" s="51">
        <v>55</v>
      </c>
      <c r="R37" s="51" t="s">
        <v>187</v>
      </c>
      <c r="S37" s="51">
        <v>55</v>
      </c>
    </row>
    <row r="38" ht="15" spans="1:19">
      <c r="A38" s="296" t="s">
        <v>186</v>
      </c>
      <c r="B38" s="41" t="s">
        <v>25</v>
      </c>
      <c r="C38" s="41">
        <f>COUNTIFS(表1_8612182224267292[目标区服],表2_9713192325277393[[#This Row],[合区区服]],表1_8612182224267292[目标国家（映射）],表2_9713192325277393[[#This Row],[国家]])</f>
        <v>2</v>
      </c>
      <c r="D38" s="41">
        <f>SUMIFS(表1_8612182224267292[活跃高战玩家数],表1_8612182224267292[目标区服],表2_9713192325277393[[#This Row],[合区区服]],表1_8612182224267292[目标国家（映射）],表2_9713192325277393[[#This Row],[国家]])</f>
        <v>6</v>
      </c>
      <c r="E38" s="41">
        <f>SUMIFS(表1_8612182224267292[活跃中坚玩家数],表1_8612182224267292[目标区服],表2_9713192325277393[[#This Row],[合区区服]],表1_8612182224267292[目标国家（映射）],表2_9713192325277393[[#This Row],[国家]])</f>
        <v>42</v>
      </c>
      <c r="F38" s="41">
        <f t="array" ref="F38">MAX((表1_8612182224267292[目标区服]=表2_9713192325277393[[#This Row],[合区区服]])*(表1_8612182224267292[目标国家（映射）]=表2_9713192325277393[[#This Row],[国家]])*表1_8612182224267292[活跃尖端战力])</f>
        <v>4054295</v>
      </c>
      <c r="G38" s="42">
        <f>SUMIFS(表1_8612182224267292[活跃总战力],表1_8612182224267292[目标区服],表2_9713192325277393[[#This Row],[合区区服]],表1_8612182224267292[目标国家（映射）],表2_9713192325277393[[#This Row],[国家]])</f>
        <v>50997447</v>
      </c>
      <c r="H38" s="41">
        <f>SUMIFS(表1_8612182224267292[活跃实际充值],表1_8612182224267292[目标区服],表2_9713192325277393[[#This Row],[合区区服]],表1_8612182224267292[目标国家（映射）],表2_9713192325277393[[#This Row],[国家]])</f>
        <v>171302</v>
      </c>
      <c r="I38" s="41">
        <f>SUMIFS(表1_8612182224267292[活跃虚拟充值],表1_8612182224267292[目标区服],表2_9713192325277393[[#This Row],[合区区服]],表1_8612182224267292[目标国家（映射）],表2_9713192325277393[[#This Row],[国家]])</f>
        <v>0</v>
      </c>
      <c r="J38" s="41">
        <f>SUMIFS(表1_8612182224267292[活跃Coin],表1_8612182224267292[目标区服],表2_9713192325277393[[#This Row],[合区区服]],表1_8612182224267292[目标国家（映射）],表2_9713192325277393[[#This Row],[国家]])</f>
        <v>1062627</v>
      </c>
      <c r="K38" s="41">
        <f>SUMIFS(表1_8612182224267292[共计补偿Coin],表1_8612182224267292[目标区服],表2_9713192325277393[[#This Row],[合区区服]],表1_8612182224267292[目标国家（映射）],表2_9713192325277393[[#This Row],[国家]])</f>
        <v>64000</v>
      </c>
      <c r="L38" s="41">
        <f>表2_9713192325277393[[#This Row],[活跃Coin]]+表2_9713192325277393[[#This Row],[共计补偿Coin]]</f>
        <v>1126627</v>
      </c>
      <c r="M38" s="41">
        <f>SUMIFS(表1_8612182224267292[综合国力],表1_8612182224267292[目标区服],表2_9713192325277393[[#This Row],[合区区服]],表1_8612182224267292[目标国家（映射）],表2_9713192325277393[[#This Row],[国家]])</f>
        <v>20492</v>
      </c>
      <c r="N38" s="41">
        <f t="array" ref="N38">MAX((表1_8612182224267292[目标区服]=表2_9713192325277393[[#This Row],[合区区服]])*(表1_8612182224267292[目标国家（映射）]=表2_9713192325277393[[#This Row],[国家]])*表1_8612182224267292[单将最高战力])</f>
        <v>1084538</v>
      </c>
      <c r="P38" s="51">
        <v>185</v>
      </c>
      <c r="Q38" s="51">
        <v>54</v>
      </c>
      <c r="R38" s="51" t="s">
        <v>188</v>
      </c>
      <c r="S38" s="51">
        <v>53</v>
      </c>
    </row>
    <row r="39" ht="15" spans="1:19">
      <c r="A39" s="296" t="s">
        <v>186</v>
      </c>
      <c r="B39" s="41" t="s">
        <v>26</v>
      </c>
      <c r="C39" s="41">
        <f>COUNTIFS(表1_8612182224267292[目标区服],表2_9713192325277393[[#This Row],[合区区服]],表1_8612182224267292[目标国家（映射）],表2_9713192325277393[[#This Row],[国家]])</f>
        <v>2</v>
      </c>
      <c r="D39" s="41">
        <f>SUMIFS(表1_8612182224267292[活跃高战玩家数],表1_8612182224267292[目标区服],表2_9713192325277393[[#This Row],[合区区服]],表1_8612182224267292[目标国家（映射）],表2_9713192325277393[[#This Row],[国家]])</f>
        <v>8</v>
      </c>
      <c r="E39" s="41">
        <f>SUMIFS(表1_8612182224267292[活跃中坚玩家数],表1_8612182224267292[目标区服],表2_9713192325277393[[#This Row],[合区区服]],表1_8612182224267292[目标国家（映射）],表2_9713192325277393[[#This Row],[国家]])</f>
        <v>47</v>
      </c>
      <c r="F39" s="41">
        <f t="array" ref="F39">MAX((表1_8612182224267292[目标区服]=表2_9713192325277393[[#This Row],[合区区服]])*(表1_8612182224267292[目标国家（映射）]=表2_9713192325277393[[#This Row],[国家]])*表1_8612182224267292[活跃尖端战力])</f>
        <v>3628349</v>
      </c>
      <c r="G39" s="42">
        <f>SUMIFS(表1_8612182224267292[活跃总战力],表1_8612182224267292[目标区服],表2_9713192325277393[[#This Row],[合区区服]],表1_8612182224267292[目标国家（映射）],表2_9713192325277393[[#This Row],[国家]])</f>
        <v>62692881</v>
      </c>
      <c r="H39" s="41">
        <f>SUMIFS(表1_8612182224267292[活跃实际充值],表1_8612182224267292[目标区服],表2_9713192325277393[[#This Row],[合区区服]],表1_8612182224267292[目标国家（映射）],表2_9713192325277393[[#This Row],[国家]])</f>
        <v>212912</v>
      </c>
      <c r="I39" s="41">
        <f>SUMIFS(表1_8612182224267292[活跃虚拟充值],表1_8612182224267292[目标区服],表2_9713192325277393[[#This Row],[合区区服]],表1_8612182224267292[目标国家（映射）],表2_9713192325277393[[#This Row],[国家]])</f>
        <v>0</v>
      </c>
      <c r="J39" s="41">
        <f>SUMIFS(表1_8612182224267292[活跃Coin],表1_8612182224267292[目标区服],表2_9713192325277393[[#This Row],[合区区服]],表1_8612182224267292[目标国家（映射）],表2_9713192325277393[[#This Row],[国家]])</f>
        <v>1166359</v>
      </c>
      <c r="K39" s="41">
        <f>SUMIFS(表1_8612182224267292[共计补偿Coin],表1_8612182224267292[目标区服],表2_9713192325277393[[#This Row],[合区区服]],表1_8612182224267292[目标国家（映射）],表2_9713192325277393[[#This Row],[国家]])</f>
        <v>67000</v>
      </c>
      <c r="L39" s="41">
        <f>表2_9713192325277393[[#This Row],[活跃Coin]]+表2_9713192325277393[[#This Row],[共计补偿Coin]]</f>
        <v>1233359</v>
      </c>
      <c r="M39" s="41">
        <f>SUMIFS(表1_8612182224267292[综合国力],表1_8612182224267292[目标区服],表2_9713192325277393[[#This Row],[合区区服]],表1_8612182224267292[目标国家（映射）],表2_9713192325277393[[#This Row],[国家]])</f>
        <v>24953</v>
      </c>
      <c r="N39" s="41">
        <f t="array" ref="N39">MAX((表1_8612182224267292[目标区服]=表2_9713192325277393[[#This Row],[合区区服]])*(表1_8612182224267292[目标国家（映射）]=表2_9713192325277393[[#This Row],[国家]])*表1_8612182224267292[单将最高战力])</f>
        <v>989716</v>
      </c>
      <c r="P39" s="51">
        <v>186</v>
      </c>
      <c r="Q39" s="51">
        <v>53</v>
      </c>
      <c r="R39" s="51" t="s">
        <v>189</v>
      </c>
      <c r="S39" s="51">
        <v>51</v>
      </c>
    </row>
    <row r="40" ht="15" spans="1:17">
      <c r="A40" s="296" t="s">
        <v>186</v>
      </c>
      <c r="B40" s="43" t="s">
        <v>27</v>
      </c>
      <c r="C40" s="43">
        <f>COUNTIFS(表1_8612182224267292[目标区服],表2_9713192325277393[[#This Row],[合区区服]],表1_8612182224267292[目标国家（映射）],表2_9713192325277393[[#This Row],[国家]])</f>
        <v>2</v>
      </c>
      <c r="D40" s="43">
        <f>SUMIFS(表1_8612182224267292[活跃高战玩家数],表1_8612182224267292[目标区服],表2_9713192325277393[[#This Row],[合区区服]],表1_8612182224267292[目标国家（映射）],表2_9713192325277393[[#This Row],[国家]])</f>
        <v>6</v>
      </c>
      <c r="E40" s="43">
        <f>SUMIFS(表1_8612182224267292[活跃中坚玩家数],表1_8612182224267292[目标区服],表2_9713192325277393[[#This Row],[合区区服]],表1_8612182224267292[目标国家（映射）],表2_9713192325277393[[#This Row],[国家]])</f>
        <v>39</v>
      </c>
      <c r="F40" s="43">
        <f t="array" ref="F40">MAX((表1_8612182224267292[目标区服]=表2_9713192325277393[[#This Row],[合区区服]])*(表1_8612182224267292[目标国家（映射）]=表2_9713192325277393[[#This Row],[国家]])*表1_8612182224267292[活跃尖端战力])</f>
        <v>3950053</v>
      </c>
      <c r="G40" s="44">
        <f>SUMIFS(表1_8612182224267292[活跃总战力],表1_8612182224267292[目标区服],表2_9713192325277393[[#This Row],[合区区服]],表1_8612182224267292[目标国家（映射）],表2_9713192325277393[[#This Row],[国家]])</f>
        <v>51175774</v>
      </c>
      <c r="H40" s="43">
        <f>SUMIFS(表1_8612182224267292[活跃实际充值],表1_8612182224267292[目标区服],表2_9713192325277393[[#This Row],[合区区服]],表1_8612182224267292[目标国家（映射）],表2_9713192325277393[[#This Row],[国家]])</f>
        <v>193658</v>
      </c>
      <c r="I40" s="43">
        <f>SUMIFS(表1_8612182224267292[活跃虚拟充值],表1_8612182224267292[目标区服],表2_9713192325277393[[#This Row],[合区区服]],表1_8612182224267292[目标国家（映射）],表2_9713192325277393[[#This Row],[国家]])</f>
        <v>0</v>
      </c>
      <c r="J40" s="43">
        <f>SUMIFS(表1_8612182224267292[活跃Coin],表1_8612182224267292[目标区服],表2_9713192325277393[[#This Row],[合区区服]],表1_8612182224267292[目标国家（映射）],表2_9713192325277393[[#This Row],[国家]])</f>
        <v>1121968</v>
      </c>
      <c r="K40" s="43">
        <f>SUMIFS(表1_8612182224267292[共计补偿Coin],表1_8612182224267292[目标区服],表2_9713192325277393[[#This Row],[合区区服]],表1_8612182224267292[目标国家（映射）],表2_9713192325277393[[#This Row],[国家]])</f>
        <v>55500</v>
      </c>
      <c r="L40" s="43">
        <f>表2_9713192325277393[[#This Row],[活跃Coin]]+表2_9713192325277393[[#This Row],[共计补偿Coin]]</f>
        <v>1177468</v>
      </c>
      <c r="M40" s="43">
        <f>SUMIFS(表1_8612182224267292[综合国力],表1_8612182224267292[目标区服],表2_9713192325277393[[#This Row],[合区区服]],表1_8612182224267292[目标国家（映射）],表2_9713192325277393[[#This Row],[国家]])</f>
        <v>21719</v>
      </c>
      <c r="N40" s="41">
        <f t="array" ref="N40">MAX((表1_8612182224267292[目标区服]=表2_9713192325277393[[#This Row],[合区区服]])*(表1_8612182224267292[目标国家（映射）]=表2_9713192325277393[[#This Row],[国家]])*表1_8612182224267292[单将最高战力])</f>
        <v>1088014</v>
      </c>
      <c r="P40" s="51">
        <v>187</v>
      </c>
      <c r="Q40" s="51">
        <v>52</v>
      </c>
    </row>
    <row r="41" ht="15" spans="1:17">
      <c r="A41" s="18" t="s">
        <v>187</v>
      </c>
      <c r="B41" s="46" t="s">
        <v>25</v>
      </c>
      <c r="C41" s="46">
        <f>COUNTIFS(表1_8612182224267292[目标区服],表2_9713192325277393[[#This Row],[合区区服]],表1_8612182224267292[目标国家（映射）],表2_9713192325277393[[#This Row],[国家]])</f>
        <v>2</v>
      </c>
      <c r="D41" s="46">
        <f>SUMIFS(表1_8612182224267292[活跃高战玩家数],表1_8612182224267292[目标区服],表2_9713192325277393[[#This Row],[合区区服]],表1_8612182224267292[目标国家（映射）],表2_9713192325277393[[#This Row],[国家]])</f>
        <v>6</v>
      </c>
      <c r="E41" s="46">
        <f>SUMIFS(表1_8612182224267292[活跃中坚玩家数],表1_8612182224267292[目标区服],表2_9713192325277393[[#This Row],[合区区服]],表1_8612182224267292[目标国家（映射）],表2_9713192325277393[[#This Row],[国家]])</f>
        <v>39</v>
      </c>
      <c r="F41" s="46">
        <f t="array" ref="F41">MAX((表1_8612182224267292[目标区服]=表2_9713192325277393[[#This Row],[合区区服]])*(表1_8612182224267292[目标国家（映射）]=表2_9713192325277393[[#This Row],[国家]])*表1_8612182224267292[活跃尖端战力])</f>
        <v>5255986</v>
      </c>
      <c r="G41" s="47">
        <f>SUMIFS(表1_8612182224267292[活跃总战力],表1_8612182224267292[目标区服],表2_9713192325277393[[#This Row],[合区区服]],表1_8612182224267292[目标国家（映射）],表2_9713192325277393[[#This Row],[国家]])</f>
        <v>59294753</v>
      </c>
      <c r="H41" s="46">
        <f>SUMIFS(表1_8612182224267292[活跃实际充值],表1_8612182224267292[目标区服],表2_9713192325277393[[#This Row],[合区区服]],表1_8612182224267292[目标国家（映射）],表2_9713192325277393[[#This Row],[国家]])</f>
        <v>332426</v>
      </c>
      <c r="I41" s="46">
        <f>SUMIFS(表1_8612182224267292[活跃虚拟充值],表1_8612182224267292[目标区服],表2_9713192325277393[[#This Row],[合区区服]],表1_8612182224267292[目标国家（映射）],表2_9713192325277393[[#This Row],[国家]])</f>
        <v>0</v>
      </c>
      <c r="J41" s="46">
        <f>SUMIFS(表1_8612182224267292[活跃Coin],表1_8612182224267292[目标区服],表2_9713192325277393[[#This Row],[合区区服]],表1_8612182224267292[目标国家（映射）],表2_9713192325277393[[#This Row],[国家]])</f>
        <v>792850</v>
      </c>
      <c r="K41" s="46">
        <f>SUMIFS(表1_8612182224267292[共计补偿Coin],表1_8612182224267292[目标区服],表2_9713192325277393[[#This Row],[合区区服]],表1_8612182224267292[目标国家（映射）],表2_9713192325277393[[#This Row],[国家]])</f>
        <v>45000</v>
      </c>
      <c r="L41" s="46">
        <f>表2_9713192325277393[[#This Row],[活跃Coin]]+表2_9713192325277393[[#This Row],[共计补偿Coin]]</f>
        <v>837850</v>
      </c>
      <c r="M41" s="46">
        <f>SUMIFS(表1_8612182224267292[综合国力],表1_8612182224267292[目标区服],表2_9713192325277393[[#This Row],[合区区服]],表1_8612182224267292[目标国家（映射）],表2_9713192325277393[[#This Row],[国家]])</f>
        <v>26173</v>
      </c>
      <c r="N41" s="46">
        <f t="array" ref="N41">MAX((表1_8612182224267292[目标区服]=表2_9713192325277393[[#This Row],[合区区服]])*(表1_8612182224267292[目标国家（映射）]=表2_9713192325277393[[#This Row],[国家]])*表1_8612182224267292[单将最高战力])</f>
        <v>1300824</v>
      </c>
      <c r="P41" s="51">
        <v>188</v>
      </c>
      <c r="Q41" s="51">
        <v>51</v>
      </c>
    </row>
    <row r="42" ht="15" spans="1:17">
      <c r="A42" s="18" t="s">
        <v>187</v>
      </c>
      <c r="B42" s="46" t="s">
        <v>26</v>
      </c>
      <c r="C42" s="46">
        <f>COUNTIFS(表1_8612182224267292[目标区服],表2_9713192325277393[[#This Row],[合区区服]],表1_8612182224267292[目标国家（映射）],表2_9713192325277393[[#This Row],[国家]])</f>
        <v>2</v>
      </c>
      <c r="D42" s="46">
        <f>SUMIFS(表1_8612182224267292[活跃高战玩家数],表1_8612182224267292[目标区服],表2_9713192325277393[[#This Row],[合区区服]],表1_8612182224267292[目标国家（映射）],表2_9713192325277393[[#This Row],[国家]])</f>
        <v>8</v>
      </c>
      <c r="E42" s="46">
        <f>SUMIFS(表1_8612182224267292[活跃中坚玩家数],表1_8612182224267292[目标区服],表2_9713192325277393[[#This Row],[合区区服]],表1_8612182224267292[目标国家（映射）],表2_9713192325277393[[#This Row],[国家]])</f>
        <v>56</v>
      </c>
      <c r="F42" s="46">
        <f t="array" ref="F42">MAX((表1_8612182224267292[目标区服]=表2_9713192325277393[[#This Row],[合区区服]])*(表1_8612182224267292[目标国家（映射）]=表2_9713192325277393[[#This Row],[国家]])*表1_8612182224267292[活跃尖端战力])</f>
        <v>4473657</v>
      </c>
      <c r="G42" s="47">
        <f>SUMIFS(表1_8612182224267292[活跃总战力],表1_8612182224267292[目标区服],表2_9713192325277393[[#This Row],[合区区服]],表1_8612182224267292[目标国家（映射）],表2_9713192325277393[[#This Row],[国家]])</f>
        <v>78648663</v>
      </c>
      <c r="H42" s="46">
        <f>SUMIFS(表1_8612182224267292[活跃实际充值],表1_8612182224267292[目标区服],表2_9713192325277393[[#This Row],[合区区服]],表1_8612182224267292[目标国家（映射）],表2_9713192325277393[[#This Row],[国家]])</f>
        <v>427592</v>
      </c>
      <c r="I42" s="46">
        <f>SUMIFS(表1_8612182224267292[活跃虚拟充值],表1_8612182224267292[目标区服],表2_9713192325277393[[#This Row],[合区区服]],表1_8612182224267292[目标国家（映射）],表2_9713192325277393[[#This Row],[国家]])</f>
        <v>0</v>
      </c>
      <c r="J42" s="46">
        <f>SUMIFS(表1_8612182224267292[活跃Coin],表1_8612182224267292[目标区服],表2_9713192325277393[[#This Row],[合区区服]],表1_8612182224267292[目标国家（映射）],表2_9713192325277393[[#This Row],[国家]])</f>
        <v>1317660</v>
      </c>
      <c r="K42" s="46">
        <f>SUMIFS(表1_8612182224267292[共计补偿Coin],表1_8612182224267292[目标区服],表2_9713192325277393[[#This Row],[合区区服]],表1_8612182224267292[目标国家（映射）],表2_9713192325277393[[#This Row],[国家]])</f>
        <v>79500</v>
      </c>
      <c r="L42" s="46">
        <f>表2_9713192325277393[[#This Row],[活跃Coin]]+表2_9713192325277393[[#This Row],[共计补偿Coin]]</f>
        <v>1397160</v>
      </c>
      <c r="M42" s="46">
        <f>SUMIFS(表1_8612182224267292[综合国力],表1_8612182224267292[目标区服],表2_9713192325277393[[#This Row],[合区区服]],表1_8612182224267292[目标国家（映射）],表2_9713192325277393[[#This Row],[国家]])</f>
        <v>35559</v>
      </c>
      <c r="N42" s="46">
        <f t="array" ref="N42">MAX((表1_8612182224267292[目标区服]=表2_9713192325277393[[#This Row],[合区区服]])*(表1_8612182224267292[目标国家（映射）]=表2_9713192325277393[[#This Row],[国家]])*表1_8612182224267292[单将最高战力])</f>
        <v>1227250</v>
      </c>
      <c r="P42" s="51">
        <v>189</v>
      </c>
      <c r="Q42" s="51">
        <v>50</v>
      </c>
    </row>
    <row r="43" ht="15" spans="1:17">
      <c r="A43" s="18" t="s">
        <v>187</v>
      </c>
      <c r="B43" s="48" t="s">
        <v>27</v>
      </c>
      <c r="C43" s="48">
        <f>COUNTIFS(表1_8612182224267292[目标区服],表2_9713192325277393[[#This Row],[合区区服]],表1_8612182224267292[目标国家（映射）],表2_9713192325277393[[#This Row],[国家]])</f>
        <v>2</v>
      </c>
      <c r="D43" s="48">
        <f>SUMIFS(表1_8612182224267292[活跃高战玩家数],表1_8612182224267292[目标区服],表2_9713192325277393[[#This Row],[合区区服]],表1_8612182224267292[目标国家（映射）],表2_9713192325277393[[#This Row],[国家]])</f>
        <v>5</v>
      </c>
      <c r="E43" s="48">
        <f>SUMIFS(表1_8612182224267292[活跃中坚玩家数],表1_8612182224267292[目标区服],表2_9713192325277393[[#This Row],[合区区服]],表1_8612182224267292[目标国家（映射）],表2_9713192325277393[[#This Row],[国家]])</f>
        <v>40</v>
      </c>
      <c r="F43" s="48">
        <f t="array" ref="F43">MAX((表1_8612182224267292[目标区服]=表2_9713192325277393[[#This Row],[合区区服]])*(表1_8612182224267292[目标国家（映射）]=表2_9713192325277393[[#This Row],[国家]])*表1_8612182224267292[活跃尖端战力])</f>
        <v>4445314</v>
      </c>
      <c r="G43" s="458">
        <f>SUMIFS(表1_8612182224267292[活跃总战力],表1_8612182224267292[目标区服],表2_9713192325277393[[#This Row],[合区区服]],表1_8612182224267292[目标国家（映射）],表2_9713192325277393[[#This Row],[国家]])</f>
        <v>55867307</v>
      </c>
      <c r="H43" s="48">
        <f>SUMIFS(表1_8612182224267292[活跃实际充值],表1_8612182224267292[目标区服],表2_9713192325277393[[#This Row],[合区区服]],表1_8612182224267292[目标国家（映射）],表2_9713192325277393[[#This Row],[国家]])</f>
        <v>343654</v>
      </c>
      <c r="I43" s="48">
        <f>SUMIFS(表1_8612182224267292[活跃虚拟充值],表1_8612182224267292[目标区服],表2_9713192325277393[[#This Row],[合区区服]],表1_8612182224267292[目标国家（映射）],表2_9713192325277393[[#This Row],[国家]])</f>
        <v>0</v>
      </c>
      <c r="J43" s="48">
        <f>SUMIFS(表1_8612182224267292[活跃Coin],表1_8612182224267292[目标区服],表2_9713192325277393[[#This Row],[合区区服]],表1_8612182224267292[目标国家（映射）],表2_9713192325277393[[#This Row],[国家]])</f>
        <v>1073359</v>
      </c>
      <c r="K43" s="48">
        <f>SUMIFS(表1_8612182224267292[共计补偿Coin],表1_8612182224267292[目标区服],表2_9713192325277393[[#This Row],[合区区服]],表1_8612182224267292[目标国家（映射）],表2_9713192325277393[[#This Row],[国家]])</f>
        <v>67500</v>
      </c>
      <c r="L43" s="48">
        <f>表2_9713192325277393[[#This Row],[活跃Coin]]+表2_9713192325277393[[#This Row],[共计补偿Coin]]</f>
        <v>1140859</v>
      </c>
      <c r="M43" s="48">
        <f>SUMIFS(表1_8612182224267292[综合国力],表1_8612182224267292[目标区服],表2_9713192325277393[[#This Row],[合区区服]],表1_8612182224267292[目标国家（映射）],表2_9713192325277393[[#This Row],[国家]])</f>
        <v>28839</v>
      </c>
      <c r="N43" s="46">
        <f t="array" ref="N43">MAX((表1_8612182224267292[目标区服]=表2_9713192325277393[[#This Row],[合区区服]])*(表1_8612182224267292[目标国家（映射）]=表2_9713192325277393[[#This Row],[国家]])*表1_8612182224267292[单将最高战力])</f>
        <v>1243598</v>
      </c>
      <c r="P43" s="51">
        <v>190</v>
      </c>
      <c r="Q43" s="51">
        <v>49</v>
      </c>
    </row>
    <row r="44" ht="15" spans="1:17">
      <c r="A44" s="293" t="s">
        <v>188</v>
      </c>
      <c r="B44" s="224" t="s">
        <v>25</v>
      </c>
      <c r="C44" s="224">
        <f>COUNTIFS(表1_8612182224267292[目标区服],表2_9713192325277393[[#This Row],[合区区服]],表1_8612182224267292[目标国家（映射）],表2_9713192325277393[[#This Row],[国家]])</f>
        <v>2</v>
      </c>
      <c r="D44" s="224">
        <f>SUMIFS(表1_8612182224267292[活跃高战玩家数],表1_8612182224267292[目标区服],表2_9713192325277393[[#This Row],[合区区服]],表1_8612182224267292[目标国家（映射）],表2_9713192325277393[[#This Row],[国家]])</f>
        <v>11</v>
      </c>
      <c r="E44" s="224">
        <f>SUMIFS(表1_8612182224267292[活跃中坚玩家数],表1_8612182224267292[目标区服],表2_9713192325277393[[#This Row],[合区区服]],表1_8612182224267292[目标国家（映射）],表2_9713192325277393[[#This Row],[国家]])</f>
        <v>41</v>
      </c>
      <c r="F44" s="224">
        <f t="array" ref="F44">MAX((表1_8612182224267292[目标区服]=表2_9713192325277393[[#This Row],[合区区服]])*(表1_8612182224267292[目标国家（映射）]=表2_9713192325277393[[#This Row],[国家]])*表1_8612182224267292[活跃尖端战力])</f>
        <v>3954481</v>
      </c>
      <c r="G44" s="225">
        <f>SUMIFS(表1_8612182224267292[活跃总战力],表1_8612182224267292[目标区服],表2_9713192325277393[[#This Row],[合区区服]],表1_8612182224267292[目标国家（映射）],表2_9713192325277393[[#This Row],[国家]])</f>
        <v>56023349</v>
      </c>
      <c r="H44" s="224">
        <f>SUMIFS(表1_8612182224267292[活跃实际充值],表1_8612182224267292[目标区服],表2_9713192325277393[[#This Row],[合区区服]],表1_8612182224267292[目标国家（映射）],表2_9713192325277393[[#This Row],[国家]])</f>
        <v>188984</v>
      </c>
      <c r="I44" s="224">
        <f>SUMIFS(表1_8612182224267292[活跃虚拟充值],表1_8612182224267292[目标区服],表2_9713192325277393[[#This Row],[合区区服]],表1_8612182224267292[目标国家（映射）],表2_9713192325277393[[#This Row],[国家]])</f>
        <v>0</v>
      </c>
      <c r="J44" s="224">
        <f>SUMIFS(表1_8612182224267292[活跃Coin],表1_8612182224267292[目标区服],表2_9713192325277393[[#This Row],[合区区服]],表1_8612182224267292[目标国家（映射）],表2_9713192325277393[[#This Row],[国家]])</f>
        <v>729435</v>
      </c>
      <c r="K44" s="224">
        <f>SUMIFS(表1_8612182224267292[共计补偿Coin],表1_8612182224267292[目标区服],表2_9713192325277393[[#This Row],[合区区服]],表1_8612182224267292[目标国家（映射）],表2_9713192325277393[[#This Row],[国家]])</f>
        <v>65500</v>
      </c>
      <c r="L44" s="224">
        <f>表2_9713192325277393[[#This Row],[活跃Coin]]+表2_9713192325277393[[#This Row],[共计补偿Coin]]</f>
        <v>794935</v>
      </c>
      <c r="M44" s="224">
        <f>SUMIFS(表1_8612182224267292[综合国力],表1_8612182224267292[目标区服],表2_9713192325277393[[#This Row],[合区区服]],表1_8612182224267292[目标国家（映射）],表2_9713192325277393[[#This Row],[国家]])</f>
        <v>23213</v>
      </c>
      <c r="N44" s="471">
        <f t="array" ref="N44">MAX((表1_8612182224267292[目标区服]=表2_9713192325277393[[#This Row],[合区区服]])*(表1_8612182224267292[目标国家（映射）]=表2_9713192325277393[[#This Row],[国家]])*表1_8612182224267292[单将最高战力])</f>
        <v>1116322</v>
      </c>
      <c r="P44" s="51">
        <v>191</v>
      </c>
      <c r="Q44" s="51">
        <v>48</v>
      </c>
    </row>
    <row r="45" ht="15" spans="1:14">
      <c r="A45" s="293" t="s">
        <v>188</v>
      </c>
      <c r="B45" s="224" t="s">
        <v>26</v>
      </c>
      <c r="C45" s="224">
        <f>COUNTIFS(表1_8612182224267292[目标区服],表2_9713192325277393[[#This Row],[合区区服]],表1_8612182224267292[目标国家（映射）],表2_9713192325277393[[#This Row],[国家]])</f>
        <v>2</v>
      </c>
      <c r="D45" s="224">
        <f>SUMIFS(表1_8612182224267292[活跃高战玩家数],表1_8612182224267292[目标区服],表2_9713192325277393[[#This Row],[合区区服]],表1_8612182224267292[目标国家（映射）],表2_9713192325277393[[#This Row],[国家]])</f>
        <v>3</v>
      </c>
      <c r="E45" s="224">
        <f>SUMIFS(表1_8612182224267292[活跃中坚玩家数],表1_8612182224267292[目标区服],表2_9713192325277393[[#This Row],[合区区服]],表1_8612182224267292[目标国家（映射）],表2_9713192325277393[[#This Row],[国家]])</f>
        <v>50</v>
      </c>
      <c r="F45" s="224">
        <f t="array" ref="F45">MAX((表1_8612182224267292[目标区服]=表2_9713192325277393[[#This Row],[合区区服]])*(表1_8612182224267292[目标国家（映射）]=表2_9713192325277393[[#This Row],[国家]])*表1_8612182224267292[活跃尖端战力])</f>
        <v>4020237</v>
      </c>
      <c r="G45" s="225">
        <f>SUMIFS(表1_8612182224267292[活跃总战力],表1_8612182224267292[目标区服],表2_9713192325277393[[#This Row],[合区区服]],表1_8612182224267292[目标国家（映射）],表2_9713192325277393[[#This Row],[国家]])</f>
        <v>54992008</v>
      </c>
      <c r="H45" s="224">
        <f>SUMIFS(表1_8612182224267292[活跃实际充值],表1_8612182224267292[目标区服],表2_9713192325277393[[#This Row],[合区区服]],表1_8612182224267292[目标国家（映射）],表2_9713192325277393[[#This Row],[国家]])</f>
        <v>212810</v>
      </c>
      <c r="I45" s="224">
        <f>SUMIFS(表1_8612182224267292[活跃虚拟充值],表1_8612182224267292[目标区服],表2_9713192325277393[[#This Row],[合区区服]],表1_8612182224267292[目标国家（映射）],表2_9713192325277393[[#This Row],[国家]])</f>
        <v>68</v>
      </c>
      <c r="J45" s="224">
        <f>SUMIFS(表1_8612182224267292[活跃Coin],表1_8612182224267292[目标区服],表2_9713192325277393[[#This Row],[合区区服]],表1_8612182224267292[目标国家（映射）],表2_9713192325277393[[#This Row],[国家]])</f>
        <v>994450</v>
      </c>
      <c r="K45" s="224">
        <f>SUMIFS(表1_8612182224267292[共计补偿Coin],表1_8612182224267292[目标区服],表2_9713192325277393[[#This Row],[合区区服]],表1_8612182224267292[目标国家（映射）],表2_9713192325277393[[#This Row],[国家]])</f>
        <v>53000</v>
      </c>
      <c r="L45" s="224">
        <f>表2_9713192325277393[[#This Row],[活跃Coin]]+表2_9713192325277393[[#This Row],[共计补偿Coin]]</f>
        <v>1047450</v>
      </c>
      <c r="M45" s="224">
        <f>SUMIFS(表1_8612182224267292[综合国力],表1_8612182224267292[目标区服],表2_9713192325277393[[#This Row],[合区区服]],表1_8612182224267292[目标国家（映射）],表2_9713192325277393[[#This Row],[国家]])</f>
        <v>22994</v>
      </c>
      <c r="N45" s="471">
        <f t="array" ref="N45">MAX((表1_8612182224267292[目标区服]=表2_9713192325277393[[#This Row],[合区区服]])*(表1_8612182224267292[目标国家（映射）]=表2_9713192325277393[[#This Row],[国家]])*表1_8612182224267292[单将最高战力])</f>
        <v>1491893</v>
      </c>
    </row>
    <row r="46" ht="15" spans="1:14">
      <c r="A46" s="293" t="s">
        <v>188</v>
      </c>
      <c r="B46" s="226" t="s">
        <v>27</v>
      </c>
      <c r="C46" s="226">
        <f>COUNTIFS(表1_8612182224267292[目标区服],表2_9713192325277393[[#This Row],[合区区服]],表1_8612182224267292[目标国家（映射）],表2_9713192325277393[[#This Row],[国家]])</f>
        <v>2</v>
      </c>
      <c r="D46" s="226">
        <f>SUMIFS(表1_8612182224267292[活跃高战玩家数],表1_8612182224267292[目标区服],表2_9713192325277393[[#This Row],[合区区服]],表1_8612182224267292[目标国家（映射）],表2_9713192325277393[[#This Row],[国家]])</f>
        <v>5</v>
      </c>
      <c r="E46" s="226">
        <f>SUMIFS(表1_8612182224267292[活跃中坚玩家数],表1_8612182224267292[目标区服],表2_9713192325277393[[#This Row],[合区区服]],表1_8612182224267292[目标国家（映射）],表2_9713192325277393[[#This Row],[国家]])</f>
        <v>47</v>
      </c>
      <c r="F46" s="224">
        <f t="array" ref="F46">MAX((表1_8612182224267292[目标区服]=表2_9713192325277393[[#This Row],[合区区服]])*(表1_8612182224267292[目标国家（映射）]=表2_9713192325277393[[#This Row],[国家]])*表1_8612182224267292[活跃尖端战力])</f>
        <v>3503337</v>
      </c>
      <c r="G46" s="225">
        <f>SUMIFS(表1_8612182224267292[活跃总战力],表1_8612182224267292[目标区服],表2_9713192325277393[[#This Row],[合区区服]],表1_8612182224267292[目标国家（映射）],表2_9713192325277393[[#This Row],[国家]])</f>
        <v>50709824</v>
      </c>
      <c r="H46" s="224">
        <f>SUMIFS(表1_8612182224267292[活跃实际充值],表1_8612182224267292[目标区服],表2_9713192325277393[[#This Row],[合区区服]],表1_8612182224267292[目标国家（映射）],表2_9713192325277393[[#This Row],[国家]])</f>
        <v>155346</v>
      </c>
      <c r="I46" s="224">
        <f>SUMIFS(表1_8612182224267292[活跃虚拟充值],表1_8612182224267292[目标区服],表2_9713192325277393[[#This Row],[合区区服]],表1_8612182224267292[目标国家（映射）],表2_9713192325277393[[#This Row],[国家]])</f>
        <v>0</v>
      </c>
      <c r="J46" s="224">
        <f>SUMIFS(表1_8612182224267292[活跃Coin],表1_8612182224267292[目标区服],表2_9713192325277393[[#This Row],[合区区服]],表1_8612182224267292[目标国家（映射）],表2_9713192325277393[[#This Row],[国家]])</f>
        <v>714800</v>
      </c>
      <c r="K46" s="224">
        <f>SUMIFS(表1_8612182224267292[共计补偿Coin],表1_8612182224267292[目标区服],表2_9713192325277393[[#This Row],[合区区服]],表1_8612182224267292[目标国家（映射）],表2_9713192325277393[[#This Row],[国家]])</f>
        <v>78000</v>
      </c>
      <c r="L46" s="224">
        <f>表2_9713192325277393[[#This Row],[活跃Coin]]+表2_9713192325277393[[#This Row],[共计补偿Coin]]</f>
        <v>792800</v>
      </c>
      <c r="M46" s="224">
        <f>SUMIFS(表1_8612182224267292[综合国力],表1_8612182224267292[目标区服],表2_9713192325277393[[#This Row],[合区区服]],表1_8612182224267292[目标国家（映射）],表2_9713192325277393[[#This Row],[国家]])</f>
        <v>20489</v>
      </c>
      <c r="N46" s="471">
        <f t="array" ref="N46">MAX((表1_8612182224267292[目标区服]=表2_9713192325277393[[#This Row],[合区区服]])*(表1_8612182224267292[目标国家（映射）]=表2_9713192325277393[[#This Row],[国家]])*表1_8612182224267292[单将最高战力])</f>
        <v>1331076</v>
      </c>
    </row>
    <row r="47" ht="15" spans="1:14">
      <c r="A47" s="485" t="s">
        <v>189</v>
      </c>
      <c r="B47" s="169" t="s">
        <v>25</v>
      </c>
      <c r="C47" s="169">
        <f>COUNTIFS(表1_8612182224267292[目标区服],表2_9713192325277393[[#This Row],[合区区服]],表1_8612182224267292[目标国家（映射）],表2_9713192325277393[[#This Row],[国家]])</f>
        <v>2</v>
      </c>
      <c r="D47" s="169">
        <f>SUMIFS(表1_8612182224267292[活跃高战玩家数],表1_8612182224267292[目标区服],表2_9713192325277393[[#This Row],[合区区服]],表1_8612182224267292[目标国家（映射）],表2_9713192325277393[[#This Row],[国家]])</f>
        <v>4</v>
      </c>
      <c r="E47" s="169">
        <f>SUMIFS(表1_8612182224267292[活跃中坚玩家数],表1_8612182224267292[目标区服],表2_9713192325277393[[#This Row],[合区区服]],表1_8612182224267292[目标国家（映射）],表2_9713192325277393[[#This Row],[国家]])</f>
        <v>40</v>
      </c>
      <c r="F47" s="169">
        <f t="array" ref="F47">MAX((表1_8612182224267292[目标区服]=表2_9713192325277393[[#This Row],[合区区服]])*(表1_8612182224267292[目标国家（映射）]=表2_9713192325277393[[#This Row],[国家]])*表1_8612182224267292[活跃尖端战力])</f>
        <v>3933232</v>
      </c>
      <c r="G47" s="170">
        <f>SUMIFS(表1_8612182224267292[活跃总战力],表1_8612182224267292[目标区服],表2_9713192325277393[[#This Row],[合区区服]],表1_8612182224267292[目标国家（映射）],表2_9713192325277393[[#This Row],[国家]])</f>
        <v>43620495</v>
      </c>
      <c r="H47" s="169">
        <f>SUMIFS(表1_8612182224267292[活跃实际充值],表1_8612182224267292[目标区服],表2_9713192325277393[[#This Row],[合区区服]],表1_8612182224267292[目标国家（映射）],表2_9713192325277393[[#This Row],[国家]])</f>
        <v>110912</v>
      </c>
      <c r="I47" s="169">
        <f>SUMIFS(表1_8612182224267292[活跃虚拟充值],表1_8612182224267292[目标区服],表2_9713192325277393[[#This Row],[合区区服]],表1_8612182224267292[目标国家（映射）],表2_9713192325277393[[#This Row],[国家]])</f>
        <v>6228</v>
      </c>
      <c r="J47" s="169">
        <f>SUMIFS(表1_8612182224267292[活跃Coin],表1_8612182224267292[目标区服],表2_9713192325277393[[#This Row],[合区区服]],表1_8612182224267292[目标国家（映射）],表2_9713192325277393[[#This Row],[国家]])</f>
        <v>1040187</v>
      </c>
      <c r="K47" s="169">
        <f>SUMIFS(表1_8612182224267292[共计补偿Coin],表1_8612182224267292[目标区服],表2_9713192325277393[[#This Row],[合区区服]],表1_8612182224267292[目标国家（映射）],表2_9713192325277393[[#This Row],[国家]])</f>
        <v>51500</v>
      </c>
      <c r="L47" s="169">
        <f>表2_9713192325277393[[#This Row],[活跃Coin]]+表2_9713192325277393[[#This Row],[共计补偿Coin]]</f>
        <v>1091687</v>
      </c>
      <c r="M47" s="169">
        <f>SUMIFS(表1_8612182224267292[综合国力],表1_8612182224267292[目标区服],表2_9713192325277393[[#This Row],[合区区服]],表1_8612182224267292[目标国家（映射）],表2_9713192325277393[[#This Row],[国家]])</f>
        <v>18194</v>
      </c>
      <c r="N47" s="486">
        <f t="array" ref="N47">MAX((表1_8612182224267292[目标区服]=表2_9713192325277393[[#This Row],[合区区服]])*(表1_8612182224267292[目标国家（映射）]=表2_9713192325277393[[#This Row],[国家]])*表1_8612182224267292[单将最高战力])</f>
        <v>1250864</v>
      </c>
    </row>
    <row r="48" ht="15" spans="1:14">
      <c r="A48" s="485" t="s">
        <v>189</v>
      </c>
      <c r="B48" s="169" t="s">
        <v>26</v>
      </c>
      <c r="C48" s="169">
        <f>COUNTIFS(表1_8612182224267292[目标区服],表2_9713192325277393[[#This Row],[合区区服]],表1_8612182224267292[目标国家（映射）],表2_9713192325277393[[#This Row],[国家]])</f>
        <v>2</v>
      </c>
      <c r="D48" s="169">
        <f>SUMIFS(表1_8612182224267292[活跃高战玩家数],表1_8612182224267292[目标区服],表2_9713192325277393[[#This Row],[合区区服]],表1_8612182224267292[目标国家（映射）],表2_9713192325277393[[#This Row],[国家]])</f>
        <v>7</v>
      </c>
      <c r="E48" s="169">
        <f>SUMIFS(表1_8612182224267292[活跃中坚玩家数],表1_8612182224267292[目标区服],表2_9713192325277393[[#This Row],[合区区服]],表1_8612182224267292[目标国家（映射）],表2_9713192325277393[[#This Row],[国家]])</f>
        <v>52</v>
      </c>
      <c r="F48" s="169">
        <f t="array" ref="F48">MAX((表1_8612182224267292[目标区服]=表2_9713192325277393[[#This Row],[合区区服]])*(表1_8612182224267292[目标国家（映射）]=表2_9713192325277393[[#This Row],[国家]])*表1_8612182224267292[活跃尖端战力])</f>
        <v>3310982</v>
      </c>
      <c r="G48" s="170">
        <f>SUMIFS(表1_8612182224267292[活跃总战力],表1_8612182224267292[目标区服],表2_9713192325277393[[#This Row],[合区区服]],表1_8612182224267292[目标国家（映射）],表2_9713192325277393[[#This Row],[国家]])</f>
        <v>60599730</v>
      </c>
      <c r="H48" s="169">
        <f>SUMIFS(表1_8612182224267292[活跃实际充值],表1_8612182224267292[目标区服],表2_9713192325277393[[#This Row],[合区区服]],表1_8612182224267292[目标国家（映射）],表2_9713192325277393[[#This Row],[国家]])</f>
        <v>202322</v>
      </c>
      <c r="I48" s="169">
        <f>SUMIFS(表1_8612182224267292[活跃虚拟充值],表1_8612182224267292[目标区服],表2_9713192325277393[[#This Row],[合区区服]],表1_8612182224267292[目标国家（映射）],表2_9713192325277393[[#This Row],[国家]])</f>
        <v>0</v>
      </c>
      <c r="J48" s="169">
        <f>SUMIFS(表1_8612182224267292[活跃Coin],表1_8612182224267292[目标区服],表2_9713192325277393[[#This Row],[合区区服]],表1_8612182224267292[目标国家（映射）],表2_9713192325277393[[#This Row],[国家]])</f>
        <v>629989</v>
      </c>
      <c r="K48" s="169">
        <f>SUMIFS(表1_8612182224267292[共计补偿Coin],表1_8612182224267292[目标区服],表2_9713192325277393[[#This Row],[合区区服]],表1_8612182224267292[目标国家（映射）],表2_9713192325277393[[#This Row],[国家]])</f>
        <v>74500</v>
      </c>
      <c r="L48" s="169">
        <f>表2_9713192325277393[[#This Row],[活跃Coin]]+表2_9713192325277393[[#This Row],[共计补偿Coin]]</f>
        <v>704489</v>
      </c>
      <c r="M48" s="169">
        <f>SUMIFS(表1_8612182224267292[综合国力],表1_8612182224267292[目标区服],表2_9713192325277393[[#This Row],[合区区服]],表1_8612182224267292[目标国家（映射）],表2_9713192325277393[[#This Row],[国家]])</f>
        <v>22452</v>
      </c>
      <c r="N48" s="486">
        <f t="array" ref="N48">MAX((表1_8612182224267292[目标区服]=表2_9713192325277393[[#This Row],[合区区服]])*(表1_8612182224267292[目标国家（映射）]=表2_9713192325277393[[#This Row],[国家]])*表1_8612182224267292[单将最高战力])</f>
        <v>888893</v>
      </c>
    </row>
    <row r="49" ht="15" spans="1:14">
      <c r="A49" s="485" t="s">
        <v>189</v>
      </c>
      <c r="B49" s="171" t="s">
        <v>27</v>
      </c>
      <c r="C49" s="171">
        <f>COUNTIFS(表1_8612182224267292[目标区服],表2_9713192325277393[[#This Row],[合区区服]],表1_8612182224267292[目标国家（映射）],表2_9713192325277393[[#This Row],[国家]])</f>
        <v>2</v>
      </c>
      <c r="D49" s="171">
        <f>SUMIFS(表1_8612182224267292[活跃高战玩家数],表1_8612182224267292[目标区服],表2_9713192325277393[[#This Row],[合区区服]],表1_8612182224267292[目标国家（映射）],表2_9713192325277393[[#This Row],[国家]])</f>
        <v>9</v>
      </c>
      <c r="E49" s="171">
        <f>SUMIFS(表1_8612182224267292[活跃中坚玩家数],表1_8612182224267292[目标区服],表2_9713192325277393[[#This Row],[合区区服]],表1_8612182224267292[目标国家（映射）],表2_9713192325277393[[#This Row],[国家]])</f>
        <v>46</v>
      </c>
      <c r="F49" s="171">
        <f t="array" ref="F49">MAX((表1_8612182224267292[目标区服]=表2_9713192325277393[[#This Row],[合区区服]])*(表1_8612182224267292[目标国家（映射）]=表2_9713192325277393[[#This Row],[国家]])*表1_8612182224267292[活跃尖端战力])</f>
        <v>3552798</v>
      </c>
      <c r="G49" s="172">
        <f>SUMIFS(表1_8612182224267292[活跃总战力],表1_8612182224267292[目标区服],表2_9713192325277393[[#This Row],[合区区服]],表1_8612182224267292[目标国家（映射）],表2_9713192325277393[[#This Row],[国家]])</f>
        <v>54975688</v>
      </c>
      <c r="H49" s="171">
        <f>SUMIFS(表1_8612182224267292[活跃实际充值],表1_8612182224267292[目标区服],表2_9713192325277393[[#This Row],[合区区服]],表1_8612182224267292[目标国家（映射）],表2_9713192325277393[[#This Row],[国家]])</f>
        <v>174418</v>
      </c>
      <c r="I49" s="171">
        <f>SUMIFS(表1_8612182224267292[活跃虚拟充值],表1_8612182224267292[目标区服],表2_9713192325277393[[#This Row],[合区区服]],表1_8612182224267292[目标国家（映射）],表2_9713192325277393[[#This Row],[国家]])</f>
        <v>30</v>
      </c>
      <c r="J49" s="171">
        <f>SUMIFS(表1_8612182224267292[活跃Coin],表1_8612182224267292[目标区服],表2_9713192325277393[[#This Row],[合区区服]],表1_8612182224267292[目标国家（映射）],表2_9713192325277393[[#This Row],[国家]])</f>
        <v>990507</v>
      </c>
      <c r="K49" s="171">
        <f>SUMIFS(表1_8612182224267292[共计补偿Coin],表1_8612182224267292[目标区服],表2_9713192325277393[[#This Row],[合区区服]],表1_8612182224267292[目标国家（映射）],表2_9713192325277393[[#This Row],[国家]])</f>
        <v>75000</v>
      </c>
      <c r="L49" s="171">
        <f>表2_9713192325277393[[#This Row],[活跃Coin]]+表2_9713192325277393[[#This Row],[共计补偿Coin]]</f>
        <v>1065507</v>
      </c>
      <c r="M49" s="171">
        <f>SUMIFS(表1_8612182224267292[综合国力],表1_8612182224267292[目标区服],表2_9713192325277393[[#This Row],[合区区服]],表1_8612182224267292[目标国家（映射）],表2_9713192325277393[[#This Row],[国家]])</f>
        <v>20723</v>
      </c>
      <c r="N49" s="487">
        <f t="array" ref="N49">MAX((表1_8612182224267292[目标区服]=表2_9713192325277393[[#This Row],[合区区服]])*(表1_8612182224267292[目标国家（映射）]=表2_9713192325277393[[#This Row],[国家]])*表1_8612182224267292[单将最高战力])</f>
        <v>988249</v>
      </c>
    </row>
    <row r="55" ht="27" spans="2:14">
      <c r="B55" s="49"/>
      <c r="C55" s="50" t="s">
        <v>9</v>
      </c>
      <c r="D55" s="50" t="s">
        <v>10</v>
      </c>
      <c r="E55" s="50" t="s">
        <v>11</v>
      </c>
      <c r="F55" s="50" t="s">
        <v>12</v>
      </c>
      <c r="G55" s="50" t="s">
        <v>13</v>
      </c>
      <c r="H55" s="50" t="s">
        <v>14</v>
      </c>
      <c r="I55" s="50" t="s">
        <v>15</v>
      </c>
      <c r="J55" s="50" t="s">
        <v>18</v>
      </c>
      <c r="K55" s="50" t="s">
        <v>19</v>
      </c>
      <c r="L55" s="50" t="s">
        <v>20</v>
      </c>
      <c r="M55" s="50" t="s">
        <v>21</v>
      </c>
      <c r="N55" s="50" t="s">
        <v>82</v>
      </c>
    </row>
    <row r="56" spans="1:14">
      <c r="A56">
        <v>182</v>
      </c>
      <c r="B56" s="50" t="s">
        <v>25</v>
      </c>
      <c r="C56" s="50">
        <v>3</v>
      </c>
      <c r="D56" s="50">
        <v>92</v>
      </c>
      <c r="E56" s="50">
        <v>5</v>
      </c>
      <c r="F56" s="50">
        <v>26</v>
      </c>
      <c r="G56" s="50">
        <v>123255</v>
      </c>
      <c r="H56" s="50">
        <v>3612987</v>
      </c>
      <c r="I56" s="50">
        <v>36772006</v>
      </c>
      <c r="J56" s="50">
        <v>112824</v>
      </c>
      <c r="K56" s="50">
        <v>0</v>
      </c>
      <c r="L56" s="50">
        <v>1177660</v>
      </c>
      <c r="M56" s="50">
        <v>13100</v>
      </c>
      <c r="N56" s="50">
        <v>955050</v>
      </c>
    </row>
    <row r="57" spans="2:14">
      <c r="B57" s="50" t="s">
        <v>26</v>
      </c>
      <c r="C57" s="50">
        <v>4</v>
      </c>
      <c r="D57" s="50">
        <v>192</v>
      </c>
      <c r="E57" s="50">
        <v>3</v>
      </c>
      <c r="F57" s="50">
        <v>19</v>
      </c>
      <c r="G57" s="50">
        <v>91225</v>
      </c>
      <c r="H57" s="50">
        <v>3731557</v>
      </c>
      <c r="I57" s="50">
        <v>27879893</v>
      </c>
      <c r="J57" s="50">
        <v>92770</v>
      </c>
      <c r="K57" s="50">
        <v>0</v>
      </c>
      <c r="L57" s="50">
        <v>415431</v>
      </c>
      <c r="M57" s="50">
        <v>12286</v>
      </c>
      <c r="N57" s="50">
        <v>1032362</v>
      </c>
    </row>
    <row r="58" spans="2:14">
      <c r="B58" s="50" t="s">
        <v>27</v>
      </c>
      <c r="C58" s="50">
        <v>2</v>
      </c>
      <c r="D58" s="50">
        <v>111</v>
      </c>
      <c r="E58" s="50">
        <v>2</v>
      </c>
      <c r="F58" s="50">
        <v>21</v>
      </c>
      <c r="G58" s="50">
        <v>93468</v>
      </c>
      <c r="H58" s="50">
        <v>2735595</v>
      </c>
      <c r="I58" s="50">
        <v>26305453</v>
      </c>
      <c r="J58" s="50">
        <v>71602</v>
      </c>
      <c r="K58" s="50">
        <v>0</v>
      </c>
      <c r="L58" s="50">
        <v>630026</v>
      </c>
      <c r="M58" s="50">
        <v>9606</v>
      </c>
      <c r="N58" s="50">
        <v>700482</v>
      </c>
    </row>
    <row r="59" spans="1:14">
      <c r="A59">
        <v>183</v>
      </c>
      <c r="B59" s="50" t="s">
        <v>25</v>
      </c>
      <c r="C59" s="50">
        <v>5</v>
      </c>
      <c r="D59" s="50">
        <v>219</v>
      </c>
      <c r="E59" s="50">
        <v>7</v>
      </c>
      <c r="F59" s="50">
        <v>17</v>
      </c>
      <c r="G59" s="50">
        <v>112586</v>
      </c>
      <c r="H59" s="50">
        <v>3983148</v>
      </c>
      <c r="I59" s="50">
        <v>30268611</v>
      </c>
      <c r="J59" s="50">
        <v>163926</v>
      </c>
      <c r="K59" s="50">
        <v>0</v>
      </c>
      <c r="L59" s="50">
        <v>668662</v>
      </c>
      <c r="M59" s="50">
        <v>15515</v>
      </c>
      <c r="N59" s="50">
        <v>1149137</v>
      </c>
    </row>
    <row r="60" spans="2:14">
      <c r="B60" s="50" t="s">
        <v>26</v>
      </c>
      <c r="C60" s="50">
        <v>3</v>
      </c>
      <c r="D60" s="50">
        <v>124</v>
      </c>
      <c r="E60" s="50">
        <v>3</v>
      </c>
      <c r="F60" s="50">
        <v>35</v>
      </c>
      <c r="G60" s="50">
        <v>151066</v>
      </c>
      <c r="H60" s="50">
        <v>2612562</v>
      </c>
      <c r="I60" s="50">
        <v>37030721</v>
      </c>
      <c r="J60" s="50">
        <v>42284</v>
      </c>
      <c r="K60" s="50">
        <v>0</v>
      </c>
      <c r="L60" s="50">
        <v>525775</v>
      </c>
      <c r="M60" s="50">
        <v>10142</v>
      </c>
      <c r="N60" s="50">
        <v>718553</v>
      </c>
    </row>
    <row r="61" spans="2:14">
      <c r="B61" s="50" t="s">
        <v>27</v>
      </c>
      <c r="C61" s="50">
        <v>1</v>
      </c>
      <c r="D61" s="50">
        <v>52</v>
      </c>
      <c r="E61" s="50">
        <v>0</v>
      </c>
      <c r="F61" s="50">
        <v>10</v>
      </c>
      <c r="G61" s="50">
        <v>35665</v>
      </c>
      <c r="H61" s="50">
        <v>1801702</v>
      </c>
      <c r="I61" s="50">
        <v>8930047</v>
      </c>
      <c r="J61" s="50">
        <v>12952</v>
      </c>
      <c r="K61" s="50">
        <v>0</v>
      </c>
      <c r="L61" s="50">
        <v>156924</v>
      </c>
      <c r="M61" s="50">
        <v>3960</v>
      </c>
      <c r="N61" s="50">
        <v>604241</v>
      </c>
    </row>
    <row r="62" spans="1:14">
      <c r="A62">
        <v>184</v>
      </c>
      <c r="B62" s="50" t="s">
        <v>25</v>
      </c>
      <c r="C62" s="50">
        <v>5</v>
      </c>
      <c r="D62" s="50">
        <v>208</v>
      </c>
      <c r="E62" s="50">
        <v>6</v>
      </c>
      <c r="F62" s="50">
        <v>25</v>
      </c>
      <c r="G62" s="50">
        <v>141864</v>
      </c>
      <c r="H62" s="50">
        <v>3628349</v>
      </c>
      <c r="I62" s="50">
        <v>38525091</v>
      </c>
      <c r="J62" s="50">
        <v>159642</v>
      </c>
      <c r="K62" s="50">
        <v>0</v>
      </c>
      <c r="L62" s="50">
        <v>931155</v>
      </c>
      <c r="M62" s="50">
        <v>16025</v>
      </c>
      <c r="N62" s="50">
        <v>989716</v>
      </c>
    </row>
    <row r="63" spans="2:14">
      <c r="B63" s="50" t="s">
        <v>26</v>
      </c>
      <c r="C63" s="50">
        <v>0</v>
      </c>
      <c r="D63" s="50">
        <v>50</v>
      </c>
      <c r="E63" s="50">
        <v>0</v>
      </c>
      <c r="F63" s="50">
        <v>16</v>
      </c>
      <c r="G63" s="50">
        <v>37635</v>
      </c>
      <c r="H63" s="50">
        <v>1415453</v>
      </c>
      <c r="I63" s="50">
        <v>12591453</v>
      </c>
      <c r="J63" s="50">
        <v>6518</v>
      </c>
      <c r="K63" s="50">
        <v>0</v>
      </c>
      <c r="L63" s="50">
        <v>127974</v>
      </c>
      <c r="M63" s="50">
        <v>3622</v>
      </c>
      <c r="N63" s="50">
        <v>444014</v>
      </c>
    </row>
    <row r="64" spans="2:14">
      <c r="B64" s="50" t="s">
        <v>27</v>
      </c>
      <c r="C64" s="50">
        <v>4</v>
      </c>
      <c r="D64" s="50">
        <v>137</v>
      </c>
      <c r="E64" s="50">
        <v>4</v>
      </c>
      <c r="F64" s="50">
        <v>20</v>
      </c>
      <c r="G64" s="50">
        <v>108666</v>
      </c>
      <c r="H64" s="50">
        <v>3950053</v>
      </c>
      <c r="I64" s="50">
        <v>31176281</v>
      </c>
      <c r="J64" s="50">
        <v>157534</v>
      </c>
      <c r="K64" s="50">
        <v>0</v>
      </c>
      <c r="L64" s="50">
        <v>853794</v>
      </c>
      <c r="M64" s="50">
        <v>14533</v>
      </c>
      <c r="N64" s="50">
        <v>1088014</v>
      </c>
    </row>
    <row r="65" spans="1:14">
      <c r="A65">
        <v>185</v>
      </c>
      <c r="B65" s="50" t="s">
        <v>25</v>
      </c>
      <c r="C65" s="50">
        <v>5</v>
      </c>
      <c r="D65" s="50">
        <v>234</v>
      </c>
      <c r="E65" s="50">
        <v>6</v>
      </c>
      <c r="F65" s="50">
        <v>26</v>
      </c>
      <c r="G65" s="50">
        <v>145041</v>
      </c>
      <c r="H65" s="50">
        <v>4054295</v>
      </c>
      <c r="I65" s="50">
        <v>38405994</v>
      </c>
      <c r="J65" s="50">
        <v>164784</v>
      </c>
      <c r="K65" s="50">
        <v>0</v>
      </c>
      <c r="L65" s="50">
        <v>934653</v>
      </c>
      <c r="M65" s="50">
        <v>16870</v>
      </c>
      <c r="N65" s="50">
        <v>1084538</v>
      </c>
    </row>
    <row r="66" spans="2:14">
      <c r="B66" s="50" t="s">
        <v>26</v>
      </c>
      <c r="C66" s="50">
        <v>2</v>
      </c>
      <c r="D66" s="50">
        <v>85</v>
      </c>
      <c r="E66" s="50">
        <v>2</v>
      </c>
      <c r="F66" s="50">
        <v>22</v>
      </c>
      <c r="G66" s="50">
        <v>88604</v>
      </c>
      <c r="H66" s="50">
        <v>3302697</v>
      </c>
      <c r="I66" s="50">
        <v>24167790</v>
      </c>
      <c r="J66" s="50">
        <v>53270</v>
      </c>
      <c r="K66" s="50">
        <v>0</v>
      </c>
      <c r="L66" s="50">
        <v>235204</v>
      </c>
      <c r="M66" s="50">
        <v>8928</v>
      </c>
      <c r="N66" s="50">
        <v>905141</v>
      </c>
    </row>
    <row r="67" spans="2:14">
      <c r="B67" s="50" t="s">
        <v>27</v>
      </c>
      <c r="C67" s="50">
        <v>2</v>
      </c>
      <c r="D67" s="50">
        <v>76</v>
      </c>
      <c r="E67" s="50">
        <v>2</v>
      </c>
      <c r="F67" s="50">
        <v>19</v>
      </c>
      <c r="G67" s="50">
        <v>72727</v>
      </c>
      <c r="H67" s="50">
        <v>2644948</v>
      </c>
      <c r="I67" s="50">
        <v>19999493</v>
      </c>
      <c r="J67" s="50">
        <v>36124</v>
      </c>
      <c r="K67" s="50">
        <v>0</v>
      </c>
      <c r="L67" s="50">
        <v>268174</v>
      </c>
      <c r="M67" s="50">
        <v>7186</v>
      </c>
      <c r="N67" s="50">
        <v>739062</v>
      </c>
    </row>
    <row r="68" spans="1:14">
      <c r="A68">
        <v>186</v>
      </c>
      <c r="B68" s="50" t="s">
        <v>25</v>
      </c>
      <c r="C68" s="50">
        <v>6</v>
      </c>
      <c r="D68" s="50">
        <v>172</v>
      </c>
      <c r="E68" s="50">
        <v>6</v>
      </c>
      <c r="F68" s="50">
        <v>31</v>
      </c>
      <c r="G68" s="50">
        <v>161859</v>
      </c>
      <c r="H68" s="50">
        <v>5255986</v>
      </c>
      <c r="I68" s="50">
        <v>52915014</v>
      </c>
      <c r="J68" s="50">
        <v>331378</v>
      </c>
      <c r="K68" s="50">
        <v>0</v>
      </c>
      <c r="L68" s="50">
        <v>736822</v>
      </c>
      <c r="M68" s="50">
        <v>23986</v>
      </c>
      <c r="N68" s="50">
        <v>1300824</v>
      </c>
    </row>
    <row r="69" spans="2:14">
      <c r="B69" s="50" t="s">
        <v>26</v>
      </c>
      <c r="C69" s="50">
        <v>3</v>
      </c>
      <c r="D69" s="50">
        <v>200</v>
      </c>
      <c r="E69" s="50">
        <v>4</v>
      </c>
      <c r="F69" s="50">
        <v>29</v>
      </c>
      <c r="G69" s="50">
        <v>122925</v>
      </c>
      <c r="H69" s="50">
        <v>4327911</v>
      </c>
      <c r="I69" s="50">
        <v>37694640</v>
      </c>
      <c r="J69" s="50">
        <v>186150</v>
      </c>
      <c r="K69" s="50">
        <v>0</v>
      </c>
      <c r="L69" s="50">
        <v>668284</v>
      </c>
      <c r="M69" s="50">
        <v>16930</v>
      </c>
      <c r="N69" s="50">
        <v>1227250</v>
      </c>
    </row>
    <row r="70" spans="2:14">
      <c r="B70" s="50" t="s">
        <v>27</v>
      </c>
      <c r="C70" s="50">
        <v>0</v>
      </c>
      <c r="D70" s="50">
        <v>23</v>
      </c>
      <c r="E70" s="50">
        <v>0</v>
      </c>
      <c r="F70" s="50">
        <v>8</v>
      </c>
      <c r="G70" s="50">
        <v>14431</v>
      </c>
      <c r="H70" s="50">
        <v>1188157</v>
      </c>
      <c r="I70" s="50">
        <v>6379739</v>
      </c>
      <c r="J70" s="50">
        <v>1048</v>
      </c>
      <c r="K70" s="50">
        <v>0</v>
      </c>
      <c r="L70" s="50">
        <v>56028</v>
      </c>
      <c r="M70" s="50">
        <v>2187</v>
      </c>
      <c r="N70" s="50">
        <v>345237</v>
      </c>
    </row>
    <row r="71" spans="1:14">
      <c r="A71">
        <v>187</v>
      </c>
      <c r="B71" s="50" t="s">
        <v>25</v>
      </c>
      <c r="C71" s="50">
        <v>3</v>
      </c>
      <c r="D71" s="50">
        <v>118</v>
      </c>
      <c r="E71" s="50">
        <v>3</v>
      </c>
      <c r="F71" s="50">
        <v>18</v>
      </c>
      <c r="G71" s="50">
        <v>81029</v>
      </c>
      <c r="H71" s="50">
        <v>4445314</v>
      </c>
      <c r="I71" s="50">
        <v>27874776</v>
      </c>
      <c r="J71" s="50">
        <v>216840</v>
      </c>
      <c r="K71" s="50">
        <v>0</v>
      </c>
      <c r="L71" s="50">
        <v>550997</v>
      </c>
      <c r="M71" s="50">
        <v>15898</v>
      </c>
      <c r="N71" s="50">
        <v>1172219</v>
      </c>
    </row>
    <row r="72" spans="2:14">
      <c r="B72" s="50" t="s">
        <v>26</v>
      </c>
      <c r="C72" s="50">
        <v>3</v>
      </c>
      <c r="D72" s="50">
        <v>155</v>
      </c>
      <c r="E72" s="50">
        <v>4</v>
      </c>
      <c r="F72" s="50">
        <v>27</v>
      </c>
      <c r="G72" s="50">
        <v>128440</v>
      </c>
      <c r="H72" s="50">
        <v>4473657</v>
      </c>
      <c r="I72" s="50">
        <v>40954023</v>
      </c>
      <c r="J72" s="50">
        <v>241442</v>
      </c>
      <c r="K72" s="50">
        <v>0</v>
      </c>
      <c r="L72" s="50">
        <v>649376</v>
      </c>
      <c r="M72" s="50">
        <v>18629</v>
      </c>
      <c r="N72" s="50">
        <v>1189289</v>
      </c>
    </row>
    <row r="73" spans="2:14">
      <c r="B73" s="50" t="s">
        <v>27</v>
      </c>
      <c r="C73" s="50">
        <v>3</v>
      </c>
      <c r="D73" s="50">
        <v>122</v>
      </c>
      <c r="E73" s="50">
        <v>2</v>
      </c>
      <c r="F73" s="50">
        <v>22</v>
      </c>
      <c r="G73" s="50">
        <v>88807</v>
      </c>
      <c r="H73" s="50">
        <v>4112161</v>
      </c>
      <c r="I73" s="50">
        <v>27992531</v>
      </c>
      <c r="J73" s="50">
        <v>126814</v>
      </c>
      <c r="K73" s="50">
        <v>0</v>
      </c>
      <c r="L73" s="50">
        <v>522362</v>
      </c>
      <c r="M73" s="50">
        <v>12941</v>
      </c>
      <c r="N73" s="50">
        <v>1243598</v>
      </c>
    </row>
    <row r="74" spans="1:14">
      <c r="A74">
        <v>188</v>
      </c>
      <c r="B74" s="50" t="s">
        <v>25</v>
      </c>
      <c r="C74" s="50">
        <v>3</v>
      </c>
      <c r="D74" s="50">
        <v>159</v>
      </c>
      <c r="E74" s="50">
        <v>7</v>
      </c>
      <c r="F74" s="50">
        <v>18</v>
      </c>
      <c r="G74" s="50">
        <v>106559</v>
      </c>
      <c r="H74" s="50">
        <v>3954481</v>
      </c>
      <c r="I74" s="50">
        <v>29312809</v>
      </c>
      <c r="J74" s="50">
        <v>104718</v>
      </c>
      <c r="K74" s="50">
        <v>0</v>
      </c>
      <c r="L74" s="50">
        <v>471593</v>
      </c>
      <c r="M74" s="50">
        <v>12685</v>
      </c>
      <c r="N74" s="50">
        <v>1116322</v>
      </c>
    </row>
    <row r="75" spans="2:14">
      <c r="B75" s="50" t="s">
        <v>26</v>
      </c>
      <c r="C75" s="50">
        <v>3</v>
      </c>
      <c r="D75" s="50">
        <v>123</v>
      </c>
      <c r="E75" s="50">
        <v>2</v>
      </c>
      <c r="F75" s="50">
        <v>24</v>
      </c>
      <c r="G75" s="50">
        <v>88237</v>
      </c>
      <c r="H75" s="50">
        <v>4020237</v>
      </c>
      <c r="I75" s="50">
        <v>27634571</v>
      </c>
      <c r="J75" s="50">
        <v>168722</v>
      </c>
      <c r="K75" s="50">
        <v>0</v>
      </c>
      <c r="L75" s="50">
        <v>468922</v>
      </c>
      <c r="M75" s="50">
        <v>14051</v>
      </c>
      <c r="N75" s="50">
        <v>1491893</v>
      </c>
    </row>
    <row r="76" spans="2:14">
      <c r="B76" s="50" t="s">
        <v>27</v>
      </c>
      <c r="C76" s="50">
        <v>3</v>
      </c>
      <c r="D76" s="50">
        <v>113</v>
      </c>
      <c r="E76" s="50">
        <v>1</v>
      </c>
      <c r="F76" s="50">
        <v>26</v>
      </c>
      <c r="G76" s="50">
        <v>107499</v>
      </c>
      <c r="H76" s="50">
        <v>2654145</v>
      </c>
      <c r="I76" s="50">
        <v>27357437</v>
      </c>
      <c r="J76" s="50">
        <v>44088</v>
      </c>
      <c r="K76" s="50">
        <v>68</v>
      </c>
      <c r="L76" s="50">
        <v>525528</v>
      </c>
      <c r="M76" s="50">
        <v>8943</v>
      </c>
      <c r="N76" s="50">
        <v>834270</v>
      </c>
    </row>
    <row r="77" spans="1:14">
      <c r="A77">
        <v>189</v>
      </c>
      <c r="B77" s="50" t="s">
        <v>25</v>
      </c>
      <c r="C77" s="50">
        <v>4</v>
      </c>
      <c r="D77" s="50">
        <v>88</v>
      </c>
      <c r="E77" s="50">
        <v>4</v>
      </c>
      <c r="F77" s="50">
        <v>23</v>
      </c>
      <c r="G77" s="50">
        <v>96833</v>
      </c>
      <c r="H77" s="50">
        <v>3435947</v>
      </c>
      <c r="I77" s="50">
        <v>26710540</v>
      </c>
      <c r="J77" s="50">
        <v>84266</v>
      </c>
      <c r="K77" s="50">
        <v>0</v>
      </c>
      <c r="L77" s="50">
        <v>257842</v>
      </c>
      <c r="M77" s="50">
        <v>10528</v>
      </c>
      <c r="N77" s="50">
        <v>1008025</v>
      </c>
    </row>
    <row r="78" spans="2:14">
      <c r="B78" s="50" t="s">
        <v>26</v>
      </c>
      <c r="C78" s="50">
        <v>3</v>
      </c>
      <c r="D78" s="50">
        <v>184</v>
      </c>
      <c r="E78" s="50">
        <v>2</v>
      </c>
      <c r="F78" s="50">
        <v>23</v>
      </c>
      <c r="G78" s="50">
        <v>96789</v>
      </c>
      <c r="H78" s="50">
        <v>2314588</v>
      </c>
      <c r="I78" s="50">
        <v>23058859</v>
      </c>
      <c r="J78" s="50">
        <v>52216</v>
      </c>
      <c r="K78" s="50">
        <v>0</v>
      </c>
      <c r="L78" s="50">
        <v>269543</v>
      </c>
      <c r="M78" s="50">
        <v>8945</v>
      </c>
      <c r="N78" s="50">
        <v>710182</v>
      </c>
    </row>
    <row r="79" spans="2:14">
      <c r="B79" s="50" t="s">
        <v>27</v>
      </c>
      <c r="C79" s="50">
        <v>2</v>
      </c>
      <c r="D79" s="50">
        <v>123</v>
      </c>
      <c r="E79" s="50">
        <v>3</v>
      </c>
      <c r="F79" s="50">
        <v>24</v>
      </c>
      <c r="G79" s="50">
        <v>105910</v>
      </c>
      <c r="H79" s="50">
        <v>3503337</v>
      </c>
      <c r="I79" s="50">
        <v>27650965</v>
      </c>
      <c r="J79" s="50">
        <v>103130</v>
      </c>
      <c r="K79" s="50">
        <v>0</v>
      </c>
      <c r="L79" s="50">
        <v>445257</v>
      </c>
      <c r="M79" s="50">
        <v>11544</v>
      </c>
      <c r="N79" s="50">
        <v>1331076</v>
      </c>
    </row>
    <row r="80" spans="1:14">
      <c r="A80">
        <v>190</v>
      </c>
      <c r="B80" s="50" t="s">
        <v>25</v>
      </c>
      <c r="C80" s="50">
        <v>7</v>
      </c>
      <c r="D80" s="50">
        <v>233</v>
      </c>
      <c r="E80" s="50">
        <v>4</v>
      </c>
      <c r="F80" s="50">
        <v>25</v>
      </c>
      <c r="G80" s="50">
        <v>136058</v>
      </c>
      <c r="H80" s="50">
        <v>3933232</v>
      </c>
      <c r="I80" s="50">
        <v>32907168</v>
      </c>
      <c r="J80" s="50">
        <v>96806</v>
      </c>
      <c r="K80" s="50">
        <v>6228</v>
      </c>
      <c r="L80" s="50">
        <v>880713</v>
      </c>
      <c r="M80" s="50">
        <v>14341</v>
      </c>
      <c r="N80" s="50">
        <v>1250864</v>
      </c>
    </row>
    <row r="81" spans="2:14">
      <c r="B81" s="50" t="s">
        <v>26</v>
      </c>
      <c r="C81" s="50">
        <v>1</v>
      </c>
      <c r="D81" s="50">
        <v>87</v>
      </c>
      <c r="E81" s="50">
        <v>1</v>
      </c>
      <c r="F81" s="50">
        <v>14</v>
      </c>
      <c r="G81" s="50">
        <v>38075</v>
      </c>
      <c r="H81" s="50">
        <v>1905589</v>
      </c>
      <c r="I81" s="50">
        <v>10997564</v>
      </c>
      <c r="J81" s="50">
        <v>32262</v>
      </c>
      <c r="K81" s="50">
        <v>0</v>
      </c>
      <c r="L81" s="50">
        <v>228688</v>
      </c>
      <c r="M81" s="50">
        <v>5247</v>
      </c>
      <c r="N81" s="50">
        <v>611177</v>
      </c>
    </row>
    <row r="82" spans="2:14">
      <c r="B82" s="50" t="s">
        <v>27</v>
      </c>
      <c r="C82" s="50">
        <v>1</v>
      </c>
      <c r="D82" s="50">
        <v>75</v>
      </c>
      <c r="E82" s="50">
        <v>5</v>
      </c>
      <c r="F82" s="50">
        <v>23</v>
      </c>
      <c r="G82" s="50">
        <v>129756</v>
      </c>
      <c r="H82" s="50">
        <v>3310982</v>
      </c>
      <c r="I82" s="50">
        <v>31070923</v>
      </c>
      <c r="J82" s="50">
        <v>144018</v>
      </c>
      <c r="K82" s="50">
        <v>0</v>
      </c>
      <c r="L82" s="50">
        <v>235818</v>
      </c>
      <c r="M82" s="50">
        <v>12355</v>
      </c>
      <c r="N82" s="50">
        <v>888893</v>
      </c>
    </row>
    <row r="83" spans="1:14">
      <c r="A83">
        <v>191</v>
      </c>
      <c r="B83" s="50" t="s">
        <v>25</v>
      </c>
      <c r="C83" s="50">
        <v>2</v>
      </c>
      <c r="D83" s="50">
        <v>57</v>
      </c>
      <c r="E83" s="50">
        <v>0</v>
      </c>
      <c r="F83" s="50">
        <v>15</v>
      </c>
      <c r="G83" s="50">
        <v>29629</v>
      </c>
      <c r="H83" s="50">
        <v>1360701</v>
      </c>
      <c r="I83" s="50">
        <v>10713327</v>
      </c>
      <c r="J83" s="50">
        <v>14106</v>
      </c>
      <c r="K83" s="50">
        <v>0</v>
      </c>
      <c r="L83" s="50">
        <v>159474</v>
      </c>
      <c r="M83" s="50">
        <v>3853</v>
      </c>
      <c r="N83" s="50">
        <v>458472</v>
      </c>
    </row>
    <row r="84" spans="2:14">
      <c r="B84" s="50" t="s">
        <v>26</v>
      </c>
      <c r="C84" s="50">
        <v>3</v>
      </c>
      <c r="D84" s="50">
        <v>173</v>
      </c>
      <c r="E84" s="50">
        <v>2</v>
      </c>
      <c r="F84" s="50">
        <v>29</v>
      </c>
      <c r="G84" s="50">
        <v>115357</v>
      </c>
      <c r="H84" s="50">
        <v>2591586</v>
      </c>
      <c r="I84" s="50">
        <v>29528807</v>
      </c>
      <c r="J84" s="50">
        <v>58304</v>
      </c>
      <c r="K84" s="50">
        <v>0</v>
      </c>
      <c r="L84" s="50">
        <v>394171</v>
      </c>
      <c r="M84" s="50">
        <v>10097</v>
      </c>
      <c r="N84" s="50">
        <v>732222</v>
      </c>
    </row>
    <row r="85" spans="2:14">
      <c r="B85" s="50" t="s">
        <v>27</v>
      </c>
      <c r="C85" s="50">
        <v>4</v>
      </c>
      <c r="D85" s="50">
        <v>165</v>
      </c>
      <c r="E85" s="50">
        <v>8</v>
      </c>
      <c r="F85" s="50">
        <v>32</v>
      </c>
      <c r="G85" s="50">
        <v>166013</v>
      </c>
      <c r="H85" s="50">
        <v>3552798</v>
      </c>
      <c r="I85" s="50">
        <v>43978124</v>
      </c>
      <c r="J85" s="50">
        <v>142156</v>
      </c>
      <c r="K85" s="50">
        <v>30</v>
      </c>
      <c r="L85" s="50">
        <v>761819</v>
      </c>
      <c r="M85" s="50">
        <v>15476</v>
      </c>
      <c r="N85" s="50">
        <v>988249</v>
      </c>
    </row>
  </sheetData>
  <conditionalFormatting sqref="F35:F37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{b83d0f92-daf9-417a-8dfc-d559af11fc79}</x14:id>
        </ext>
      </extLst>
    </cfRule>
  </conditionalFormatting>
  <conditionalFormatting sqref="F38:F40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{827de75f-d5b6-4fd2-8c06-7e788f1149e7}</x14:id>
        </ext>
      </extLst>
    </cfRule>
  </conditionalFormatting>
  <conditionalFormatting sqref="F41:F43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{51cb1b3d-1718-49f4-801f-01dc2b190aab}</x14:id>
        </ext>
      </extLst>
    </cfRule>
  </conditionalFormatting>
  <conditionalFormatting sqref="F44:F4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{c1f75f46-8035-435f-88ac-e3daf8dc16ba}</x14:id>
        </ext>
      </extLst>
    </cfRule>
  </conditionalFormatting>
  <conditionalFormatting sqref="F47:F4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{0dfb625a-f615-4232-80d4-6bd9f64659bb}</x14:id>
        </ext>
      </extLst>
    </cfRule>
  </conditionalFormatting>
  <conditionalFormatting sqref="G35:G37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{ee2da642-82db-406e-a7b9-40e9fc8b7b25}</x14:id>
        </ext>
      </extLst>
    </cfRule>
  </conditionalFormatting>
  <conditionalFormatting sqref="G38:G40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{ca5c0beb-3314-4417-b2a4-436c23f4638d}</x14:id>
        </ext>
      </extLst>
    </cfRule>
  </conditionalFormatting>
  <conditionalFormatting sqref="G41:G4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{09bfaf51-05d8-41ff-ae39-ca33291ec4a3}</x14:id>
        </ext>
      </extLst>
    </cfRule>
  </conditionalFormatting>
  <conditionalFormatting sqref="G44:G46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{a0d93dcd-4c21-4e05-a2d5-cdcf9212967a}</x14:id>
        </ext>
      </extLst>
    </cfRule>
  </conditionalFormatting>
  <conditionalFormatting sqref="G47:G4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{4a985aff-d3e1-4694-bfb2-bb23cdd54fe9}</x14:id>
        </ext>
      </extLst>
    </cfRule>
  </conditionalFormatting>
  <conditionalFormatting sqref="N35:N49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{26a77e4c-7ce6-4441-a73b-fa6b0dd1370b}</x14:id>
        </ext>
      </extLst>
    </cfRule>
  </conditionalFormatting>
  <conditionalFormatting sqref="N44:N49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{8fafbe40-5ced-46de-87ff-59323a616413}</x14:id>
        </ext>
      </extLst>
    </cfRule>
  </conditionalFormatting>
  <conditionalFormatting sqref="O2:O19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{e0e99867-ff29-45af-8151-2bcfb39a62f0}</x14:id>
        </ext>
      </extLst>
    </cfRule>
  </conditionalFormatting>
  <conditionalFormatting sqref="O20:O31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{21fdf526-e96e-4749-9e5e-d421d05aa024}</x14:id>
        </ext>
      </extLst>
    </cfRule>
  </conditionalFormatting>
  <conditionalFormatting sqref="P2:P19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{28811f0d-36b8-4e2e-87a9-79a87662ce9b}</x14:id>
        </ext>
      </extLst>
    </cfRule>
  </conditionalFormatting>
  <conditionalFormatting sqref="P20:P31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{5d0973f0-a2c7-4890-a1af-ba5fb90c3741}</x14:id>
        </ext>
      </extLst>
    </cfRule>
  </conditionalFormatting>
  <conditionalFormatting sqref="P35:P44">
    <cfRule type="cellIs" dxfId="37" priority="6" operator="equal">
      <formula>$S$35</formula>
    </cfRule>
  </conditionalFormatting>
  <conditionalFormatting sqref="Q2:Q31">
    <cfRule type="cellIs" dxfId="38" priority="13" operator="equal">
      <formula>配置!$D$4</formula>
    </cfRule>
    <cfRule type="cellIs" dxfId="39" priority="14" operator="equal">
      <formula>配置!$D$3</formula>
    </cfRule>
    <cfRule type="cellIs" dxfId="37" priority="15" operator="equal">
      <formula>配置!$D$2</formula>
    </cfRule>
  </conditionalFormatting>
  <conditionalFormatting sqref="R35:R39">
    <cfRule type="cellIs" dxfId="37" priority="7" operator="equal">
      <formula>$S$35</formula>
    </cfRule>
  </conditionalFormatting>
  <conditionalFormatting sqref="O32:O33 Q1:R1 Q2 Q4:Q5 Q7:Q8 Q10:Q11 Q13:Q14 Q16:Q17 Q19:Q20 Q22:Q31">
    <cfRule type="cellIs" dxfId="37" priority="23" operator="equal">
      <formula>配置!$D$2</formula>
    </cfRule>
  </conditionalFormatting>
  <conditionalFormatting sqref="Q2 Q4:Q5 Q7:Q8 Q10:Q11 Q13:Q14 Q16:Q17 Q19:Q20 Q22:Q31">
    <cfRule type="cellIs" dxfId="38" priority="22" operator="equal">
      <formula>配置!$D$4</formula>
    </cfRule>
  </conditionalFormatting>
  <dataValidations count="1">
    <dataValidation type="list" allowBlank="1" showInputMessage="1" showErrorMessage="1" sqref="Q2:Q31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83d0f92-daf9-417a-8dfc-d559af11fc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F35:F37</xm:sqref>
        </x14:conditionalFormatting>
        <x14:conditionalFormatting xmlns:xm="http://schemas.microsoft.com/office/excel/2006/main">
          <x14:cfRule type="dataBar" id="{827de75f-d5b6-4fd2-8c06-7e788f1149e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F38:F40</xm:sqref>
        </x14:conditionalFormatting>
        <x14:conditionalFormatting xmlns:xm="http://schemas.microsoft.com/office/excel/2006/main">
          <x14:cfRule type="dataBar" id="{51cb1b3d-1718-49f4-801f-01dc2b190a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F41:F43</xm:sqref>
        </x14:conditionalFormatting>
        <x14:conditionalFormatting xmlns:xm="http://schemas.microsoft.com/office/excel/2006/main">
          <x14:cfRule type="dataBar" id="{c1f75f46-8035-435f-88ac-e3daf8dc16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F44:F46</xm:sqref>
        </x14:conditionalFormatting>
        <x14:conditionalFormatting xmlns:xm="http://schemas.microsoft.com/office/excel/2006/main">
          <x14:cfRule type="dataBar" id="{0dfb625a-f615-4232-80d4-6bd9f64659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F47:F49</xm:sqref>
        </x14:conditionalFormatting>
        <x14:conditionalFormatting xmlns:xm="http://schemas.microsoft.com/office/excel/2006/main">
          <x14:cfRule type="dataBar" id="{ee2da642-82db-406e-a7b9-40e9fc8b7b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G35:G37</xm:sqref>
        </x14:conditionalFormatting>
        <x14:conditionalFormatting xmlns:xm="http://schemas.microsoft.com/office/excel/2006/main">
          <x14:cfRule type="dataBar" id="{ca5c0beb-3314-4417-b2a4-436c23f463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G38:G40</xm:sqref>
        </x14:conditionalFormatting>
        <x14:conditionalFormatting xmlns:xm="http://schemas.microsoft.com/office/excel/2006/main">
          <x14:cfRule type="dataBar" id="{09bfaf51-05d8-41ff-ae39-ca33291ec4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G41:G43</xm:sqref>
        </x14:conditionalFormatting>
        <x14:conditionalFormatting xmlns:xm="http://schemas.microsoft.com/office/excel/2006/main">
          <x14:cfRule type="dataBar" id="{a0d93dcd-4c21-4e05-a2d5-cdcf921296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G44:G46</xm:sqref>
        </x14:conditionalFormatting>
        <x14:conditionalFormatting xmlns:xm="http://schemas.microsoft.com/office/excel/2006/main">
          <x14:cfRule type="dataBar" id="{4a985aff-d3e1-4694-bfb2-bb23cdd54f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G47:G49</xm:sqref>
        </x14:conditionalFormatting>
        <x14:conditionalFormatting xmlns:xm="http://schemas.microsoft.com/office/excel/2006/main">
          <x14:cfRule type="dataBar" id="{26a77e4c-7ce6-4441-a73b-fa6b0dd137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N35:N49</xm:sqref>
        </x14:conditionalFormatting>
        <x14:conditionalFormatting xmlns:xm="http://schemas.microsoft.com/office/excel/2006/main">
          <x14:cfRule type="dataBar" id="{8fafbe40-5ced-46de-87ff-59323a6164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N44:N49</xm:sqref>
        </x14:conditionalFormatting>
        <x14:conditionalFormatting xmlns:xm="http://schemas.microsoft.com/office/excel/2006/main">
          <x14:cfRule type="dataBar" id="{e0e99867-ff29-45af-8151-2bcfb39a62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21fdf526-e96e-4749-9e5e-d421d05aa0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O20:O31</xm:sqref>
        </x14:conditionalFormatting>
        <x14:conditionalFormatting xmlns:xm="http://schemas.microsoft.com/office/excel/2006/main">
          <x14:cfRule type="dataBar" id="{28811f0d-36b8-4e2e-87a9-79a87662ce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5d0973f0-a2c7-4890-a1af-ba5fb90c37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P20:P31</xm:sqref>
        </x14:conditionalFormatting>
      </x14:conditionalFormatting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358"/>
  <sheetViews>
    <sheetView topLeftCell="A202" workbookViewId="0">
      <selection activeCell="U226" sqref="U226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customHeight="1" spans="1:25">
      <c r="A2" s="371">
        <v>5128</v>
      </c>
      <c r="B2" s="371">
        <f>VLOOKUP(表1_861218222426728894[[#This Row],[区服]],$P$149:$Q$196,2,FALSE)</f>
        <v>47</v>
      </c>
      <c r="C2" s="39" t="s">
        <v>190</v>
      </c>
      <c r="D2" s="373" t="str">
        <f>表1_861218222426728894[[#This Row],[目标国家]]</f>
        <v>吴</v>
      </c>
      <c r="E2" s="374">
        <f>(VLOOKUP(表1_861218222426728894[[#This Row],[目标区服]],$R$149:$S$175,2,FALSE)-表1_861218222426728894[[#This Row],[开服天数]])*配置!$B$1</f>
        <v>1000</v>
      </c>
      <c r="F2" s="374">
        <f>表1_861218222426728894[[#This Row],[补偿Coin]]*(表1_861218222426728894[[#This Row],[活跃高战玩家数]]+表1_861218222426728894[[#This Row],[活跃中坚玩家数]])</f>
        <v>24000</v>
      </c>
      <c r="G2" s="374">
        <f>(VLOOKUP(表1_861218222426728894[[#This Row],[目标区服]],$R$149:$S$180,2,FALSE)-表1_861218222426728894[[#This Row],[开服天数]])*配置!$B$2</f>
        <v>10</v>
      </c>
      <c r="H2" s="376" t="s">
        <v>25</v>
      </c>
      <c r="I2" s="376">
        <f>IF(表1_861218222426728894[[#This Row],[原国家]]="魏",0,IF(表1_861218222426728894[[#This Row],[原国家]]="蜀",1,2))</f>
        <v>0</v>
      </c>
      <c r="J2" s="380">
        <v>2</v>
      </c>
      <c r="K2" s="380">
        <v>74</v>
      </c>
      <c r="L2" s="380">
        <v>1</v>
      </c>
      <c r="M2" s="380">
        <v>23</v>
      </c>
      <c r="N2" s="380">
        <v>66716</v>
      </c>
      <c r="O2" s="380">
        <v>2134433</v>
      </c>
      <c r="P2" s="381">
        <v>17173796</v>
      </c>
      <c r="Q2" s="31" t="s">
        <v>27</v>
      </c>
      <c r="R2" s="376">
        <f>IF(表1_861218222426728894[[#This Row],[目标国家]]="魏",0,IF(表1_861218222426728894[[#This Row],[目标国家]]="蜀",1,2))</f>
        <v>2</v>
      </c>
      <c r="S2" s="380">
        <v>22378</v>
      </c>
      <c r="T2" s="380">
        <v>0</v>
      </c>
      <c r="U2" s="380">
        <v>249681</v>
      </c>
      <c r="V2" s="380">
        <v>5921</v>
      </c>
      <c r="W2" s="374">
        <v>712449</v>
      </c>
      <c r="X2" s="387" t="str">
        <f>"{"&amp;"'coin':"&amp;表1_861218222426728894[[#This Row],[补偿Coin]]&amp;",'"&amp;配置!$A$2&amp;"':"&amp;表1_861218222426728894[[#This Row],[补偿辎重]]&amp;"},"</f>
        <v>{'coin':1000,'item036':10},</v>
      </c>
      <c r="Y2" s="388" t="str">
        <f>"      '"&amp;表1_861218222426728894[[#This Row],[区服]]&amp;"':{"</f>
        <v>      '5128':{</v>
      </c>
    </row>
    <row r="3" s="354" customFormat="1" customHeight="1" spans="1:25">
      <c r="A3" s="371">
        <v>5128</v>
      </c>
      <c r="B3" s="371">
        <f>VLOOKUP(表1_861218222426728894[[#This Row],[区服]],$P$149:$Q$196,2,FALSE)</f>
        <v>47</v>
      </c>
      <c r="C3" s="39" t="s">
        <v>190</v>
      </c>
      <c r="D3" s="376" t="str">
        <f>表1_861218222426728894[[#This Row],[目标国家]]</f>
        <v>蜀</v>
      </c>
      <c r="E3" s="380">
        <f>(VLOOKUP(表1_861218222426728894[[#This Row],[目标区服]],$R$149:$S$175,2,FALSE)-表1_861218222426728894[[#This Row],[开服天数]])*配置!$B$1</f>
        <v>1000</v>
      </c>
      <c r="F3" s="380">
        <f>表1_861218222426728894[[#This Row],[补偿Coin]]*(表1_861218222426728894[[#This Row],[活跃高战玩家数]]+表1_861218222426728894[[#This Row],[活跃中坚玩家数]])</f>
        <v>14000</v>
      </c>
      <c r="G3" s="380">
        <f>(VLOOKUP(表1_861218222426728894[[#This Row],[目标区服]],$R$149:$S$180,2,FALSE)-表1_861218222426728894[[#This Row],[开服天数]])*配置!$B$2</f>
        <v>10</v>
      </c>
      <c r="H3" s="376" t="s">
        <v>26</v>
      </c>
      <c r="I3" s="376">
        <f>IF(表1_861218222426728894[[#This Row],[原国家]]="魏",0,IF(表1_861218222426728894[[#This Row],[原国家]]="蜀",1,2))</f>
        <v>1</v>
      </c>
      <c r="J3" s="380">
        <v>1</v>
      </c>
      <c r="K3" s="380">
        <v>110</v>
      </c>
      <c r="L3" s="380">
        <v>1</v>
      </c>
      <c r="M3" s="380">
        <v>13</v>
      </c>
      <c r="N3" s="380">
        <v>49772</v>
      </c>
      <c r="O3" s="380">
        <v>1859871</v>
      </c>
      <c r="P3" s="381">
        <v>11424314</v>
      </c>
      <c r="Q3" s="31" t="s">
        <v>26</v>
      </c>
      <c r="R3" s="376">
        <f>IF(表1_861218222426728894[[#This Row],[目标国家]]="魏",0,IF(表1_861218222426728894[[#This Row],[目标国家]]="蜀",1,2))</f>
        <v>1</v>
      </c>
      <c r="S3" s="380">
        <v>31018</v>
      </c>
      <c r="T3" s="380">
        <v>0</v>
      </c>
      <c r="U3" s="380">
        <v>118571</v>
      </c>
      <c r="V3" s="380">
        <v>5440</v>
      </c>
      <c r="W3" s="374">
        <v>700882</v>
      </c>
      <c r="X3" s="387" t="str">
        <f>"{"&amp;"'coin':"&amp;表1_861218222426728894[[#This Row],[补偿Coin]]&amp;",'"&amp;配置!$A$2&amp;"':"&amp;表1_861218222426728894[[#This Row],[补偿辎重]]&amp;"},"</f>
        <v>{'coin':1000,'item036':10},</v>
      </c>
      <c r="Y3" s="388" t="str">
        <f>"            'to_zone':'"&amp;表1_861218222426728894[[#This Row],[目标区服]]&amp;"',
            'reward':"&amp;表1_861218222426728894[[#This Row],[辅助导出]]&amp;"
            'country':["&amp;R2&amp;","&amp;R3&amp;","&amp;R4&amp;"],"</f>
        <v>            'to_zone':'h1_559',
            'reward':{'coin':1000,'item036':10},
            'country':[2,1,2],</v>
      </c>
    </row>
    <row r="4" s="354" customFormat="1" customHeight="1" spans="1:25">
      <c r="A4" s="371">
        <v>5128</v>
      </c>
      <c r="B4" s="371">
        <f>VLOOKUP(表1_861218222426728894[[#This Row],[区服]],$P$149:$Q$196,2,FALSE)</f>
        <v>47</v>
      </c>
      <c r="C4" s="39" t="s">
        <v>190</v>
      </c>
      <c r="D4" s="376" t="str">
        <f>表1_861218222426728894[[#This Row],[目标国家]]</f>
        <v>吴</v>
      </c>
      <c r="E4" s="380">
        <f>(VLOOKUP(表1_861218222426728894[[#This Row],[目标区服]],$R$149:$S$175,2,FALSE)-表1_861218222426728894[[#This Row],[开服天数]])*配置!$B$1</f>
        <v>1000</v>
      </c>
      <c r="F4" s="380">
        <f>表1_861218222426728894[[#This Row],[补偿Coin]]*(表1_861218222426728894[[#This Row],[活跃高战玩家数]]+表1_861218222426728894[[#This Row],[活跃中坚玩家数]])</f>
        <v>32000</v>
      </c>
      <c r="G4" s="380">
        <f>(VLOOKUP(表1_861218222426728894[[#This Row],[目标区服]],$R$149:$S$180,2,FALSE)-表1_861218222426728894[[#This Row],[开服天数]])*配置!$B$2</f>
        <v>10</v>
      </c>
      <c r="H4" s="376" t="s">
        <v>27</v>
      </c>
      <c r="I4" s="376">
        <f>IF(表1_861218222426728894[[#This Row],[原国家]]="魏",0,IF(表1_861218222426728894[[#This Row],[原国家]]="蜀",1,2))</f>
        <v>2</v>
      </c>
      <c r="J4" s="380">
        <v>6</v>
      </c>
      <c r="K4" s="380">
        <v>211</v>
      </c>
      <c r="L4" s="380">
        <v>7</v>
      </c>
      <c r="M4" s="380">
        <v>25</v>
      </c>
      <c r="N4" s="380">
        <v>161969</v>
      </c>
      <c r="O4" s="380">
        <v>3083276</v>
      </c>
      <c r="P4" s="381">
        <v>34433391</v>
      </c>
      <c r="Q4" s="31" t="s">
        <v>27</v>
      </c>
      <c r="R4" s="376">
        <f>IF(表1_861218222426728894[[#This Row],[目标国家]]="魏",0,IF(表1_861218222426728894[[#This Row],[目标国家]]="蜀",1,2))</f>
        <v>2</v>
      </c>
      <c r="S4" s="380">
        <v>148420</v>
      </c>
      <c r="T4" s="380">
        <v>0</v>
      </c>
      <c r="U4" s="380">
        <v>497449</v>
      </c>
      <c r="V4" s="380">
        <v>14747</v>
      </c>
      <c r="W4" s="374">
        <v>796324</v>
      </c>
      <c r="X4" s="387" t="str">
        <f>"{"&amp;"'coin':"&amp;表1_861218222426728894[[#This Row],[补偿Coin]]&amp;",'"&amp;配置!$A$2&amp;"':"&amp;表1_861218222426728894[[#This Row],[补偿辎重]]&amp;"},"</f>
        <v>{'coin':1000,'item036':10},</v>
      </c>
      <c r="Y4" s="388" t="str">
        <f>"      },"</f>
        <v>      },</v>
      </c>
    </row>
    <row r="5" s="354" customFormat="1" customHeight="1" spans="1:25">
      <c r="A5" s="375">
        <v>5129</v>
      </c>
      <c r="B5" s="371">
        <f>VLOOKUP(表1_861218222426728894[[#This Row],[区服]],$P$149:$Q$196,2,FALSE)</f>
        <v>47</v>
      </c>
      <c r="C5" s="39" t="s">
        <v>190</v>
      </c>
      <c r="D5" s="376" t="str">
        <f>表1_861218222426728894[[#This Row],[目标国家]]</f>
        <v>魏</v>
      </c>
      <c r="E5" s="380">
        <f>(VLOOKUP(表1_861218222426728894[[#This Row],[目标区服]],$R$149:$S$175,2,FALSE)-表1_861218222426728894[[#This Row],[开服天数]])*配置!$B$1</f>
        <v>1000</v>
      </c>
      <c r="F5" s="380">
        <f>表1_861218222426728894[[#This Row],[补偿Coin]]*(表1_861218222426728894[[#This Row],[活跃高战玩家数]]+表1_861218222426728894[[#This Row],[活跃中坚玩家数]])</f>
        <v>32000</v>
      </c>
      <c r="G5" s="380">
        <f>(VLOOKUP(表1_861218222426728894[[#This Row],[目标区服]],$R$149:$S$180,2,FALSE)-表1_861218222426728894[[#This Row],[开服天数]])*配置!$B$2</f>
        <v>10</v>
      </c>
      <c r="H5" s="376" t="s">
        <v>25</v>
      </c>
      <c r="I5" s="376">
        <f>IF(表1_861218222426728894[[#This Row],[原国家]]="魏",0,IF(表1_861218222426728894[[#This Row],[原国家]]="蜀",1,2))</f>
        <v>0</v>
      </c>
      <c r="J5" s="380">
        <v>7</v>
      </c>
      <c r="K5" s="380">
        <v>265</v>
      </c>
      <c r="L5" s="380">
        <v>5</v>
      </c>
      <c r="M5" s="380">
        <v>27</v>
      </c>
      <c r="N5" s="380">
        <v>156351</v>
      </c>
      <c r="O5" s="380">
        <v>4040688</v>
      </c>
      <c r="P5" s="381">
        <v>30195937</v>
      </c>
      <c r="Q5" s="31" t="s">
        <v>25</v>
      </c>
      <c r="R5" s="376">
        <f>IF(表1_861218222426728894[[#This Row],[目标国家]]="魏",0,IF(表1_861218222426728894[[#This Row],[目标国家]]="蜀",1,2))</f>
        <v>0</v>
      </c>
      <c r="S5" s="380">
        <v>78926</v>
      </c>
      <c r="T5" s="380">
        <v>129140</v>
      </c>
      <c r="U5" s="380">
        <v>759710</v>
      </c>
      <c r="V5" s="380">
        <v>15231</v>
      </c>
      <c r="W5" s="374">
        <v>1319923</v>
      </c>
      <c r="X5" s="387" t="str">
        <f>"{"&amp;"'coin':"&amp;表1_861218222426728894[[#This Row],[补偿Coin]]&amp;",'"&amp;配置!$A$2&amp;"':"&amp;表1_861218222426728894[[#This Row],[补偿辎重]]&amp;"},"</f>
        <v>{'coin':1000,'item036':10},</v>
      </c>
      <c r="Y5" s="388" t="str">
        <f>"      '"&amp;表1_861218222426728894[[#This Row],[区服]]&amp;"':{"</f>
        <v>      '5129':{</v>
      </c>
    </row>
    <row r="6" s="354" customFormat="1" customHeight="1" spans="1:25">
      <c r="A6" s="375">
        <v>5129</v>
      </c>
      <c r="B6" s="371">
        <f>VLOOKUP(表1_861218222426728894[[#This Row],[区服]],$P$149:$Q$196,2,FALSE)</f>
        <v>47</v>
      </c>
      <c r="C6" s="39" t="s">
        <v>190</v>
      </c>
      <c r="D6" s="376" t="str">
        <f>表1_861218222426728894[[#This Row],[目标国家]]</f>
        <v>蜀</v>
      </c>
      <c r="E6" s="380">
        <f>(VLOOKUP(表1_861218222426728894[[#This Row],[目标区服]],$R$149:$S$175,2,FALSE)-表1_861218222426728894[[#This Row],[开服天数]])*配置!$B$1</f>
        <v>1000</v>
      </c>
      <c r="F6" s="380">
        <f>表1_861218222426728894[[#This Row],[补偿Coin]]*(表1_861218222426728894[[#This Row],[活跃高战玩家数]]+表1_861218222426728894[[#This Row],[活跃中坚玩家数]])</f>
        <v>18000</v>
      </c>
      <c r="G6" s="380">
        <f>(VLOOKUP(表1_861218222426728894[[#This Row],[目标区服]],$R$149:$S$180,2,FALSE)-表1_861218222426728894[[#This Row],[开服天数]])*配置!$B$2</f>
        <v>10</v>
      </c>
      <c r="H6" s="376" t="s">
        <v>26</v>
      </c>
      <c r="I6" s="376">
        <f>IF(表1_861218222426728894[[#This Row],[原国家]]="魏",0,IF(表1_861218222426728894[[#This Row],[原国家]]="蜀",1,2))</f>
        <v>1</v>
      </c>
      <c r="J6" s="380">
        <v>1</v>
      </c>
      <c r="K6" s="380">
        <v>79</v>
      </c>
      <c r="L6" s="380">
        <v>1</v>
      </c>
      <c r="M6" s="380">
        <v>17</v>
      </c>
      <c r="N6" s="380">
        <v>74741</v>
      </c>
      <c r="O6" s="380">
        <v>1783768</v>
      </c>
      <c r="P6" s="381">
        <v>12558159</v>
      </c>
      <c r="Q6" s="31" t="s">
        <v>26</v>
      </c>
      <c r="R6" s="376">
        <f>IF(表1_861218222426728894[[#This Row],[目标国家]]="魏",0,IF(表1_861218222426728894[[#This Row],[目标国家]]="蜀",1,2))</f>
        <v>1</v>
      </c>
      <c r="S6" s="380">
        <v>28188</v>
      </c>
      <c r="T6" s="380">
        <v>0</v>
      </c>
      <c r="U6" s="380">
        <v>80390</v>
      </c>
      <c r="V6" s="380">
        <v>5189</v>
      </c>
      <c r="W6" s="374">
        <v>602562</v>
      </c>
      <c r="X6" s="387" t="str">
        <f>"{"&amp;"'coin':"&amp;表1_861218222426728894[[#This Row],[补偿Coin]]&amp;",'"&amp;配置!$A$2&amp;"':"&amp;表1_861218222426728894[[#This Row],[补偿辎重]]&amp;"},"</f>
        <v>{'coin':1000,'item036':10},</v>
      </c>
      <c r="Y6" s="388" t="str">
        <f>"            'to_zone':'"&amp;表1_861218222426728894[[#This Row],[目标区服]]&amp;"',
            'reward':"&amp;表1_861218222426728894[[#This Row],[辅助导出]]&amp;"
            'country':["&amp;R5&amp;","&amp;R6&amp;","&amp;R7&amp;"],"</f>
        <v>            'to_zone':'h1_559',
            'reward':{'coin':1000,'item036':10},
            'country':[0,1,1],</v>
      </c>
    </row>
    <row r="7" s="354" customFormat="1" customHeight="1" spans="1:25">
      <c r="A7" s="375">
        <v>5129</v>
      </c>
      <c r="B7" s="371">
        <f>VLOOKUP(表1_861218222426728894[[#This Row],[区服]],$P$149:$Q$196,2,FALSE)</f>
        <v>47</v>
      </c>
      <c r="C7" s="39" t="s">
        <v>190</v>
      </c>
      <c r="D7" s="376" t="str">
        <f>表1_861218222426728894[[#This Row],[目标国家]]</f>
        <v>蜀</v>
      </c>
      <c r="E7" s="380">
        <f>(VLOOKUP(表1_861218222426728894[[#This Row],[目标区服]],$R$149:$S$175,2,FALSE)-表1_861218222426728894[[#This Row],[开服天数]])*配置!$B$1</f>
        <v>1000</v>
      </c>
      <c r="F7" s="380">
        <f>表1_861218222426728894[[#This Row],[补偿Coin]]*(表1_861218222426728894[[#This Row],[活跃高战玩家数]]+表1_861218222426728894[[#This Row],[活跃中坚玩家数]])</f>
        <v>8000</v>
      </c>
      <c r="G7" s="380">
        <f>(VLOOKUP(表1_861218222426728894[[#This Row],[目标区服]],$R$149:$S$180,2,FALSE)-表1_861218222426728894[[#This Row],[开服天数]])*配置!$B$2</f>
        <v>10</v>
      </c>
      <c r="H7" s="376" t="s">
        <v>27</v>
      </c>
      <c r="I7" s="376">
        <f>IF(表1_861218222426728894[[#This Row],[原国家]]="魏",0,IF(表1_861218222426728894[[#This Row],[原国家]]="蜀",1,2))</f>
        <v>2</v>
      </c>
      <c r="J7" s="380">
        <v>1</v>
      </c>
      <c r="K7" s="380">
        <v>51</v>
      </c>
      <c r="L7" s="380">
        <v>4</v>
      </c>
      <c r="M7" s="380">
        <v>4</v>
      </c>
      <c r="N7" s="380">
        <v>44941</v>
      </c>
      <c r="O7" s="380">
        <v>2834292</v>
      </c>
      <c r="P7" s="381">
        <v>9131233</v>
      </c>
      <c r="Q7" s="31" t="s">
        <v>26</v>
      </c>
      <c r="R7" s="376">
        <f>IF(表1_861218222426728894[[#This Row],[目标国家]]="魏",0,IF(表1_861218222426728894[[#This Row],[目标国家]]="蜀",1,2))</f>
        <v>1</v>
      </c>
      <c r="S7" s="380">
        <v>47780</v>
      </c>
      <c r="T7" s="380">
        <v>0</v>
      </c>
      <c r="U7" s="380">
        <v>107829</v>
      </c>
      <c r="V7" s="380">
        <v>6069</v>
      </c>
      <c r="W7" s="374">
        <v>797315</v>
      </c>
      <c r="X7" s="387" t="str">
        <f>"{"&amp;"'coin':"&amp;表1_861218222426728894[[#This Row],[补偿Coin]]&amp;",'"&amp;配置!$A$2&amp;"':"&amp;表1_861218222426728894[[#This Row],[补偿辎重]]&amp;"},"</f>
        <v>{'coin':1000,'item036':10},</v>
      </c>
      <c r="Y7" s="388" t="str">
        <f t="shared" ref="Y7" si="0">"      },"</f>
        <v>      },</v>
      </c>
    </row>
    <row r="8" s="354" customFormat="1" customHeight="1" spans="1:25">
      <c r="A8" s="259">
        <v>5130</v>
      </c>
      <c r="B8" s="210">
        <f>VLOOKUP(表1_861218222426728894[[#This Row],[区服]],$P$149:$Q$196,2,FALSE)</f>
        <v>47</v>
      </c>
      <c r="C8" s="41" t="s">
        <v>191</v>
      </c>
      <c r="D8" s="212" t="str">
        <f>表1_861218222426728894[[#This Row],[目标国家]]</f>
        <v>吴</v>
      </c>
      <c r="E8" s="213">
        <f>(VLOOKUP(表1_861218222426728894[[#This Row],[目标区服]],$R$149:$S$175,2,FALSE)-表1_861218222426728894[[#This Row],[开服天数]])*配置!$B$1</f>
        <v>1000</v>
      </c>
      <c r="F8" s="213">
        <f>表1_861218222426728894[[#This Row],[补偿Coin]]*(表1_861218222426728894[[#This Row],[活跃高战玩家数]]+表1_861218222426728894[[#This Row],[活跃中坚玩家数]])</f>
        <v>24000</v>
      </c>
      <c r="G8" s="260">
        <f>(VLOOKUP(表1_861218222426728894[[#This Row],[目标区服]],$R$149:$S$180,2,FALSE)-表1_861218222426728894[[#This Row],[开服天数]])*配置!$B$2</f>
        <v>10</v>
      </c>
      <c r="H8" s="212" t="s">
        <v>25</v>
      </c>
      <c r="I8" s="268">
        <f>IF(表1_861218222426728894[[#This Row],[原国家]]="魏",0,IF(表1_861218222426728894[[#This Row],[原国家]]="蜀",1,2))</f>
        <v>0</v>
      </c>
      <c r="J8" s="213">
        <v>0</v>
      </c>
      <c r="K8" s="213">
        <v>67</v>
      </c>
      <c r="L8" s="213">
        <v>0</v>
      </c>
      <c r="M8" s="213">
        <v>24</v>
      </c>
      <c r="N8" s="213">
        <v>52042</v>
      </c>
      <c r="O8" s="419">
        <v>1475668</v>
      </c>
      <c r="P8" s="420">
        <v>13172514</v>
      </c>
      <c r="Q8" s="31" t="s">
        <v>27</v>
      </c>
      <c r="R8" s="212">
        <f>IF(表1_861218222426728894[[#This Row],[目标国家]]="魏",0,IF(表1_861218222426728894[[#This Row],[目标国家]]="蜀",1,2))</f>
        <v>2</v>
      </c>
      <c r="S8" s="213">
        <v>15032</v>
      </c>
      <c r="T8" s="213">
        <v>8616</v>
      </c>
      <c r="U8" s="213">
        <v>197959</v>
      </c>
      <c r="V8" s="213">
        <v>4359</v>
      </c>
      <c r="W8" s="213">
        <v>418783</v>
      </c>
      <c r="X8" s="278" t="str">
        <f>"{"&amp;"'coin':"&amp;表1_861218222426728894[[#This Row],[补偿Coin]]&amp;",'"&amp;配置!$A$2&amp;"':"&amp;表1_861218222426728894[[#This Row],[补偿辎重]]&amp;"},"</f>
        <v>{'coin':1000,'item036':10},</v>
      </c>
      <c r="Y8" s="278" t="str">
        <f>"      '"&amp;表1_861218222426728894[[#This Row],[区服]]&amp;"':{"</f>
        <v>      '5130':{</v>
      </c>
    </row>
    <row r="9" s="354" customFormat="1" customHeight="1" spans="1:25">
      <c r="A9" s="259">
        <v>5130</v>
      </c>
      <c r="B9" s="210">
        <f>VLOOKUP(表1_861218222426728894[[#This Row],[区服]],$P$149:$Q$196,2,FALSE)</f>
        <v>47</v>
      </c>
      <c r="C9" s="41" t="s">
        <v>191</v>
      </c>
      <c r="D9" s="212" t="str">
        <f>表1_861218222426728894[[#This Row],[目标国家]]</f>
        <v>魏</v>
      </c>
      <c r="E9" s="213">
        <f>(VLOOKUP(表1_861218222426728894[[#This Row],[目标区服]],$R$149:$S$175,2,FALSE)-表1_861218222426728894[[#This Row],[开服天数]])*配置!$B$1</f>
        <v>1000</v>
      </c>
      <c r="F9" s="213">
        <f>表1_861218222426728894[[#This Row],[补偿Coin]]*(表1_861218222426728894[[#This Row],[活跃高战玩家数]]+表1_861218222426728894[[#This Row],[活跃中坚玩家数]])</f>
        <v>33000</v>
      </c>
      <c r="G9" s="260">
        <f>(VLOOKUP(表1_861218222426728894[[#This Row],[目标区服]],$R$149:$S$180,2,FALSE)-表1_861218222426728894[[#This Row],[开服天数]])*配置!$B$2</f>
        <v>10</v>
      </c>
      <c r="H9" s="212" t="s">
        <v>26</v>
      </c>
      <c r="I9" s="268">
        <f>IF(表1_861218222426728894[[#This Row],[原国家]]="魏",0,IF(表1_861218222426728894[[#This Row],[原国家]]="蜀",1,2))</f>
        <v>1</v>
      </c>
      <c r="J9" s="213">
        <v>7</v>
      </c>
      <c r="K9" s="213">
        <v>247</v>
      </c>
      <c r="L9" s="213">
        <v>6</v>
      </c>
      <c r="M9" s="213">
        <v>27</v>
      </c>
      <c r="N9" s="213">
        <v>177655</v>
      </c>
      <c r="O9" s="419">
        <v>2902725</v>
      </c>
      <c r="P9" s="420">
        <v>31868763</v>
      </c>
      <c r="Q9" s="31" t="s">
        <v>25</v>
      </c>
      <c r="R9" s="212">
        <f>IF(表1_861218222426728894[[#This Row],[目标国家]]="魏",0,IF(表1_861218222426728894[[#This Row],[目标国家]]="蜀",1,2))</f>
        <v>0</v>
      </c>
      <c r="S9" s="213">
        <v>82790</v>
      </c>
      <c r="T9" s="213">
        <v>0</v>
      </c>
      <c r="U9" s="213">
        <v>323995</v>
      </c>
      <c r="V9" s="213">
        <v>12793</v>
      </c>
      <c r="W9" s="213">
        <v>850929</v>
      </c>
      <c r="X9" s="278" t="str">
        <f>"{"&amp;"'coin':"&amp;表1_861218222426728894[[#This Row],[补偿Coin]]&amp;",'"&amp;配置!$A$2&amp;"':"&amp;表1_861218222426728894[[#This Row],[补偿辎重]]&amp;"},"</f>
        <v>{'coin':1000,'item036':10},</v>
      </c>
      <c r="Y9" s="278" t="str">
        <f>"            'to_zone':'"&amp;表1_861218222426728894[[#This Row],[目标区服]]&amp;"',
            'reward':"&amp;表1_861218222426728894[[#This Row],[辅助导出]]&amp;"
            'country':["&amp;R8&amp;","&amp;R9&amp;","&amp;R10&amp;"],"</f>
        <v>            'to_zone':'h1_560',
            'reward':{'coin':1000,'item036':10},
            'country':[2,0,2],</v>
      </c>
    </row>
    <row r="10" s="354" customFormat="1" customHeight="1" spans="1:25">
      <c r="A10" s="259">
        <v>5130</v>
      </c>
      <c r="B10" s="210">
        <f>VLOOKUP(表1_861218222426728894[[#This Row],[区服]],$P$149:$Q$196,2,FALSE)</f>
        <v>47</v>
      </c>
      <c r="C10" s="41" t="s">
        <v>191</v>
      </c>
      <c r="D10" s="212" t="str">
        <f>表1_861218222426728894[[#This Row],[目标国家]]</f>
        <v>吴</v>
      </c>
      <c r="E10" s="213">
        <f>(VLOOKUP(表1_861218222426728894[[#This Row],[目标区服]],$R$149:$S$175,2,FALSE)-表1_861218222426728894[[#This Row],[开服天数]])*配置!$B$1</f>
        <v>1000</v>
      </c>
      <c r="F10" s="213">
        <f>表1_861218222426728894[[#This Row],[补偿Coin]]*(表1_861218222426728894[[#This Row],[活跃高战玩家数]]+表1_861218222426728894[[#This Row],[活跃中坚玩家数]])</f>
        <v>17000</v>
      </c>
      <c r="G10" s="260">
        <f>(VLOOKUP(表1_861218222426728894[[#This Row],[目标区服]],$R$149:$S$180,2,FALSE)-表1_861218222426728894[[#This Row],[开服天数]])*配置!$B$2</f>
        <v>10</v>
      </c>
      <c r="H10" s="212" t="s">
        <v>27</v>
      </c>
      <c r="I10" s="268">
        <f>IF(表1_861218222426728894[[#This Row],[原国家]]="魏",0,IF(表1_861218222426728894[[#This Row],[原国家]]="蜀",1,2))</f>
        <v>2</v>
      </c>
      <c r="J10" s="213">
        <v>2</v>
      </c>
      <c r="K10" s="213">
        <v>81</v>
      </c>
      <c r="L10" s="213">
        <v>4</v>
      </c>
      <c r="M10" s="213">
        <v>13</v>
      </c>
      <c r="N10" s="213">
        <v>75633</v>
      </c>
      <c r="O10" s="419">
        <v>1931412</v>
      </c>
      <c r="P10" s="420">
        <v>14451032</v>
      </c>
      <c r="Q10" s="31" t="s">
        <v>27</v>
      </c>
      <c r="R10" s="212">
        <f>IF(表1_861218222426728894[[#This Row],[目标国家]]="魏",0,IF(表1_861218222426728894[[#This Row],[目标国家]]="蜀",1,2))</f>
        <v>2</v>
      </c>
      <c r="S10" s="213">
        <v>132112</v>
      </c>
      <c r="T10" s="213">
        <v>0</v>
      </c>
      <c r="U10" s="213">
        <v>254223</v>
      </c>
      <c r="V10" s="213">
        <v>8855</v>
      </c>
      <c r="W10" s="213">
        <v>930025</v>
      </c>
      <c r="X10" s="278" t="str">
        <f>"{"&amp;"'coin':"&amp;表1_861218222426728894[[#This Row],[补偿Coin]]&amp;",'"&amp;配置!$A$2&amp;"':"&amp;表1_861218222426728894[[#This Row],[补偿辎重]]&amp;"},"</f>
        <v>{'coin':1000,'item036':10},</v>
      </c>
      <c r="Y10" s="278" t="str">
        <f>"      },"</f>
        <v>      },</v>
      </c>
    </row>
    <row r="11" s="354" customFormat="1" customHeight="1" spans="1:25">
      <c r="A11" s="259">
        <v>5131</v>
      </c>
      <c r="B11" s="210">
        <f>VLOOKUP(表1_861218222426728894[[#This Row],[区服]],$P$149:$Q$196,2,FALSE)</f>
        <v>47</v>
      </c>
      <c r="C11" s="41" t="s">
        <v>191</v>
      </c>
      <c r="D11" s="212" t="str">
        <f>表1_861218222426728894[[#This Row],[目标国家]]</f>
        <v>蜀</v>
      </c>
      <c r="E11" s="213">
        <f>(VLOOKUP(表1_861218222426728894[[#This Row],[目标区服]],$R$149:$S$175,2,FALSE)-表1_861218222426728894[[#This Row],[开服天数]])*配置!$B$1</f>
        <v>1000</v>
      </c>
      <c r="F11" s="213">
        <f>表1_861218222426728894[[#This Row],[补偿Coin]]*(表1_861218222426728894[[#This Row],[活跃高战玩家数]]+表1_861218222426728894[[#This Row],[活跃中坚玩家数]])</f>
        <v>16000</v>
      </c>
      <c r="G11" s="260">
        <f>(VLOOKUP(表1_861218222426728894[[#This Row],[目标区服]],$R$149:$S$180,2,FALSE)-表1_861218222426728894[[#This Row],[开服天数]])*配置!$B$2</f>
        <v>10</v>
      </c>
      <c r="H11" s="212" t="s">
        <v>25</v>
      </c>
      <c r="I11" s="268">
        <f>IF(表1_861218222426728894[[#This Row],[原国家]]="魏",0,IF(表1_861218222426728894[[#This Row],[原国家]]="蜀",1,2))</f>
        <v>0</v>
      </c>
      <c r="J11" s="213">
        <v>1</v>
      </c>
      <c r="K11" s="213">
        <v>51</v>
      </c>
      <c r="L11" s="213">
        <v>0</v>
      </c>
      <c r="M11" s="213">
        <v>16</v>
      </c>
      <c r="N11" s="213">
        <v>38404</v>
      </c>
      <c r="O11" s="419">
        <v>1359207</v>
      </c>
      <c r="P11" s="420">
        <v>9170155</v>
      </c>
      <c r="Q11" s="31" t="s">
        <v>26</v>
      </c>
      <c r="R11" s="212">
        <f>IF(表1_861218222426728894[[#This Row],[目标国家]]="魏",0,IF(表1_861218222426728894[[#This Row],[目标国家]]="蜀",1,2))</f>
        <v>1</v>
      </c>
      <c r="S11" s="213">
        <v>7702</v>
      </c>
      <c r="T11" s="213">
        <v>0</v>
      </c>
      <c r="U11" s="213">
        <v>111384</v>
      </c>
      <c r="V11" s="213">
        <v>3364</v>
      </c>
      <c r="W11" s="213">
        <v>499321</v>
      </c>
      <c r="X11" s="278" t="str">
        <f>"{"&amp;"'coin':"&amp;表1_861218222426728894[[#This Row],[补偿Coin]]&amp;",'"&amp;配置!$A$2&amp;"':"&amp;表1_861218222426728894[[#This Row],[补偿辎重]]&amp;"},"</f>
        <v>{'coin':1000,'item036':10},</v>
      </c>
      <c r="Y11" s="278" t="str">
        <f>"      '"&amp;表1_861218222426728894[[#This Row],[区服]]&amp;"':{"</f>
        <v>      '5131':{</v>
      </c>
    </row>
    <row r="12" s="354" customFormat="1" customHeight="1" spans="1:25">
      <c r="A12" s="259">
        <v>5131</v>
      </c>
      <c r="B12" s="210">
        <f>VLOOKUP(表1_861218222426728894[[#This Row],[区服]],$P$149:$Q$196,2,FALSE)</f>
        <v>47</v>
      </c>
      <c r="C12" s="41" t="s">
        <v>191</v>
      </c>
      <c r="D12" s="212" t="str">
        <f>表1_861218222426728894[[#This Row],[目标国家]]</f>
        <v>蜀</v>
      </c>
      <c r="E12" s="213">
        <f>(VLOOKUP(表1_861218222426728894[[#This Row],[目标区服]],$R$149:$S$175,2,FALSE)-表1_861218222426728894[[#This Row],[开服天数]])*配置!$B$1</f>
        <v>1000</v>
      </c>
      <c r="F12" s="213">
        <f>表1_861218222426728894[[#This Row],[补偿Coin]]*(表1_861218222426728894[[#This Row],[活跃高战玩家数]]+表1_861218222426728894[[#This Row],[活跃中坚玩家数]])</f>
        <v>31000</v>
      </c>
      <c r="G12" s="260">
        <f>(VLOOKUP(表1_861218222426728894[[#This Row],[目标区服]],$R$149:$S$180,2,FALSE)-表1_861218222426728894[[#This Row],[开服天数]])*配置!$B$2</f>
        <v>10</v>
      </c>
      <c r="H12" s="212" t="s">
        <v>26</v>
      </c>
      <c r="I12" s="268">
        <f>IF(表1_861218222426728894[[#This Row],[原国家]]="魏",0,IF(表1_861218222426728894[[#This Row],[原国家]]="蜀",1,2))</f>
        <v>1</v>
      </c>
      <c r="J12" s="213">
        <v>5</v>
      </c>
      <c r="K12" s="213">
        <v>191</v>
      </c>
      <c r="L12" s="213">
        <v>5</v>
      </c>
      <c r="M12" s="213">
        <v>26</v>
      </c>
      <c r="N12" s="213">
        <v>131110</v>
      </c>
      <c r="O12" s="419">
        <v>2955982</v>
      </c>
      <c r="P12" s="420">
        <v>25979936</v>
      </c>
      <c r="Q12" s="31" t="s">
        <v>26</v>
      </c>
      <c r="R12" s="212">
        <f>IF(表1_861218222426728894[[#This Row],[目标国家]]="魏",0,IF(表1_861218222426728894[[#This Row],[目标国家]]="蜀",1,2))</f>
        <v>1</v>
      </c>
      <c r="S12" s="213">
        <v>73942</v>
      </c>
      <c r="T12" s="213">
        <v>0</v>
      </c>
      <c r="U12" s="213">
        <v>320311</v>
      </c>
      <c r="V12" s="213">
        <v>10997</v>
      </c>
      <c r="W12" s="213">
        <v>910422</v>
      </c>
      <c r="X12" s="278" t="str">
        <f>"{"&amp;"'coin':"&amp;表1_861218222426728894[[#This Row],[补偿Coin]]&amp;",'"&amp;配置!$A$2&amp;"':"&amp;表1_861218222426728894[[#This Row],[补偿辎重]]&amp;"},"</f>
        <v>{'coin':1000,'item036':10},</v>
      </c>
      <c r="Y12" s="278" t="str">
        <f>"            'to_zone':'"&amp;表1_861218222426728894[[#This Row],[目标区服]]&amp;"',
            'reward':"&amp;表1_861218222426728894[[#This Row],[辅助导出]]&amp;"
            'country':["&amp;R11&amp;","&amp;R12&amp;","&amp;R13&amp;"],"</f>
        <v>            'to_zone':'h1_560',
            'reward':{'coin':1000,'item036':10},
            'country':[1,1,0],</v>
      </c>
    </row>
    <row r="13" s="354" customFormat="1" customHeight="1" spans="1:25">
      <c r="A13" s="259">
        <v>5131</v>
      </c>
      <c r="B13" s="210">
        <f>VLOOKUP(表1_861218222426728894[[#This Row],[区服]],$P$149:$Q$196,2,FALSE)</f>
        <v>47</v>
      </c>
      <c r="C13" s="41" t="s">
        <v>191</v>
      </c>
      <c r="D13" s="212" t="str">
        <f>表1_861218222426728894[[#This Row],[目标国家]]</f>
        <v>魏</v>
      </c>
      <c r="E13" s="213">
        <f>(VLOOKUP(表1_861218222426728894[[#This Row],[目标区服]],$R$149:$S$175,2,FALSE)-表1_861218222426728894[[#This Row],[开服天数]])*配置!$B$1</f>
        <v>1000</v>
      </c>
      <c r="F13" s="213">
        <f>表1_861218222426728894[[#This Row],[补偿Coin]]*(表1_861218222426728894[[#This Row],[活跃高战玩家数]]+表1_861218222426728894[[#This Row],[活跃中坚玩家数]])</f>
        <v>22000</v>
      </c>
      <c r="G13" s="260">
        <f>(VLOOKUP(表1_861218222426728894[[#This Row],[目标区服]],$R$149:$S$180,2,FALSE)-表1_861218222426728894[[#This Row],[开服天数]])*配置!$B$2</f>
        <v>10</v>
      </c>
      <c r="H13" s="212" t="s">
        <v>27</v>
      </c>
      <c r="I13" s="268">
        <f>IF(表1_861218222426728894[[#This Row],[原国家]]="魏",0,IF(表1_861218222426728894[[#This Row],[原国家]]="蜀",1,2))</f>
        <v>2</v>
      </c>
      <c r="J13" s="213">
        <v>3</v>
      </c>
      <c r="K13" s="213">
        <v>153</v>
      </c>
      <c r="L13" s="213">
        <v>5</v>
      </c>
      <c r="M13" s="213">
        <v>17</v>
      </c>
      <c r="N13" s="213">
        <v>123094</v>
      </c>
      <c r="O13" s="419">
        <v>3117468</v>
      </c>
      <c r="P13" s="420">
        <v>22170546</v>
      </c>
      <c r="Q13" s="31" t="s">
        <v>25</v>
      </c>
      <c r="R13" s="212">
        <f>IF(表1_861218222426728894[[#This Row],[目标国家]]="魏",0,IF(表1_861218222426728894[[#This Row],[目标国家]]="蜀",1,2))</f>
        <v>0</v>
      </c>
      <c r="S13" s="213">
        <v>44454</v>
      </c>
      <c r="T13" s="213">
        <v>0</v>
      </c>
      <c r="U13" s="213">
        <v>322422</v>
      </c>
      <c r="V13" s="213">
        <v>9274</v>
      </c>
      <c r="W13" s="213">
        <v>1008402</v>
      </c>
      <c r="X13" s="278" t="str">
        <f>"{"&amp;"'coin':"&amp;表1_861218222426728894[[#This Row],[补偿Coin]]&amp;",'"&amp;配置!$A$2&amp;"':"&amp;表1_861218222426728894[[#This Row],[补偿辎重]]&amp;"},"</f>
        <v>{'coin':1000,'item036':10},</v>
      </c>
      <c r="Y13" s="278" t="str">
        <f t="shared" ref="Y13" si="1">"      },"</f>
        <v>      },</v>
      </c>
    </row>
    <row r="14" customHeight="1" spans="1:25">
      <c r="A14" s="17">
        <v>5132</v>
      </c>
      <c r="B14" s="17">
        <f>VLOOKUP(表1_861218222426728894[[#This Row],[区服]],$P$149:$Q$196,2,FALSE)</f>
        <v>47</v>
      </c>
      <c r="C14" s="45" t="s">
        <v>192</v>
      </c>
      <c r="D14" s="19" t="str">
        <f>表1_861218222426728894[[#This Row],[目标国家]]</f>
        <v>魏</v>
      </c>
      <c r="E14" s="20">
        <f>(VLOOKUP(表1_861218222426728894[[#This Row],[目标区服]],$R$149:$S$175,2,FALSE)-表1_861218222426728894[[#This Row],[开服天数]])*配置!$B$1</f>
        <v>1000</v>
      </c>
      <c r="F14" s="20">
        <f>表1_861218222426728894[[#This Row],[补偿Coin]]*(表1_861218222426728894[[#This Row],[活跃高战玩家数]]+表1_861218222426728894[[#This Row],[活跃中坚玩家数]])</f>
        <v>25000</v>
      </c>
      <c r="G14" s="20">
        <f>(VLOOKUP(表1_861218222426728894[[#This Row],[目标区服]],$R$149:$S$180,2,FALSE)-表1_861218222426728894[[#This Row],[开服天数]])*配置!$B$2</f>
        <v>10</v>
      </c>
      <c r="H14" s="19" t="s">
        <v>25</v>
      </c>
      <c r="I14" s="19">
        <f>IF(表1_861218222426728894[[#This Row],[原国家]]="魏",0,IF(表1_861218222426728894[[#This Row],[原国家]]="蜀",1,2))</f>
        <v>0</v>
      </c>
      <c r="J14" s="20">
        <v>2</v>
      </c>
      <c r="K14" s="20">
        <v>96</v>
      </c>
      <c r="L14" s="20">
        <v>1</v>
      </c>
      <c r="M14" s="20">
        <v>24</v>
      </c>
      <c r="N14" s="20">
        <v>101087</v>
      </c>
      <c r="O14" s="20">
        <v>1705266</v>
      </c>
      <c r="P14" s="26">
        <v>17662041</v>
      </c>
      <c r="Q14" s="31" t="s">
        <v>25</v>
      </c>
      <c r="R14" s="19">
        <f>IF(表1_861218222426728894[[#This Row],[目标国家]]="魏",0,IF(表1_861218222426728894[[#This Row],[目标国家]]="蜀",1,2))</f>
        <v>0</v>
      </c>
      <c r="S14" s="20">
        <v>15270</v>
      </c>
      <c r="T14" s="20">
        <v>0</v>
      </c>
      <c r="U14" s="20">
        <v>186117</v>
      </c>
      <c r="V14" s="20">
        <v>5688</v>
      </c>
      <c r="W14" s="32">
        <v>526483</v>
      </c>
      <c r="X14" s="33" t="str">
        <f>"{"&amp;"'coin':"&amp;表1_861218222426728894[[#This Row],[补偿Coin]]&amp;",'"&amp;配置!$A$2&amp;"':"&amp;表1_861218222426728894[[#This Row],[补偿辎重]]&amp;"},"</f>
        <v>{'coin':1000,'item036':10},</v>
      </c>
      <c r="Y14" s="34" t="str">
        <f>"      '"&amp;表1_861218222426728894[[#This Row],[区服]]&amp;"':{"</f>
        <v>      '5132':{</v>
      </c>
    </row>
    <row r="15" customHeight="1" spans="1:25">
      <c r="A15" s="17">
        <v>5132</v>
      </c>
      <c r="B15" s="17">
        <f>VLOOKUP(表1_861218222426728894[[#This Row],[区服]],$P$149:$Q$196,2,FALSE)</f>
        <v>47</v>
      </c>
      <c r="C15" s="45" t="s">
        <v>192</v>
      </c>
      <c r="D15" s="19" t="str">
        <f>表1_861218222426728894[[#This Row],[目标国家]]</f>
        <v>蜀</v>
      </c>
      <c r="E15" s="20">
        <f>(VLOOKUP(表1_861218222426728894[[#This Row],[目标区服]],$R$149:$S$175,2,FALSE)-表1_861218222426728894[[#This Row],[开服天数]])*配置!$B$1</f>
        <v>1000</v>
      </c>
      <c r="F15" s="20">
        <f>表1_861218222426728894[[#This Row],[补偿Coin]]*(表1_861218222426728894[[#This Row],[活跃高战玩家数]]+表1_861218222426728894[[#This Row],[活跃中坚玩家数]])</f>
        <v>20000</v>
      </c>
      <c r="G15" s="20">
        <f>(VLOOKUP(表1_861218222426728894[[#This Row],[目标区服]],$R$149:$S$180,2,FALSE)-表1_861218222426728894[[#This Row],[开服天数]])*配置!$B$2</f>
        <v>10</v>
      </c>
      <c r="H15" s="19" t="s">
        <v>26</v>
      </c>
      <c r="I15" s="19">
        <f>IF(表1_861218222426728894[[#This Row],[原国家]]="魏",0,IF(表1_861218222426728894[[#This Row],[原国家]]="蜀",1,2))</f>
        <v>1</v>
      </c>
      <c r="J15" s="20">
        <v>3</v>
      </c>
      <c r="K15" s="20">
        <v>148</v>
      </c>
      <c r="L15" s="20">
        <v>4</v>
      </c>
      <c r="M15" s="20">
        <v>16</v>
      </c>
      <c r="N15" s="20">
        <v>94033</v>
      </c>
      <c r="O15" s="20">
        <v>2004624</v>
      </c>
      <c r="P15" s="26">
        <v>16759897</v>
      </c>
      <c r="Q15" s="31" t="s">
        <v>26</v>
      </c>
      <c r="R15" s="19">
        <f>IF(表1_861218222426728894[[#This Row],[目标国家]]="魏",0,IF(表1_861218222426728894[[#This Row],[目标国家]]="蜀",1,2))</f>
        <v>1</v>
      </c>
      <c r="S15" s="20">
        <v>55928</v>
      </c>
      <c r="T15" s="20">
        <v>0</v>
      </c>
      <c r="U15" s="20">
        <v>119450</v>
      </c>
      <c r="V15" s="20">
        <v>7668</v>
      </c>
      <c r="W15" s="32">
        <v>551249</v>
      </c>
      <c r="X15" s="33" t="str">
        <f>"{"&amp;"'coin':"&amp;表1_861218222426728894[[#This Row],[补偿Coin]]&amp;",'"&amp;配置!$A$2&amp;"':"&amp;表1_861218222426728894[[#This Row],[补偿辎重]]&amp;"},"</f>
        <v>{'coin':1000,'item036':10},</v>
      </c>
      <c r="Y15" s="34" t="str">
        <f>"            'to_zone':'"&amp;表1_861218222426728894[[#This Row],[目标区服]]&amp;"',
            'reward':"&amp;表1_861218222426728894[[#This Row],[辅助导出]]&amp;"
            'country':["&amp;R14&amp;","&amp;R15&amp;","&amp;R16&amp;"],"</f>
        <v>            'to_zone':'h1_561',
            'reward':{'coin':1000,'item036':10},
            'country':[0,1,2],</v>
      </c>
    </row>
    <row r="16" customHeight="1" spans="1:25">
      <c r="A16" s="17">
        <v>5132</v>
      </c>
      <c r="B16" s="17">
        <f>VLOOKUP(表1_861218222426728894[[#This Row],[区服]],$P$149:$Q$196,2,FALSE)</f>
        <v>47</v>
      </c>
      <c r="C16" s="45" t="s">
        <v>192</v>
      </c>
      <c r="D16" s="19" t="str">
        <f>表1_861218222426728894[[#This Row],[目标国家]]</f>
        <v>吴</v>
      </c>
      <c r="E16" s="20">
        <f>(VLOOKUP(表1_861218222426728894[[#This Row],[目标区服]],$R$149:$S$175,2,FALSE)-表1_861218222426728894[[#This Row],[开服天数]])*配置!$B$1</f>
        <v>1000</v>
      </c>
      <c r="F16" s="20">
        <f>表1_861218222426728894[[#This Row],[补偿Coin]]*(表1_861218222426728894[[#This Row],[活跃高战玩家数]]+表1_861218222426728894[[#This Row],[活跃中坚玩家数]])</f>
        <v>21000</v>
      </c>
      <c r="G16" s="20">
        <f>(VLOOKUP(表1_861218222426728894[[#This Row],[目标区服]],$R$149:$S$180,2,FALSE)-表1_861218222426728894[[#This Row],[开服天数]])*配置!$B$2</f>
        <v>10</v>
      </c>
      <c r="H16" s="19" t="s">
        <v>27</v>
      </c>
      <c r="I16" s="19">
        <f>IF(表1_861218222426728894[[#This Row],[原国家]]="魏",0,IF(表1_861218222426728894[[#This Row],[原国家]]="蜀",1,2))</f>
        <v>2</v>
      </c>
      <c r="J16" s="20">
        <v>4</v>
      </c>
      <c r="K16" s="20">
        <v>151</v>
      </c>
      <c r="L16" s="20">
        <v>4</v>
      </c>
      <c r="M16" s="20">
        <v>17</v>
      </c>
      <c r="N16" s="20">
        <v>105447</v>
      </c>
      <c r="O16" s="20">
        <v>3051707</v>
      </c>
      <c r="P16" s="26">
        <v>20858207</v>
      </c>
      <c r="Q16" s="31" t="s">
        <v>27</v>
      </c>
      <c r="R16" s="19">
        <f>IF(表1_861218222426728894[[#This Row],[目标国家]]="魏",0,IF(表1_861218222426728894[[#This Row],[目标国家]]="蜀",1,2))</f>
        <v>2</v>
      </c>
      <c r="S16" s="20">
        <v>91642</v>
      </c>
      <c r="T16" s="20">
        <v>0</v>
      </c>
      <c r="U16" s="20">
        <v>151984</v>
      </c>
      <c r="V16" s="20">
        <v>10400</v>
      </c>
      <c r="W16" s="32">
        <v>838719</v>
      </c>
      <c r="X16" s="33" t="str">
        <f>"{"&amp;"'coin':"&amp;表1_861218222426728894[[#This Row],[补偿Coin]]&amp;",'"&amp;配置!$A$2&amp;"':"&amp;表1_861218222426728894[[#This Row],[补偿辎重]]&amp;"},"</f>
        <v>{'coin':1000,'item036':10},</v>
      </c>
      <c r="Y16" s="34" t="str">
        <f t="shared" ref="Y16" si="2">"      },"</f>
        <v>      },</v>
      </c>
    </row>
    <row r="17" customHeight="1" spans="1:25">
      <c r="A17" s="17">
        <v>5133</v>
      </c>
      <c r="B17" s="17">
        <f>VLOOKUP(表1_861218222426728894[[#This Row],[区服]],$P$149:$Q$196,2,FALSE)</f>
        <v>46</v>
      </c>
      <c r="C17" s="45" t="s">
        <v>192</v>
      </c>
      <c r="D17" s="19" t="str">
        <f>表1_861218222426728894[[#This Row],[目标国家]]</f>
        <v>魏</v>
      </c>
      <c r="E17" s="20">
        <f>(VLOOKUP(表1_861218222426728894[[#This Row],[目标区服]],$R$149:$S$175,2,FALSE)-表1_861218222426728894[[#This Row],[开服天数]])*配置!$B$1</f>
        <v>1500</v>
      </c>
      <c r="F17" s="20">
        <f>表1_861218222426728894[[#This Row],[补偿Coin]]*(表1_861218222426728894[[#This Row],[活跃高战玩家数]]+表1_861218222426728894[[#This Row],[活跃中坚玩家数]])</f>
        <v>42000</v>
      </c>
      <c r="G17" s="20">
        <f>(VLOOKUP(表1_861218222426728894[[#This Row],[目标区服]],$R$149:$S$180,2,FALSE)-表1_861218222426728894[[#This Row],[开服天数]])*配置!$B$2</f>
        <v>15</v>
      </c>
      <c r="H17" s="19" t="s">
        <v>25</v>
      </c>
      <c r="I17" s="19">
        <f>IF(表1_861218222426728894[[#This Row],[原国家]]="魏",0,IF(表1_861218222426728894[[#This Row],[原国家]]="蜀",1,2))</f>
        <v>0</v>
      </c>
      <c r="J17" s="20">
        <v>4</v>
      </c>
      <c r="K17" s="20">
        <v>114</v>
      </c>
      <c r="L17" s="20">
        <v>6</v>
      </c>
      <c r="M17" s="20">
        <v>22</v>
      </c>
      <c r="N17" s="20">
        <v>124257</v>
      </c>
      <c r="O17" s="20">
        <v>3216583</v>
      </c>
      <c r="P17" s="26">
        <v>28025465</v>
      </c>
      <c r="Q17" s="31" t="s">
        <v>25</v>
      </c>
      <c r="R17" s="19">
        <f>IF(表1_861218222426728894[[#This Row],[目标国家]]="魏",0,IF(表1_861218222426728894[[#This Row],[目标国家]]="蜀",1,2))</f>
        <v>0</v>
      </c>
      <c r="S17" s="20">
        <v>123410</v>
      </c>
      <c r="T17" s="20">
        <v>0</v>
      </c>
      <c r="U17" s="20">
        <v>515341</v>
      </c>
      <c r="V17" s="20">
        <v>12140</v>
      </c>
      <c r="W17" s="32">
        <v>987468</v>
      </c>
      <c r="X17" s="33" t="str">
        <f>"{"&amp;"'coin':"&amp;表1_861218222426728894[[#This Row],[补偿Coin]]&amp;",'"&amp;配置!$A$2&amp;"':"&amp;表1_861218222426728894[[#This Row],[补偿辎重]]&amp;"},"</f>
        <v>{'coin':1500,'item036':15},</v>
      </c>
      <c r="Y17" s="34" t="str">
        <f>"      '"&amp;表1_861218222426728894[[#This Row],[区服]]&amp;"':{"</f>
        <v>      '5133':{</v>
      </c>
    </row>
    <row r="18" customHeight="1" spans="1:25">
      <c r="A18" s="17">
        <v>5133</v>
      </c>
      <c r="B18" s="17">
        <f>VLOOKUP(表1_861218222426728894[[#This Row],[区服]],$P$149:$Q$196,2,FALSE)</f>
        <v>46</v>
      </c>
      <c r="C18" s="45" t="s">
        <v>192</v>
      </c>
      <c r="D18" s="19" t="str">
        <f>表1_861218222426728894[[#This Row],[目标国家]]</f>
        <v>蜀</v>
      </c>
      <c r="E18" s="20">
        <f>(VLOOKUP(表1_861218222426728894[[#This Row],[目标区服]],$R$149:$S$175,2,FALSE)-表1_861218222426728894[[#This Row],[开服天数]])*配置!$B$1</f>
        <v>1500</v>
      </c>
      <c r="F18" s="20">
        <f>表1_861218222426728894[[#This Row],[补偿Coin]]*(表1_861218222426728894[[#This Row],[活跃高战玩家数]]+表1_861218222426728894[[#This Row],[活跃中坚玩家数]])</f>
        <v>46500</v>
      </c>
      <c r="G18" s="20">
        <f>(VLOOKUP(表1_861218222426728894[[#This Row],[目标区服]],$R$149:$S$180,2,FALSE)-表1_861218222426728894[[#This Row],[开服天数]])*配置!$B$2</f>
        <v>15</v>
      </c>
      <c r="H18" s="19" t="s">
        <v>26</v>
      </c>
      <c r="I18" s="19">
        <f>IF(表1_861218222426728894[[#This Row],[原国家]]="魏",0,IF(表1_861218222426728894[[#This Row],[原国家]]="蜀",1,2))</f>
        <v>1</v>
      </c>
      <c r="J18" s="20">
        <v>2</v>
      </c>
      <c r="K18" s="20">
        <v>115</v>
      </c>
      <c r="L18" s="20">
        <v>2</v>
      </c>
      <c r="M18" s="20">
        <v>29</v>
      </c>
      <c r="N18" s="20">
        <v>100603</v>
      </c>
      <c r="O18" s="20">
        <v>2881607</v>
      </c>
      <c r="P18" s="26">
        <v>24817265</v>
      </c>
      <c r="Q18" s="31" t="s">
        <v>26</v>
      </c>
      <c r="R18" s="19">
        <f>IF(表1_861218222426728894[[#This Row],[目标国家]]="魏",0,IF(表1_861218222426728894[[#This Row],[目标国家]]="蜀",1,2))</f>
        <v>1</v>
      </c>
      <c r="S18" s="20">
        <v>68412</v>
      </c>
      <c r="T18" s="20">
        <v>0</v>
      </c>
      <c r="U18" s="20">
        <v>472557</v>
      </c>
      <c r="V18" s="20">
        <v>9504</v>
      </c>
      <c r="W18" s="32">
        <v>946749</v>
      </c>
      <c r="X18" s="33" t="str">
        <f>"{"&amp;"'coin':"&amp;表1_861218222426728894[[#This Row],[补偿Coin]]&amp;",'"&amp;配置!$A$2&amp;"':"&amp;表1_861218222426728894[[#This Row],[补偿辎重]]&amp;"},"</f>
        <v>{'coin':1500,'item036':15},</v>
      </c>
      <c r="Y18" s="34" t="str">
        <f>"            'to_zone':'"&amp;表1_861218222426728894[[#This Row],[目标区服]]&amp;"',
            'reward':"&amp;表1_861218222426728894[[#This Row],[辅助导出]]&amp;"
            'country':["&amp;R17&amp;","&amp;R18&amp;","&amp;R19&amp;"],"</f>
        <v>            'to_zone':'h1_561',
            'reward':{'coin':1500,'item036':15},
            'country':[0,1,2],</v>
      </c>
    </row>
    <row r="19" customHeight="1" spans="1:25">
      <c r="A19" s="17">
        <v>5133</v>
      </c>
      <c r="B19" s="17">
        <f>VLOOKUP(表1_861218222426728894[[#This Row],[区服]],$P$149:$Q$196,2,FALSE)</f>
        <v>46</v>
      </c>
      <c r="C19" s="45" t="s">
        <v>192</v>
      </c>
      <c r="D19" s="19" t="str">
        <f>表1_861218222426728894[[#This Row],[目标国家]]</f>
        <v>吴</v>
      </c>
      <c r="E19" s="20">
        <f>(VLOOKUP(表1_861218222426728894[[#This Row],[目标区服]],$R$149:$S$175,2,FALSE)-表1_861218222426728894[[#This Row],[开服天数]])*配置!$B$1</f>
        <v>1500</v>
      </c>
      <c r="F19" s="20">
        <f>表1_861218222426728894[[#This Row],[补偿Coin]]*(表1_861218222426728894[[#This Row],[活跃高战玩家数]]+表1_861218222426728894[[#This Row],[活跃中坚玩家数]])</f>
        <v>33000</v>
      </c>
      <c r="G19" s="20">
        <f>(VLOOKUP(表1_861218222426728894[[#This Row],[目标区服]],$R$149:$S$180,2,FALSE)-表1_861218222426728894[[#This Row],[开服天数]])*配置!$B$2</f>
        <v>15</v>
      </c>
      <c r="H19" s="19" t="s">
        <v>27</v>
      </c>
      <c r="I19" s="19">
        <f>IF(表1_861218222426728894[[#This Row],[原国家]]="魏",0,IF(表1_861218222426728894[[#This Row],[原国家]]="蜀",1,2))</f>
        <v>2</v>
      </c>
      <c r="J19" s="20">
        <v>3</v>
      </c>
      <c r="K19" s="20">
        <v>166</v>
      </c>
      <c r="L19" s="20">
        <v>2</v>
      </c>
      <c r="M19" s="20">
        <v>20</v>
      </c>
      <c r="N19" s="20">
        <v>85569</v>
      </c>
      <c r="O19" s="20">
        <v>1914116</v>
      </c>
      <c r="P19" s="26">
        <v>18491120</v>
      </c>
      <c r="Q19" s="31" t="s">
        <v>27</v>
      </c>
      <c r="R19" s="19">
        <f>IF(表1_861218222426728894[[#This Row],[目标国家]]="魏",0,IF(表1_861218222426728894[[#This Row],[目标国家]]="蜀",1,2))</f>
        <v>2</v>
      </c>
      <c r="S19" s="20">
        <v>29052</v>
      </c>
      <c r="T19" s="20">
        <v>0</v>
      </c>
      <c r="U19" s="20">
        <v>177878</v>
      </c>
      <c r="V19" s="20">
        <v>7111</v>
      </c>
      <c r="W19" s="32">
        <v>538916</v>
      </c>
      <c r="X19" s="33" t="str">
        <f>"{"&amp;"'coin':"&amp;表1_861218222426728894[[#This Row],[补偿Coin]]&amp;",'"&amp;配置!$A$2&amp;"':"&amp;表1_861218222426728894[[#This Row],[补偿辎重]]&amp;"},"</f>
        <v>{'coin':1500,'item036':15},</v>
      </c>
      <c r="Y19" s="34" t="str">
        <f t="shared" ref="Y19" si="3">"      },"</f>
        <v>      },</v>
      </c>
    </row>
    <row r="20" customHeight="1" spans="1:25">
      <c r="A20" s="214">
        <v>5134</v>
      </c>
      <c r="B20" s="214">
        <f>VLOOKUP(表1_861218222426728894[[#This Row],[区服]],$P$149:$Q$196,2,FALSE)</f>
        <v>46</v>
      </c>
      <c r="C20" s="308" t="s">
        <v>193</v>
      </c>
      <c r="D20" s="216" t="str">
        <f>表1_861218222426728894[[#This Row],[目标国家]]</f>
        <v>魏</v>
      </c>
      <c r="E20" s="217">
        <f>(VLOOKUP(表1_861218222426728894[[#This Row],[目标区服]],$R$149:$S$175,2,FALSE)-表1_861218222426728894[[#This Row],[开服天数]])*配置!$B$1</f>
        <v>1000</v>
      </c>
      <c r="F20" s="217">
        <f>表1_861218222426728894[[#This Row],[补偿Coin]]*(表1_861218222426728894[[#This Row],[活跃高战玩家数]]+表1_861218222426728894[[#This Row],[活跃中坚玩家数]])</f>
        <v>23000</v>
      </c>
      <c r="G20" s="217">
        <f>(VLOOKUP(表1_861218222426728894[[#This Row],[目标区服]],$R$149:$S$180,2,FALSE)-表1_861218222426728894[[#This Row],[开服天数]])*配置!$B$2</f>
        <v>10</v>
      </c>
      <c r="H20" s="216" t="s">
        <v>25</v>
      </c>
      <c r="I20" s="216">
        <f>IF(表1_861218222426728894[[#This Row],[原国家]]="魏",0,IF(表1_861218222426728894[[#This Row],[原国家]]="蜀",1,2))</f>
        <v>0</v>
      </c>
      <c r="J20" s="217">
        <v>2</v>
      </c>
      <c r="K20" s="217">
        <v>73</v>
      </c>
      <c r="L20" s="217">
        <v>1</v>
      </c>
      <c r="M20" s="217">
        <v>22</v>
      </c>
      <c r="N20" s="217">
        <v>84604</v>
      </c>
      <c r="O20" s="217">
        <v>1553333</v>
      </c>
      <c r="P20" s="334">
        <v>13460855</v>
      </c>
      <c r="Q20" s="31" t="s">
        <v>25</v>
      </c>
      <c r="R20" s="216">
        <f>IF(表1_861218222426728894[[#This Row],[目标国家]]="魏",0,IF(表1_861218222426728894[[#This Row],[目标国家]]="蜀",1,2))</f>
        <v>0</v>
      </c>
      <c r="S20" s="217">
        <v>19344</v>
      </c>
      <c r="T20" s="217">
        <v>0</v>
      </c>
      <c r="U20" s="217">
        <v>188261</v>
      </c>
      <c r="V20" s="217">
        <v>4926</v>
      </c>
      <c r="W20" s="294">
        <v>459659</v>
      </c>
      <c r="X20" s="249" t="str">
        <f>"{"&amp;"'coin':"&amp;表1_861218222426728894[[#This Row],[补偿Coin]]&amp;",'"&amp;配置!$A$2&amp;"':"&amp;表1_861218222426728894[[#This Row],[补偿辎重]]&amp;"},"</f>
        <v>{'coin':1000,'item036':10},</v>
      </c>
      <c r="Y20" s="251" t="str">
        <f>"      '"&amp;表1_861218222426728894[[#This Row],[区服]]&amp;"':{"</f>
        <v>      '5134':{</v>
      </c>
    </row>
    <row r="21" customHeight="1" spans="1:25">
      <c r="A21" s="214">
        <v>5134</v>
      </c>
      <c r="B21" s="214">
        <f>VLOOKUP(表1_861218222426728894[[#This Row],[区服]],$P$149:$Q$196,2,FALSE)</f>
        <v>46</v>
      </c>
      <c r="C21" s="308" t="s">
        <v>193</v>
      </c>
      <c r="D21" s="216" t="str">
        <f>表1_861218222426728894[[#This Row],[目标国家]]</f>
        <v>蜀</v>
      </c>
      <c r="E21" s="217">
        <f>(VLOOKUP(表1_861218222426728894[[#This Row],[目标区服]],$R$149:$S$175,2,FALSE)-表1_861218222426728894[[#This Row],[开服天数]])*配置!$B$1</f>
        <v>1000</v>
      </c>
      <c r="F21" s="217">
        <f>表1_861218222426728894[[#This Row],[补偿Coin]]*(表1_861218222426728894[[#This Row],[活跃高战玩家数]]+表1_861218222426728894[[#This Row],[活跃中坚玩家数]])</f>
        <v>23000</v>
      </c>
      <c r="G21" s="217">
        <f>(VLOOKUP(表1_861218222426728894[[#This Row],[目标区服]],$R$149:$S$180,2,FALSE)-表1_861218222426728894[[#This Row],[开服天数]])*配置!$B$2</f>
        <v>10</v>
      </c>
      <c r="H21" s="216" t="s">
        <v>26</v>
      </c>
      <c r="I21" s="216">
        <f>IF(表1_861218222426728894[[#This Row],[原国家]]="魏",0,IF(表1_861218222426728894[[#This Row],[原国家]]="蜀",1,2))</f>
        <v>1</v>
      </c>
      <c r="J21" s="217">
        <v>2</v>
      </c>
      <c r="K21" s="217">
        <v>109</v>
      </c>
      <c r="L21" s="217">
        <v>1</v>
      </c>
      <c r="M21" s="217">
        <v>22</v>
      </c>
      <c r="N21" s="217">
        <v>87528</v>
      </c>
      <c r="O21" s="217">
        <v>1409124</v>
      </c>
      <c r="P21" s="334">
        <v>13494661</v>
      </c>
      <c r="Q21" s="31" t="s">
        <v>26</v>
      </c>
      <c r="R21" s="216">
        <f>IF(表1_861218222426728894[[#This Row],[目标国家]]="魏",0,IF(表1_861218222426728894[[#This Row],[目标国家]]="蜀",1,2))</f>
        <v>1</v>
      </c>
      <c r="S21" s="217">
        <v>9948</v>
      </c>
      <c r="T21" s="217">
        <v>0</v>
      </c>
      <c r="U21" s="217">
        <v>132223</v>
      </c>
      <c r="V21" s="217">
        <v>4850</v>
      </c>
      <c r="W21" s="294">
        <v>427518</v>
      </c>
      <c r="X21" s="249" t="str">
        <f>"{"&amp;"'coin':"&amp;表1_861218222426728894[[#This Row],[补偿Coin]]&amp;",'"&amp;配置!$A$2&amp;"':"&amp;表1_861218222426728894[[#This Row],[补偿辎重]]&amp;"},"</f>
        <v>{'coin':1000,'item036':10},</v>
      </c>
      <c r="Y21" s="251" t="str">
        <f>"            'to_zone':'"&amp;表1_861218222426728894[[#This Row],[目标区服]]&amp;"',
            'reward':"&amp;表1_861218222426728894[[#This Row],[辅助导出]]&amp;"
            'country':["&amp;R20&amp;","&amp;R21&amp;","&amp;R22&amp;"],"</f>
        <v>            'to_zone':'h1_562',
            'reward':{'coin':1000,'item036':10},
            'country':[0,1,2],</v>
      </c>
    </row>
    <row r="22" customHeight="1" spans="1:25">
      <c r="A22" s="214">
        <v>5134</v>
      </c>
      <c r="B22" s="214">
        <f>VLOOKUP(表1_861218222426728894[[#This Row],[区服]],$P$149:$Q$196,2,FALSE)</f>
        <v>46</v>
      </c>
      <c r="C22" s="308" t="s">
        <v>193</v>
      </c>
      <c r="D22" s="216" t="str">
        <f>表1_861218222426728894[[#This Row],[目标国家]]</f>
        <v>吴</v>
      </c>
      <c r="E22" s="217">
        <f>(VLOOKUP(表1_861218222426728894[[#This Row],[目标区服]],$R$149:$S$175,2,FALSE)-表1_861218222426728894[[#This Row],[开服天数]])*配置!$B$1</f>
        <v>1000</v>
      </c>
      <c r="F22" s="217">
        <f>表1_861218222426728894[[#This Row],[补偿Coin]]*(表1_861218222426728894[[#This Row],[活跃高战玩家数]]+表1_861218222426728894[[#This Row],[活跃中坚玩家数]])</f>
        <v>20000</v>
      </c>
      <c r="G22" s="217">
        <f>(VLOOKUP(表1_861218222426728894[[#This Row],[目标区服]],$R$149:$S$180,2,FALSE)-表1_861218222426728894[[#This Row],[开服天数]])*配置!$B$2</f>
        <v>10</v>
      </c>
      <c r="H22" s="216" t="s">
        <v>27</v>
      </c>
      <c r="I22" s="216">
        <f>IF(表1_861218222426728894[[#This Row],[原国家]]="魏",0,IF(表1_861218222426728894[[#This Row],[原国家]]="蜀",1,2))</f>
        <v>2</v>
      </c>
      <c r="J22" s="217">
        <v>5</v>
      </c>
      <c r="K22" s="217">
        <v>213</v>
      </c>
      <c r="L22" s="217">
        <v>8</v>
      </c>
      <c r="M22" s="217">
        <v>12</v>
      </c>
      <c r="N22" s="217">
        <v>120013</v>
      </c>
      <c r="O22" s="217">
        <v>2792250</v>
      </c>
      <c r="P22" s="334">
        <v>20419859</v>
      </c>
      <c r="Q22" s="31" t="s">
        <v>27</v>
      </c>
      <c r="R22" s="216">
        <f>IF(表1_861218222426728894[[#This Row],[目标国家]]="魏",0,IF(表1_861218222426728894[[#This Row],[目标国家]]="蜀",1,2))</f>
        <v>2</v>
      </c>
      <c r="S22" s="217">
        <v>101142</v>
      </c>
      <c r="T22" s="217">
        <v>0</v>
      </c>
      <c r="U22" s="217">
        <v>548782</v>
      </c>
      <c r="V22" s="217">
        <v>11372</v>
      </c>
      <c r="W22" s="294">
        <v>778668</v>
      </c>
      <c r="X22" s="249" t="str">
        <f>"{"&amp;"'coin':"&amp;表1_861218222426728894[[#This Row],[补偿Coin]]&amp;",'"&amp;配置!$A$2&amp;"':"&amp;表1_861218222426728894[[#This Row],[补偿辎重]]&amp;"},"</f>
        <v>{'coin':1000,'item036':10},</v>
      </c>
      <c r="Y22" s="251" t="str">
        <f t="shared" ref="Y22:Y82" si="4">"      },"</f>
        <v>      },</v>
      </c>
    </row>
    <row r="23" customHeight="1" spans="1:25">
      <c r="A23" s="367">
        <v>5135</v>
      </c>
      <c r="B23" s="214">
        <f>VLOOKUP(表1_861218222426728894[[#This Row],[区服]],$P$149:$Q$196,2,FALSE)</f>
        <v>46</v>
      </c>
      <c r="C23" s="308" t="s">
        <v>193</v>
      </c>
      <c r="D23" s="216" t="str">
        <f>表1_861218222426728894[[#This Row],[目标国家]]</f>
        <v>吴</v>
      </c>
      <c r="E23" s="413">
        <f>(VLOOKUP(表1_861218222426728894[[#This Row],[目标区服]],$R$149:$S$175,2,FALSE)-表1_861218222426728894[[#This Row],[开服天数]])*配置!$B$1</f>
        <v>1000</v>
      </c>
      <c r="F23" s="217">
        <f>表1_861218222426728894[[#This Row],[补偿Coin]]*(表1_861218222426728894[[#This Row],[活跃高战玩家数]]+表1_861218222426728894[[#This Row],[活跃中坚玩家数]])</f>
        <v>18000</v>
      </c>
      <c r="G23" s="368">
        <f>(VLOOKUP(表1_861218222426728894[[#This Row],[目标区服]],$R$149:$S$180,2,FALSE)-表1_861218222426728894[[#This Row],[开服天数]])*配置!$B$2</f>
        <v>10</v>
      </c>
      <c r="H23" s="216" t="s">
        <v>25</v>
      </c>
      <c r="I23" s="377">
        <f>IF(表1_861218222426728894[[#This Row],[原国家]]="魏",0,IF(表1_861218222426728894[[#This Row],[原国家]]="蜀",1,2))</f>
        <v>0</v>
      </c>
      <c r="J23" s="217">
        <v>1</v>
      </c>
      <c r="K23" s="217">
        <v>70</v>
      </c>
      <c r="L23" s="217">
        <v>0</v>
      </c>
      <c r="M23" s="217">
        <v>18</v>
      </c>
      <c r="N23" s="217">
        <v>44816</v>
      </c>
      <c r="O23" s="378">
        <v>1101733</v>
      </c>
      <c r="P23" s="334">
        <v>10310017</v>
      </c>
      <c r="Q23" s="31" t="s">
        <v>27</v>
      </c>
      <c r="R23" s="216">
        <f>IF(表1_861218222426728894[[#This Row],[目标国家]]="魏",0,IF(表1_861218222426728894[[#This Row],[目标国家]]="蜀",1,2))</f>
        <v>2</v>
      </c>
      <c r="S23" s="217">
        <v>3840</v>
      </c>
      <c r="T23" s="217">
        <v>0</v>
      </c>
      <c r="U23" s="217">
        <v>68062</v>
      </c>
      <c r="V23" s="217">
        <v>3306</v>
      </c>
      <c r="W23" s="488">
        <v>478745</v>
      </c>
      <c r="X23" s="382" t="str">
        <f>"{"&amp;"'coin':"&amp;表1_861218222426728894[[#This Row],[补偿Coin]]&amp;",'"&amp;配置!$A$2&amp;"':"&amp;表1_861218222426728894[[#This Row],[补偿辎重]]&amp;"},"</f>
        <v>{'coin':1000,'item036':10},</v>
      </c>
      <c r="Y23" s="251" t="str">
        <f>"      '"&amp;表1_861218222426728894[[#This Row],[区服]]&amp;"':{"</f>
        <v>      '5135':{</v>
      </c>
    </row>
    <row r="24" customHeight="1" spans="1:25">
      <c r="A24" s="367">
        <v>5135</v>
      </c>
      <c r="B24" s="214">
        <f>VLOOKUP(表1_861218222426728894[[#This Row],[区服]],$P$149:$Q$196,2,FALSE)</f>
        <v>46</v>
      </c>
      <c r="C24" s="308" t="s">
        <v>193</v>
      </c>
      <c r="D24" s="216" t="str">
        <f>表1_861218222426728894[[#This Row],[目标国家]]</f>
        <v>蜀</v>
      </c>
      <c r="E24" s="413">
        <f>(VLOOKUP(表1_861218222426728894[[#This Row],[目标区服]],$R$149:$S$175,2,FALSE)-表1_861218222426728894[[#This Row],[开服天数]])*配置!$B$1</f>
        <v>1000</v>
      </c>
      <c r="F24" s="217">
        <f>表1_861218222426728894[[#This Row],[补偿Coin]]*(表1_861218222426728894[[#This Row],[活跃高战玩家数]]+表1_861218222426728894[[#This Row],[活跃中坚玩家数]])</f>
        <v>37000</v>
      </c>
      <c r="G24" s="368">
        <f>(VLOOKUP(表1_861218222426728894[[#This Row],[目标区服]],$R$149:$S$180,2,FALSE)-表1_861218222426728894[[#This Row],[开服天数]])*配置!$B$2</f>
        <v>10</v>
      </c>
      <c r="H24" s="216" t="s">
        <v>26</v>
      </c>
      <c r="I24" s="377">
        <f>IF(表1_861218222426728894[[#This Row],[原国家]]="魏",0,IF(表1_861218222426728894[[#This Row],[原国家]]="蜀",1,2))</f>
        <v>1</v>
      </c>
      <c r="J24" s="217">
        <v>5</v>
      </c>
      <c r="K24" s="217">
        <v>206</v>
      </c>
      <c r="L24" s="217">
        <v>5</v>
      </c>
      <c r="M24" s="217">
        <v>32</v>
      </c>
      <c r="N24" s="217">
        <v>144549</v>
      </c>
      <c r="O24" s="378">
        <v>2898807</v>
      </c>
      <c r="P24" s="334">
        <v>27778014</v>
      </c>
      <c r="Q24" s="31" t="s">
        <v>26</v>
      </c>
      <c r="R24" s="216">
        <f>IF(表1_861218222426728894[[#This Row],[目标国家]]="魏",0,IF(表1_861218222426728894[[#This Row],[目标国家]]="蜀",1,2))</f>
        <v>1</v>
      </c>
      <c r="S24" s="217">
        <v>50276</v>
      </c>
      <c r="T24" s="217">
        <v>0</v>
      </c>
      <c r="U24" s="217">
        <v>400076</v>
      </c>
      <c r="V24" s="217">
        <v>10667</v>
      </c>
      <c r="W24" s="488">
        <v>992703</v>
      </c>
      <c r="X24" s="382" t="str">
        <f>"{"&amp;"'coin':"&amp;表1_861218222426728894[[#This Row],[补偿Coin]]&amp;",'"&amp;配置!$A$2&amp;"':"&amp;表1_861218222426728894[[#This Row],[补偿辎重]]&amp;"},"</f>
        <v>{'coin':1000,'item036':10},</v>
      </c>
      <c r="Y24" s="251" t="str">
        <f>"            'to_zone':'"&amp;表1_861218222426728894[[#This Row],[目标区服]]&amp;"',
            'reward':"&amp;表1_861218222426728894[[#This Row],[辅助导出]]&amp;"
            'country':["&amp;R23&amp;","&amp;R24&amp;","&amp;R25&amp;"],"</f>
        <v>            'to_zone':'h1_562',
            'reward':{'coin':1000,'item036':10},
            'country':[2,1,0],</v>
      </c>
    </row>
    <row r="25" customHeight="1" spans="1:25">
      <c r="A25" s="367">
        <v>5135</v>
      </c>
      <c r="B25" s="214">
        <f>VLOOKUP(表1_861218222426728894[[#This Row],[区服]],$P$149:$Q$196,2,FALSE)</f>
        <v>46</v>
      </c>
      <c r="C25" s="308" t="s">
        <v>193</v>
      </c>
      <c r="D25" s="216" t="str">
        <f>表1_861218222426728894[[#This Row],[目标国家]]</f>
        <v>魏</v>
      </c>
      <c r="E25" s="413">
        <f>(VLOOKUP(表1_861218222426728894[[#This Row],[目标区服]],$R$149:$S$175,2,FALSE)-表1_861218222426728894[[#This Row],[开服天数]])*配置!$B$1</f>
        <v>1000</v>
      </c>
      <c r="F25" s="217">
        <f>表1_861218222426728894[[#This Row],[补偿Coin]]*(表1_861218222426728894[[#This Row],[活跃高战玩家数]]+表1_861218222426728894[[#This Row],[活跃中坚玩家数]])</f>
        <v>27000</v>
      </c>
      <c r="G25" s="368">
        <f>(VLOOKUP(表1_861218222426728894[[#This Row],[目标区服]],$R$149:$S$180,2,FALSE)-表1_861218222426728894[[#This Row],[开服天数]])*配置!$B$2</f>
        <v>10</v>
      </c>
      <c r="H25" s="216" t="s">
        <v>27</v>
      </c>
      <c r="I25" s="377">
        <f>IF(表1_861218222426728894[[#This Row],[原国家]]="魏",0,IF(表1_861218222426728894[[#This Row],[原国家]]="蜀",1,2))</f>
        <v>2</v>
      </c>
      <c r="J25" s="217">
        <v>3</v>
      </c>
      <c r="K25" s="217">
        <v>119</v>
      </c>
      <c r="L25" s="217">
        <v>5</v>
      </c>
      <c r="M25" s="217">
        <v>22</v>
      </c>
      <c r="N25" s="217">
        <v>116186</v>
      </c>
      <c r="O25" s="378">
        <v>2617076</v>
      </c>
      <c r="P25" s="334">
        <v>21523980</v>
      </c>
      <c r="Q25" s="31" t="s">
        <v>25</v>
      </c>
      <c r="R25" s="216">
        <f>IF(表1_861218222426728894[[#This Row],[目标国家]]="魏",0,IF(表1_861218222426728894[[#This Row],[目标国家]]="蜀",1,2))</f>
        <v>0</v>
      </c>
      <c r="S25" s="217">
        <v>37552</v>
      </c>
      <c r="T25" s="217">
        <v>0</v>
      </c>
      <c r="U25" s="217">
        <v>337102</v>
      </c>
      <c r="V25" s="217">
        <v>8135</v>
      </c>
      <c r="W25" s="488">
        <v>886716</v>
      </c>
      <c r="X25" s="382" t="str">
        <f>"{"&amp;"'coin':"&amp;表1_861218222426728894[[#This Row],[补偿Coin]]&amp;",'"&amp;配置!$A$2&amp;"':"&amp;表1_861218222426728894[[#This Row],[补偿辎重]]&amp;"},"</f>
        <v>{'coin':1000,'item036':10},</v>
      </c>
      <c r="Y25" s="251" t="str">
        <f t="shared" ref="Y25:Y79" si="5">"      },"</f>
        <v>      },</v>
      </c>
    </row>
    <row r="26" customHeight="1" spans="1:25">
      <c r="A26" s="370">
        <v>5136</v>
      </c>
      <c r="B26" s="81">
        <f>VLOOKUP(表1_861218222426728894[[#This Row],[区服]],$P$149:$Q$196,2,FALSE)</f>
        <v>46</v>
      </c>
      <c r="C26" s="414" t="s">
        <v>194</v>
      </c>
      <c r="D26" s="83" t="str">
        <f>表1_861218222426728894[[#This Row],[目标国家]]</f>
        <v>吴</v>
      </c>
      <c r="E26" s="415">
        <f>(VLOOKUP(表1_861218222426728894[[#This Row],[目标区服]],$R$149:$S$175,2,FALSE)-表1_861218222426728894[[#This Row],[开服天数]])*配置!$B$1</f>
        <v>1000</v>
      </c>
      <c r="F26" s="85">
        <f>表1_861218222426728894[[#This Row],[补偿Coin]]*(表1_861218222426728894[[#This Row],[活跃高战玩家数]]+表1_861218222426728894[[#This Row],[活跃中坚玩家数]])</f>
        <v>11000</v>
      </c>
      <c r="G26" s="416">
        <f>(VLOOKUP(表1_861218222426728894[[#This Row],[目标区服]],$R$149:$S$180,2,FALSE)-表1_861218222426728894[[#This Row],[开服天数]])*配置!$B$2</f>
        <v>10</v>
      </c>
      <c r="H26" s="83" t="s">
        <v>25</v>
      </c>
      <c r="I26" s="421">
        <f>IF(表1_861218222426728894[[#This Row],[原国家]]="魏",0,IF(表1_861218222426728894[[#This Row],[原国家]]="蜀",1,2))</f>
        <v>0</v>
      </c>
      <c r="J26" s="85">
        <v>0</v>
      </c>
      <c r="K26" s="85">
        <v>63</v>
      </c>
      <c r="L26" s="85">
        <v>0</v>
      </c>
      <c r="M26" s="85">
        <v>11</v>
      </c>
      <c r="N26" s="85">
        <v>41875</v>
      </c>
      <c r="O26" s="422">
        <v>937954</v>
      </c>
      <c r="P26" s="379">
        <v>5428579</v>
      </c>
      <c r="Q26" s="31" t="s">
        <v>27</v>
      </c>
      <c r="R26" s="83">
        <f>IF(表1_861218222426728894[[#This Row],[目标国家]]="魏",0,IF(表1_861218222426728894[[#This Row],[目标国家]]="蜀",1,2))</f>
        <v>2</v>
      </c>
      <c r="S26" s="85">
        <v>1726</v>
      </c>
      <c r="T26" s="85">
        <v>0</v>
      </c>
      <c r="U26" s="85">
        <v>71541</v>
      </c>
      <c r="V26" s="85">
        <v>2407</v>
      </c>
      <c r="W26" s="489">
        <v>246300</v>
      </c>
      <c r="X26" s="431" t="str">
        <f>"{"&amp;"'coin':"&amp;表1_861218222426728894[[#This Row],[补偿Coin]]&amp;",'"&amp;配置!$A$2&amp;"':"&amp;表1_861218222426728894[[#This Row],[补偿辎重]]&amp;"},"</f>
        <v>{'coin':1000,'item036':10},</v>
      </c>
      <c r="Y26" s="149" t="str">
        <f>"      '"&amp;表1_861218222426728894[[#This Row],[区服]]&amp;"':{"</f>
        <v>      '5136':{</v>
      </c>
    </row>
    <row r="27" customHeight="1" spans="1:25">
      <c r="A27" s="370">
        <v>5136</v>
      </c>
      <c r="B27" s="81">
        <f>VLOOKUP(表1_861218222426728894[[#This Row],[区服]],$P$149:$Q$196,2,FALSE)</f>
        <v>46</v>
      </c>
      <c r="C27" s="414" t="s">
        <v>194</v>
      </c>
      <c r="D27" s="83" t="str">
        <f>表1_861218222426728894[[#This Row],[目标国家]]</f>
        <v>蜀</v>
      </c>
      <c r="E27" s="415">
        <f>(VLOOKUP(表1_861218222426728894[[#This Row],[目标区服]],$R$149:$S$175,2,FALSE)-表1_861218222426728894[[#This Row],[开服天数]])*配置!$B$1</f>
        <v>1000</v>
      </c>
      <c r="F27" s="85">
        <f>表1_861218222426728894[[#This Row],[补偿Coin]]*(表1_861218222426728894[[#This Row],[活跃高战玩家数]]+表1_861218222426728894[[#This Row],[活跃中坚玩家数]])</f>
        <v>15000</v>
      </c>
      <c r="G27" s="416">
        <f>(VLOOKUP(表1_861218222426728894[[#This Row],[目标区服]],$R$149:$S$180,2,FALSE)-表1_861218222426728894[[#This Row],[开服天数]])*配置!$B$2</f>
        <v>10</v>
      </c>
      <c r="H27" s="83" t="s">
        <v>26</v>
      </c>
      <c r="I27" s="421">
        <f>IF(表1_861218222426728894[[#This Row],[原国家]]="魏",0,IF(表1_861218222426728894[[#This Row],[原国家]]="蜀",1,2))</f>
        <v>1</v>
      </c>
      <c r="J27" s="85">
        <v>2</v>
      </c>
      <c r="K27" s="85">
        <v>69</v>
      </c>
      <c r="L27" s="85">
        <v>0</v>
      </c>
      <c r="M27" s="85">
        <v>15</v>
      </c>
      <c r="N27" s="85">
        <v>52057</v>
      </c>
      <c r="O27" s="422">
        <v>943221</v>
      </c>
      <c r="P27" s="379">
        <v>7008183</v>
      </c>
      <c r="Q27" s="31" t="s">
        <v>26</v>
      </c>
      <c r="R27" s="83">
        <f>IF(表1_861218222426728894[[#This Row],[目标国家]]="魏",0,IF(表1_861218222426728894[[#This Row],[目标国家]]="蜀",1,2))</f>
        <v>1</v>
      </c>
      <c r="S27" s="85">
        <v>1104</v>
      </c>
      <c r="T27" s="85">
        <v>0</v>
      </c>
      <c r="U27" s="85">
        <v>188391</v>
      </c>
      <c r="V27" s="85">
        <v>2921</v>
      </c>
      <c r="W27" s="489">
        <v>269057</v>
      </c>
      <c r="X27" s="431" t="str">
        <f>"{"&amp;"'coin':"&amp;表1_861218222426728894[[#This Row],[补偿Coin]]&amp;",'"&amp;配置!$A$2&amp;"':"&amp;表1_861218222426728894[[#This Row],[补偿辎重]]&amp;"},"</f>
        <v>{'coin':1000,'item036':10},</v>
      </c>
      <c r="Y27" s="149" t="str">
        <f>"            'to_zone':'"&amp;表1_861218222426728894[[#This Row],[目标区服]]&amp;"',
            'reward':"&amp;表1_861218222426728894[[#This Row],[辅助导出]]&amp;"
            'country':["&amp;R26&amp;","&amp;R27&amp;","&amp;R28&amp;"],"</f>
        <v>            'to_zone':'h1_563',
            'reward':{'coin':1000,'item036':10},
            'country':[2,1,2],</v>
      </c>
    </row>
    <row r="28" customHeight="1" spans="1:25">
      <c r="A28" s="370">
        <v>5136</v>
      </c>
      <c r="B28" s="81">
        <f>VLOOKUP(表1_861218222426728894[[#This Row],[区服]],$P$149:$Q$196,2,FALSE)</f>
        <v>46</v>
      </c>
      <c r="C28" s="414" t="s">
        <v>194</v>
      </c>
      <c r="D28" s="83" t="str">
        <f>表1_861218222426728894[[#This Row],[目标国家]]</f>
        <v>吴</v>
      </c>
      <c r="E28" s="415">
        <f>(VLOOKUP(表1_861218222426728894[[#This Row],[目标区服]],$R$149:$S$175,2,FALSE)-表1_861218222426728894[[#This Row],[开服天数]])*配置!$B$1</f>
        <v>1000</v>
      </c>
      <c r="F28" s="85">
        <f>表1_861218222426728894[[#This Row],[补偿Coin]]*(表1_861218222426728894[[#This Row],[活跃高战玩家数]]+表1_861218222426728894[[#This Row],[活跃中坚玩家数]])</f>
        <v>23000</v>
      </c>
      <c r="G28" s="416">
        <f>(VLOOKUP(表1_861218222426728894[[#This Row],[目标区服]],$R$149:$S$180,2,FALSE)-表1_861218222426728894[[#This Row],[开服天数]])*配置!$B$2</f>
        <v>10</v>
      </c>
      <c r="H28" s="83" t="s">
        <v>27</v>
      </c>
      <c r="I28" s="421">
        <f>IF(表1_861218222426728894[[#This Row],[原国家]]="魏",0,IF(表1_861218222426728894[[#This Row],[原国家]]="蜀",1,2))</f>
        <v>2</v>
      </c>
      <c r="J28" s="85">
        <v>7</v>
      </c>
      <c r="K28" s="85">
        <v>263</v>
      </c>
      <c r="L28" s="85">
        <v>9</v>
      </c>
      <c r="M28" s="85">
        <v>14</v>
      </c>
      <c r="N28" s="85">
        <v>157055</v>
      </c>
      <c r="O28" s="422">
        <v>2252796</v>
      </c>
      <c r="P28" s="379">
        <v>22744439</v>
      </c>
      <c r="Q28" s="31" t="s">
        <v>27</v>
      </c>
      <c r="R28" s="83">
        <f>IF(表1_861218222426728894[[#This Row],[目标国家]]="魏",0,IF(表1_861218222426728894[[#This Row],[目标国家]]="蜀",1,2))</f>
        <v>2</v>
      </c>
      <c r="S28" s="85">
        <v>125036</v>
      </c>
      <c r="T28" s="85">
        <v>0</v>
      </c>
      <c r="U28" s="85">
        <v>1035732</v>
      </c>
      <c r="V28" s="85">
        <v>12911</v>
      </c>
      <c r="W28" s="489">
        <v>964879</v>
      </c>
      <c r="X28" s="431" t="str">
        <f>"{"&amp;"'coin':"&amp;表1_861218222426728894[[#This Row],[补偿Coin]]&amp;",'"&amp;配置!$A$2&amp;"':"&amp;表1_861218222426728894[[#This Row],[补偿辎重]]&amp;"},"</f>
        <v>{'coin':1000,'item036':10},</v>
      </c>
      <c r="Y28" s="149" t="str">
        <f t="shared" si="5"/>
        <v>      },</v>
      </c>
    </row>
    <row r="29" customHeight="1" spans="1:25">
      <c r="A29" s="370">
        <v>5137</v>
      </c>
      <c r="B29" s="81">
        <f>VLOOKUP(表1_861218222426728894[[#This Row],[区服]],$P$149:$Q$196,2,FALSE)</f>
        <v>46</v>
      </c>
      <c r="C29" s="414" t="s">
        <v>194</v>
      </c>
      <c r="D29" s="83" t="str">
        <f>表1_861218222426728894[[#This Row],[目标国家]]</f>
        <v>魏</v>
      </c>
      <c r="E29" s="415">
        <f>(VLOOKUP(表1_861218222426728894[[#This Row],[目标区服]],$R$149:$S$175,2,FALSE)-表1_861218222426728894[[#This Row],[开服天数]])*配置!$B$1</f>
        <v>1000</v>
      </c>
      <c r="F29" s="85">
        <f>表1_861218222426728894[[#This Row],[补偿Coin]]*(表1_861218222426728894[[#This Row],[活跃高战玩家数]]+表1_861218222426728894[[#This Row],[活跃中坚玩家数]])</f>
        <v>13000</v>
      </c>
      <c r="G29" s="416">
        <f>(VLOOKUP(表1_861218222426728894[[#This Row],[目标区服]],$R$149:$S$180,2,FALSE)-表1_861218222426728894[[#This Row],[开服天数]])*配置!$B$2</f>
        <v>10</v>
      </c>
      <c r="H29" s="83" t="s">
        <v>25</v>
      </c>
      <c r="I29" s="421">
        <f>IF(表1_861218222426728894[[#This Row],[原国家]]="魏",0,IF(表1_861218222426728894[[#This Row],[原国家]]="蜀",1,2))</f>
        <v>0</v>
      </c>
      <c r="J29" s="85">
        <v>1</v>
      </c>
      <c r="K29" s="85">
        <v>61</v>
      </c>
      <c r="L29" s="85">
        <v>0</v>
      </c>
      <c r="M29" s="85">
        <v>13</v>
      </c>
      <c r="N29" s="85">
        <v>33597</v>
      </c>
      <c r="O29" s="422">
        <v>1101173</v>
      </c>
      <c r="P29" s="379">
        <v>6283595</v>
      </c>
      <c r="Q29" s="31" t="s">
        <v>25</v>
      </c>
      <c r="R29" s="83">
        <f>IF(表1_861218222426728894[[#This Row],[目标国家]]="魏",0,IF(表1_861218222426728894[[#This Row],[目标国家]]="蜀",1,2))</f>
        <v>0</v>
      </c>
      <c r="S29" s="85">
        <v>4272</v>
      </c>
      <c r="T29" s="85">
        <v>0</v>
      </c>
      <c r="U29" s="85">
        <v>155050</v>
      </c>
      <c r="V29" s="85">
        <v>2813</v>
      </c>
      <c r="W29" s="489">
        <v>468810</v>
      </c>
      <c r="X29" s="431" t="str">
        <f>"{"&amp;"'coin':"&amp;表1_861218222426728894[[#This Row],[补偿Coin]]&amp;",'"&amp;配置!$A$2&amp;"':"&amp;表1_861218222426728894[[#This Row],[补偿辎重]]&amp;"},"</f>
        <v>{'coin':1000,'item036':10},</v>
      </c>
      <c r="Y29" s="149" t="str">
        <f>"      '"&amp;表1_861218222426728894[[#This Row],[区服]]&amp;"':{"</f>
        <v>      '5137':{</v>
      </c>
    </row>
    <row r="30" customHeight="1" spans="1:25">
      <c r="A30" s="370">
        <v>5137</v>
      </c>
      <c r="B30" s="81">
        <f>VLOOKUP(表1_861218222426728894[[#This Row],[区服]],$P$149:$Q$196,2,FALSE)</f>
        <v>46</v>
      </c>
      <c r="C30" s="414" t="s">
        <v>194</v>
      </c>
      <c r="D30" s="83" t="str">
        <f>表1_861218222426728894[[#This Row],[目标国家]]</f>
        <v>蜀</v>
      </c>
      <c r="E30" s="415">
        <f>(VLOOKUP(表1_861218222426728894[[#This Row],[目标区服]],$R$149:$S$175,2,FALSE)-表1_861218222426728894[[#This Row],[开服天数]])*配置!$B$1</f>
        <v>1000</v>
      </c>
      <c r="F30" s="85">
        <f>表1_861218222426728894[[#This Row],[补偿Coin]]*(表1_861218222426728894[[#This Row],[活跃高战玩家数]]+表1_861218222426728894[[#This Row],[活跃中坚玩家数]])</f>
        <v>31000</v>
      </c>
      <c r="G30" s="416">
        <f>(VLOOKUP(表1_861218222426728894[[#This Row],[目标区服]],$R$149:$S$180,2,FALSE)-表1_861218222426728894[[#This Row],[开服天数]])*配置!$B$2</f>
        <v>10</v>
      </c>
      <c r="H30" s="83" t="s">
        <v>26</v>
      </c>
      <c r="I30" s="421">
        <f>IF(表1_861218222426728894[[#This Row],[原国家]]="魏",0,IF(表1_861218222426728894[[#This Row],[原国家]]="蜀",1,2))</f>
        <v>1</v>
      </c>
      <c r="J30" s="85">
        <v>4</v>
      </c>
      <c r="K30" s="85">
        <v>156</v>
      </c>
      <c r="L30" s="85">
        <v>6</v>
      </c>
      <c r="M30" s="85">
        <v>25</v>
      </c>
      <c r="N30" s="85">
        <v>142933</v>
      </c>
      <c r="O30" s="422">
        <v>1972199</v>
      </c>
      <c r="P30" s="379">
        <v>21631933</v>
      </c>
      <c r="Q30" s="31" t="s">
        <v>26</v>
      </c>
      <c r="R30" s="83">
        <f>IF(表1_861218222426728894[[#This Row],[目标国家]]="魏",0,IF(表1_861218222426728894[[#This Row],[目标国家]]="蜀",1,2))</f>
        <v>1</v>
      </c>
      <c r="S30" s="85">
        <v>11526</v>
      </c>
      <c r="T30" s="85">
        <v>0</v>
      </c>
      <c r="U30" s="85">
        <v>436798</v>
      </c>
      <c r="V30" s="85">
        <v>7374</v>
      </c>
      <c r="W30" s="489">
        <v>677759</v>
      </c>
      <c r="X30" s="431" t="str">
        <f>"{"&amp;"'coin':"&amp;表1_861218222426728894[[#This Row],[补偿Coin]]&amp;",'"&amp;配置!$A$2&amp;"':"&amp;表1_861218222426728894[[#This Row],[补偿辎重]]&amp;"},"</f>
        <v>{'coin':1000,'item036':10},</v>
      </c>
      <c r="Y30" s="149" t="str">
        <f>"            'to_zone':'"&amp;表1_861218222426728894[[#This Row],[目标区服]]&amp;"',
            'reward':"&amp;表1_861218222426728894[[#This Row],[辅助导出]]&amp;"
            'country':["&amp;R29&amp;","&amp;R30&amp;","&amp;R31&amp;"],"</f>
        <v>            'to_zone':'h1_563',
            'reward':{'coin':1000,'item036':10},
            'country':[0,1,0],</v>
      </c>
    </row>
    <row r="31" customHeight="1" spans="1:25">
      <c r="A31" s="370">
        <v>5137</v>
      </c>
      <c r="B31" s="81">
        <f>VLOOKUP(表1_861218222426728894[[#This Row],[区服]],$P$149:$Q$196,2,FALSE)</f>
        <v>46</v>
      </c>
      <c r="C31" s="414" t="s">
        <v>194</v>
      </c>
      <c r="D31" s="83" t="str">
        <f>表1_861218222426728894[[#This Row],[目标国家]]</f>
        <v>魏</v>
      </c>
      <c r="E31" s="415">
        <f>(VLOOKUP(表1_861218222426728894[[#This Row],[目标区服]],$R$149:$S$175,2,FALSE)-表1_861218222426728894[[#This Row],[开服天数]])*配置!$B$1</f>
        <v>1000</v>
      </c>
      <c r="F31" s="85">
        <f>表1_861218222426728894[[#This Row],[补偿Coin]]*(表1_861218222426728894[[#This Row],[活跃高战玩家数]]+表1_861218222426728894[[#This Row],[活跃中坚玩家数]])</f>
        <v>25000</v>
      </c>
      <c r="G31" s="416">
        <f>(VLOOKUP(表1_861218222426728894[[#This Row],[目标区服]],$R$149:$S$180,2,FALSE)-表1_861218222426728894[[#This Row],[开服天数]])*配置!$B$2</f>
        <v>10</v>
      </c>
      <c r="H31" s="83" t="s">
        <v>27</v>
      </c>
      <c r="I31" s="421">
        <f>IF(表1_861218222426728894[[#This Row],[原国家]]="魏",0,IF(表1_861218222426728894[[#This Row],[原国家]]="蜀",1,2))</f>
        <v>2</v>
      </c>
      <c r="J31" s="85">
        <v>4</v>
      </c>
      <c r="K31" s="85">
        <v>178</v>
      </c>
      <c r="L31" s="85">
        <v>4</v>
      </c>
      <c r="M31" s="85">
        <v>21</v>
      </c>
      <c r="N31" s="85">
        <v>120209</v>
      </c>
      <c r="O31" s="422">
        <v>1988132</v>
      </c>
      <c r="P31" s="379">
        <v>17916535</v>
      </c>
      <c r="Q31" s="31" t="s">
        <v>25</v>
      </c>
      <c r="R31" s="83">
        <f>IF(表1_861218222426728894[[#This Row],[目标国家]]="魏",0,IF(表1_861218222426728894[[#This Row],[目标国家]]="蜀",1,2))</f>
        <v>0</v>
      </c>
      <c r="S31" s="85">
        <v>18096</v>
      </c>
      <c r="T31" s="85">
        <v>0</v>
      </c>
      <c r="U31" s="85">
        <v>456105</v>
      </c>
      <c r="V31" s="85">
        <v>7331</v>
      </c>
      <c r="W31" s="489">
        <v>669899</v>
      </c>
      <c r="X31" s="431" t="str">
        <f>"{"&amp;"'coin':"&amp;表1_861218222426728894[[#This Row],[补偿Coin]]&amp;",'"&amp;配置!$A$2&amp;"':"&amp;表1_861218222426728894[[#This Row],[补偿辎重]]&amp;"},"</f>
        <v>{'coin':1000,'item036':10},</v>
      </c>
      <c r="Y31" s="149" t="str">
        <f t="shared" si="4"/>
        <v>      },</v>
      </c>
    </row>
    <row r="32" customHeight="1" spans="1:25">
      <c r="A32" s="314">
        <v>5138</v>
      </c>
      <c r="B32" s="91">
        <f>VLOOKUP(表1_861218222426728894[[#This Row],[区服]],$P$149:$Q$196,2,FALSE)</f>
        <v>45</v>
      </c>
      <c r="C32" s="177" t="s">
        <v>195</v>
      </c>
      <c r="D32" s="93" t="str">
        <f>表1_861218222426728894[[#This Row],[目标国家]]</f>
        <v>吴</v>
      </c>
      <c r="E32" s="417">
        <f>(VLOOKUP(表1_861218222426728894[[#This Row],[目标区服]],$R$149:$S$175,2,FALSE)-表1_861218222426728894[[#This Row],[开服天数]])*配置!$B$1</f>
        <v>1000</v>
      </c>
      <c r="F32" s="95">
        <f>表1_861218222426728894[[#This Row],[补偿Coin]]*(表1_861218222426728894[[#This Row],[活跃高战玩家数]]+表1_861218222426728894[[#This Row],[活跃中坚玩家数]])</f>
        <v>13000</v>
      </c>
      <c r="G32" s="418">
        <f>(VLOOKUP(表1_861218222426728894[[#This Row],[目标区服]],$R$149:$S$180,2,FALSE)-表1_861218222426728894[[#This Row],[开服天数]])*配置!$B$2</f>
        <v>10</v>
      </c>
      <c r="H32" s="93" t="s">
        <v>25</v>
      </c>
      <c r="I32" s="423">
        <f>IF(表1_861218222426728894[[#This Row],[原国家]]="魏",0,IF(表1_861218222426728894[[#This Row],[原国家]]="蜀",1,2))</f>
        <v>0</v>
      </c>
      <c r="J32" s="95">
        <v>4</v>
      </c>
      <c r="K32" s="95">
        <v>88</v>
      </c>
      <c r="L32" s="95">
        <v>2</v>
      </c>
      <c r="M32" s="95">
        <v>11</v>
      </c>
      <c r="N32" s="95">
        <v>50029</v>
      </c>
      <c r="O32" s="424">
        <v>1499260</v>
      </c>
      <c r="P32" s="326">
        <v>8642235</v>
      </c>
      <c r="Q32" s="31" t="s">
        <v>27</v>
      </c>
      <c r="R32" s="93">
        <f>IF(表1_861218222426728894[[#This Row],[目标国家]]="魏",0,IF(表1_861218222426728894[[#This Row],[目标国家]]="蜀",1,2))</f>
        <v>2</v>
      </c>
      <c r="S32" s="95">
        <v>18696</v>
      </c>
      <c r="T32" s="95">
        <v>0</v>
      </c>
      <c r="U32" s="95">
        <v>223292</v>
      </c>
      <c r="V32" s="95">
        <v>4566</v>
      </c>
      <c r="W32" s="495">
        <v>475433</v>
      </c>
      <c r="X32" s="433" t="str">
        <f>"{"&amp;"'coin':"&amp;表1_861218222426728894[[#This Row],[补偿Coin]]&amp;",'"&amp;配置!$A$2&amp;"':"&amp;表1_861218222426728894[[#This Row],[补偿辎重]]&amp;"},"</f>
        <v>{'coin':1000,'item036':10},</v>
      </c>
      <c r="Y32" s="138" t="str">
        <f>"      '"&amp;表1_861218222426728894[[#This Row],[区服]]&amp;"':{"</f>
        <v>      '5138':{</v>
      </c>
    </row>
    <row r="33" customHeight="1" spans="1:25">
      <c r="A33" s="314">
        <v>5138</v>
      </c>
      <c r="B33" s="91">
        <f>VLOOKUP(表1_861218222426728894[[#This Row],[区服]],$P$149:$Q$196,2,FALSE)</f>
        <v>45</v>
      </c>
      <c r="C33" s="177" t="s">
        <v>195</v>
      </c>
      <c r="D33" s="93" t="str">
        <f>表1_861218222426728894[[#This Row],[目标国家]]</f>
        <v>蜀</v>
      </c>
      <c r="E33" s="417">
        <f>(VLOOKUP(表1_861218222426728894[[#This Row],[目标区服]],$R$149:$S$175,2,FALSE)-表1_861218222426728894[[#This Row],[开服天数]])*配置!$B$1</f>
        <v>1000</v>
      </c>
      <c r="F33" s="95">
        <f>表1_861218222426728894[[#This Row],[补偿Coin]]*(表1_861218222426728894[[#This Row],[活跃高战玩家数]]+表1_861218222426728894[[#This Row],[活跃中坚玩家数]])</f>
        <v>31000</v>
      </c>
      <c r="G33" s="418">
        <f>(VLOOKUP(表1_861218222426728894[[#This Row],[目标区服]],$R$149:$S$180,2,FALSE)-表1_861218222426728894[[#This Row],[开服天数]])*配置!$B$2</f>
        <v>10</v>
      </c>
      <c r="H33" s="93" t="s">
        <v>26</v>
      </c>
      <c r="I33" s="423">
        <f>IF(表1_861218222426728894[[#This Row],[原国家]]="魏",0,IF(表1_861218222426728894[[#This Row],[原国家]]="蜀",1,2))</f>
        <v>1</v>
      </c>
      <c r="J33" s="95">
        <v>3</v>
      </c>
      <c r="K33" s="95">
        <v>197</v>
      </c>
      <c r="L33" s="95">
        <v>4</v>
      </c>
      <c r="M33" s="95">
        <v>27</v>
      </c>
      <c r="N33" s="95">
        <v>145520</v>
      </c>
      <c r="O33" s="424">
        <v>1999623</v>
      </c>
      <c r="P33" s="326">
        <v>23178066</v>
      </c>
      <c r="Q33" s="31" t="s">
        <v>26</v>
      </c>
      <c r="R33" s="93">
        <f>IF(表1_861218222426728894[[#This Row],[目标国家]]="魏",0,IF(表1_861218222426728894[[#This Row],[目标国家]]="蜀",1,2))</f>
        <v>1</v>
      </c>
      <c r="S33" s="95">
        <v>20746</v>
      </c>
      <c r="T33" s="95">
        <v>0</v>
      </c>
      <c r="U33" s="95">
        <v>429742</v>
      </c>
      <c r="V33" s="95">
        <v>8152</v>
      </c>
      <c r="W33" s="495">
        <v>549310</v>
      </c>
      <c r="X33" s="433" t="str">
        <f>"{"&amp;"'coin':"&amp;表1_861218222426728894[[#This Row],[补偿Coin]]&amp;",'"&amp;配置!$A$2&amp;"':"&amp;表1_861218222426728894[[#This Row],[补偿辎重]]&amp;"},"</f>
        <v>{'coin':1000,'item036':10},</v>
      </c>
      <c r="Y33" s="138" t="str">
        <f>"            'to_zone':'"&amp;表1_861218222426728894[[#This Row],[目标区服]]&amp;"',
            'reward':"&amp;表1_861218222426728894[[#This Row],[辅助导出]]&amp;"
            'country':["&amp;R32&amp;","&amp;R33&amp;","&amp;R34&amp;"],"</f>
        <v>            'to_zone':'h1_564',
            'reward':{'coin':1000,'item036':10},
            'country':[2,1,0],</v>
      </c>
    </row>
    <row r="34" customHeight="1" spans="1:25">
      <c r="A34" s="314">
        <v>5138</v>
      </c>
      <c r="B34" s="91">
        <f>VLOOKUP(表1_861218222426728894[[#This Row],[区服]],$P$149:$Q$196,2,FALSE)</f>
        <v>45</v>
      </c>
      <c r="C34" s="177" t="s">
        <v>195</v>
      </c>
      <c r="D34" s="93" t="str">
        <f>表1_861218222426728894[[#This Row],[目标国家]]</f>
        <v>魏</v>
      </c>
      <c r="E34" s="417">
        <f>(VLOOKUP(表1_861218222426728894[[#This Row],[目标区服]],$R$149:$S$175,2,FALSE)-表1_861218222426728894[[#This Row],[开服天数]])*配置!$B$1</f>
        <v>1000</v>
      </c>
      <c r="F34" s="95">
        <f>表1_861218222426728894[[#This Row],[补偿Coin]]*(表1_861218222426728894[[#This Row],[活跃高战玩家数]]+表1_861218222426728894[[#This Row],[活跃中坚玩家数]])</f>
        <v>26000</v>
      </c>
      <c r="G34" s="418">
        <f>(VLOOKUP(表1_861218222426728894[[#This Row],[目标区服]],$R$149:$S$180,2,FALSE)-表1_861218222426728894[[#This Row],[开服天数]])*配置!$B$2</f>
        <v>10</v>
      </c>
      <c r="H34" s="93" t="s">
        <v>27</v>
      </c>
      <c r="I34" s="423">
        <f>IF(表1_861218222426728894[[#This Row],[原国家]]="魏",0,IF(表1_861218222426728894[[#This Row],[原国家]]="蜀",1,2))</f>
        <v>2</v>
      </c>
      <c r="J34" s="95">
        <v>2</v>
      </c>
      <c r="K34" s="95">
        <v>110</v>
      </c>
      <c r="L34" s="95">
        <v>4</v>
      </c>
      <c r="M34" s="95">
        <v>22</v>
      </c>
      <c r="N34" s="95">
        <v>103416</v>
      </c>
      <c r="O34" s="424">
        <v>1923455</v>
      </c>
      <c r="P34" s="326">
        <v>17676932</v>
      </c>
      <c r="Q34" s="31" t="s">
        <v>25</v>
      </c>
      <c r="R34" s="93">
        <f>IF(表1_861218222426728894[[#This Row],[目标国家]]="魏",0,IF(表1_861218222426728894[[#This Row],[目标国家]]="蜀",1,2))</f>
        <v>0</v>
      </c>
      <c r="S34" s="95">
        <v>28988</v>
      </c>
      <c r="T34" s="95">
        <v>0</v>
      </c>
      <c r="U34" s="95">
        <v>292709</v>
      </c>
      <c r="V34" s="95">
        <v>6524</v>
      </c>
      <c r="W34" s="495">
        <v>507131</v>
      </c>
      <c r="X34" s="433" t="str">
        <f>"{"&amp;"'coin':"&amp;表1_861218222426728894[[#This Row],[补偿Coin]]&amp;",'"&amp;配置!$A$2&amp;"':"&amp;表1_861218222426728894[[#This Row],[补偿辎重]]&amp;"},"</f>
        <v>{'coin':1000,'item036':10},</v>
      </c>
      <c r="Y34" s="138" t="str">
        <f t="shared" si="5"/>
        <v>      },</v>
      </c>
    </row>
    <row r="35" customHeight="1" spans="1:25">
      <c r="A35" s="314">
        <v>5139</v>
      </c>
      <c r="B35" s="91">
        <f>VLOOKUP(表1_861218222426728894[[#This Row],[区服]],$P$149:$Q$196,2,FALSE)</f>
        <v>45</v>
      </c>
      <c r="C35" s="177" t="s">
        <v>195</v>
      </c>
      <c r="D35" s="93" t="str">
        <f>表1_861218222426728894[[#This Row],[目标国家]]</f>
        <v>魏</v>
      </c>
      <c r="E35" s="417">
        <f>(VLOOKUP(表1_861218222426728894[[#This Row],[目标区服]],$R$149:$S$175,2,FALSE)-表1_861218222426728894[[#This Row],[开服天数]])*配置!$B$1</f>
        <v>1000</v>
      </c>
      <c r="F35" s="95">
        <f>表1_861218222426728894[[#This Row],[补偿Coin]]*(表1_861218222426728894[[#This Row],[活跃高战玩家数]]+表1_861218222426728894[[#This Row],[活跃中坚玩家数]])</f>
        <v>28000</v>
      </c>
      <c r="G35" s="418">
        <f>(VLOOKUP(表1_861218222426728894[[#This Row],[目标区服]],$R$149:$S$180,2,FALSE)-表1_861218222426728894[[#This Row],[开服天数]])*配置!$B$2</f>
        <v>10</v>
      </c>
      <c r="H35" s="93" t="s">
        <v>25</v>
      </c>
      <c r="I35" s="423">
        <f>IF(表1_861218222426728894[[#This Row],[原国家]]="魏",0,IF(表1_861218222426728894[[#This Row],[原国家]]="蜀",1,2))</f>
        <v>0</v>
      </c>
      <c r="J35" s="95">
        <v>3</v>
      </c>
      <c r="K35" s="95">
        <v>123</v>
      </c>
      <c r="L35" s="95">
        <v>4</v>
      </c>
      <c r="M35" s="95">
        <v>24</v>
      </c>
      <c r="N35" s="95">
        <v>141566</v>
      </c>
      <c r="O35" s="424">
        <v>2210403</v>
      </c>
      <c r="P35" s="326">
        <v>23908966</v>
      </c>
      <c r="Q35" s="31" t="s">
        <v>25</v>
      </c>
      <c r="R35" s="93">
        <f>IF(表1_861218222426728894[[#This Row],[目标国家]]="魏",0,IF(表1_861218222426728894[[#This Row],[目标国家]]="蜀",1,2))</f>
        <v>0</v>
      </c>
      <c r="S35" s="95">
        <v>26466</v>
      </c>
      <c r="T35" s="95">
        <v>0</v>
      </c>
      <c r="U35" s="95">
        <v>277029</v>
      </c>
      <c r="V35" s="95">
        <v>7771</v>
      </c>
      <c r="W35" s="495">
        <v>703250</v>
      </c>
      <c r="X35" s="433" t="str">
        <f>"{"&amp;"'coin':"&amp;表1_861218222426728894[[#This Row],[补偿Coin]]&amp;",'"&amp;配置!$A$2&amp;"':"&amp;表1_861218222426728894[[#This Row],[补偿辎重]]&amp;"},"</f>
        <v>{'coin':1000,'item036':10},</v>
      </c>
      <c r="Y35" s="138" t="str">
        <f>"      '"&amp;表1_861218222426728894[[#This Row],[区服]]&amp;"':{"</f>
        <v>      '5139':{</v>
      </c>
    </row>
    <row r="36" customHeight="1" spans="1:25">
      <c r="A36" s="314">
        <v>5139</v>
      </c>
      <c r="B36" s="91">
        <f>VLOOKUP(表1_861218222426728894[[#This Row],[区服]],$P$149:$Q$196,2,FALSE)</f>
        <v>45</v>
      </c>
      <c r="C36" s="177" t="s">
        <v>195</v>
      </c>
      <c r="D36" s="93" t="str">
        <f>表1_861218222426728894[[#This Row],[目标国家]]</f>
        <v>蜀</v>
      </c>
      <c r="E36" s="417">
        <f>(VLOOKUP(表1_861218222426728894[[#This Row],[目标区服]],$R$149:$S$175,2,FALSE)-表1_861218222426728894[[#This Row],[开服天数]])*配置!$B$1</f>
        <v>1000</v>
      </c>
      <c r="F36" s="95">
        <f>表1_861218222426728894[[#This Row],[补偿Coin]]*(表1_861218222426728894[[#This Row],[活跃高战玩家数]]+表1_861218222426728894[[#This Row],[活跃中坚玩家数]])</f>
        <v>14000</v>
      </c>
      <c r="G36" s="418">
        <f>(VLOOKUP(表1_861218222426728894[[#This Row],[目标区服]],$R$149:$S$180,2,FALSE)-表1_861218222426728894[[#This Row],[开服天数]])*配置!$B$2</f>
        <v>10</v>
      </c>
      <c r="H36" s="93" t="s">
        <v>26</v>
      </c>
      <c r="I36" s="423">
        <f>IF(表1_861218222426728894[[#This Row],[原国家]]="魏",0,IF(表1_861218222426728894[[#This Row],[原国家]]="蜀",1,2))</f>
        <v>1</v>
      </c>
      <c r="J36" s="95">
        <v>2</v>
      </c>
      <c r="K36" s="95">
        <v>72</v>
      </c>
      <c r="L36" s="95">
        <v>1</v>
      </c>
      <c r="M36" s="95">
        <v>13</v>
      </c>
      <c r="N36" s="95">
        <v>53525</v>
      </c>
      <c r="O36" s="424">
        <v>1597209</v>
      </c>
      <c r="P36" s="326">
        <v>9387481</v>
      </c>
      <c r="Q36" s="31" t="s">
        <v>26</v>
      </c>
      <c r="R36" s="93">
        <f>IF(表1_861218222426728894[[#This Row],[目标国家]]="魏",0,IF(表1_861218222426728894[[#This Row],[目标国家]]="蜀",1,2))</f>
        <v>1</v>
      </c>
      <c r="S36" s="95">
        <v>22088</v>
      </c>
      <c r="T36" s="95">
        <v>0</v>
      </c>
      <c r="U36" s="95">
        <v>230716</v>
      </c>
      <c r="V36" s="95">
        <v>4501</v>
      </c>
      <c r="W36" s="495">
        <v>475572</v>
      </c>
      <c r="X36" s="433" t="str">
        <f>"{"&amp;"'coin':"&amp;表1_861218222426728894[[#This Row],[补偿Coin]]&amp;",'"&amp;配置!$A$2&amp;"':"&amp;表1_861218222426728894[[#This Row],[补偿辎重]]&amp;"},"</f>
        <v>{'coin':1000,'item036':10},</v>
      </c>
      <c r="Y36" s="138" t="str">
        <f>"            'to_zone':'"&amp;表1_861218222426728894[[#This Row],[目标区服]]&amp;"',
            'reward':"&amp;表1_861218222426728894[[#This Row],[辅助导出]]&amp;"
            'country':["&amp;R35&amp;","&amp;R36&amp;","&amp;R37&amp;"],"</f>
        <v>            'to_zone':'h1_564',
            'reward':{'coin':1000,'item036':10},
            'country':[0,1,2],</v>
      </c>
    </row>
    <row r="37" customHeight="1" spans="1:25">
      <c r="A37" s="314">
        <v>5139</v>
      </c>
      <c r="B37" s="91">
        <f>VLOOKUP(表1_861218222426728894[[#This Row],[区服]],$P$149:$Q$196,2,FALSE)</f>
        <v>45</v>
      </c>
      <c r="C37" s="177" t="s">
        <v>195</v>
      </c>
      <c r="D37" s="93" t="str">
        <f>表1_861218222426728894[[#This Row],[目标国家]]</f>
        <v>吴</v>
      </c>
      <c r="E37" s="417">
        <f>(VLOOKUP(表1_861218222426728894[[#This Row],[目标区服]],$R$149:$S$175,2,FALSE)-表1_861218222426728894[[#This Row],[开服天数]])*配置!$B$1</f>
        <v>1000</v>
      </c>
      <c r="F37" s="95">
        <f>表1_861218222426728894[[#This Row],[补偿Coin]]*(表1_861218222426728894[[#This Row],[活跃高战玩家数]]+表1_861218222426728894[[#This Row],[活跃中坚玩家数]])</f>
        <v>20000</v>
      </c>
      <c r="G37" s="418">
        <f>(VLOOKUP(表1_861218222426728894[[#This Row],[目标区服]],$R$149:$S$180,2,FALSE)-表1_861218222426728894[[#This Row],[开服天数]])*配置!$B$2</f>
        <v>10</v>
      </c>
      <c r="H37" s="93" t="s">
        <v>27</v>
      </c>
      <c r="I37" s="423">
        <f>IF(表1_861218222426728894[[#This Row],[原国家]]="魏",0,IF(表1_861218222426728894[[#This Row],[原国家]]="蜀",1,2))</f>
        <v>2</v>
      </c>
      <c r="J37" s="95">
        <v>4</v>
      </c>
      <c r="K37" s="95">
        <v>200</v>
      </c>
      <c r="L37" s="95">
        <v>5</v>
      </c>
      <c r="M37" s="95">
        <v>15</v>
      </c>
      <c r="N37" s="95">
        <v>92653</v>
      </c>
      <c r="O37" s="424">
        <v>3239521</v>
      </c>
      <c r="P37" s="326">
        <v>18388757</v>
      </c>
      <c r="Q37" s="31" t="s">
        <v>27</v>
      </c>
      <c r="R37" s="93">
        <f>IF(表1_861218222426728894[[#This Row],[目标国家]]="魏",0,IF(表1_861218222426728894[[#This Row],[目标国家]]="蜀",1,2))</f>
        <v>2</v>
      </c>
      <c r="S37" s="95">
        <v>83356</v>
      </c>
      <c r="T37" s="95">
        <v>0</v>
      </c>
      <c r="U37" s="95">
        <v>340523</v>
      </c>
      <c r="V37" s="95">
        <v>10612</v>
      </c>
      <c r="W37" s="495">
        <v>908354</v>
      </c>
      <c r="X37" s="433" t="str">
        <f>"{"&amp;"'coin':"&amp;表1_861218222426728894[[#This Row],[补偿Coin]]&amp;",'"&amp;配置!$A$2&amp;"':"&amp;表1_861218222426728894[[#This Row],[补偿辎重]]&amp;"},"</f>
        <v>{'coin':1000,'item036':10},</v>
      </c>
      <c r="Y37" s="138" t="str">
        <f t="shared" si="4"/>
        <v>      },</v>
      </c>
    </row>
    <row r="38" customHeight="1" spans="1:25">
      <c r="A38" s="371">
        <v>5140</v>
      </c>
      <c r="B38" s="371">
        <f>VLOOKUP(表1_861218222426728894[[#This Row],[区服]],$P$149:$Q$196,2,FALSE)</f>
        <v>45</v>
      </c>
      <c r="C38" s="39" t="s">
        <v>196</v>
      </c>
      <c r="D38" s="373" t="str">
        <f>表1_861218222426728894[[#This Row],[目标国家]]</f>
        <v>吴</v>
      </c>
      <c r="E38" s="374">
        <f>(VLOOKUP(表1_861218222426728894[[#This Row],[目标区服]],$R$149:$S$175,2,FALSE)-表1_861218222426728894[[#This Row],[开服天数]])*配置!$B$1</f>
        <v>1000</v>
      </c>
      <c r="F38" s="374">
        <f>表1_861218222426728894[[#This Row],[补偿Coin]]*(表1_861218222426728894[[#This Row],[活跃高战玩家数]]+表1_861218222426728894[[#This Row],[活跃中坚玩家数]])</f>
        <v>21000</v>
      </c>
      <c r="G38" s="374">
        <f>(VLOOKUP(表1_861218222426728894[[#This Row],[目标区服]],$R$149:$S$180,2,FALSE)-表1_861218222426728894[[#This Row],[开服天数]])*配置!$B$2</f>
        <v>10</v>
      </c>
      <c r="H38" s="376" t="s">
        <v>25</v>
      </c>
      <c r="I38" s="376">
        <f>IF(表1_861218222426728894[[#This Row],[原国家]]="魏",0,IF(表1_861218222426728894[[#This Row],[原国家]]="蜀",1,2))</f>
        <v>0</v>
      </c>
      <c r="J38" s="380">
        <v>4</v>
      </c>
      <c r="K38" s="380">
        <v>142</v>
      </c>
      <c r="L38" s="380">
        <v>5</v>
      </c>
      <c r="M38" s="380">
        <v>16</v>
      </c>
      <c r="N38" s="380">
        <v>112679</v>
      </c>
      <c r="O38" s="380">
        <v>2291096</v>
      </c>
      <c r="P38" s="381">
        <v>16933093</v>
      </c>
      <c r="Q38" s="31" t="s">
        <v>27</v>
      </c>
      <c r="R38" s="376">
        <f>IF(表1_861218222426728894[[#This Row],[目标国家]]="魏",0,IF(表1_861218222426728894[[#This Row],[目标国家]]="蜀",1,2))</f>
        <v>2</v>
      </c>
      <c r="S38" s="380">
        <v>37690</v>
      </c>
      <c r="T38" s="380">
        <v>0</v>
      </c>
      <c r="U38" s="380">
        <v>282007</v>
      </c>
      <c r="V38" s="380">
        <v>7639</v>
      </c>
      <c r="W38" s="374">
        <v>660585</v>
      </c>
      <c r="X38" s="387" t="str">
        <f>"{"&amp;"'coin':"&amp;表1_861218222426728894[[#This Row],[补偿Coin]]&amp;",'"&amp;配置!$A$2&amp;"':"&amp;表1_861218222426728894[[#This Row],[补偿辎重]]&amp;"},"</f>
        <v>{'coin':1000,'item036':10},</v>
      </c>
      <c r="Y38" s="388" t="str">
        <f>"      '"&amp;表1_861218222426728894[[#This Row],[区服]]&amp;"':{"</f>
        <v>      '5140':{</v>
      </c>
    </row>
    <row r="39" customHeight="1" spans="1:25">
      <c r="A39" s="371">
        <v>5140</v>
      </c>
      <c r="B39" s="371">
        <f>VLOOKUP(表1_861218222426728894[[#This Row],[区服]],$P$149:$Q$196,2,FALSE)</f>
        <v>45</v>
      </c>
      <c r="C39" s="39" t="s">
        <v>196</v>
      </c>
      <c r="D39" s="376" t="str">
        <f>表1_861218222426728894[[#This Row],[目标国家]]</f>
        <v>蜀</v>
      </c>
      <c r="E39" s="380">
        <f>(VLOOKUP(表1_861218222426728894[[#This Row],[目标区服]],$R$149:$S$175,2,FALSE)-表1_861218222426728894[[#This Row],[开服天数]])*配置!$B$1</f>
        <v>1000</v>
      </c>
      <c r="F39" s="380">
        <f>表1_861218222426728894[[#This Row],[补偿Coin]]*(表1_861218222426728894[[#This Row],[活跃高战玩家数]]+表1_861218222426728894[[#This Row],[活跃中坚玩家数]])</f>
        <v>31000</v>
      </c>
      <c r="G39" s="380">
        <f>(VLOOKUP(表1_861218222426728894[[#This Row],[目标区服]],$R$149:$S$180,2,FALSE)-表1_861218222426728894[[#This Row],[开服天数]])*配置!$B$2</f>
        <v>10</v>
      </c>
      <c r="H39" s="376" t="s">
        <v>26</v>
      </c>
      <c r="I39" s="376">
        <f>IF(表1_861218222426728894[[#This Row],[原国家]]="魏",0,IF(表1_861218222426728894[[#This Row],[原国家]]="蜀",1,2))</f>
        <v>1</v>
      </c>
      <c r="J39" s="380">
        <v>5</v>
      </c>
      <c r="K39" s="380">
        <v>208</v>
      </c>
      <c r="L39" s="380">
        <v>5</v>
      </c>
      <c r="M39" s="380">
        <v>26</v>
      </c>
      <c r="N39" s="380">
        <v>126667</v>
      </c>
      <c r="O39" s="380">
        <v>2463333</v>
      </c>
      <c r="P39" s="381">
        <v>20835834</v>
      </c>
      <c r="Q39" s="31" t="s">
        <v>26</v>
      </c>
      <c r="R39" s="376">
        <f>IF(表1_861218222426728894[[#This Row],[目标国家]]="魏",0,IF(表1_861218222426728894[[#This Row],[目标国家]]="蜀",1,2))</f>
        <v>1</v>
      </c>
      <c r="S39" s="380">
        <v>31242</v>
      </c>
      <c r="T39" s="380">
        <v>0</v>
      </c>
      <c r="U39" s="380">
        <v>348465</v>
      </c>
      <c r="V39" s="380">
        <v>8871</v>
      </c>
      <c r="W39" s="374">
        <v>733344</v>
      </c>
      <c r="X39" s="387" t="str">
        <f>"{"&amp;"'coin':"&amp;表1_861218222426728894[[#This Row],[补偿Coin]]&amp;",'"&amp;配置!$A$2&amp;"':"&amp;表1_861218222426728894[[#This Row],[补偿辎重]]&amp;"},"</f>
        <v>{'coin':1000,'item036':10},</v>
      </c>
      <c r="Y39" s="388" t="str">
        <f>"            'to_zone':'"&amp;表1_861218222426728894[[#This Row],[目标区服]]&amp;"',
            'reward':"&amp;表1_861218222426728894[[#This Row],[辅助导出]]&amp;"
            'country':["&amp;R38&amp;","&amp;R39&amp;","&amp;R40&amp;"],"</f>
        <v>            'to_zone':'h1_565',
            'reward':{'coin':1000,'item036':10},
            'country':[2,1,2],</v>
      </c>
    </row>
    <row r="40" customHeight="1" spans="1:25">
      <c r="A40" s="371">
        <v>5140</v>
      </c>
      <c r="B40" s="371">
        <f>VLOOKUP(表1_861218222426728894[[#This Row],[区服]],$P$149:$Q$196,2,FALSE)</f>
        <v>45</v>
      </c>
      <c r="C40" s="39" t="s">
        <v>196</v>
      </c>
      <c r="D40" s="376" t="str">
        <f>表1_861218222426728894[[#This Row],[目标国家]]</f>
        <v>吴</v>
      </c>
      <c r="E40" s="380">
        <f>(VLOOKUP(表1_861218222426728894[[#This Row],[目标区服]],$R$149:$S$175,2,FALSE)-表1_861218222426728894[[#This Row],[开服天数]])*配置!$B$1</f>
        <v>1000</v>
      </c>
      <c r="F40" s="380">
        <f>表1_861218222426728894[[#This Row],[补偿Coin]]*(表1_861218222426728894[[#This Row],[活跃高战玩家数]]+表1_861218222426728894[[#This Row],[活跃中坚玩家数]])</f>
        <v>15000</v>
      </c>
      <c r="G40" s="380">
        <f>(VLOOKUP(表1_861218222426728894[[#This Row],[目标区服]],$R$149:$S$180,2,FALSE)-表1_861218222426728894[[#This Row],[开服天数]])*配置!$B$2</f>
        <v>10</v>
      </c>
      <c r="H40" s="376" t="s">
        <v>27</v>
      </c>
      <c r="I40" s="376">
        <f>IF(表1_861218222426728894[[#This Row],[原国家]]="魏",0,IF(表1_861218222426728894[[#This Row],[原国家]]="蜀",1,2))</f>
        <v>2</v>
      </c>
      <c r="J40" s="380">
        <v>0</v>
      </c>
      <c r="K40" s="380">
        <v>45</v>
      </c>
      <c r="L40" s="380">
        <v>0</v>
      </c>
      <c r="M40" s="380">
        <v>15</v>
      </c>
      <c r="N40" s="380">
        <v>54309</v>
      </c>
      <c r="O40" s="380">
        <v>1345092</v>
      </c>
      <c r="P40" s="381">
        <v>8198810</v>
      </c>
      <c r="Q40" s="31" t="s">
        <v>27</v>
      </c>
      <c r="R40" s="376">
        <f>IF(表1_861218222426728894[[#This Row],[目标国家]]="魏",0,IF(表1_861218222426728894[[#This Row],[目标国家]]="蜀",1,2))</f>
        <v>2</v>
      </c>
      <c r="S40" s="380">
        <v>13702</v>
      </c>
      <c r="T40" s="380">
        <v>0</v>
      </c>
      <c r="U40" s="380">
        <v>120394</v>
      </c>
      <c r="V40" s="380">
        <v>3357</v>
      </c>
      <c r="W40" s="374">
        <v>418863</v>
      </c>
      <c r="X40" s="387" t="str">
        <f>"{"&amp;"'coin':"&amp;表1_861218222426728894[[#This Row],[补偿Coin]]&amp;",'"&amp;配置!$A$2&amp;"':"&amp;表1_861218222426728894[[#This Row],[补偿辎重]]&amp;"},"</f>
        <v>{'coin':1000,'item036':10},</v>
      </c>
      <c r="Y40" s="388" t="str">
        <f t="shared" si="4"/>
        <v>      },</v>
      </c>
    </row>
    <row r="41" customHeight="1" spans="1:25">
      <c r="A41" s="375">
        <v>5141</v>
      </c>
      <c r="B41" s="371">
        <f>VLOOKUP(表1_861218222426728894[[#This Row],[区服]],$P$149:$Q$196,2,FALSE)</f>
        <v>45</v>
      </c>
      <c r="C41" s="39" t="s">
        <v>196</v>
      </c>
      <c r="D41" s="376" t="str">
        <f>表1_861218222426728894[[#This Row],[目标国家]]</f>
        <v>魏</v>
      </c>
      <c r="E41" s="380">
        <f>(VLOOKUP(表1_861218222426728894[[#This Row],[目标区服]],$R$149:$S$175,2,FALSE)-表1_861218222426728894[[#This Row],[开服天数]])*配置!$B$1</f>
        <v>1000</v>
      </c>
      <c r="F41" s="380">
        <f>表1_861218222426728894[[#This Row],[补偿Coin]]*(表1_861218222426728894[[#This Row],[活跃高战玩家数]]+表1_861218222426728894[[#This Row],[活跃中坚玩家数]])</f>
        <v>22000</v>
      </c>
      <c r="G41" s="380">
        <f>(VLOOKUP(表1_861218222426728894[[#This Row],[目标区服]],$R$149:$S$180,2,FALSE)-表1_861218222426728894[[#This Row],[开服天数]])*配置!$B$2</f>
        <v>10</v>
      </c>
      <c r="H41" s="376" t="s">
        <v>25</v>
      </c>
      <c r="I41" s="376">
        <f>IF(表1_861218222426728894[[#This Row],[原国家]]="魏",0,IF(表1_861218222426728894[[#This Row],[原国家]]="蜀",1,2))</f>
        <v>0</v>
      </c>
      <c r="J41" s="380">
        <v>6</v>
      </c>
      <c r="K41" s="380">
        <v>233</v>
      </c>
      <c r="L41" s="380">
        <v>6</v>
      </c>
      <c r="M41" s="380">
        <v>16</v>
      </c>
      <c r="N41" s="380">
        <v>125362</v>
      </c>
      <c r="O41" s="380">
        <v>2552259</v>
      </c>
      <c r="P41" s="381">
        <v>20605195</v>
      </c>
      <c r="Q41" s="31" t="s">
        <v>25</v>
      </c>
      <c r="R41" s="376">
        <f>IF(表1_861218222426728894[[#This Row],[目标国家]]="魏",0,IF(表1_861218222426728894[[#This Row],[目标国家]]="蜀",1,2))</f>
        <v>0</v>
      </c>
      <c r="S41" s="380">
        <v>98144</v>
      </c>
      <c r="T41" s="380">
        <v>0</v>
      </c>
      <c r="U41" s="380">
        <v>536788</v>
      </c>
      <c r="V41" s="380">
        <v>11382</v>
      </c>
      <c r="W41" s="374">
        <v>634166</v>
      </c>
      <c r="X41" s="387" t="str">
        <f>"{"&amp;"'coin':"&amp;表1_861218222426728894[[#This Row],[补偿Coin]]&amp;",'"&amp;配置!$A$2&amp;"':"&amp;表1_861218222426728894[[#This Row],[补偿辎重]]&amp;"},"</f>
        <v>{'coin':1000,'item036':10},</v>
      </c>
      <c r="Y41" s="388" t="str">
        <f>"      '"&amp;表1_861218222426728894[[#This Row],[区服]]&amp;"':{"</f>
        <v>      '5141':{</v>
      </c>
    </row>
    <row r="42" customHeight="1" spans="1:25">
      <c r="A42" s="375">
        <v>5141</v>
      </c>
      <c r="B42" s="371">
        <f>VLOOKUP(表1_861218222426728894[[#This Row],[区服]],$P$149:$Q$196,2,FALSE)</f>
        <v>45</v>
      </c>
      <c r="C42" s="39" t="s">
        <v>196</v>
      </c>
      <c r="D42" s="376" t="str">
        <f>表1_861218222426728894[[#This Row],[目标国家]]</f>
        <v>蜀</v>
      </c>
      <c r="E42" s="380">
        <f>(VLOOKUP(表1_861218222426728894[[#This Row],[目标区服]],$R$149:$S$175,2,FALSE)-表1_861218222426728894[[#This Row],[开服天数]])*配置!$B$1</f>
        <v>1000</v>
      </c>
      <c r="F42" s="380">
        <f>表1_861218222426728894[[#This Row],[补偿Coin]]*(表1_861218222426728894[[#This Row],[活跃高战玩家数]]+表1_861218222426728894[[#This Row],[活跃中坚玩家数]])</f>
        <v>18000</v>
      </c>
      <c r="G42" s="380">
        <f>(VLOOKUP(表1_861218222426728894[[#This Row],[目标区服]],$R$149:$S$180,2,FALSE)-表1_861218222426728894[[#This Row],[开服天数]])*配置!$B$2</f>
        <v>10</v>
      </c>
      <c r="H42" s="376" t="s">
        <v>26</v>
      </c>
      <c r="I42" s="376">
        <f>IF(表1_861218222426728894[[#This Row],[原国家]]="魏",0,IF(表1_861218222426728894[[#This Row],[原国家]]="蜀",1,2))</f>
        <v>1</v>
      </c>
      <c r="J42" s="380">
        <v>1</v>
      </c>
      <c r="K42" s="380">
        <v>80</v>
      </c>
      <c r="L42" s="380">
        <v>1</v>
      </c>
      <c r="M42" s="380">
        <v>17</v>
      </c>
      <c r="N42" s="380">
        <v>72256</v>
      </c>
      <c r="O42" s="380">
        <v>1538921</v>
      </c>
      <c r="P42" s="381">
        <v>10578676</v>
      </c>
      <c r="Q42" s="31" t="s">
        <v>26</v>
      </c>
      <c r="R42" s="376">
        <f>IF(表1_861218222426728894[[#This Row],[目标国家]]="魏",0,IF(表1_861218222426728894[[#This Row],[目标国家]]="蜀",1,2))</f>
        <v>1</v>
      </c>
      <c r="S42" s="380">
        <v>21862</v>
      </c>
      <c r="T42" s="380">
        <v>0</v>
      </c>
      <c r="U42" s="380">
        <v>155663</v>
      </c>
      <c r="V42" s="380">
        <v>4591</v>
      </c>
      <c r="W42" s="374">
        <v>475759</v>
      </c>
      <c r="X42" s="387" t="str">
        <f>"{"&amp;"'coin':"&amp;表1_861218222426728894[[#This Row],[补偿Coin]]&amp;",'"&amp;配置!$A$2&amp;"':"&amp;表1_861218222426728894[[#This Row],[补偿辎重]]&amp;"},"</f>
        <v>{'coin':1000,'item036':10},</v>
      </c>
      <c r="Y42" s="388" t="str">
        <f>"            'to_zone':'"&amp;表1_861218222426728894[[#This Row],[目标区服]]&amp;"',
            'reward':"&amp;表1_861218222426728894[[#This Row],[辅助导出]]&amp;"
            'country':["&amp;R41&amp;","&amp;R42&amp;","&amp;R43&amp;"],"</f>
        <v>            'to_zone':'h1_565',
            'reward':{'coin':1000,'item036':10},
            'country':[0,1,2],</v>
      </c>
    </row>
    <row r="43" customHeight="1" spans="1:25">
      <c r="A43" s="375">
        <v>5141</v>
      </c>
      <c r="B43" s="371">
        <f>VLOOKUP(表1_861218222426728894[[#This Row],[区服]],$P$149:$Q$196,2,FALSE)</f>
        <v>45</v>
      </c>
      <c r="C43" s="39" t="s">
        <v>196</v>
      </c>
      <c r="D43" s="376" t="str">
        <f>表1_861218222426728894[[#This Row],[目标国家]]</f>
        <v>吴</v>
      </c>
      <c r="E43" s="380">
        <f>(VLOOKUP(表1_861218222426728894[[#This Row],[目标区服]],$R$149:$S$175,2,FALSE)-表1_861218222426728894[[#This Row],[开服天数]])*配置!$B$1</f>
        <v>1000</v>
      </c>
      <c r="F43" s="380">
        <f>表1_861218222426728894[[#This Row],[补偿Coin]]*(表1_861218222426728894[[#This Row],[活跃高战玩家数]]+表1_861218222426728894[[#This Row],[活跃中坚玩家数]])</f>
        <v>15000</v>
      </c>
      <c r="G43" s="380">
        <f>(VLOOKUP(表1_861218222426728894[[#This Row],[目标区服]],$R$149:$S$180,2,FALSE)-表1_861218222426728894[[#This Row],[开服天数]])*配置!$B$2</f>
        <v>10</v>
      </c>
      <c r="H43" s="376" t="s">
        <v>27</v>
      </c>
      <c r="I43" s="376">
        <f>IF(表1_861218222426728894[[#This Row],[原国家]]="魏",0,IF(表1_861218222426728894[[#This Row],[原国家]]="蜀",1,2))</f>
        <v>2</v>
      </c>
      <c r="J43" s="380">
        <v>2</v>
      </c>
      <c r="K43" s="380">
        <v>82</v>
      </c>
      <c r="L43" s="380">
        <v>3</v>
      </c>
      <c r="M43" s="380">
        <v>12</v>
      </c>
      <c r="N43" s="380">
        <v>84025</v>
      </c>
      <c r="O43" s="380">
        <v>1728379</v>
      </c>
      <c r="P43" s="381">
        <v>12124513</v>
      </c>
      <c r="Q43" s="31" t="s">
        <v>27</v>
      </c>
      <c r="R43" s="376">
        <f>IF(表1_861218222426728894[[#This Row],[目标国家]]="魏",0,IF(表1_861218222426728894[[#This Row],[目标国家]]="蜀",1,2))</f>
        <v>2</v>
      </c>
      <c r="S43" s="380">
        <v>11542</v>
      </c>
      <c r="T43" s="380">
        <v>0</v>
      </c>
      <c r="U43" s="380">
        <v>114608</v>
      </c>
      <c r="V43" s="380">
        <v>4784</v>
      </c>
      <c r="W43" s="374">
        <v>472713</v>
      </c>
      <c r="X43" s="387" t="str">
        <f>"{"&amp;"'coin':"&amp;表1_861218222426728894[[#This Row],[补偿Coin]]&amp;",'"&amp;配置!$A$2&amp;"':"&amp;表1_861218222426728894[[#This Row],[补偿辎重]]&amp;"},"</f>
        <v>{'coin':1000,'item036':10},</v>
      </c>
      <c r="Y43" s="388" t="str">
        <f t="shared" si="5"/>
        <v>      },</v>
      </c>
    </row>
    <row r="44" customHeight="1" spans="1:25">
      <c r="A44" s="259">
        <v>5142</v>
      </c>
      <c r="B44" s="210">
        <f>VLOOKUP(表1_861218222426728894[[#This Row],[区服]],$P$149:$Q$196,2,FALSE)</f>
        <v>45</v>
      </c>
      <c r="C44" s="41" t="s">
        <v>197</v>
      </c>
      <c r="D44" s="212" t="str">
        <f>表1_861218222426728894[[#This Row],[目标国家]]</f>
        <v>蜀</v>
      </c>
      <c r="E44" s="213">
        <f>(VLOOKUP(表1_861218222426728894[[#This Row],[目标区服]],$R$149:$S$175,2,FALSE)-表1_861218222426728894[[#This Row],[开服天数]])*配置!$B$1</f>
        <v>1000</v>
      </c>
      <c r="F44" s="213">
        <f>表1_861218222426728894[[#This Row],[补偿Coin]]*(表1_861218222426728894[[#This Row],[活跃高战玩家数]]+表1_861218222426728894[[#This Row],[活跃中坚玩家数]])</f>
        <v>20000</v>
      </c>
      <c r="G44" s="260">
        <f>(VLOOKUP(表1_861218222426728894[[#This Row],[目标区服]],$R$149:$S$180,2,FALSE)-表1_861218222426728894[[#This Row],[开服天数]])*配置!$B$2</f>
        <v>10</v>
      </c>
      <c r="H44" s="212" t="s">
        <v>25</v>
      </c>
      <c r="I44" s="268">
        <f>IF(表1_861218222426728894[[#This Row],[原国家]]="魏",0,IF(表1_861218222426728894[[#This Row],[原国家]]="蜀",1,2))</f>
        <v>0</v>
      </c>
      <c r="J44" s="213">
        <v>3</v>
      </c>
      <c r="K44" s="213">
        <v>75</v>
      </c>
      <c r="L44" s="213">
        <v>4</v>
      </c>
      <c r="M44" s="213">
        <v>16</v>
      </c>
      <c r="N44" s="213">
        <v>90412</v>
      </c>
      <c r="O44" s="419">
        <v>2286301</v>
      </c>
      <c r="P44" s="420">
        <v>13995536</v>
      </c>
      <c r="Q44" s="31" t="s">
        <v>26</v>
      </c>
      <c r="R44" s="212">
        <f>IF(表1_861218222426728894[[#This Row],[目标国家]]="魏",0,IF(表1_861218222426728894[[#This Row],[目标国家]]="蜀",1,2))</f>
        <v>1</v>
      </c>
      <c r="S44" s="213">
        <v>60788</v>
      </c>
      <c r="T44" s="213">
        <v>0</v>
      </c>
      <c r="U44" s="213">
        <v>620483</v>
      </c>
      <c r="V44" s="213">
        <v>7321</v>
      </c>
      <c r="W44" s="213">
        <v>704016</v>
      </c>
      <c r="X44" s="278" t="str">
        <f>"{"&amp;"'coin':"&amp;表1_861218222426728894[[#This Row],[补偿Coin]]&amp;",'"&amp;配置!$A$2&amp;"':"&amp;表1_861218222426728894[[#This Row],[补偿辎重]]&amp;"},"</f>
        <v>{'coin':1000,'item036':10},</v>
      </c>
      <c r="Y44" s="278" t="str">
        <f>"      '"&amp;表1_861218222426728894[[#This Row],[区服]]&amp;"':{"</f>
        <v>      '5142':{</v>
      </c>
    </row>
    <row r="45" customHeight="1" spans="1:25">
      <c r="A45" s="259">
        <v>5142</v>
      </c>
      <c r="B45" s="210">
        <f>VLOOKUP(表1_861218222426728894[[#This Row],[区服]],$P$149:$Q$196,2,FALSE)</f>
        <v>45</v>
      </c>
      <c r="C45" s="41" t="s">
        <v>197</v>
      </c>
      <c r="D45" s="212" t="str">
        <f>表1_861218222426728894[[#This Row],[目标国家]]</f>
        <v>魏</v>
      </c>
      <c r="E45" s="213">
        <f>(VLOOKUP(表1_861218222426728894[[#This Row],[目标区服]],$R$149:$S$175,2,FALSE)-表1_861218222426728894[[#This Row],[开服天数]])*配置!$B$1</f>
        <v>1000</v>
      </c>
      <c r="F45" s="213">
        <f>表1_861218222426728894[[#This Row],[补偿Coin]]*(表1_861218222426728894[[#This Row],[活跃高战玩家数]]+表1_861218222426728894[[#This Row],[活跃中坚玩家数]])</f>
        <v>17000</v>
      </c>
      <c r="G45" s="260">
        <f>(VLOOKUP(表1_861218222426728894[[#This Row],[目标区服]],$R$149:$S$180,2,FALSE)-表1_861218222426728894[[#This Row],[开服天数]])*配置!$B$2</f>
        <v>10</v>
      </c>
      <c r="H45" s="212" t="s">
        <v>26</v>
      </c>
      <c r="I45" s="268">
        <f>IF(表1_861218222426728894[[#This Row],[原国家]]="魏",0,IF(表1_861218222426728894[[#This Row],[原国家]]="蜀",1,2))</f>
        <v>1</v>
      </c>
      <c r="J45" s="213">
        <v>2</v>
      </c>
      <c r="K45" s="213">
        <v>107</v>
      </c>
      <c r="L45" s="213">
        <v>0</v>
      </c>
      <c r="M45" s="213">
        <v>17</v>
      </c>
      <c r="N45" s="213">
        <v>74585</v>
      </c>
      <c r="O45" s="419">
        <v>1011935</v>
      </c>
      <c r="P45" s="420">
        <v>9365100</v>
      </c>
      <c r="Q45" s="31" t="s">
        <v>25</v>
      </c>
      <c r="R45" s="212">
        <f>IF(表1_861218222426728894[[#This Row],[目标国家]]="魏",0,IF(表1_861218222426728894[[#This Row],[目标国家]]="蜀",1,2))</f>
        <v>0</v>
      </c>
      <c r="S45" s="213">
        <v>14374</v>
      </c>
      <c r="T45" s="213">
        <v>0</v>
      </c>
      <c r="U45" s="213">
        <v>121919</v>
      </c>
      <c r="V45" s="213">
        <v>4083</v>
      </c>
      <c r="W45" s="213">
        <v>315148</v>
      </c>
      <c r="X45" s="278" t="str">
        <f>"{"&amp;"'coin':"&amp;表1_861218222426728894[[#This Row],[补偿Coin]]&amp;",'"&amp;配置!$A$2&amp;"':"&amp;表1_861218222426728894[[#This Row],[补偿辎重]]&amp;"},"</f>
        <v>{'coin':1000,'item036':10},</v>
      </c>
      <c r="Y45" s="278" t="str">
        <f>"            'to_zone':'"&amp;表1_861218222426728894[[#This Row],[目标区服]]&amp;"',
            'reward':"&amp;表1_861218222426728894[[#This Row],[辅助导出]]&amp;"
            'country':["&amp;R44&amp;","&amp;R45&amp;","&amp;R46&amp;"],"</f>
        <v>            'to_zone':'h1_566',
            'reward':{'coin':1000,'item036':10},
            'country':[1,0,2],</v>
      </c>
    </row>
    <row r="46" customHeight="1" spans="1:25">
      <c r="A46" s="259">
        <v>5142</v>
      </c>
      <c r="B46" s="210">
        <f>VLOOKUP(表1_861218222426728894[[#This Row],[区服]],$P$149:$Q$196,2,FALSE)</f>
        <v>45</v>
      </c>
      <c r="C46" s="41" t="s">
        <v>197</v>
      </c>
      <c r="D46" s="212" t="str">
        <f>表1_861218222426728894[[#This Row],[目标国家]]</f>
        <v>吴</v>
      </c>
      <c r="E46" s="213">
        <f>(VLOOKUP(表1_861218222426728894[[#This Row],[目标区服]],$R$149:$S$175,2,FALSE)-表1_861218222426728894[[#This Row],[开服天数]])*配置!$B$1</f>
        <v>1000</v>
      </c>
      <c r="F46" s="213">
        <f>表1_861218222426728894[[#This Row],[补偿Coin]]*(表1_861218222426728894[[#This Row],[活跃高战玩家数]]+表1_861218222426728894[[#This Row],[活跃中坚玩家数]])</f>
        <v>27000</v>
      </c>
      <c r="G46" s="260">
        <f>(VLOOKUP(表1_861218222426728894[[#This Row],[目标区服]],$R$149:$S$180,2,FALSE)-表1_861218222426728894[[#This Row],[开服天数]])*配置!$B$2</f>
        <v>10</v>
      </c>
      <c r="H46" s="212" t="s">
        <v>27</v>
      </c>
      <c r="I46" s="268">
        <f>IF(表1_861218222426728894[[#This Row],[原国家]]="魏",0,IF(表1_861218222426728894[[#This Row],[原国家]]="蜀",1,2))</f>
        <v>2</v>
      </c>
      <c r="J46" s="213">
        <v>4</v>
      </c>
      <c r="K46" s="213">
        <v>213</v>
      </c>
      <c r="L46" s="213">
        <v>6</v>
      </c>
      <c r="M46" s="213">
        <v>21</v>
      </c>
      <c r="N46" s="213">
        <v>130131</v>
      </c>
      <c r="O46" s="419">
        <v>2655976</v>
      </c>
      <c r="P46" s="420">
        <v>20601770</v>
      </c>
      <c r="Q46" s="31" t="s">
        <v>27</v>
      </c>
      <c r="R46" s="212">
        <f>IF(表1_861218222426728894[[#This Row],[目标国家]]="魏",0,IF(表1_861218222426728894[[#This Row],[目标国家]]="蜀",1,2))</f>
        <v>2</v>
      </c>
      <c r="S46" s="213">
        <v>90384</v>
      </c>
      <c r="T46" s="213">
        <v>0</v>
      </c>
      <c r="U46" s="213">
        <v>355542</v>
      </c>
      <c r="V46" s="213">
        <v>10786</v>
      </c>
      <c r="W46" s="213">
        <v>839613</v>
      </c>
      <c r="X46" s="278" t="str">
        <f>"{"&amp;"'coin':"&amp;表1_861218222426728894[[#This Row],[补偿Coin]]&amp;",'"&amp;配置!$A$2&amp;"':"&amp;表1_861218222426728894[[#This Row],[补偿辎重]]&amp;"},"</f>
        <v>{'coin':1000,'item036':10},</v>
      </c>
      <c r="Y46" s="278" t="str">
        <f t="shared" si="4"/>
        <v>      },</v>
      </c>
    </row>
    <row r="47" customHeight="1" spans="1:25">
      <c r="A47" s="259">
        <v>5143</v>
      </c>
      <c r="B47" s="210">
        <f>VLOOKUP(表1_861218222426728894[[#This Row],[区服]],$P$149:$Q$196,2,FALSE)</f>
        <v>45</v>
      </c>
      <c r="C47" s="41" t="s">
        <v>197</v>
      </c>
      <c r="D47" s="212" t="str">
        <f>表1_861218222426728894[[#This Row],[目标国家]]</f>
        <v>吴</v>
      </c>
      <c r="E47" s="213">
        <f>(VLOOKUP(表1_861218222426728894[[#This Row],[目标区服]],$R$149:$S$175,2,FALSE)-表1_861218222426728894[[#This Row],[开服天数]])*配置!$B$1</f>
        <v>1000</v>
      </c>
      <c r="F47" s="213">
        <f>表1_861218222426728894[[#This Row],[补偿Coin]]*(表1_861218222426728894[[#This Row],[活跃高战玩家数]]+表1_861218222426728894[[#This Row],[活跃中坚玩家数]])</f>
        <v>12000</v>
      </c>
      <c r="G47" s="260">
        <f>(VLOOKUP(表1_861218222426728894[[#This Row],[目标区服]],$R$149:$S$180,2,FALSE)-表1_861218222426728894[[#This Row],[开服天数]])*配置!$B$2</f>
        <v>10</v>
      </c>
      <c r="H47" s="212" t="s">
        <v>25</v>
      </c>
      <c r="I47" s="268">
        <f>IF(表1_861218222426728894[[#This Row],[原国家]]="魏",0,IF(表1_861218222426728894[[#This Row],[原国家]]="蜀",1,2))</f>
        <v>0</v>
      </c>
      <c r="J47" s="213">
        <v>2</v>
      </c>
      <c r="K47" s="213">
        <v>106</v>
      </c>
      <c r="L47" s="213">
        <v>2</v>
      </c>
      <c r="M47" s="213">
        <v>10</v>
      </c>
      <c r="N47" s="213">
        <v>56978</v>
      </c>
      <c r="O47" s="419">
        <v>1908764</v>
      </c>
      <c r="P47" s="420">
        <v>7911874</v>
      </c>
      <c r="Q47" s="31" t="s">
        <v>27</v>
      </c>
      <c r="R47" s="212">
        <f>IF(表1_861218222426728894[[#This Row],[目标国家]]="魏",0,IF(表1_861218222426728894[[#This Row],[目标国家]]="蜀",1,2))</f>
        <v>2</v>
      </c>
      <c r="S47" s="213">
        <v>13776</v>
      </c>
      <c r="T47" s="213">
        <v>0</v>
      </c>
      <c r="U47" s="213">
        <v>311255</v>
      </c>
      <c r="V47" s="213">
        <v>4813</v>
      </c>
      <c r="W47" s="213">
        <v>744871</v>
      </c>
      <c r="X47" s="278" t="str">
        <f>"{"&amp;"'coin':"&amp;表1_861218222426728894[[#This Row],[补偿Coin]]&amp;",'"&amp;配置!$A$2&amp;"':"&amp;表1_861218222426728894[[#This Row],[补偿辎重]]&amp;"},"</f>
        <v>{'coin':1000,'item036':10},</v>
      </c>
      <c r="Y47" s="278" t="str">
        <f>"      '"&amp;表1_861218222426728894[[#This Row],[区服]]&amp;"':{"</f>
        <v>      '5143':{</v>
      </c>
    </row>
    <row r="48" customHeight="1" spans="1:25">
      <c r="A48" s="259">
        <v>5143</v>
      </c>
      <c r="B48" s="210">
        <f>VLOOKUP(表1_861218222426728894[[#This Row],[区服]],$P$149:$Q$196,2,FALSE)</f>
        <v>45</v>
      </c>
      <c r="C48" s="41" t="s">
        <v>197</v>
      </c>
      <c r="D48" s="212" t="str">
        <f>表1_861218222426728894[[#This Row],[目标国家]]</f>
        <v>蜀</v>
      </c>
      <c r="E48" s="213">
        <f>(VLOOKUP(表1_861218222426728894[[#This Row],[目标区服]],$R$149:$S$175,2,FALSE)-表1_861218222426728894[[#This Row],[开服天数]])*配置!$B$1</f>
        <v>1000</v>
      </c>
      <c r="F48" s="213">
        <f>表1_861218222426728894[[#This Row],[补偿Coin]]*(表1_861218222426728894[[#This Row],[活跃高战玩家数]]+表1_861218222426728894[[#This Row],[活跃中坚玩家数]])</f>
        <v>23000</v>
      </c>
      <c r="G48" s="260">
        <f>(VLOOKUP(表1_861218222426728894[[#This Row],[目标区服]],$R$149:$S$180,2,FALSE)-表1_861218222426728894[[#This Row],[开服天数]])*配置!$B$2</f>
        <v>10</v>
      </c>
      <c r="H48" s="212" t="s">
        <v>26</v>
      </c>
      <c r="I48" s="268">
        <f>IF(表1_861218222426728894[[#This Row],[原国家]]="魏",0,IF(表1_861218222426728894[[#This Row],[原国家]]="蜀",1,2))</f>
        <v>1</v>
      </c>
      <c r="J48" s="213">
        <v>3</v>
      </c>
      <c r="K48" s="213">
        <v>175</v>
      </c>
      <c r="L48" s="213">
        <v>4</v>
      </c>
      <c r="M48" s="213">
        <v>19</v>
      </c>
      <c r="N48" s="213">
        <v>110961</v>
      </c>
      <c r="O48" s="419">
        <v>2385899</v>
      </c>
      <c r="P48" s="420">
        <v>16961250</v>
      </c>
      <c r="Q48" s="31" t="s">
        <v>26</v>
      </c>
      <c r="R48" s="212">
        <f>IF(表1_861218222426728894[[#This Row],[目标国家]]="魏",0,IF(表1_861218222426728894[[#This Row],[目标国家]]="蜀",1,2))</f>
        <v>1</v>
      </c>
      <c r="S48" s="213">
        <v>55206</v>
      </c>
      <c r="T48" s="213">
        <v>0</v>
      </c>
      <c r="U48" s="213">
        <v>416088</v>
      </c>
      <c r="V48" s="213">
        <v>8551</v>
      </c>
      <c r="W48" s="213">
        <v>696188</v>
      </c>
      <c r="X48" s="278" t="str">
        <f>"{"&amp;"'coin':"&amp;表1_861218222426728894[[#This Row],[补偿Coin]]&amp;",'"&amp;配置!$A$2&amp;"':"&amp;表1_861218222426728894[[#This Row],[补偿辎重]]&amp;"},"</f>
        <v>{'coin':1000,'item036':10},</v>
      </c>
      <c r="Y48" s="278" t="str">
        <f>"            'to_zone':'"&amp;表1_861218222426728894[[#This Row],[目标区服]]&amp;"',
            'reward':"&amp;表1_861218222426728894[[#This Row],[辅助导出]]&amp;"
            'country':["&amp;R47&amp;","&amp;R48&amp;","&amp;R49&amp;"],"</f>
        <v>            'to_zone':'h1_566',
            'reward':{'coin':1000,'item036':10},
            'country':[2,1,0],</v>
      </c>
    </row>
    <row r="49" customHeight="1" spans="1:25">
      <c r="A49" s="259">
        <v>5143</v>
      </c>
      <c r="B49" s="210">
        <f>VLOOKUP(表1_861218222426728894[[#This Row],[区服]],$P$149:$Q$196,2,FALSE)</f>
        <v>45</v>
      </c>
      <c r="C49" s="41" t="s">
        <v>197</v>
      </c>
      <c r="D49" s="212" t="str">
        <f>表1_861218222426728894[[#This Row],[目标国家]]</f>
        <v>魏</v>
      </c>
      <c r="E49" s="213">
        <f>(VLOOKUP(表1_861218222426728894[[#This Row],[目标区服]],$R$149:$S$175,2,FALSE)-表1_861218222426728894[[#This Row],[开服天数]])*配置!$B$1</f>
        <v>1000</v>
      </c>
      <c r="F49" s="213">
        <f>表1_861218222426728894[[#This Row],[补偿Coin]]*(表1_861218222426728894[[#This Row],[活跃高战玩家数]]+表1_861218222426728894[[#This Row],[活跃中坚玩家数]])</f>
        <v>23000</v>
      </c>
      <c r="G49" s="260">
        <f>(VLOOKUP(表1_861218222426728894[[#This Row],[目标区服]],$R$149:$S$180,2,FALSE)-表1_861218222426728894[[#This Row],[开服天数]])*配置!$B$2</f>
        <v>10</v>
      </c>
      <c r="H49" s="212" t="s">
        <v>27</v>
      </c>
      <c r="I49" s="268">
        <f>IF(表1_861218222426728894[[#This Row],[原国家]]="魏",0,IF(表1_861218222426728894[[#This Row],[原国家]]="蜀",1,2))</f>
        <v>2</v>
      </c>
      <c r="J49" s="213">
        <v>4</v>
      </c>
      <c r="K49" s="213">
        <v>114</v>
      </c>
      <c r="L49" s="213">
        <v>4</v>
      </c>
      <c r="M49" s="213">
        <v>19</v>
      </c>
      <c r="N49" s="213">
        <v>113519</v>
      </c>
      <c r="O49" s="419">
        <v>2801286</v>
      </c>
      <c r="P49" s="420">
        <v>16920998</v>
      </c>
      <c r="Q49" s="31" t="s">
        <v>25</v>
      </c>
      <c r="R49" s="212">
        <f>IF(表1_861218222426728894[[#This Row],[目标国家]]="魏",0,IF(表1_861218222426728894[[#This Row],[目标国家]]="蜀",1,2))</f>
        <v>0</v>
      </c>
      <c r="S49" s="213">
        <v>65280</v>
      </c>
      <c r="T49" s="213">
        <v>0</v>
      </c>
      <c r="U49" s="213">
        <v>456399</v>
      </c>
      <c r="V49" s="213">
        <v>8787</v>
      </c>
      <c r="W49" s="213">
        <v>732761</v>
      </c>
      <c r="X49" s="278" t="str">
        <f>"{"&amp;"'coin':"&amp;表1_861218222426728894[[#This Row],[补偿Coin]]&amp;",'"&amp;配置!$A$2&amp;"':"&amp;表1_861218222426728894[[#This Row],[补偿辎重]]&amp;"},"</f>
        <v>{'coin':1000,'item036':10},</v>
      </c>
      <c r="Y49" s="278" t="str">
        <f t="shared" si="5"/>
        <v>      },</v>
      </c>
    </row>
    <row r="50" customHeight="1" spans="1:25">
      <c r="A50" s="17">
        <v>5144</v>
      </c>
      <c r="B50" s="17">
        <f>VLOOKUP(表1_861218222426728894[[#This Row],[区服]],$P$149:$Q$196,2,FALSE)</f>
        <v>45</v>
      </c>
      <c r="C50" s="45" t="s">
        <v>198</v>
      </c>
      <c r="D50" s="19" t="str">
        <f>表1_861218222426728894[[#This Row],[目标国家]]</f>
        <v>魏</v>
      </c>
      <c r="E50" s="20">
        <f>(VLOOKUP(表1_861218222426728894[[#This Row],[目标区服]],$R$149:$S$175,2,FALSE)-表1_861218222426728894[[#This Row],[开服天数]])*配置!$B$1</f>
        <v>1000</v>
      </c>
      <c r="F50" s="20">
        <f>表1_861218222426728894[[#This Row],[补偿Coin]]*(表1_861218222426728894[[#This Row],[活跃高战玩家数]]+表1_861218222426728894[[#This Row],[活跃中坚玩家数]])</f>
        <v>18000</v>
      </c>
      <c r="G50" s="20">
        <f>(VLOOKUP(表1_861218222426728894[[#This Row],[目标区服]],$R$149:$S$180,2,FALSE)-表1_861218222426728894[[#This Row],[开服天数]])*配置!$B$2</f>
        <v>10</v>
      </c>
      <c r="H50" s="19" t="s">
        <v>25</v>
      </c>
      <c r="I50" s="19">
        <f>IF(表1_861218222426728894[[#This Row],[原国家]]="魏",0,IF(表1_861218222426728894[[#This Row],[原国家]]="蜀",1,2))</f>
        <v>0</v>
      </c>
      <c r="J50" s="20">
        <v>2</v>
      </c>
      <c r="K50" s="20">
        <v>78</v>
      </c>
      <c r="L50" s="20">
        <v>1</v>
      </c>
      <c r="M50" s="20">
        <v>17</v>
      </c>
      <c r="N50" s="20">
        <v>88867</v>
      </c>
      <c r="O50" s="20">
        <v>1948589</v>
      </c>
      <c r="P50" s="26">
        <v>12265496</v>
      </c>
      <c r="Q50" s="31" t="s">
        <v>25</v>
      </c>
      <c r="R50" s="19">
        <f>IF(表1_861218222426728894[[#This Row],[目标国家]]="魏",0,IF(表1_861218222426728894[[#This Row],[目标国家]]="蜀",1,2))</f>
        <v>0</v>
      </c>
      <c r="S50" s="20">
        <v>47514</v>
      </c>
      <c r="T50" s="20">
        <v>0</v>
      </c>
      <c r="U50" s="20">
        <v>325388</v>
      </c>
      <c r="V50" s="20">
        <v>6187</v>
      </c>
      <c r="W50" s="32">
        <v>732703</v>
      </c>
      <c r="X50" s="33" t="str">
        <f>"{"&amp;"'coin':"&amp;表1_861218222426728894[[#This Row],[补偿Coin]]&amp;",'"&amp;配置!$A$2&amp;"':"&amp;表1_861218222426728894[[#This Row],[补偿辎重]]&amp;"},"</f>
        <v>{'coin':1000,'item036':10},</v>
      </c>
      <c r="Y50" s="34" t="str">
        <f>"      '"&amp;表1_861218222426728894[[#This Row],[区服]]&amp;"':{"</f>
        <v>      '5144':{</v>
      </c>
    </row>
    <row r="51" customHeight="1" spans="1:25">
      <c r="A51" s="17">
        <v>5144</v>
      </c>
      <c r="B51" s="17">
        <f>VLOOKUP(表1_861218222426728894[[#This Row],[区服]],$P$149:$Q$196,2,FALSE)</f>
        <v>45</v>
      </c>
      <c r="C51" s="45" t="s">
        <v>198</v>
      </c>
      <c r="D51" s="19" t="str">
        <f>表1_861218222426728894[[#This Row],[目标国家]]</f>
        <v>蜀</v>
      </c>
      <c r="E51" s="20">
        <f>(VLOOKUP(表1_861218222426728894[[#This Row],[目标区服]],$R$149:$S$175,2,FALSE)-表1_861218222426728894[[#This Row],[开服天数]])*配置!$B$1</f>
        <v>1000</v>
      </c>
      <c r="F51" s="20">
        <f>表1_861218222426728894[[#This Row],[补偿Coin]]*(表1_861218222426728894[[#This Row],[活跃高战玩家数]]+表1_861218222426728894[[#This Row],[活跃中坚玩家数]])</f>
        <v>16000</v>
      </c>
      <c r="G51" s="20">
        <f>(VLOOKUP(表1_861218222426728894[[#This Row],[目标区服]],$R$149:$S$180,2,FALSE)-表1_861218222426728894[[#This Row],[开服天数]])*配置!$B$2</f>
        <v>10</v>
      </c>
      <c r="H51" s="19" t="s">
        <v>26</v>
      </c>
      <c r="I51" s="19">
        <f>IF(表1_861218222426728894[[#This Row],[原国家]]="魏",0,IF(表1_861218222426728894[[#This Row],[原国家]]="蜀",1,2))</f>
        <v>1</v>
      </c>
      <c r="J51" s="20">
        <v>3</v>
      </c>
      <c r="K51" s="20">
        <v>125</v>
      </c>
      <c r="L51" s="20">
        <v>3</v>
      </c>
      <c r="M51" s="20">
        <v>13</v>
      </c>
      <c r="N51" s="20">
        <v>69650</v>
      </c>
      <c r="O51" s="20">
        <v>2501480</v>
      </c>
      <c r="P51" s="26">
        <v>11083091</v>
      </c>
      <c r="Q51" s="31" t="s">
        <v>26</v>
      </c>
      <c r="R51" s="19">
        <f>IF(表1_861218222426728894[[#This Row],[目标国家]]="魏",0,IF(表1_861218222426728894[[#This Row],[目标国家]]="蜀",1,2))</f>
        <v>1</v>
      </c>
      <c r="S51" s="20">
        <v>48734</v>
      </c>
      <c r="T51" s="20">
        <v>0</v>
      </c>
      <c r="U51" s="20">
        <v>492578</v>
      </c>
      <c r="V51" s="20">
        <v>7216</v>
      </c>
      <c r="W51" s="32">
        <v>794804</v>
      </c>
      <c r="X51" s="33" t="str">
        <f>"{"&amp;"'coin':"&amp;表1_861218222426728894[[#This Row],[补偿Coin]]&amp;",'"&amp;配置!$A$2&amp;"':"&amp;表1_861218222426728894[[#This Row],[补偿辎重]]&amp;"},"</f>
        <v>{'coin':1000,'item036':10},</v>
      </c>
      <c r="Y51" s="34" t="str">
        <f>"            'to_zone':'"&amp;表1_861218222426728894[[#This Row],[目标区服]]&amp;"',
            'reward':"&amp;表1_861218222426728894[[#This Row],[辅助导出]]&amp;"
            'country':["&amp;R50&amp;","&amp;R51&amp;","&amp;R52&amp;"],"</f>
        <v>            'to_zone':'h1_567',
            'reward':{'coin':1000,'item036':10},
            'country':[0,1,1],</v>
      </c>
    </row>
    <row r="52" customHeight="1" spans="1:25">
      <c r="A52" s="17">
        <v>5144</v>
      </c>
      <c r="B52" s="17">
        <f>VLOOKUP(表1_861218222426728894[[#This Row],[区服]],$P$149:$Q$196,2,FALSE)</f>
        <v>45</v>
      </c>
      <c r="C52" s="45" t="s">
        <v>198</v>
      </c>
      <c r="D52" s="19" t="str">
        <f>表1_861218222426728894[[#This Row],[目标国家]]</f>
        <v>蜀</v>
      </c>
      <c r="E52" s="20">
        <f>(VLOOKUP(表1_861218222426728894[[#This Row],[目标区服]],$R$149:$S$175,2,FALSE)-表1_861218222426728894[[#This Row],[开服天数]])*配置!$B$1</f>
        <v>1000</v>
      </c>
      <c r="F52" s="20">
        <f>表1_861218222426728894[[#This Row],[补偿Coin]]*(表1_861218222426728894[[#This Row],[活跃高战玩家数]]+表1_861218222426728894[[#This Row],[活跃中坚玩家数]])</f>
        <v>26000</v>
      </c>
      <c r="G52" s="20">
        <f>(VLOOKUP(表1_861218222426728894[[#This Row],[目标区服]],$R$149:$S$180,2,FALSE)-表1_861218222426728894[[#This Row],[开服天数]])*配置!$B$2</f>
        <v>10</v>
      </c>
      <c r="H52" s="19" t="s">
        <v>27</v>
      </c>
      <c r="I52" s="19">
        <f>IF(表1_861218222426728894[[#This Row],[原国家]]="魏",0,IF(表1_861218222426728894[[#This Row],[原国家]]="蜀",1,2))</f>
        <v>2</v>
      </c>
      <c r="J52" s="20">
        <v>4</v>
      </c>
      <c r="K52" s="20">
        <v>192</v>
      </c>
      <c r="L52" s="20">
        <v>6</v>
      </c>
      <c r="M52" s="20">
        <v>20</v>
      </c>
      <c r="N52" s="20">
        <v>135186</v>
      </c>
      <c r="O52" s="20">
        <v>2951533</v>
      </c>
      <c r="P52" s="26">
        <v>21659493</v>
      </c>
      <c r="Q52" s="31" t="s">
        <v>26</v>
      </c>
      <c r="R52" s="19">
        <f>IF(表1_861218222426728894[[#This Row],[目标国家]]="魏",0,IF(表1_861218222426728894[[#This Row],[目标国家]]="蜀",1,2))</f>
        <v>1</v>
      </c>
      <c r="S52" s="20">
        <v>83782</v>
      </c>
      <c r="T52" s="20">
        <v>0</v>
      </c>
      <c r="U52" s="20">
        <v>639871</v>
      </c>
      <c r="V52" s="20">
        <v>10946</v>
      </c>
      <c r="W52" s="32">
        <v>696306</v>
      </c>
      <c r="X52" s="33" t="str">
        <f>"{"&amp;"'coin':"&amp;表1_861218222426728894[[#This Row],[补偿Coin]]&amp;",'"&amp;配置!$A$2&amp;"':"&amp;表1_861218222426728894[[#This Row],[补偿辎重]]&amp;"},"</f>
        <v>{'coin':1000,'item036':10},</v>
      </c>
      <c r="Y52" s="34" t="str">
        <f t="shared" si="4"/>
        <v>      },</v>
      </c>
    </row>
    <row r="53" customHeight="1" spans="1:25">
      <c r="A53" s="17">
        <v>5145</v>
      </c>
      <c r="B53" s="17">
        <f>VLOOKUP(表1_861218222426728894[[#This Row],[区服]],$P$149:$Q$196,2,FALSE)</f>
        <v>45</v>
      </c>
      <c r="C53" s="45" t="s">
        <v>198</v>
      </c>
      <c r="D53" s="19" t="str">
        <f>表1_861218222426728894[[#This Row],[目标国家]]</f>
        <v>吴</v>
      </c>
      <c r="E53" s="20">
        <f>(VLOOKUP(表1_861218222426728894[[#This Row],[目标区服]],$R$149:$S$175,2,FALSE)-表1_861218222426728894[[#This Row],[开服天数]])*配置!$B$1</f>
        <v>1000</v>
      </c>
      <c r="F53" s="20">
        <f>表1_861218222426728894[[#This Row],[补偿Coin]]*(表1_861218222426728894[[#This Row],[活跃高战玩家数]]+表1_861218222426728894[[#This Row],[活跃中坚玩家数]])</f>
        <v>12000</v>
      </c>
      <c r="G53" s="20">
        <f>(VLOOKUP(表1_861218222426728894[[#This Row],[目标区服]],$R$149:$S$180,2,FALSE)-表1_861218222426728894[[#This Row],[开服天数]])*配置!$B$2</f>
        <v>10</v>
      </c>
      <c r="H53" s="19" t="s">
        <v>25</v>
      </c>
      <c r="I53" s="19">
        <f>IF(表1_861218222426728894[[#This Row],[原国家]]="魏",0,IF(表1_861218222426728894[[#This Row],[原国家]]="蜀",1,2))</f>
        <v>0</v>
      </c>
      <c r="J53" s="20">
        <v>0</v>
      </c>
      <c r="K53" s="20">
        <v>13</v>
      </c>
      <c r="L53" s="20">
        <v>0</v>
      </c>
      <c r="M53" s="20">
        <v>12</v>
      </c>
      <c r="N53" s="20">
        <v>44255</v>
      </c>
      <c r="O53" s="20">
        <v>1026357</v>
      </c>
      <c r="P53" s="26">
        <v>6280150</v>
      </c>
      <c r="Q53" s="31" t="s">
        <v>27</v>
      </c>
      <c r="R53" s="19">
        <f>IF(表1_861218222426728894[[#This Row],[目标国家]]="魏",0,IF(表1_861218222426728894[[#This Row],[目标国家]]="蜀",1,2))</f>
        <v>2</v>
      </c>
      <c r="S53" s="20">
        <v>7368</v>
      </c>
      <c r="T53" s="20">
        <v>0</v>
      </c>
      <c r="U53" s="20">
        <v>60909</v>
      </c>
      <c r="V53" s="20">
        <v>2257</v>
      </c>
      <c r="W53" s="32">
        <v>305556</v>
      </c>
      <c r="X53" s="33" t="str">
        <f>"{"&amp;"'coin':"&amp;表1_861218222426728894[[#This Row],[补偿Coin]]&amp;",'"&amp;配置!$A$2&amp;"':"&amp;表1_861218222426728894[[#This Row],[补偿辎重]]&amp;"},"</f>
        <v>{'coin':1000,'item036':10},</v>
      </c>
      <c r="Y53" s="34" t="str">
        <f>"      '"&amp;表1_861218222426728894[[#This Row],[区服]]&amp;"':{"</f>
        <v>      '5145':{</v>
      </c>
    </row>
    <row r="54" customHeight="1" spans="1:25">
      <c r="A54" s="17">
        <v>5145</v>
      </c>
      <c r="B54" s="17">
        <f>VLOOKUP(表1_861218222426728894[[#This Row],[区服]],$P$149:$Q$196,2,FALSE)</f>
        <v>45</v>
      </c>
      <c r="C54" s="45" t="s">
        <v>198</v>
      </c>
      <c r="D54" s="19" t="str">
        <f>表1_861218222426728894[[#This Row],[目标国家]]</f>
        <v>魏</v>
      </c>
      <c r="E54" s="20">
        <f>(VLOOKUP(表1_861218222426728894[[#This Row],[目标区服]],$R$149:$S$175,2,FALSE)-表1_861218222426728894[[#This Row],[开服天数]])*配置!$B$1</f>
        <v>1000</v>
      </c>
      <c r="F54" s="20">
        <f>表1_861218222426728894[[#This Row],[补偿Coin]]*(表1_861218222426728894[[#This Row],[活跃高战玩家数]]+表1_861218222426728894[[#This Row],[活跃中坚玩家数]])</f>
        <v>22000</v>
      </c>
      <c r="G54" s="20">
        <f>(VLOOKUP(表1_861218222426728894[[#This Row],[目标区服]],$R$149:$S$180,2,FALSE)-表1_861218222426728894[[#This Row],[开服天数]])*配置!$B$2</f>
        <v>10</v>
      </c>
      <c r="H54" s="19" t="s">
        <v>26</v>
      </c>
      <c r="I54" s="19">
        <f>IF(表1_861218222426728894[[#This Row],[原国家]]="魏",0,IF(表1_861218222426728894[[#This Row],[原国家]]="蜀",1,2))</f>
        <v>1</v>
      </c>
      <c r="J54" s="20">
        <v>2</v>
      </c>
      <c r="K54" s="20">
        <v>97</v>
      </c>
      <c r="L54" s="20">
        <v>3</v>
      </c>
      <c r="M54" s="20">
        <v>19</v>
      </c>
      <c r="N54" s="20">
        <v>98504</v>
      </c>
      <c r="O54" s="20">
        <v>2531486</v>
      </c>
      <c r="P54" s="26">
        <v>16215832</v>
      </c>
      <c r="Q54" s="31" t="s">
        <v>25</v>
      </c>
      <c r="R54" s="19">
        <f>IF(表1_861218222426728894[[#This Row],[目标国家]]="魏",0,IF(表1_861218222426728894[[#This Row],[目标国家]]="蜀",1,2))</f>
        <v>0</v>
      </c>
      <c r="S54" s="20">
        <v>76092</v>
      </c>
      <c r="T54" s="20">
        <v>0</v>
      </c>
      <c r="U54" s="20">
        <v>204951</v>
      </c>
      <c r="V54" s="20">
        <v>8200</v>
      </c>
      <c r="W54" s="32">
        <v>814689</v>
      </c>
      <c r="X54" s="33" t="str">
        <f>"{"&amp;"'coin':"&amp;表1_861218222426728894[[#This Row],[补偿Coin]]&amp;",'"&amp;配置!$A$2&amp;"':"&amp;表1_861218222426728894[[#This Row],[补偿辎重]]&amp;"},"</f>
        <v>{'coin':1000,'item036':10},</v>
      </c>
      <c r="Y54" s="34" t="str">
        <f>"            'to_zone':'"&amp;表1_861218222426728894[[#This Row],[目标区服]]&amp;"',
            'reward':"&amp;表1_861218222426728894[[#This Row],[辅助导出]]&amp;"
            'country':["&amp;R53&amp;","&amp;R54&amp;","&amp;R55&amp;"],"</f>
        <v>            'to_zone':'h1_567',
            'reward':{'coin':1000,'item036':10},
            'country':[2,0,2],</v>
      </c>
    </row>
    <row r="55" customHeight="1" spans="1:25">
      <c r="A55" s="17">
        <v>5145</v>
      </c>
      <c r="B55" s="17">
        <f>VLOOKUP(表1_861218222426728894[[#This Row],[区服]],$P$149:$Q$196,2,FALSE)</f>
        <v>45</v>
      </c>
      <c r="C55" s="45" t="s">
        <v>198</v>
      </c>
      <c r="D55" s="19" t="str">
        <f>表1_861218222426728894[[#This Row],[目标国家]]</f>
        <v>吴</v>
      </c>
      <c r="E55" s="20">
        <f>(VLOOKUP(表1_861218222426728894[[#This Row],[目标区服]],$R$149:$S$175,2,FALSE)-表1_861218222426728894[[#This Row],[开服天数]])*配置!$B$1</f>
        <v>1000</v>
      </c>
      <c r="F55" s="20">
        <f>表1_861218222426728894[[#This Row],[补偿Coin]]*(表1_861218222426728894[[#This Row],[活跃高战玩家数]]+表1_861218222426728894[[#This Row],[活跃中坚玩家数]])</f>
        <v>29000</v>
      </c>
      <c r="G55" s="20">
        <f>(VLOOKUP(表1_861218222426728894[[#This Row],[目标区服]],$R$149:$S$180,2,FALSE)-表1_861218222426728894[[#This Row],[开服天数]])*配置!$B$2</f>
        <v>10</v>
      </c>
      <c r="H55" s="19" t="s">
        <v>27</v>
      </c>
      <c r="I55" s="19">
        <f>IF(表1_861218222426728894[[#This Row],[原国家]]="魏",0,IF(表1_861218222426728894[[#This Row],[原国家]]="蜀",1,2))</f>
        <v>2</v>
      </c>
      <c r="J55" s="20">
        <v>7</v>
      </c>
      <c r="K55" s="20">
        <v>285</v>
      </c>
      <c r="L55" s="20">
        <v>7</v>
      </c>
      <c r="M55" s="20">
        <v>22</v>
      </c>
      <c r="N55" s="20">
        <v>162052</v>
      </c>
      <c r="O55" s="20">
        <v>2630840</v>
      </c>
      <c r="P55" s="26">
        <v>25462605</v>
      </c>
      <c r="Q55" s="31" t="s">
        <v>27</v>
      </c>
      <c r="R55" s="19">
        <f>IF(表1_861218222426728894[[#This Row],[目标国家]]="魏",0,IF(表1_861218222426728894[[#This Row],[目标国家]]="蜀",1,2))</f>
        <v>2</v>
      </c>
      <c r="S55" s="20">
        <v>90732</v>
      </c>
      <c r="T55" s="20">
        <v>0</v>
      </c>
      <c r="U55" s="20">
        <v>707034</v>
      </c>
      <c r="V55" s="20">
        <v>12612</v>
      </c>
      <c r="W55" s="32">
        <v>984969</v>
      </c>
      <c r="X55" s="33" t="str">
        <f>"{"&amp;"'coin':"&amp;表1_861218222426728894[[#This Row],[补偿Coin]]&amp;",'"&amp;配置!$A$2&amp;"':"&amp;表1_861218222426728894[[#This Row],[补偿辎重]]&amp;"},"</f>
        <v>{'coin':1000,'item036':10},</v>
      </c>
      <c r="Y55" s="34" t="str">
        <f t="shared" si="5"/>
        <v>      },</v>
      </c>
    </row>
    <row r="56" customHeight="1" spans="1:25">
      <c r="A56" s="214">
        <v>5146</v>
      </c>
      <c r="B56" s="214">
        <f>VLOOKUP(表1_861218222426728894[[#This Row],[区服]],$P$149:$Q$196,2,FALSE)</f>
        <v>44</v>
      </c>
      <c r="C56" s="308" t="s">
        <v>199</v>
      </c>
      <c r="D56" s="216" t="str">
        <f>表1_861218222426728894[[#This Row],[目标国家]]</f>
        <v>魏</v>
      </c>
      <c r="E56" s="217">
        <f>(VLOOKUP(表1_861218222426728894[[#This Row],[目标区服]],$R$149:$S$175,2,FALSE)-表1_861218222426728894[[#This Row],[开服天数]])*配置!$B$1</f>
        <v>1000</v>
      </c>
      <c r="F56" s="217">
        <f>表1_861218222426728894[[#This Row],[补偿Coin]]*(表1_861218222426728894[[#This Row],[活跃高战玩家数]]+表1_861218222426728894[[#This Row],[活跃中坚玩家数]])</f>
        <v>10000</v>
      </c>
      <c r="G56" s="217">
        <f>(VLOOKUP(表1_861218222426728894[[#This Row],[目标区服]],$R$149:$S$180,2,FALSE)-表1_861218222426728894[[#This Row],[开服天数]])*配置!$B$2</f>
        <v>10</v>
      </c>
      <c r="H56" s="216" t="s">
        <v>25</v>
      </c>
      <c r="I56" s="216">
        <f>IF(表1_861218222426728894[[#This Row],[原国家]]="魏",0,IF(表1_861218222426728894[[#This Row],[原国家]]="蜀",1,2))</f>
        <v>0</v>
      </c>
      <c r="J56" s="217">
        <v>0</v>
      </c>
      <c r="K56" s="217">
        <v>70</v>
      </c>
      <c r="L56" s="217">
        <v>0</v>
      </c>
      <c r="M56" s="217">
        <v>10</v>
      </c>
      <c r="N56" s="217">
        <v>35199</v>
      </c>
      <c r="O56" s="217">
        <v>1059208</v>
      </c>
      <c r="P56" s="334">
        <v>5269511</v>
      </c>
      <c r="Q56" s="31" t="s">
        <v>25</v>
      </c>
      <c r="R56" s="216">
        <f>IF(表1_861218222426728894[[#This Row],[目标国家]]="魏",0,IF(表1_861218222426728894[[#This Row],[目标国家]]="蜀",1,2))</f>
        <v>0</v>
      </c>
      <c r="S56" s="217">
        <v>23456</v>
      </c>
      <c r="T56" s="217">
        <v>0</v>
      </c>
      <c r="U56" s="217">
        <v>83604</v>
      </c>
      <c r="V56" s="217">
        <v>3207</v>
      </c>
      <c r="W56" s="294">
        <v>298531</v>
      </c>
      <c r="X56" s="249" t="str">
        <f>"{"&amp;"'coin':"&amp;表1_861218222426728894[[#This Row],[补偿Coin]]&amp;",'"&amp;配置!$A$2&amp;"':"&amp;表1_861218222426728894[[#This Row],[补偿辎重]]&amp;"},"</f>
        <v>{'coin':1000,'item036':10},</v>
      </c>
      <c r="Y56" s="251" t="str">
        <f>"      '"&amp;表1_861218222426728894[[#This Row],[区服]]&amp;"':{"</f>
        <v>      '5146':{</v>
      </c>
    </row>
    <row r="57" customHeight="1" spans="1:25">
      <c r="A57" s="214">
        <v>5146</v>
      </c>
      <c r="B57" s="214">
        <f>VLOOKUP(表1_861218222426728894[[#This Row],[区服]],$P$149:$Q$196,2,FALSE)</f>
        <v>44</v>
      </c>
      <c r="C57" s="308" t="s">
        <v>199</v>
      </c>
      <c r="D57" s="216" t="str">
        <f>表1_861218222426728894[[#This Row],[目标国家]]</f>
        <v>蜀</v>
      </c>
      <c r="E57" s="217">
        <f>(VLOOKUP(表1_861218222426728894[[#This Row],[目标区服]],$R$149:$S$175,2,FALSE)-表1_861218222426728894[[#This Row],[开服天数]])*配置!$B$1</f>
        <v>1000</v>
      </c>
      <c r="F57" s="217">
        <f>表1_861218222426728894[[#This Row],[补偿Coin]]*(表1_861218222426728894[[#This Row],[活跃高战玩家数]]+表1_861218222426728894[[#This Row],[活跃中坚玩家数]])</f>
        <v>25000</v>
      </c>
      <c r="G57" s="217">
        <f>(VLOOKUP(表1_861218222426728894[[#This Row],[目标区服]],$R$149:$S$180,2,FALSE)-表1_861218222426728894[[#This Row],[开服天数]])*配置!$B$2</f>
        <v>10</v>
      </c>
      <c r="H57" s="216" t="s">
        <v>26</v>
      </c>
      <c r="I57" s="216">
        <f>IF(表1_861218222426728894[[#This Row],[原国家]]="魏",0,IF(表1_861218222426728894[[#This Row],[原国家]]="蜀",1,2))</f>
        <v>1</v>
      </c>
      <c r="J57" s="217">
        <v>3</v>
      </c>
      <c r="K57" s="217">
        <v>179</v>
      </c>
      <c r="L57" s="217">
        <v>5</v>
      </c>
      <c r="M57" s="217">
        <v>20</v>
      </c>
      <c r="N57" s="217">
        <v>124398</v>
      </c>
      <c r="O57" s="217">
        <v>2283115</v>
      </c>
      <c r="P57" s="334">
        <v>18806994</v>
      </c>
      <c r="Q57" s="31" t="s">
        <v>26</v>
      </c>
      <c r="R57" s="216">
        <f>IF(表1_861218222426728894[[#This Row],[目标国家]]="魏",0,IF(表1_861218222426728894[[#This Row],[目标国家]]="蜀",1,2))</f>
        <v>1</v>
      </c>
      <c r="S57" s="217">
        <v>41466</v>
      </c>
      <c r="T57" s="217">
        <v>0</v>
      </c>
      <c r="U57" s="217">
        <v>315288</v>
      </c>
      <c r="V57" s="217">
        <v>8277</v>
      </c>
      <c r="W57" s="294">
        <v>720908</v>
      </c>
      <c r="X57" s="249" t="str">
        <f>"{"&amp;"'coin':"&amp;表1_861218222426728894[[#This Row],[补偿Coin]]&amp;",'"&amp;配置!$A$2&amp;"':"&amp;表1_861218222426728894[[#This Row],[补偿辎重]]&amp;"},"</f>
        <v>{'coin':1000,'item036':10},</v>
      </c>
      <c r="Y57" s="251" t="str">
        <f>"            'to_zone':'"&amp;表1_861218222426728894[[#This Row],[目标区服]]&amp;"',
            'reward':"&amp;表1_861218222426728894[[#This Row],[辅助导出]]&amp;"
            'country':["&amp;R56&amp;","&amp;R57&amp;","&amp;R58&amp;"],"</f>
        <v>            'to_zone':'h1_568',
            'reward':{'coin':1000,'item036':10},
            'country':[0,1,2],</v>
      </c>
    </row>
    <row r="58" customHeight="1" spans="1:25">
      <c r="A58" s="214">
        <v>5146</v>
      </c>
      <c r="B58" s="214">
        <f>VLOOKUP(表1_861218222426728894[[#This Row],[区服]],$P$149:$Q$196,2,FALSE)</f>
        <v>44</v>
      </c>
      <c r="C58" s="308" t="s">
        <v>199</v>
      </c>
      <c r="D58" s="216" t="str">
        <f>表1_861218222426728894[[#This Row],[目标国家]]</f>
        <v>吴</v>
      </c>
      <c r="E58" s="217">
        <f>(VLOOKUP(表1_861218222426728894[[#This Row],[目标区服]],$R$149:$S$175,2,FALSE)-表1_861218222426728894[[#This Row],[开服天数]])*配置!$B$1</f>
        <v>1000</v>
      </c>
      <c r="F58" s="217">
        <f>表1_861218222426728894[[#This Row],[补偿Coin]]*(表1_861218222426728894[[#This Row],[活跃高战玩家数]]+表1_861218222426728894[[#This Row],[活跃中坚玩家数]])</f>
        <v>24000</v>
      </c>
      <c r="G58" s="217">
        <f>(VLOOKUP(表1_861218222426728894[[#This Row],[目标区服]],$R$149:$S$180,2,FALSE)-表1_861218222426728894[[#This Row],[开服天数]])*配置!$B$2</f>
        <v>10</v>
      </c>
      <c r="H58" s="216" t="s">
        <v>27</v>
      </c>
      <c r="I58" s="216">
        <f>IF(表1_861218222426728894[[#This Row],[原国家]]="魏",0,IF(表1_861218222426728894[[#This Row],[原国家]]="蜀",1,2))</f>
        <v>2</v>
      </c>
      <c r="J58" s="217">
        <v>6</v>
      </c>
      <c r="K58" s="217">
        <v>146</v>
      </c>
      <c r="L58" s="217">
        <v>4</v>
      </c>
      <c r="M58" s="217">
        <v>20</v>
      </c>
      <c r="N58" s="217">
        <v>102392</v>
      </c>
      <c r="O58" s="217">
        <v>2431551</v>
      </c>
      <c r="P58" s="334">
        <v>16540384</v>
      </c>
      <c r="Q58" s="31" t="s">
        <v>27</v>
      </c>
      <c r="R58" s="216">
        <f>IF(表1_861218222426728894[[#This Row],[目标国家]]="魏",0,IF(表1_861218222426728894[[#This Row],[目标国家]]="蜀",1,2))</f>
        <v>2</v>
      </c>
      <c r="S58" s="217">
        <v>38000</v>
      </c>
      <c r="T58" s="217">
        <v>0</v>
      </c>
      <c r="U58" s="217">
        <v>310580</v>
      </c>
      <c r="V58" s="217">
        <v>7952</v>
      </c>
      <c r="W58" s="294">
        <v>660592</v>
      </c>
      <c r="X58" s="249" t="str">
        <f>"{"&amp;"'coin':"&amp;表1_861218222426728894[[#This Row],[补偿Coin]]&amp;",'"&amp;配置!$A$2&amp;"':"&amp;表1_861218222426728894[[#This Row],[补偿辎重]]&amp;"},"</f>
        <v>{'coin':1000,'item036':10},</v>
      </c>
      <c r="Y58" s="251" t="str">
        <f t="shared" si="4"/>
        <v>      },</v>
      </c>
    </row>
    <row r="59" customHeight="1" spans="1:25">
      <c r="A59" s="367">
        <v>5147</v>
      </c>
      <c r="B59" s="214">
        <f>VLOOKUP(表1_861218222426728894[[#This Row],[区服]],$P$149:$Q$196,2,FALSE)</f>
        <v>44</v>
      </c>
      <c r="C59" s="308" t="s">
        <v>199</v>
      </c>
      <c r="D59" s="216" t="str">
        <f>表1_861218222426728894[[#This Row],[目标国家]]</f>
        <v>魏</v>
      </c>
      <c r="E59" s="413">
        <f>(VLOOKUP(表1_861218222426728894[[#This Row],[目标区服]],$R$149:$S$175,2,FALSE)-表1_861218222426728894[[#This Row],[开服天数]])*配置!$B$1</f>
        <v>1000</v>
      </c>
      <c r="F59" s="217">
        <f>表1_861218222426728894[[#This Row],[补偿Coin]]*(表1_861218222426728894[[#This Row],[活跃高战玩家数]]+表1_861218222426728894[[#This Row],[活跃中坚玩家数]])</f>
        <v>26000</v>
      </c>
      <c r="G59" s="368">
        <f>(VLOOKUP(表1_861218222426728894[[#This Row],[目标区服]],$R$149:$S$180,2,FALSE)-表1_861218222426728894[[#This Row],[开服天数]])*配置!$B$2</f>
        <v>10</v>
      </c>
      <c r="H59" s="216" t="s">
        <v>25</v>
      </c>
      <c r="I59" s="377">
        <f>IF(表1_861218222426728894[[#This Row],[原国家]]="魏",0,IF(表1_861218222426728894[[#This Row],[原国家]]="蜀",1,2))</f>
        <v>0</v>
      </c>
      <c r="J59" s="217">
        <v>5</v>
      </c>
      <c r="K59" s="217">
        <v>200</v>
      </c>
      <c r="L59" s="217">
        <v>7</v>
      </c>
      <c r="M59" s="217">
        <v>19</v>
      </c>
      <c r="N59" s="217">
        <v>126159</v>
      </c>
      <c r="O59" s="378">
        <v>1684065</v>
      </c>
      <c r="P59" s="334">
        <v>16679466</v>
      </c>
      <c r="Q59" s="31" t="s">
        <v>25</v>
      </c>
      <c r="R59" s="216">
        <f>IF(表1_861218222426728894[[#This Row],[目标国家]]="魏",0,IF(表1_861218222426728894[[#This Row],[目标国家]]="蜀",1,2))</f>
        <v>0</v>
      </c>
      <c r="S59" s="217">
        <v>24456</v>
      </c>
      <c r="T59" s="217">
        <v>0</v>
      </c>
      <c r="U59" s="217">
        <v>295723</v>
      </c>
      <c r="V59" s="217">
        <v>7364</v>
      </c>
      <c r="W59" s="488">
        <v>574134</v>
      </c>
      <c r="X59" s="382" t="str">
        <f>"{"&amp;"'coin':"&amp;表1_861218222426728894[[#This Row],[补偿Coin]]&amp;",'"&amp;配置!$A$2&amp;"':"&amp;表1_861218222426728894[[#This Row],[补偿辎重]]&amp;"},"</f>
        <v>{'coin':1000,'item036':10},</v>
      </c>
      <c r="Y59" s="251" t="str">
        <f>"      '"&amp;表1_861218222426728894[[#This Row],[区服]]&amp;"':{"</f>
        <v>      '5147':{</v>
      </c>
    </row>
    <row r="60" customHeight="1" spans="1:25">
      <c r="A60" s="367">
        <v>5147</v>
      </c>
      <c r="B60" s="214">
        <f>VLOOKUP(表1_861218222426728894[[#This Row],[区服]],$P$149:$Q$196,2,FALSE)</f>
        <v>44</v>
      </c>
      <c r="C60" s="308" t="s">
        <v>199</v>
      </c>
      <c r="D60" s="216" t="str">
        <f>表1_861218222426728894[[#This Row],[目标国家]]</f>
        <v>吴</v>
      </c>
      <c r="E60" s="413">
        <f>(VLOOKUP(表1_861218222426728894[[#This Row],[目标区服]],$R$149:$S$175,2,FALSE)-表1_861218222426728894[[#This Row],[开服天数]])*配置!$B$1</f>
        <v>1000</v>
      </c>
      <c r="F60" s="217">
        <f>表1_861218222426728894[[#This Row],[补偿Coin]]*(表1_861218222426728894[[#This Row],[活跃高战玩家数]]+表1_861218222426728894[[#This Row],[活跃中坚玩家数]])</f>
        <v>14000</v>
      </c>
      <c r="G60" s="368">
        <f>(VLOOKUP(表1_861218222426728894[[#This Row],[目标区服]],$R$149:$S$180,2,FALSE)-表1_861218222426728894[[#This Row],[开服天数]])*配置!$B$2</f>
        <v>10</v>
      </c>
      <c r="H60" s="216" t="s">
        <v>26</v>
      </c>
      <c r="I60" s="377">
        <f>IF(表1_861218222426728894[[#This Row],[原国家]]="魏",0,IF(表1_861218222426728894[[#This Row],[原国家]]="蜀",1,2))</f>
        <v>1</v>
      </c>
      <c r="J60" s="217">
        <v>2</v>
      </c>
      <c r="K60" s="217">
        <v>117</v>
      </c>
      <c r="L60" s="217">
        <v>0</v>
      </c>
      <c r="M60" s="217">
        <v>14</v>
      </c>
      <c r="N60" s="217">
        <v>64687</v>
      </c>
      <c r="O60" s="378">
        <v>1015880</v>
      </c>
      <c r="P60" s="334">
        <v>7564787</v>
      </c>
      <c r="Q60" s="31" t="s">
        <v>27</v>
      </c>
      <c r="R60" s="216">
        <f>IF(表1_861218222426728894[[#This Row],[目标国家]]="魏",0,IF(表1_861218222426728894[[#This Row],[目标国家]]="蜀",1,2))</f>
        <v>2</v>
      </c>
      <c r="S60" s="217">
        <v>3120</v>
      </c>
      <c r="T60" s="217">
        <v>0</v>
      </c>
      <c r="U60" s="217">
        <v>79885</v>
      </c>
      <c r="V60" s="217">
        <v>3599</v>
      </c>
      <c r="W60" s="488">
        <v>339218</v>
      </c>
      <c r="X60" s="382" t="str">
        <f>"{"&amp;"'coin':"&amp;表1_861218222426728894[[#This Row],[补偿Coin]]&amp;",'"&amp;配置!$A$2&amp;"':"&amp;表1_861218222426728894[[#This Row],[补偿辎重]]&amp;"},"</f>
        <v>{'coin':1000,'item036':10},</v>
      </c>
      <c r="Y60" s="251" t="str">
        <f>"            'to_zone':'"&amp;表1_861218222426728894[[#This Row],[目标区服]]&amp;"',
            'reward':"&amp;表1_861218222426728894[[#This Row],[辅助导出]]&amp;"
            'country':["&amp;R59&amp;","&amp;R60&amp;","&amp;R61&amp;"],"</f>
        <v>            'to_zone':'h1_568',
            'reward':{'coin':1000,'item036':10},
            'country':[0,2,1],</v>
      </c>
    </row>
    <row r="61" customHeight="1" spans="1:25">
      <c r="A61" s="367">
        <v>5147</v>
      </c>
      <c r="B61" s="214">
        <f>VLOOKUP(表1_861218222426728894[[#This Row],[区服]],$P$149:$Q$196,2,FALSE)</f>
        <v>44</v>
      </c>
      <c r="C61" s="308" t="s">
        <v>199</v>
      </c>
      <c r="D61" s="216" t="str">
        <f>表1_861218222426728894[[#This Row],[目标国家]]</f>
        <v>蜀</v>
      </c>
      <c r="E61" s="413">
        <f>(VLOOKUP(表1_861218222426728894[[#This Row],[目标区服]],$R$149:$S$175,2,FALSE)-表1_861218222426728894[[#This Row],[开服天数]])*配置!$B$1</f>
        <v>1000</v>
      </c>
      <c r="F61" s="217">
        <f>表1_861218222426728894[[#This Row],[补偿Coin]]*(表1_861218222426728894[[#This Row],[活跃高战玩家数]]+表1_861218222426728894[[#This Row],[活跃中坚玩家数]])</f>
        <v>15000</v>
      </c>
      <c r="G61" s="368">
        <f>(VLOOKUP(表1_861218222426728894[[#This Row],[目标区服]],$R$149:$S$180,2,FALSE)-表1_861218222426728894[[#This Row],[开服天数]])*配置!$B$2</f>
        <v>10</v>
      </c>
      <c r="H61" s="216" t="s">
        <v>27</v>
      </c>
      <c r="I61" s="377">
        <f>IF(表1_861218222426728894[[#This Row],[原国家]]="魏",0,IF(表1_861218222426728894[[#This Row],[原国家]]="蜀",1,2))</f>
        <v>2</v>
      </c>
      <c r="J61" s="217">
        <v>2</v>
      </c>
      <c r="K61" s="217">
        <v>78</v>
      </c>
      <c r="L61" s="217">
        <v>2</v>
      </c>
      <c r="M61" s="217">
        <v>13</v>
      </c>
      <c r="N61" s="217">
        <v>54888</v>
      </c>
      <c r="O61" s="378">
        <v>1025236</v>
      </c>
      <c r="P61" s="334">
        <v>7368841</v>
      </c>
      <c r="Q61" s="31" t="s">
        <v>26</v>
      </c>
      <c r="R61" s="216">
        <f>IF(表1_861218222426728894[[#This Row],[目标国家]]="魏",0,IF(表1_861218222426728894[[#This Row],[目标国家]]="蜀",1,2))</f>
        <v>1</v>
      </c>
      <c r="S61" s="217">
        <v>2992</v>
      </c>
      <c r="T61" s="217">
        <v>0</v>
      </c>
      <c r="U61" s="217">
        <v>102485</v>
      </c>
      <c r="V61" s="217">
        <v>3157</v>
      </c>
      <c r="W61" s="488">
        <v>302154</v>
      </c>
      <c r="X61" s="382" t="str">
        <f>"{"&amp;"'coin':"&amp;表1_861218222426728894[[#This Row],[补偿Coin]]&amp;",'"&amp;配置!$A$2&amp;"':"&amp;表1_861218222426728894[[#This Row],[补偿辎重]]&amp;"},"</f>
        <v>{'coin':1000,'item036':10},</v>
      </c>
      <c r="Y61" s="251" t="str">
        <f t="shared" si="5"/>
        <v>      },</v>
      </c>
    </row>
    <row r="62" customHeight="1" spans="1:25">
      <c r="A62" s="370">
        <v>5148</v>
      </c>
      <c r="B62" s="81">
        <f>VLOOKUP(表1_861218222426728894[[#This Row],[区服]],$P$149:$Q$196,2,FALSE)</f>
        <v>44</v>
      </c>
      <c r="C62" s="414" t="s">
        <v>200</v>
      </c>
      <c r="D62" s="83" t="str">
        <f>表1_861218222426728894[[#This Row],[目标国家]]</f>
        <v>蜀</v>
      </c>
      <c r="E62" s="415">
        <f>(VLOOKUP(表1_861218222426728894[[#This Row],[目标区服]],$R$149:$S$175,2,FALSE)-表1_861218222426728894[[#This Row],[开服天数]])*配置!$B$1</f>
        <v>1000</v>
      </c>
      <c r="F62" s="85">
        <f>表1_861218222426728894[[#This Row],[补偿Coin]]*(表1_861218222426728894[[#This Row],[活跃高战玩家数]]+表1_861218222426728894[[#This Row],[活跃中坚玩家数]])</f>
        <v>17000</v>
      </c>
      <c r="G62" s="416">
        <f>(VLOOKUP(表1_861218222426728894[[#This Row],[目标区服]],$R$149:$S$180,2,FALSE)-表1_861218222426728894[[#This Row],[开服天数]])*配置!$B$2</f>
        <v>10</v>
      </c>
      <c r="H62" s="83" t="s">
        <v>25</v>
      </c>
      <c r="I62" s="421">
        <f>IF(表1_861218222426728894[[#This Row],[原国家]]="魏",0,IF(表1_861218222426728894[[#This Row],[原国家]]="蜀",1,2))</f>
        <v>0</v>
      </c>
      <c r="J62" s="85">
        <v>0</v>
      </c>
      <c r="K62" s="85">
        <v>40</v>
      </c>
      <c r="L62" s="85">
        <v>0</v>
      </c>
      <c r="M62" s="85">
        <v>17</v>
      </c>
      <c r="N62" s="85">
        <v>47312</v>
      </c>
      <c r="O62" s="422">
        <v>1211243</v>
      </c>
      <c r="P62" s="379">
        <v>7824315</v>
      </c>
      <c r="Q62" s="31" t="s">
        <v>26</v>
      </c>
      <c r="R62" s="83">
        <f>IF(表1_861218222426728894[[#This Row],[目标国家]]="魏",0,IF(表1_861218222426728894[[#This Row],[目标国家]]="蜀",1,2))</f>
        <v>1</v>
      </c>
      <c r="S62" s="85">
        <v>2488</v>
      </c>
      <c r="T62" s="85">
        <v>0</v>
      </c>
      <c r="U62" s="85">
        <v>95985</v>
      </c>
      <c r="V62" s="85">
        <v>2752</v>
      </c>
      <c r="W62" s="489">
        <v>397966</v>
      </c>
      <c r="X62" s="431" t="str">
        <f>"{"&amp;"'coin':"&amp;表1_861218222426728894[[#This Row],[补偿Coin]]&amp;",'"&amp;配置!$A$2&amp;"':"&amp;表1_861218222426728894[[#This Row],[补偿辎重]]&amp;"},"</f>
        <v>{'coin':1000,'item036':10},</v>
      </c>
      <c r="Y62" s="149" t="str">
        <f>"      '"&amp;表1_861218222426728894[[#This Row],[区服]]&amp;"':{"</f>
        <v>      '5148':{</v>
      </c>
    </row>
    <row r="63" customHeight="1" spans="1:25">
      <c r="A63" s="370">
        <v>5148</v>
      </c>
      <c r="B63" s="81">
        <f>VLOOKUP(表1_861218222426728894[[#This Row],[区服]],$P$149:$Q$196,2,FALSE)</f>
        <v>44</v>
      </c>
      <c r="C63" s="414" t="s">
        <v>200</v>
      </c>
      <c r="D63" s="83" t="str">
        <f>表1_861218222426728894[[#This Row],[目标国家]]</f>
        <v>蜀</v>
      </c>
      <c r="E63" s="415">
        <f>(VLOOKUP(表1_861218222426728894[[#This Row],[目标区服]],$R$149:$S$175,2,FALSE)-表1_861218222426728894[[#This Row],[开服天数]])*配置!$B$1</f>
        <v>1000</v>
      </c>
      <c r="F63" s="85">
        <f>表1_861218222426728894[[#This Row],[补偿Coin]]*(表1_861218222426728894[[#This Row],[活跃高战玩家数]]+表1_861218222426728894[[#This Row],[活跃中坚玩家数]])</f>
        <v>36000</v>
      </c>
      <c r="G63" s="416">
        <f>(VLOOKUP(表1_861218222426728894[[#This Row],[目标区服]],$R$149:$S$180,2,FALSE)-表1_861218222426728894[[#This Row],[开服天数]])*配置!$B$2</f>
        <v>10</v>
      </c>
      <c r="H63" s="83" t="s">
        <v>26</v>
      </c>
      <c r="I63" s="421">
        <f>IF(表1_861218222426728894[[#This Row],[原国家]]="魏",0,IF(表1_861218222426728894[[#This Row],[原国家]]="蜀",1,2))</f>
        <v>1</v>
      </c>
      <c r="J63" s="85">
        <v>6</v>
      </c>
      <c r="K63" s="85">
        <v>203</v>
      </c>
      <c r="L63" s="85">
        <v>7</v>
      </c>
      <c r="M63" s="85">
        <v>29</v>
      </c>
      <c r="N63" s="85">
        <v>190976</v>
      </c>
      <c r="O63" s="422">
        <v>2391901</v>
      </c>
      <c r="P63" s="379">
        <v>27748871</v>
      </c>
      <c r="Q63" s="31" t="s">
        <v>26</v>
      </c>
      <c r="R63" s="83">
        <f>IF(表1_861218222426728894[[#This Row],[目标国家]]="魏",0,IF(表1_861218222426728894[[#This Row],[目标国家]]="蜀",1,2))</f>
        <v>1</v>
      </c>
      <c r="S63" s="85">
        <v>65082</v>
      </c>
      <c r="T63" s="85">
        <v>0</v>
      </c>
      <c r="U63" s="85">
        <v>393854</v>
      </c>
      <c r="V63" s="85">
        <v>10901</v>
      </c>
      <c r="W63" s="489">
        <v>721726</v>
      </c>
      <c r="X63" s="431" t="str">
        <f>"{"&amp;"'coin':"&amp;表1_861218222426728894[[#This Row],[补偿Coin]]&amp;",'"&amp;配置!$A$2&amp;"':"&amp;表1_861218222426728894[[#This Row],[补偿辎重]]&amp;"},"</f>
        <v>{'coin':1000,'item036':10},</v>
      </c>
      <c r="Y63" s="149" t="str">
        <f>"            'to_zone':'"&amp;表1_861218222426728894[[#This Row],[目标区服]]&amp;"',
            'reward':"&amp;表1_861218222426728894[[#This Row],[辅助导出]]&amp;"
            'country':["&amp;R62&amp;","&amp;R63&amp;","&amp;R64&amp;"],"</f>
        <v>            'to_zone':'h1_569',
            'reward':{'coin':1000,'item036':10},
            'country':[1,1,2],</v>
      </c>
    </row>
    <row r="64" customHeight="1" spans="1:25">
      <c r="A64" s="370">
        <v>5148</v>
      </c>
      <c r="B64" s="81">
        <f>VLOOKUP(表1_861218222426728894[[#This Row],[区服]],$P$149:$Q$196,2,FALSE)</f>
        <v>44</v>
      </c>
      <c r="C64" s="414" t="s">
        <v>200</v>
      </c>
      <c r="D64" s="83" t="str">
        <f>表1_861218222426728894[[#This Row],[目标国家]]</f>
        <v>吴</v>
      </c>
      <c r="E64" s="415">
        <f>(VLOOKUP(表1_861218222426728894[[#This Row],[目标区服]],$R$149:$S$175,2,FALSE)-表1_861218222426728894[[#This Row],[开服天数]])*配置!$B$1</f>
        <v>1000</v>
      </c>
      <c r="F64" s="85">
        <f>表1_861218222426728894[[#This Row],[补偿Coin]]*(表1_861218222426728894[[#This Row],[活跃高战玩家数]]+表1_861218222426728894[[#This Row],[活跃中坚玩家数]])</f>
        <v>16000</v>
      </c>
      <c r="G64" s="416">
        <f>(VLOOKUP(表1_861218222426728894[[#This Row],[目标区服]],$R$149:$S$180,2,FALSE)-表1_861218222426728894[[#This Row],[开服天数]])*配置!$B$2</f>
        <v>10</v>
      </c>
      <c r="H64" s="83" t="s">
        <v>27</v>
      </c>
      <c r="I64" s="421">
        <f>IF(表1_861218222426728894[[#This Row],[原国家]]="魏",0,IF(表1_861218222426728894[[#This Row],[原国家]]="蜀",1,2))</f>
        <v>2</v>
      </c>
      <c r="J64" s="85">
        <v>3</v>
      </c>
      <c r="K64" s="85">
        <v>152</v>
      </c>
      <c r="L64" s="85">
        <v>2</v>
      </c>
      <c r="M64" s="85">
        <v>14</v>
      </c>
      <c r="N64" s="85">
        <v>55441</v>
      </c>
      <c r="O64" s="422">
        <v>1411439</v>
      </c>
      <c r="P64" s="379">
        <v>8776437</v>
      </c>
      <c r="Q64" s="31" t="s">
        <v>27</v>
      </c>
      <c r="R64" s="83">
        <f>IF(表1_861218222426728894[[#This Row],[目标国家]]="魏",0,IF(表1_861218222426728894[[#This Row],[目标国家]]="蜀",1,2))</f>
        <v>2</v>
      </c>
      <c r="S64" s="85">
        <v>6312</v>
      </c>
      <c r="T64" s="85">
        <v>0</v>
      </c>
      <c r="U64" s="85">
        <v>90176</v>
      </c>
      <c r="V64" s="85">
        <v>4620</v>
      </c>
      <c r="W64" s="489">
        <v>428757</v>
      </c>
      <c r="X64" s="431" t="str">
        <f>"{"&amp;"'coin':"&amp;表1_861218222426728894[[#This Row],[补偿Coin]]&amp;",'"&amp;配置!$A$2&amp;"':"&amp;表1_861218222426728894[[#This Row],[补偿辎重]]&amp;"},"</f>
        <v>{'coin':1000,'item036':10},</v>
      </c>
      <c r="Y64" s="149" t="str">
        <f t="shared" si="4"/>
        <v>      },</v>
      </c>
    </row>
    <row r="65" customHeight="1" spans="1:25">
      <c r="A65" s="370">
        <v>5149</v>
      </c>
      <c r="B65" s="81">
        <f>VLOOKUP(表1_861218222426728894[[#This Row],[区服]],$P$149:$Q$196,2,FALSE)</f>
        <v>44</v>
      </c>
      <c r="C65" s="414" t="s">
        <v>200</v>
      </c>
      <c r="D65" s="83" t="str">
        <f>表1_861218222426728894[[#This Row],[目标国家]]</f>
        <v>魏</v>
      </c>
      <c r="E65" s="415">
        <f>(VLOOKUP(表1_861218222426728894[[#This Row],[目标区服]],$R$149:$S$175,2,FALSE)-表1_861218222426728894[[#This Row],[开服天数]])*配置!$B$1</f>
        <v>1000</v>
      </c>
      <c r="F65" s="85">
        <f>表1_861218222426728894[[#This Row],[补偿Coin]]*(表1_861218222426728894[[#This Row],[活跃高战玩家数]]+表1_861218222426728894[[#This Row],[活跃中坚玩家数]])</f>
        <v>26000</v>
      </c>
      <c r="G65" s="416">
        <f>(VLOOKUP(表1_861218222426728894[[#This Row],[目标区服]],$R$149:$S$180,2,FALSE)-表1_861218222426728894[[#This Row],[开服天数]])*配置!$B$2</f>
        <v>10</v>
      </c>
      <c r="H65" s="83" t="s">
        <v>25</v>
      </c>
      <c r="I65" s="421">
        <f>IF(表1_861218222426728894[[#This Row],[原国家]]="魏",0,IF(表1_861218222426728894[[#This Row],[原国家]]="蜀",1,2))</f>
        <v>0</v>
      </c>
      <c r="J65" s="85">
        <v>4</v>
      </c>
      <c r="K65" s="85">
        <v>227</v>
      </c>
      <c r="L65" s="85">
        <v>6</v>
      </c>
      <c r="M65" s="85">
        <v>20</v>
      </c>
      <c r="N65" s="85">
        <v>134603</v>
      </c>
      <c r="O65" s="422">
        <v>1955286</v>
      </c>
      <c r="P65" s="379">
        <v>19022662</v>
      </c>
      <c r="Q65" s="31" t="s">
        <v>25</v>
      </c>
      <c r="R65" s="83">
        <f>IF(表1_861218222426728894[[#This Row],[目标国家]]="魏",0,IF(表1_861218222426728894[[#This Row],[目标国家]]="蜀",1,2))</f>
        <v>0</v>
      </c>
      <c r="S65" s="85">
        <v>19166</v>
      </c>
      <c r="T65" s="85">
        <v>0</v>
      </c>
      <c r="U65" s="85">
        <v>222199</v>
      </c>
      <c r="V65" s="85">
        <v>7886</v>
      </c>
      <c r="W65" s="489">
        <v>562603</v>
      </c>
      <c r="X65" s="431" t="str">
        <f>"{"&amp;"'coin':"&amp;表1_861218222426728894[[#This Row],[补偿Coin]]&amp;",'"&amp;配置!$A$2&amp;"':"&amp;表1_861218222426728894[[#This Row],[补偿辎重]]&amp;"},"</f>
        <v>{'coin':1000,'item036':10},</v>
      </c>
      <c r="Y65" s="149" t="str">
        <f>"      '"&amp;表1_861218222426728894[[#This Row],[区服]]&amp;"':{"</f>
        <v>      '5149':{</v>
      </c>
    </row>
    <row r="66" customHeight="1" spans="1:25">
      <c r="A66" s="370">
        <v>5149</v>
      </c>
      <c r="B66" s="81">
        <f>VLOOKUP(表1_861218222426728894[[#This Row],[区服]],$P$149:$Q$196,2,FALSE)</f>
        <v>44</v>
      </c>
      <c r="C66" s="414" t="s">
        <v>200</v>
      </c>
      <c r="D66" s="83" t="str">
        <f>表1_861218222426728894[[#This Row],[目标国家]]</f>
        <v>吴</v>
      </c>
      <c r="E66" s="415">
        <f>(VLOOKUP(表1_861218222426728894[[#This Row],[目标区服]],$R$149:$S$175,2,FALSE)-表1_861218222426728894[[#This Row],[开服天数]])*配置!$B$1</f>
        <v>1000</v>
      </c>
      <c r="F66" s="85">
        <f>表1_861218222426728894[[#This Row],[补偿Coin]]*(表1_861218222426728894[[#This Row],[活跃高战玩家数]]+表1_861218222426728894[[#This Row],[活跃中坚玩家数]])</f>
        <v>12000</v>
      </c>
      <c r="G66" s="416">
        <f>(VLOOKUP(表1_861218222426728894[[#This Row],[目标区服]],$R$149:$S$180,2,FALSE)-表1_861218222426728894[[#This Row],[开服天数]])*配置!$B$2</f>
        <v>10</v>
      </c>
      <c r="H66" s="83" t="s">
        <v>26</v>
      </c>
      <c r="I66" s="421">
        <f>IF(表1_861218222426728894[[#This Row],[原国家]]="魏",0,IF(表1_861218222426728894[[#This Row],[原国家]]="蜀",1,2))</f>
        <v>1</v>
      </c>
      <c r="J66" s="85">
        <v>2</v>
      </c>
      <c r="K66" s="85">
        <v>76</v>
      </c>
      <c r="L66" s="85">
        <v>1</v>
      </c>
      <c r="M66" s="85">
        <v>11</v>
      </c>
      <c r="N66" s="85">
        <v>53177</v>
      </c>
      <c r="O66" s="422">
        <v>1355250</v>
      </c>
      <c r="P66" s="379">
        <v>6986566</v>
      </c>
      <c r="Q66" s="31" t="s">
        <v>27</v>
      </c>
      <c r="R66" s="83">
        <f>IF(表1_861218222426728894[[#This Row],[目标国家]]="魏",0,IF(表1_861218222426728894[[#This Row],[目标国家]]="蜀",1,2))</f>
        <v>2</v>
      </c>
      <c r="S66" s="85">
        <v>4938</v>
      </c>
      <c r="T66" s="85">
        <v>0</v>
      </c>
      <c r="U66" s="85">
        <v>66207</v>
      </c>
      <c r="V66" s="85">
        <v>3461</v>
      </c>
      <c r="W66" s="489">
        <v>442487</v>
      </c>
      <c r="X66" s="431" t="str">
        <f>"{"&amp;"'coin':"&amp;表1_861218222426728894[[#This Row],[补偿Coin]]&amp;",'"&amp;配置!$A$2&amp;"':"&amp;表1_861218222426728894[[#This Row],[补偿辎重]]&amp;"},"</f>
        <v>{'coin':1000,'item036':10},</v>
      </c>
      <c r="Y66" s="149" t="str">
        <f>"            'to_zone':'"&amp;表1_861218222426728894[[#This Row],[目标区服]]&amp;"',
            'reward':"&amp;表1_861218222426728894[[#This Row],[辅助导出]]&amp;"
            'country':["&amp;R65&amp;","&amp;R66&amp;","&amp;R67&amp;"],"</f>
        <v>            'to_zone':'h1_569',
            'reward':{'coin':1000,'item036':10},
            'country':[0,2,2],</v>
      </c>
    </row>
    <row r="67" customHeight="1" spans="1:25">
      <c r="A67" s="370">
        <v>5149</v>
      </c>
      <c r="B67" s="81">
        <f>VLOOKUP(表1_861218222426728894[[#This Row],[区服]],$P$149:$Q$196,2,FALSE)</f>
        <v>44</v>
      </c>
      <c r="C67" s="414" t="s">
        <v>200</v>
      </c>
      <c r="D67" s="83" t="str">
        <f>表1_861218222426728894[[#This Row],[目标国家]]</f>
        <v>吴</v>
      </c>
      <c r="E67" s="415">
        <f>(VLOOKUP(表1_861218222426728894[[#This Row],[目标区服]],$R$149:$S$175,2,FALSE)-表1_861218222426728894[[#This Row],[开服天数]])*配置!$B$1</f>
        <v>1000</v>
      </c>
      <c r="F67" s="85">
        <f>表1_861218222426728894[[#This Row],[补偿Coin]]*(表1_861218222426728894[[#This Row],[活跃高战玩家数]]+表1_861218222426728894[[#This Row],[活跃中坚玩家数]])</f>
        <v>10000</v>
      </c>
      <c r="G67" s="416">
        <f>(VLOOKUP(表1_861218222426728894[[#This Row],[目标区服]],$R$149:$S$180,2,FALSE)-表1_861218222426728894[[#This Row],[开服天数]])*配置!$B$2</f>
        <v>10</v>
      </c>
      <c r="H67" s="83" t="s">
        <v>27</v>
      </c>
      <c r="I67" s="421">
        <f>IF(表1_861218222426728894[[#This Row],[原国家]]="魏",0,IF(表1_861218222426728894[[#This Row],[原国家]]="蜀",1,2))</f>
        <v>2</v>
      </c>
      <c r="J67" s="85">
        <v>3</v>
      </c>
      <c r="K67" s="85">
        <v>92</v>
      </c>
      <c r="L67" s="85">
        <v>2</v>
      </c>
      <c r="M67" s="85">
        <v>8</v>
      </c>
      <c r="N67" s="85">
        <v>55308</v>
      </c>
      <c r="O67" s="422">
        <v>1334914</v>
      </c>
      <c r="P67" s="379">
        <v>7103584</v>
      </c>
      <c r="Q67" s="31" t="s">
        <v>27</v>
      </c>
      <c r="R67" s="83">
        <f>IF(表1_861218222426728894[[#This Row],[目标国家]]="魏",0,IF(表1_861218222426728894[[#This Row],[目标国家]]="蜀",1,2))</f>
        <v>2</v>
      </c>
      <c r="S67" s="85">
        <v>14284</v>
      </c>
      <c r="T67" s="85">
        <v>0</v>
      </c>
      <c r="U67" s="85">
        <v>96551</v>
      </c>
      <c r="V67" s="85">
        <v>4018</v>
      </c>
      <c r="W67" s="489">
        <v>448138</v>
      </c>
      <c r="X67" s="431" t="str">
        <f>"{"&amp;"'coin':"&amp;表1_861218222426728894[[#This Row],[补偿Coin]]&amp;",'"&amp;配置!$A$2&amp;"':"&amp;表1_861218222426728894[[#This Row],[补偿辎重]]&amp;"},"</f>
        <v>{'coin':1000,'item036':10},</v>
      </c>
      <c r="Y67" s="149" t="str">
        <f t="shared" si="5"/>
        <v>      },</v>
      </c>
    </row>
    <row r="68" customHeight="1" spans="1:25">
      <c r="A68" s="370">
        <v>5150</v>
      </c>
      <c r="B68" s="81">
        <f>VLOOKUP(表1_861218222426728894[[#This Row],[区服]],$P$149:$Q$196,2,FALSE)</f>
        <v>44</v>
      </c>
      <c r="C68" s="414" t="s">
        <v>200</v>
      </c>
      <c r="D68" s="83" t="str">
        <f>表1_861218222426728894[[#This Row],[目标国家]]</f>
        <v>魏</v>
      </c>
      <c r="E68" s="415">
        <f>(VLOOKUP(表1_861218222426728894[[#This Row],[目标区服]],$R$149:$S$175,2,FALSE)-表1_861218222426728894[[#This Row],[开服天数]])*配置!$B$1</f>
        <v>1000</v>
      </c>
      <c r="F68" s="85">
        <f>表1_861218222426728894[[#This Row],[补偿Coin]]*(表1_861218222426728894[[#This Row],[活跃高战玩家数]]+表1_861218222426728894[[#This Row],[活跃中坚玩家数]])</f>
        <v>16000</v>
      </c>
      <c r="G68" s="416">
        <f>(VLOOKUP(表1_861218222426728894[[#This Row],[目标区服]],$R$149:$S$180,2,FALSE)-表1_861218222426728894[[#This Row],[开服天数]])*配置!$B$2</f>
        <v>10</v>
      </c>
      <c r="H68" s="83" t="s">
        <v>25</v>
      </c>
      <c r="I68" s="421">
        <f>IF(表1_861218222426728894[[#This Row],[原国家]]="魏",0,IF(表1_861218222426728894[[#This Row],[原国家]]="蜀",1,2))</f>
        <v>0</v>
      </c>
      <c r="J68" s="85">
        <v>3</v>
      </c>
      <c r="K68" s="85">
        <v>93</v>
      </c>
      <c r="L68" s="85">
        <v>4</v>
      </c>
      <c r="M68" s="85">
        <v>12</v>
      </c>
      <c r="N68" s="85">
        <v>74571</v>
      </c>
      <c r="O68" s="422">
        <v>1585944</v>
      </c>
      <c r="P68" s="379">
        <v>9796347</v>
      </c>
      <c r="Q68" s="128" t="s">
        <v>25</v>
      </c>
      <c r="R68" s="83">
        <f>IF(表1_861218222426728894[[#This Row],[目标国家]]="魏",0,IF(表1_861218222426728894[[#This Row],[目标国家]]="蜀",1,2))</f>
        <v>0</v>
      </c>
      <c r="S68" s="85">
        <v>19192</v>
      </c>
      <c r="T68" s="85">
        <v>0</v>
      </c>
      <c r="U68" s="85">
        <v>274238</v>
      </c>
      <c r="V68" s="85">
        <v>4881</v>
      </c>
      <c r="W68" s="489">
        <v>478485</v>
      </c>
      <c r="X68" s="431" t="str">
        <f>"{"&amp;"'coin':"&amp;表1_861218222426728894[[#This Row],[补偿Coin]]&amp;",'"&amp;配置!$A$2&amp;"':"&amp;表1_861218222426728894[[#This Row],[补偿辎重]]&amp;"},"</f>
        <v>{'coin':1000,'item036':10},</v>
      </c>
      <c r="Y68" s="149" t="str">
        <f>"      '"&amp;表1_861218222426728894[[#This Row],[区服]]&amp;"':{"</f>
        <v>      '5150':{</v>
      </c>
    </row>
    <row r="69" customHeight="1" spans="1:25">
      <c r="A69" s="370">
        <v>5150</v>
      </c>
      <c r="B69" s="81">
        <f>VLOOKUP(表1_861218222426728894[[#This Row],[区服]],$P$149:$Q$196,2,FALSE)</f>
        <v>44</v>
      </c>
      <c r="C69" s="414" t="s">
        <v>200</v>
      </c>
      <c r="D69" s="83" t="str">
        <f>表1_861218222426728894[[#This Row],[目标国家]]</f>
        <v>魏</v>
      </c>
      <c r="E69" s="415">
        <f>(VLOOKUP(表1_861218222426728894[[#This Row],[目标区服]],$R$149:$S$175,2,FALSE)-表1_861218222426728894[[#This Row],[开服天数]])*配置!$B$1</f>
        <v>1000</v>
      </c>
      <c r="F69" s="85">
        <f>表1_861218222426728894[[#This Row],[补偿Coin]]*(表1_861218222426728894[[#This Row],[活跃高战玩家数]]+表1_861218222426728894[[#This Row],[活跃中坚玩家数]])</f>
        <v>18000</v>
      </c>
      <c r="G69" s="416">
        <f>(VLOOKUP(表1_861218222426728894[[#This Row],[目标区服]],$R$149:$S$180,2,FALSE)-表1_861218222426728894[[#This Row],[开服天数]])*配置!$B$2</f>
        <v>10</v>
      </c>
      <c r="H69" s="83" t="s">
        <v>26</v>
      </c>
      <c r="I69" s="421">
        <f>IF(表1_861218222426728894[[#This Row],[原国家]]="魏",0,IF(表1_861218222426728894[[#This Row],[原国家]]="蜀",1,2))</f>
        <v>1</v>
      </c>
      <c r="J69" s="85">
        <v>2</v>
      </c>
      <c r="K69" s="85">
        <v>92</v>
      </c>
      <c r="L69" s="85">
        <v>1</v>
      </c>
      <c r="M69" s="85">
        <v>17</v>
      </c>
      <c r="N69" s="85">
        <v>69743</v>
      </c>
      <c r="O69" s="422">
        <v>1146642</v>
      </c>
      <c r="P69" s="379">
        <v>9131725</v>
      </c>
      <c r="Q69" s="128" t="s">
        <v>25</v>
      </c>
      <c r="R69" s="83">
        <f>IF(表1_861218222426728894[[#This Row],[目标国家]]="魏",0,IF(表1_861218222426728894[[#This Row],[目标国家]]="蜀",1,2))</f>
        <v>0</v>
      </c>
      <c r="S69" s="85">
        <v>14008</v>
      </c>
      <c r="T69" s="85">
        <v>0</v>
      </c>
      <c r="U69" s="85">
        <v>288069</v>
      </c>
      <c r="V69" s="85">
        <v>4092</v>
      </c>
      <c r="W69" s="489">
        <v>425601</v>
      </c>
      <c r="X69" s="431" t="str">
        <f>"{"&amp;"'coin':"&amp;表1_861218222426728894[[#This Row],[补偿Coin]]&amp;",'"&amp;配置!$A$2&amp;"':"&amp;表1_861218222426728894[[#This Row],[补偿辎重]]&amp;"},"</f>
        <v>{'coin':1000,'item036':10},</v>
      </c>
      <c r="Y69" s="149" t="str">
        <f>"            'to_zone':'"&amp;表1_861218222426728894[[#This Row],[目标区服]]&amp;"',
            'reward':"&amp;表1_861218222426728894[[#This Row],[辅助导出]]&amp;"
            'country':["&amp;R68&amp;","&amp;R69&amp;","&amp;R70&amp;"],"</f>
        <v>            'to_zone':'h1_569',
            'reward':{'coin':1000,'item036':10},
            'country':[0,0,2],</v>
      </c>
    </row>
    <row r="70" customHeight="1" spans="1:25">
      <c r="A70" s="370">
        <v>5150</v>
      </c>
      <c r="B70" s="81">
        <f>VLOOKUP(表1_861218222426728894[[#This Row],[区服]],$P$149:$Q$196,2,FALSE)</f>
        <v>44</v>
      </c>
      <c r="C70" s="414" t="s">
        <v>200</v>
      </c>
      <c r="D70" s="83" t="str">
        <f>表1_861218222426728894[[#This Row],[目标国家]]</f>
        <v>吴</v>
      </c>
      <c r="E70" s="415">
        <f>(VLOOKUP(表1_861218222426728894[[#This Row],[目标区服]],$R$149:$S$175,2,FALSE)-表1_861218222426728894[[#This Row],[开服天数]])*配置!$B$1</f>
        <v>1000</v>
      </c>
      <c r="F70" s="85">
        <f>表1_861218222426728894[[#This Row],[补偿Coin]]*(表1_861218222426728894[[#This Row],[活跃高战玩家数]]+表1_861218222426728894[[#This Row],[活跃中坚玩家数]])</f>
        <v>24000</v>
      </c>
      <c r="G70" s="416">
        <f>(VLOOKUP(表1_861218222426728894[[#This Row],[目标区服]],$R$149:$S$180,2,FALSE)-表1_861218222426728894[[#This Row],[开服天数]])*配置!$B$2</f>
        <v>10</v>
      </c>
      <c r="H70" s="83" t="s">
        <v>27</v>
      </c>
      <c r="I70" s="421">
        <f>IF(表1_861218222426728894[[#This Row],[原国家]]="魏",0,IF(表1_861218222426728894[[#This Row],[原国家]]="蜀",1,2))</f>
        <v>2</v>
      </c>
      <c r="J70" s="85">
        <v>4</v>
      </c>
      <c r="K70" s="85">
        <v>210</v>
      </c>
      <c r="L70" s="85">
        <v>5</v>
      </c>
      <c r="M70" s="85">
        <v>19</v>
      </c>
      <c r="N70" s="85">
        <v>143256</v>
      </c>
      <c r="O70" s="422">
        <v>1741264</v>
      </c>
      <c r="P70" s="379">
        <v>17936855</v>
      </c>
      <c r="Q70" s="128" t="s">
        <v>27</v>
      </c>
      <c r="R70" s="83">
        <f>IF(表1_861218222426728894[[#This Row],[目标国家]]="魏",0,IF(表1_861218222426728894[[#This Row],[目标国家]]="蜀",1,2))</f>
        <v>2</v>
      </c>
      <c r="S70" s="85">
        <v>15894</v>
      </c>
      <c r="T70" s="85">
        <v>0</v>
      </c>
      <c r="U70" s="85">
        <v>312873</v>
      </c>
      <c r="V70" s="85">
        <v>7384</v>
      </c>
      <c r="W70" s="489">
        <v>519013</v>
      </c>
      <c r="X70" s="431" t="str">
        <f>"{"&amp;"'coin':"&amp;表1_861218222426728894[[#This Row],[补偿Coin]]&amp;",'"&amp;配置!$A$2&amp;"':"&amp;表1_861218222426728894[[#This Row],[补偿辎重]]&amp;"},"</f>
        <v>{'coin':1000,'item036':10},</v>
      </c>
      <c r="Y70" s="149" t="str">
        <f t="shared" si="4"/>
        <v>      },</v>
      </c>
    </row>
    <row r="71" customHeight="1" spans="1:25">
      <c r="A71" s="314">
        <v>5151</v>
      </c>
      <c r="B71" s="91">
        <f>VLOOKUP(表1_861218222426728894[[#This Row],[区服]],$P$149:$Q$196,2,FALSE)</f>
        <v>44</v>
      </c>
      <c r="C71" s="177" t="s">
        <v>201</v>
      </c>
      <c r="D71" s="93" t="str">
        <f>表1_861218222426728894[[#This Row],[目标国家]]</f>
        <v>魏</v>
      </c>
      <c r="E71" s="417">
        <f>(VLOOKUP(表1_861218222426728894[[#This Row],[目标区服]],$R$149:$S$175,2,FALSE)-表1_861218222426728894[[#This Row],[开服天数]])*配置!$B$1</f>
        <v>1000</v>
      </c>
      <c r="F71" s="95">
        <f>表1_861218222426728894[[#This Row],[补偿Coin]]*(表1_861218222426728894[[#This Row],[活跃高战玩家数]]+表1_861218222426728894[[#This Row],[活跃中坚玩家数]])</f>
        <v>24000</v>
      </c>
      <c r="G71" s="418">
        <f>(VLOOKUP(表1_861218222426728894[[#This Row],[目标区服]],$R$149:$S$180,2,FALSE)-表1_861218222426728894[[#This Row],[开服天数]])*配置!$B$2</f>
        <v>10</v>
      </c>
      <c r="H71" s="93" t="s">
        <v>25</v>
      </c>
      <c r="I71" s="423">
        <f>IF(表1_861218222426728894[[#This Row],[原国家]]="魏",0,IF(表1_861218222426728894[[#This Row],[原国家]]="蜀",1,2))</f>
        <v>0</v>
      </c>
      <c r="J71" s="95">
        <v>4</v>
      </c>
      <c r="K71" s="95">
        <v>198</v>
      </c>
      <c r="L71" s="95">
        <v>6</v>
      </c>
      <c r="M71" s="95">
        <v>18</v>
      </c>
      <c r="N71" s="95">
        <v>130340</v>
      </c>
      <c r="O71" s="424">
        <v>1802254</v>
      </c>
      <c r="P71" s="326">
        <v>17065970</v>
      </c>
      <c r="Q71" s="137" t="s">
        <v>25</v>
      </c>
      <c r="R71" s="93">
        <f>IF(表1_861218222426728894[[#This Row],[目标国家]]="魏",0,IF(表1_861218222426728894[[#This Row],[目标国家]]="蜀",1,2))</f>
        <v>0</v>
      </c>
      <c r="S71" s="95">
        <v>32972</v>
      </c>
      <c r="T71" s="95">
        <v>0</v>
      </c>
      <c r="U71" s="95">
        <v>280428</v>
      </c>
      <c r="V71" s="95">
        <v>7669</v>
      </c>
      <c r="W71" s="495">
        <v>523685</v>
      </c>
      <c r="X71" s="433" t="str">
        <f>"{"&amp;"'coin':"&amp;表1_861218222426728894[[#This Row],[补偿Coin]]&amp;",'"&amp;配置!$A$2&amp;"':"&amp;表1_861218222426728894[[#This Row],[补偿辎重]]&amp;"},"</f>
        <v>{'coin':1000,'item036':10},</v>
      </c>
      <c r="Y71" s="138" t="str">
        <f>"      '"&amp;表1_861218222426728894[[#This Row],[区服]]&amp;"':{"</f>
        <v>      '5151':{</v>
      </c>
    </row>
    <row r="72" customHeight="1" spans="1:25">
      <c r="A72" s="314">
        <v>5151</v>
      </c>
      <c r="B72" s="91">
        <f>VLOOKUP(表1_861218222426728894[[#This Row],[区服]],$P$149:$Q$196,2,FALSE)</f>
        <v>44</v>
      </c>
      <c r="C72" s="177" t="s">
        <v>201</v>
      </c>
      <c r="D72" s="93" t="str">
        <f>表1_861218222426728894[[#This Row],[目标国家]]</f>
        <v>蜀</v>
      </c>
      <c r="E72" s="417">
        <f>(VLOOKUP(表1_861218222426728894[[#This Row],[目标区服]],$R$149:$S$175,2,FALSE)-表1_861218222426728894[[#This Row],[开服天数]])*配置!$B$1</f>
        <v>1000</v>
      </c>
      <c r="F72" s="95">
        <f>表1_861218222426728894[[#This Row],[补偿Coin]]*(表1_861218222426728894[[#This Row],[活跃高战玩家数]]+表1_861218222426728894[[#This Row],[活跃中坚玩家数]])</f>
        <v>20000</v>
      </c>
      <c r="G72" s="418">
        <f>(VLOOKUP(表1_861218222426728894[[#This Row],[目标区服]],$R$149:$S$180,2,FALSE)-表1_861218222426728894[[#This Row],[开服天数]])*配置!$B$2</f>
        <v>10</v>
      </c>
      <c r="H72" s="93" t="s">
        <v>26</v>
      </c>
      <c r="I72" s="423">
        <f>IF(表1_861218222426728894[[#This Row],[原国家]]="魏",0,IF(表1_861218222426728894[[#This Row],[原国家]]="蜀",1,2))</f>
        <v>1</v>
      </c>
      <c r="J72" s="95">
        <v>3</v>
      </c>
      <c r="K72" s="95">
        <v>120</v>
      </c>
      <c r="L72" s="95">
        <v>4</v>
      </c>
      <c r="M72" s="95">
        <v>16</v>
      </c>
      <c r="N72" s="95">
        <v>99303</v>
      </c>
      <c r="O72" s="424">
        <v>1829363</v>
      </c>
      <c r="P72" s="326">
        <v>13731693</v>
      </c>
      <c r="Q72" s="137" t="s">
        <v>26</v>
      </c>
      <c r="R72" s="93">
        <f>IF(表1_861218222426728894[[#This Row],[目标国家]]="魏",0,IF(表1_861218222426728894[[#This Row],[目标国家]]="蜀",1,2))</f>
        <v>1</v>
      </c>
      <c r="S72" s="95">
        <v>23662</v>
      </c>
      <c r="T72" s="95">
        <v>0</v>
      </c>
      <c r="U72" s="95">
        <v>154834</v>
      </c>
      <c r="V72" s="95">
        <v>5986</v>
      </c>
      <c r="W72" s="495">
        <v>522360</v>
      </c>
      <c r="X72" s="433" t="str">
        <f>"{"&amp;"'coin':"&amp;表1_861218222426728894[[#This Row],[补偿Coin]]&amp;",'"&amp;配置!$A$2&amp;"':"&amp;表1_861218222426728894[[#This Row],[补偿辎重]]&amp;"},"</f>
        <v>{'coin':1000,'item036':10},</v>
      </c>
      <c r="Y72" s="138" t="str">
        <f>"            'to_zone':'"&amp;表1_861218222426728894[[#This Row],[目标区服]]&amp;"',
            'reward':"&amp;表1_861218222426728894[[#This Row],[辅助导出]]&amp;"
            'country':["&amp;R71&amp;","&amp;R72&amp;","&amp;R73&amp;"],"</f>
        <v>            'to_zone':'h1_570',
            'reward':{'coin':1000,'item036':10},
            'country':[0,1,2],</v>
      </c>
    </row>
    <row r="73" customHeight="1" spans="1:25">
      <c r="A73" s="314">
        <v>5151</v>
      </c>
      <c r="B73" s="91">
        <f>VLOOKUP(表1_861218222426728894[[#This Row],[区服]],$P$149:$Q$196,2,FALSE)</f>
        <v>44</v>
      </c>
      <c r="C73" s="177" t="s">
        <v>201</v>
      </c>
      <c r="D73" s="93" t="str">
        <f>表1_861218222426728894[[#This Row],[目标国家]]</f>
        <v>吴</v>
      </c>
      <c r="E73" s="417">
        <f>(VLOOKUP(表1_861218222426728894[[#This Row],[目标区服]],$R$149:$S$175,2,FALSE)-表1_861218222426728894[[#This Row],[开服天数]])*配置!$B$1</f>
        <v>1000</v>
      </c>
      <c r="F73" s="95">
        <f>表1_861218222426728894[[#This Row],[补偿Coin]]*(表1_861218222426728894[[#This Row],[活跃高战玩家数]]+表1_861218222426728894[[#This Row],[活跃中坚玩家数]])</f>
        <v>14000</v>
      </c>
      <c r="G73" s="418">
        <f>(VLOOKUP(表1_861218222426728894[[#This Row],[目标区服]],$R$149:$S$180,2,FALSE)-表1_861218222426728894[[#This Row],[开服天数]])*配置!$B$2</f>
        <v>10</v>
      </c>
      <c r="H73" s="93" t="s">
        <v>27</v>
      </c>
      <c r="I73" s="423">
        <f>IF(表1_861218222426728894[[#This Row],[原国家]]="魏",0,IF(表1_861218222426728894[[#This Row],[原国家]]="蜀",1,2))</f>
        <v>2</v>
      </c>
      <c r="J73" s="95">
        <v>2</v>
      </c>
      <c r="K73" s="95">
        <v>77</v>
      </c>
      <c r="L73" s="95">
        <v>0</v>
      </c>
      <c r="M73" s="95">
        <v>14</v>
      </c>
      <c r="N73" s="95">
        <v>49240</v>
      </c>
      <c r="O73" s="424">
        <v>921841</v>
      </c>
      <c r="P73" s="326">
        <v>6368884</v>
      </c>
      <c r="Q73" s="137" t="s">
        <v>27</v>
      </c>
      <c r="R73" s="93">
        <f>IF(表1_861218222426728894[[#This Row],[目标国家]]="魏",0,IF(表1_861218222426728894[[#This Row],[目标国家]]="蜀",1,2))</f>
        <v>2</v>
      </c>
      <c r="S73" s="95">
        <v>3640</v>
      </c>
      <c r="T73" s="95">
        <v>0</v>
      </c>
      <c r="U73" s="95">
        <v>92941</v>
      </c>
      <c r="V73" s="95">
        <v>2930</v>
      </c>
      <c r="W73" s="495">
        <v>258357</v>
      </c>
      <c r="X73" s="433" t="str">
        <f>"{"&amp;"'coin':"&amp;表1_861218222426728894[[#This Row],[补偿Coin]]&amp;",'"&amp;配置!$A$2&amp;"':"&amp;表1_861218222426728894[[#This Row],[补偿辎重]]&amp;"},"</f>
        <v>{'coin':1000,'item036':10},</v>
      </c>
      <c r="Y73" s="138" t="str">
        <f t="shared" si="5"/>
        <v>      },</v>
      </c>
    </row>
    <row r="74" customHeight="1" spans="1:25">
      <c r="A74" s="91">
        <v>5152</v>
      </c>
      <c r="B74" s="91">
        <f>VLOOKUP(表1_861218222426728894[[#This Row],[区服]],$P$149:$Q$196,2,FALSE)</f>
        <v>44</v>
      </c>
      <c r="C74" s="177" t="s">
        <v>201</v>
      </c>
      <c r="D74" s="313" t="str">
        <f>表1_861218222426728894[[#This Row],[目标国家]]</f>
        <v>蜀</v>
      </c>
      <c r="E74" s="94">
        <f>(VLOOKUP(表1_861218222426728894[[#This Row],[目标区服]],$R$149:$S$175,2,FALSE)-表1_861218222426728894[[#This Row],[开服天数]])*配置!$B$1</f>
        <v>1000</v>
      </c>
      <c r="F74" s="94">
        <f>表1_861218222426728894[[#This Row],[补偿Coin]]*(表1_861218222426728894[[#This Row],[活跃高战玩家数]]+表1_861218222426728894[[#This Row],[活跃中坚玩家数]])</f>
        <v>8000</v>
      </c>
      <c r="G74" s="94">
        <f>(VLOOKUP(表1_861218222426728894[[#This Row],[目标区服]],$R$149:$S$180,2,FALSE)-表1_861218222426728894[[#This Row],[开服天数]])*配置!$B$2</f>
        <v>10</v>
      </c>
      <c r="H74" s="93" t="s">
        <v>25</v>
      </c>
      <c r="I74" s="93">
        <f>IF(表1_861218222426728894[[#This Row],[原国家]]="魏",0,IF(表1_861218222426728894[[#This Row],[原国家]]="蜀",1,2))</f>
        <v>0</v>
      </c>
      <c r="J74" s="95">
        <v>1</v>
      </c>
      <c r="K74" s="95">
        <v>53</v>
      </c>
      <c r="L74" s="95">
        <v>0</v>
      </c>
      <c r="M74" s="95">
        <v>8</v>
      </c>
      <c r="N74" s="95">
        <v>29049</v>
      </c>
      <c r="O74" s="95">
        <v>871814</v>
      </c>
      <c r="P74" s="326">
        <v>3860178</v>
      </c>
      <c r="Q74" s="137" t="s">
        <v>26</v>
      </c>
      <c r="R74" s="93">
        <f>IF(表1_861218222426728894[[#This Row],[目标国家]]="魏",0,IF(表1_861218222426728894[[#This Row],[目标国家]]="蜀",1,2))</f>
        <v>1</v>
      </c>
      <c r="S74" s="95">
        <v>6746</v>
      </c>
      <c r="T74" s="95">
        <v>0</v>
      </c>
      <c r="U74" s="95">
        <v>56069</v>
      </c>
      <c r="V74" s="95">
        <v>2263</v>
      </c>
      <c r="W74" s="94">
        <v>242359</v>
      </c>
      <c r="X74" s="140" t="str">
        <f>"{"&amp;"'coin':"&amp;表1_861218222426728894[[#This Row],[补偿Coin]]&amp;",'"&amp;配置!$A$2&amp;"':"&amp;表1_861218222426728894[[#This Row],[补偿辎重]]&amp;"},"</f>
        <v>{'coin':1000,'item036':10},</v>
      </c>
      <c r="Y74" s="138" t="str">
        <f>"      '"&amp;表1_861218222426728894[[#This Row],[区服]]&amp;"':{"</f>
        <v>      '5152':{</v>
      </c>
    </row>
    <row r="75" customHeight="1" spans="1:25">
      <c r="A75" s="91">
        <v>5152</v>
      </c>
      <c r="B75" s="91">
        <f>VLOOKUP(表1_861218222426728894[[#This Row],[区服]],$P$149:$Q$196,2,FALSE)</f>
        <v>44</v>
      </c>
      <c r="C75" s="177" t="s">
        <v>201</v>
      </c>
      <c r="D75" s="93" t="str">
        <f>表1_861218222426728894[[#This Row],[目标国家]]</f>
        <v>蜀</v>
      </c>
      <c r="E75" s="95">
        <f>(VLOOKUP(表1_861218222426728894[[#This Row],[目标区服]],$R$149:$S$175,2,FALSE)-表1_861218222426728894[[#This Row],[开服天数]])*配置!$B$1</f>
        <v>1000</v>
      </c>
      <c r="F75" s="95">
        <f>表1_861218222426728894[[#This Row],[补偿Coin]]*(表1_861218222426728894[[#This Row],[活跃高战玩家数]]+表1_861218222426728894[[#This Row],[活跃中坚玩家数]])</f>
        <v>19000</v>
      </c>
      <c r="G75" s="95">
        <f>(VLOOKUP(表1_861218222426728894[[#This Row],[目标区服]],$R$149:$S$180,2,FALSE)-表1_861218222426728894[[#This Row],[开服天数]])*配置!$B$2</f>
        <v>10</v>
      </c>
      <c r="H75" s="93" t="s">
        <v>26</v>
      </c>
      <c r="I75" s="93">
        <f>IF(表1_861218222426728894[[#This Row],[原国家]]="魏",0,IF(表1_861218222426728894[[#This Row],[原国家]]="蜀",1,2))</f>
        <v>1</v>
      </c>
      <c r="J75" s="95">
        <v>0</v>
      </c>
      <c r="K75" s="95">
        <v>62</v>
      </c>
      <c r="L75" s="95">
        <v>3</v>
      </c>
      <c r="M75" s="95">
        <v>16</v>
      </c>
      <c r="N75" s="95">
        <v>77735</v>
      </c>
      <c r="O75" s="95">
        <v>1382694</v>
      </c>
      <c r="P75" s="326">
        <v>10412156</v>
      </c>
      <c r="Q75" s="137" t="s">
        <v>26</v>
      </c>
      <c r="R75" s="93">
        <f>IF(表1_861218222426728894[[#This Row],[目标国家]]="魏",0,IF(表1_861218222426728894[[#This Row],[目标国家]]="蜀",1,2))</f>
        <v>1</v>
      </c>
      <c r="S75" s="95">
        <v>12628</v>
      </c>
      <c r="T75" s="95">
        <v>0</v>
      </c>
      <c r="U75" s="95">
        <v>141674</v>
      </c>
      <c r="V75" s="95">
        <v>3882</v>
      </c>
      <c r="W75" s="94">
        <v>477320</v>
      </c>
      <c r="X75" s="140" t="str">
        <f>"{"&amp;"'coin':"&amp;表1_861218222426728894[[#This Row],[补偿Coin]]&amp;",'"&amp;配置!$A$2&amp;"':"&amp;表1_861218222426728894[[#This Row],[补偿辎重]]&amp;"},"</f>
        <v>{'coin':1000,'item036':10},</v>
      </c>
      <c r="Y75" s="138" t="str">
        <f>"            'to_zone':'"&amp;表1_861218222426728894[[#This Row],[目标区服]]&amp;"',
            'reward':"&amp;表1_861218222426728894[[#This Row],[辅助导出]]&amp;"
            'country':["&amp;R74&amp;","&amp;R75&amp;","&amp;R76&amp;"],"</f>
        <v>            'to_zone':'h1_570',
            'reward':{'coin':1000,'item036':10},
            'country':[1,1,2],</v>
      </c>
    </row>
    <row r="76" customHeight="1" spans="1:25">
      <c r="A76" s="91">
        <v>5152</v>
      </c>
      <c r="B76" s="91">
        <f>VLOOKUP(表1_861218222426728894[[#This Row],[区服]],$P$149:$Q$196,2,FALSE)</f>
        <v>44</v>
      </c>
      <c r="C76" s="177" t="s">
        <v>201</v>
      </c>
      <c r="D76" s="93" t="str">
        <f>表1_861218222426728894[[#This Row],[目标国家]]</f>
        <v>吴</v>
      </c>
      <c r="E76" s="95">
        <f>(VLOOKUP(表1_861218222426728894[[#This Row],[目标区服]],$R$149:$S$175,2,FALSE)-表1_861218222426728894[[#This Row],[开服天数]])*配置!$B$1</f>
        <v>1000</v>
      </c>
      <c r="F76" s="95">
        <f>表1_861218222426728894[[#This Row],[补偿Coin]]*(表1_861218222426728894[[#This Row],[活跃高战玩家数]]+表1_861218222426728894[[#This Row],[活跃中坚玩家数]])</f>
        <v>22000</v>
      </c>
      <c r="G76" s="95">
        <f>(VLOOKUP(表1_861218222426728894[[#This Row],[目标区服]],$R$149:$S$180,2,FALSE)-表1_861218222426728894[[#This Row],[开服天数]])*配置!$B$2</f>
        <v>10</v>
      </c>
      <c r="H76" s="93" t="s">
        <v>27</v>
      </c>
      <c r="I76" s="93">
        <f>IF(表1_861218222426728894[[#This Row],[原国家]]="魏",0,IF(表1_861218222426728894[[#This Row],[原国家]]="蜀",1,2))</f>
        <v>2</v>
      </c>
      <c r="J76" s="95">
        <v>8</v>
      </c>
      <c r="K76" s="95">
        <v>280</v>
      </c>
      <c r="L76" s="95">
        <v>6</v>
      </c>
      <c r="M76" s="95">
        <v>16</v>
      </c>
      <c r="N76" s="95">
        <v>141810</v>
      </c>
      <c r="O76" s="95">
        <v>2836693</v>
      </c>
      <c r="P76" s="326">
        <v>20249475</v>
      </c>
      <c r="Q76" s="137" t="s">
        <v>27</v>
      </c>
      <c r="R76" s="93">
        <f>IF(表1_861218222426728894[[#This Row],[目标国家]]="魏",0,IF(表1_861218222426728894[[#This Row],[目标国家]]="蜀",1,2))</f>
        <v>2</v>
      </c>
      <c r="S76" s="95">
        <v>101982</v>
      </c>
      <c r="T76" s="95">
        <v>0</v>
      </c>
      <c r="U76" s="95">
        <v>466410</v>
      </c>
      <c r="V76" s="95">
        <v>12463</v>
      </c>
      <c r="W76" s="94">
        <v>1056442</v>
      </c>
      <c r="X76" s="140" t="str">
        <f>"{"&amp;"'coin':"&amp;表1_861218222426728894[[#This Row],[补偿Coin]]&amp;",'"&amp;配置!$A$2&amp;"':"&amp;表1_861218222426728894[[#This Row],[补偿辎重]]&amp;"},"</f>
        <v>{'coin':1000,'item036':10},</v>
      </c>
      <c r="Y76" s="138" t="str">
        <f t="shared" si="4"/>
        <v>      },</v>
      </c>
    </row>
    <row r="77" customHeight="1" spans="1:25">
      <c r="A77" s="314">
        <v>5153</v>
      </c>
      <c r="B77" s="91">
        <f>VLOOKUP(表1_861218222426728894[[#This Row],[区服]],$P$149:$Q$196,2,FALSE)</f>
        <v>44</v>
      </c>
      <c r="C77" s="177" t="s">
        <v>201</v>
      </c>
      <c r="D77" s="93" t="str">
        <f>表1_861218222426728894[[#This Row],[目标国家]]</f>
        <v>魏</v>
      </c>
      <c r="E77" s="95">
        <f>(VLOOKUP(表1_861218222426728894[[#This Row],[目标区服]],$R$149:$S$175,2,FALSE)-表1_861218222426728894[[#This Row],[开服天数]])*配置!$B$1</f>
        <v>1000</v>
      </c>
      <c r="F77" s="95">
        <f>表1_861218222426728894[[#This Row],[补偿Coin]]*(表1_861218222426728894[[#This Row],[活跃高战玩家数]]+表1_861218222426728894[[#This Row],[活跃中坚玩家数]])</f>
        <v>16000</v>
      </c>
      <c r="G77" s="95">
        <f>(VLOOKUP(表1_861218222426728894[[#This Row],[目标区服]],$R$149:$S$180,2,FALSE)-表1_861218222426728894[[#This Row],[开服天数]])*配置!$B$2</f>
        <v>10</v>
      </c>
      <c r="H77" s="93" t="s">
        <v>25</v>
      </c>
      <c r="I77" s="93">
        <f>IF(表1_861218222426728894[[#This Row],[原国家]]="魏",0,IF(表1_861218222426728894[[#This Row],[原国家]]="蜀",1,2))</f>
        <v>0</v>
      </c>
      <c r="J77" s="95">
        <v>3</v>
      </c>
      <c r="K77" s="95">
        <v>111</v>
      </c>
      <c r="L77" s="95">
        <v>4</v>
      </c>
      <c r="M77" s="95">
        <v>12</v>
      </c>
      <c r="N77" s="95">
        <v>80569</v>
      </c>
      <c r="O77" s="95">
        <v>1796733</v>
      </c>
      <c r="P77" s="326">
        <v>11024264</v>
      </c>
      <c r="Q77" s="137" t="s">
        <v>25</v>
      </c>
      <c r="R77" s="93">
        <f>IF(表1_861218222426728894[[#This Row],[目标国家]]="魏",0,IF(表1_861218222426728894[[#This Row],[目标国家]]="蜀",1,2))</f>
        <v>0</v>
      </c>
      <c r="S77" s="95">
        <v>19242</v>
      </c>
      <c r="T77" s="95">
        <v>0</v>
      </c>
      <c r="U77" s="95">
        <v>142299</v>
      </c>
      <c r="V77" s="95">
        <v>5360</v>
      </c>
      <c r="W77" s="94">
        <v>447518</v>
      </c>
      <c r="X77" s="140" t="str">
        <f>"{"&amp;"'coin':"&amp;表1_861218222426728894[[#This Row],[补偿Coin]]&amp;",'"&amp;配置!$A$2&amp;"':"&amp;表1_861218222426728894[[#This Row],[补偿辎重]]&amp;"},"</f>
        <v>{'coin':1000,'item036':10},</v>
      </c>
      <c r="Y77" s="138" t="str">
        <f>"      '"&amp;表1_861218222426728894[[#This Row],[区服]]&amp;"':{"</f>
        <v>      '5153':{</v>
      </c>
    </row>
    <row r="78" customHeight="1" spans="1:25">
      <c r="A78" s="314">
        <v>5153</v>
      </c>
      <c r="B78" s="91">
        <f>VLOOKUP(表1_861218222426728894[[#This Row],[区服]],$P$149:$Q$196,2,FALSE)</f>
        <v>44</v>
      </c>
      <c r="C78" s="177" t="s">
        <v>201</v>
      </c>
      <c r="D78" s="93" t="str">
        <f>表1_861218222426728894[[#This Row],[目标国家]]</f>
        <v>蜀</v>
      </c>
      <c r="E78" s="95">
        <f>(VLOOKUP(表1_861218222426728894[[#This Row],[目标区服]],$R$149:$S$175,2,FALSE)-表1_861218222426728894[[#This Row],[开服天数]])*配置!$B$1</f>
        <v>1000</v>
      </c>
      <c r="F78" s="95">
        <f>表1_861218222426728894[[#This Row],[补偿Coin]]*(表1_861218222426728894[[#This Row],[活跃高战玩家数]]+表1_861218222426728894[[#This Row],[活跃中坚玩家数]])</f>
        <v>23000</v>
      </c>
      <c r="G78" s="95">
        <f>(VLOOKUP(表1_861218222426728894[[#This Row],[目标区服]],$R$149:$S$180,2,FALSE)-表1_861218222426728894[[#This Row],[开服天数]])*配置!$B$2</f>
        <v>10</v>
      </c>
      <c r="H78" s="93" t="s">
        <v>26</v>
      </c>
      <c r="I78" s="93">
        <f>IF(表1_861218222426728894[[#This Row],[原国家]]="魏",0,IF(表1_861218222426728894[[#This Row],[原国家]]="蜀",1,2))</f>
        <v>1</v>
      </c>
      <c r="J78" s="95">
        <v>3</v>
      </c>
      <c r="K78" s="95">
        <v>152</v>
      </c>
      <c r="L78" s="95">
        <v>2</v>
      </c>
      <c r="M78" s="95">
        <v>21</v>
      </c>
      <c r="N78" s="95">
        <v>100297</v>
      </c>
      <c r="O78" s="95">
        <v>1349667</v>
      </c>
      <c r="P78" s="326">
        <v>13167585</v>
      </c>
      <c r="Q78" s="137" t="s">
        <v>26</v>
      </c>
      <c r="R78" s="93">
        <f>IF(表1_861218222426728894[[#This Row],[目标国家]]="魏",0,IF(表1_861218222426728894[[#This Row],[目标国家]]="蜀",1,2))</f>
        <v>1</v>
      </c>
      <c r="S78" s="95">
        <v>8772</v>
      </c>
      <c r="T78" s="95">
        <v>0</v>
      </c>
      <c r="U78" s="95">
        <v>228443</v>
      </c>
      <c r="V78" s="95">
        <v>5365</v>
      </c>
      <c r="W78" s="94">
        <v>402802</v>
      </c>
      <c r="X78" s="140" t="str">
        <f>"{"&amp;"'coin':"&amp;表1_861218222426728894[[#This Row],[补偿Coin]]&amp;",'"&amp;配置!$A$2&amp;"':"&amp;表1_861218222426728894[[#This Row],[补偿辎重]]&amp;"},"</f>
        <v>{'coin':1000,'item036':10},</v>
      </c>
      <c r="Y78" s="138" t="str">
        <f>"            'to_zone':'"&amp;表1_861218222426728894[[#This Row],[目标区服]]&amp;"',
            'reward':"&amp;表1_861218222426728894[[#This Row],[辅助导出]]&amp;"
            'country':["&amp;R77&amp;","&amp;R78&amp;","&amp;R79&amp;"],"</f>
        <v>            'to_zone':'h1_570',
            'reward':{'coin':1000,'item036':10},
            'country':[0,1,0],</v>
      </c>
    </row>
    <row r="79" customHeight="1" spans="1:25">
      <c r="A79" s="314">
        <v>5153</v>
      </c>
      <c r="B79" s="91">
        <f>VLOOKUP(表1_861218222426728894[[#This Row],[区服]],$P$149:$Q$196,2,FALSE)</f>
        <v>44</v>
      </c>
      <c r="C79" s="177" t="s">
        <v>201</v>
      </c>
      <c r="D79" s="93" t="str">
        <f>表1_861218222426728894[[#This Row],[目标国家]]</f>
        <v>魏</v>
      </c>
      <c r="E79" s="95">
        <f>(VLOOKUP(表1_861218222426728894[[#This Row],[目标区服]],$R$149:$S$175,2,FALSE)-表1_861218222426728894[[#This Row],[开服天数]])*配置!$B$1</f>
        <v>1000</v>
      </c>
      <c r="F79" s="95">
        <f>表1_861218222426728894[[#This Row],[补偿Coin]]*(表1_861218222426728894[[#This Row],[活跃高战玩家数]]+表1_861218222426728894[[#This Row],[活跃中坚玩家数]])</f>
        <v>25000</v>
      </c>
      <c r="G79" s="95">
        <f>(VLOOKUP(表1_861218222426728894[[#This Row],[目标区服]],$R$149:$S$180,2,FALSE)-表1_861218222426728894[[#This Row],[开服天数]])*配置!$B$2</f>
        <v>10</v>
      </c>
      <c r="H79" s="93" t="s">
        <v>27</v>
      </c>
      <c r="I79" s="93">
        <f>IF(表1_861218222426728894[[#This Row],[原国家]]="魏",0,IF(表1_861218222426728894[[#This Row],[原国家]]="蜀",1,2))</f>
        <v>2</v>
      </c>
      <c r="J79" s="95">
        <v>3</v>
      </c>
      <c r="K79" s="95">
        <v>132</v>
      </c>
      <c r="L79" s="95">
        <v>4</v>
      </c>
      <c r="M79" s="95">
        <v>21</v>
      </c>
      <c r="N79" s="95">
        <v>112586</v>
      </c>
      <c r="O79" s="95">
        <v>1891250</v>
      </c>
      <c r="P79" s="326">
        <v>15596024</v>
      </c>
      <c r="Q79" s="137" t="s">
        <v>25</v>
      </c>
      <c r="R79" s="93">
        <f>IF(表1_861218222426728894[[#This Row],[目标国家]]="魏",0,IF(表1_861218222426728894[[#This Row],[目标国家]]="蜀",1,2))</f>
        <v>0</v>
      </c>
      <c r="S79" s="95">
        <v>19962</v>
      </c>
      <c r="T79" s="95">
        <v>0</v>
      </c>
      <c r="U79" s="95">
        <v>427188</v>
      </c>
      <c r="V79" s="95">
        <v>6446</v>
      </c>
      <c r="W79" s="94">
        <v>568928</v>
      </c>
      <c r="X79" s="140" t="str">
        <f>"{"&amp;"'coin':"&amp;表1_861218222426728894[[#This Row],[补偿Coin]]&amp;",'"&amp;配置!$A$2&amp;"':"&amp;表1_861218222426728894[[#This Row],[补偿辎重]]&amp;"},"</f>
        <v>{'coin':1000,'item036':10},</v>
      </c>
      <c r="Y79" s="138" t="str">
        <f t="shared" si="5"/>
        <v>      },</v>
      </c>
    </row>
    <row r="80" customHeight="1" spans="1:25">
      <c r="A80" s="259">
        <v>5154</v>
      </c>
      <c r="B80" s="210">
        <f>VLOOKUP(表1_861218222426728894[[#This Row],[区服]],$P$149:$Q$196,2,FALSE)</f>
        <v>43</v>
      </c>
      <c r="C80" s="41" t="s">
        <v>202</v>
      </c>
      <c r="D80" s="212" t="str">
        <f>表1_861218222426728894[[#This Row],[目标国家]]</f>
        <v>魏</v>
      </c>
      <c r="E80" s="213">
        <f>(VLOOKUP(表1_861218222426728894[[#This Row],[目标区服]],$R$149:$S$175,2,FALSE)-表1_861218222426728894[[#This Row],[开服天数]])*配置!$B$1</f>
        <v>1000</v>
      </c>
      <c r="F80" s="213">
        <f>表1_861218222426728894[[#This Row],[补偿Coin]]*(表1_861218222426728894[[#This Row],[活跃高战玩家数]]+表1_861218222426728894[[#This Row],[活跃中坚玩家数]])</f>
        <v>23000</v>
      </c>
      <c r="G80" s="260">
        <f>(VLOOKUP(表1_861218222426728894[[#This Row],[目标区服]],$R$149:$S$180,2,FALSE)-表1_861218222426728894[[#This Row],[开服天数]])*配置!$B$2</f>
        <v>10</v>
      </c>
      <c r="H80" s="212" t="s">
        <v>25</v>
      </c>
      <c r="I80" s="268">
        <f>IF(表1_861218222426728894[[#This Row],[原国家]]="魏",0,IF(表1_861218222426728894[[#This Row],[原国家]]="蜀",1,2))</f>
        <v>0</v>
      </c>
      <c r="J80" s="213">
        <v>9</v>
      </c>
      <c r="K80" s="213">
        <v>302</v>
      </c>
      <c r="L80" s="213">
        <v>5</v>
      </c>
      <c r="M80" s="213">
        <v>18</v>
      </c>
      <c r="N80" s="213">
        <v>120285</v>
      </c>
      <c r="O80" s="419">
        <v>3019353</v>
      </c>
      <c r="P80" s="420">
        <v>21077140</v>
      </c>
      <c r="Q80" s="31" t="s">
        <v>25</v>
      </c>
      <c r="R80" s="212">
        <f>IF(表1_861218222426728894[[#This Row],[目标国家]]="魏",0,IF(表1_861218222426728894[[#This Row],[目标国家]]="蜀",1,2))</f>
        <v>0</v>
      </c>
      <c r="S80" s="213">
        <v>191214</v>
      </c>
      <c r="T80" s="213">
        <v>0</v>
      </c>
      <c r="U80" s="213">
        <v>706360</v>
      </c>
      <c r="V80" s="213">
        <v>15738</v>
      </c>
      <c r="W80" s="213">
        <v>1077224</v>
      </c>
      <c r="X80" s="278" t="str">
        <f>"{"&amp;"'coin':"&amp;表1_861218222426728894[[#This Row],[补偿Coin]]&amp;",'"&amp;配置!$A$2&amp;"':"&amp;表1_861218222426728894[[#This Row],[补偿辎重]]&amp;"},"</f>
        <v>{'coin':1000,'item036':10},</v>
      </c>
      <c r="Y80" s="278" t="str">
        <f>"      '"&amp;表1_861218222426728894[[#This Row],[区服]]&amp;"':{"</f>
        <v>      '5154':{</v>
      </c>
    </row>
    <row r="81" customHeight="1" spans="1:25">
      <c r="A81" s="259">
        <v>5154</v>
      </c>
      <c r="B81" s="210">
        <f>VLOOKUP(表1_861218222426728894[[#This Row],[区服]],$P$149:$Q$196,2,FALSE)</f>
        <v>43</v>
      </c>
      <c r="C81" s="41" t="s">
        <v>202</v>
      </c>
      <c r="D81" s="212" t="str">
        <f>表1_861218222426728894[[#This Row],[目标国家]]</f>
        <v>蜀</v>
      </c>
      <c r="E81" s="213">
        <f>(VLOOKUP(表1_861218222426728894[[#This Row],[目标区服]],$R$149:$S$175,2,FALSE)-表1_861218222426728894[[#This Row],[开服天数]])*配置!$B$1</f>
        <v>1000</v>
      </c>
      <c r="F81" s="213">
        <f>表1_861218222426728894[[#This Row],[补偿Coin]]*(表1_861218222426728894[[#This Row],[活跃高战玩家数]]+表1_861218222426728894[[#This Row],[活跃中坚玩家数]])</f>
        <v>18000</v>
      </c>
      <c r="G81" s="260">
        <f>(VLOOKUP(表1_861218222426728894[[#This Row],[目标区服]],$R$149:$S$180,2,FALSE)-表1_861218222426728894[[#This Row],[开服天数]])*配置!$B$2</f>
        <v>10</v>
      </c>
      <c r="H81" s="212" t="s">
        <v>26</v>
      </c>
      <c r="I81" s="268">
        <f>IF(表1_861218222426728894[[#This Row],[原国家]]="魏",0,IF(表1_861218222426728894[[#This Row],[原国家]]="蜀",1,2))</f>
        <v>1</v>
      </c>
      <c r="J81" s="213">
        <v>0</v>
      </c>
      <c r="K81" s="213">
        <v>57</v>
      </c>
      <c r="L81" s="213">
        <v>2</v>
      </c>
      <c r="M81" s="213">
        <v>16</v>
      </c>
      <c r="N81" s="213">
        <v>82551</v>
      </c>
      <c r="O81" s="419">
        <v>1382810</v>
      </c>
      <c r="P81" s="420">
        <v>11656698</v>
      </c>
      <c r="Q81" s="31" t="s">
        <v>26</v>
      </c>
      <c r="R81" s="212">
        <f>IF(表1_861218222426728894[[#This Row],[目标国家]]="魏",0,IF(表1_861218222426728894[[#This Row],[目标国家]]="蜀",1,2))</f>
        <v>1</v>
      </c>
      <c r="S81" s="213">
        <v>22190</v>
      </c>
      <c r="T81" s="213">
        <v>0</v>
      </c>
      <c r="U81" s="213">
        <v>153273</v>
      </c>
      <c r="V81" s="213">
        <v>4273</v>
      </c>
      <c r="W81" s="213">
        <v>419998</v>
      </c>
      <c r="X81" s="278" t="str">
        <f>"{"&amp;"'coin':"&amp;表1_861218222426728894[[#This Row],[补偿Coin]]&amp;",'"&amp;配置!$A$2&amp;"':"&amp;表1_861218222426728894[[#This Row],[补偿辎重]]&amp;"},"</f>
        <v>{'coin':1000,'item036':10},</v>
      </c>
      <c r="Y81" s="278" t="str">
        <f>"            'to_zone':'"&amp;表1_861218222426728894[[#This Row],[目标区服]]&amp;"',
            'reward':"&amp;表1_861218222426728894[[#This Row],[辅助导出]]&amp;"
            'country':["&amp;R80&amp;","&amp;R81&amp;","&amp;R82&amp;"],"</f>
        <v>            'to_zone':'h1_571',
            'reward':{'coin':1000,'item036':10},
            'country':[0,1,2],</v>
      </c>
    </row>
    <row r="82" customHeight="1" spans="1:25">
      <c r="A82" s="259">
        <v>5154</v>
      </c>
      <c r="B82" s="210">
        <f>VLOOKUP(表1_861218222426728894[[#This Row],[区服]],$P$149:$Q$196,2,FALSE)</f>
        <v>43</v>
      </c>
      <c r="C82" s="41" t="s">
        <v>202</v>
      </c>
      <c r="D82" s="212" t="str">
        <f>表1_861218222426728894[[#This Row],[目标国家]]</f>
        <v>吴</v>
      </c>
      <c r="E82" s="213">
        <f>(VLOOKUP(表1_861218222426728894[[#This Row],[目标区服]],$R$149:$S$175,2,FALSE)-表1_861218222426728894[[#This Row],[开服天数]])*配置!$B$1</f>
        <v>1000</v>
      </c>
      <c r="F82" s="213">
        <f>表1_861218222426728894[[#This Row],[补偿Coin]]*(表1_861218222426728894[[#This Row],[活跃高战玩家数]]+表1_861218222426728894[[#This Row],[活跃中坚玩家数]])</f>
        <v>15000</v>
      </c>
      <c r="G82" s="260">
        <f>(VLOOKUP(表1_861218222426728894[[#This Row],[目标区服]],$R$149:$S$180,2,FALSE)-表1_861218222426728894[[#This Row],[开服天数]])*配置!$B$2</f>
        <v>10</v>
      </c>
      <c r="H82" s="212" t="s">
        <v>27</v>
      </c>
      <c r="I82" s="268">
        <f>IF(表1_861218222426728894[[#This Row],[原国家]]="魏",0,IF(表1_861218222426728894[[#This Row],[原国家]]="蜀",1,2))</f>
        <v>2</v>
      </c>
      <c r="J82" s="213">
        <v>0</v>
      </c>
      <c r="K82" s="213">
        <v>36</v>
      </c>
      <c r="L82" s="213">
        <v>1</v>
      </c>
      <c r="M82" s="213">
        <v>14</v>
      </c>
      <c r="N82" s="213">
        <v>47441</v>
      </c>
      <c r="O82" s="419">
        <v>1329552</v>
      </c>
      <c r="P82" s="420">
        <v>8018982</v>
      </c>
      <c r="Q82" s="31" t="s">
        <v>27</v>
      </c>
      <c r="R82" s="212">
        <f>IF(表1_861218222426728894[[#This Row],[目标国家]]="魏",0,IF(表1_861218222426728894[[#This Row],[目标国家]]="蜀",1,2))</f>
        <v>2</v>
      </c>
      <c r="S82" s="213">
        <v>16874</v>
      </c>
      <c r="T82" s="213">
        <v>0</v>
      </c>
      <c r="U82" s="213">
        <v>139633</v>
      </c>
      <c r="V82" s="213">
        <v>3304</v>
      </c>
      <c r="W82" s="213">
        <v>447661</v>
      </c>
      <c r="X82" s="278" t="str">
        <f>"{"&amp;"'coin':"&amp;表1_861218222426728894[[#This Row],[补偿Coin]]&amp;",'"&amp;配置!$A$2&amp;"':"&amp;表1_861218222426728894[[#This Row],[补偿辎重]]&amp;"},"</f>
        <v>{'coin':1000,'item036':10},</v>
      </c>
      <c r="Y82" s="278" t="str">
        <f t="shared" si="4"/>
        <v>      },</v>
      </c>
    </row>
    <row r="83" customHeight="1" spans="1:25">
      <c r="A83" s="259">
        <v>5155</v>
      </c>
      <c r="B83" s="210">
        <f>VLOOKUP(表1_861218222426728894[[#This Row],[区服]],$P$149:$Q$196,2,FALSE)</f>
        <v>43</v>
      </c>
      <c r="C83" s="41" t="s">
        <v>202</v>
      </c>
      <c r="D83" s="212" t="str">
        <f>表1_861218222426728894[[#This Row],[目标国家]]</f>
        <v>魏</v>
      </c>
      <c r="E83" s="213">
        <f>(VLOOKUP(表1_861218222426728894[[#This Row],[目标区服]],$R$149:$S$175,2,FALSE)-表1_861218222426728894[[#This Row],[开服天数]])*配置!$B$1</f>
        <v>1000</v>
      </c>
      <c r="F83" s="213">
        <f>表1_861218222426728894[[#This Row],[补偿Coin]]*(表1_861218222426728894[[#This Row],[活跃高战玩家数]]+表1_861218222426728894[[#This Row],[活跃中坚玩家数]])</f>
        <v>22000</v>
      </c>
      <c r="G83" s="260">
        <f>(VLOOKUP(表1_861218222426728894[[#This Row],[目标区服]],$R$149:$S$180,2,FALSE)-表1_861218222426728894[[#This Row],[开服天数]])*配置!$B$2</f>
        <v>10</v>
      </c>
      <c r="H83" s="212" t="s">
        <v>25</v>
      </c>
      <c r="I83" s="268">
        <f>IF(表1_861218222426728894[[#This Row],[原国家]]="魏",0,IF(表1_861218222426728894[[#This Row],[原国家]]="蜀",1,2))</f>
        <v>0</v>
      </c>
      <c r="J83" s="213">
        <v>0</v>
      </c>
      <c r="K83" s="213">
        <v>41</v>
      </c>
      <c r="L83" s="213">
        <v>0</v>
      </c>
      <c r="M83" s="213">
        <v>22</v>
      </c>
      <c r="N83" s="213">
        <v>61420</v>
      </c>
      <c r="O83" s="419">
        <v>1158809</v>
      </c>
      <c r="P83" s="420">
        <v>11594710</v>
      </c>
      <c r="Q83" s="31" t="s">
        <v>25</v>
      </c>
      <c r="R83" s="212">
        <f>IF(表1_861218222426728894[[#This Row],[目标国家]]="魏",0,IF(表1_861218222426728894[[#This Row],[目标国家]]="蜀",1,2))</f>
        <v>0</v>
      </c>
      <c r="S83" s="213">
        <v>3502</v>
      </c>
      <c r="T83" s="213">
        <v>0</v>
      </c>
      <c r="U83" s="213">
        <v>149395</v>
      </c>
      <c r="V83" s="213">
        <v>3215</v>
      </c>
      <c r="W83" s="213">
        <v>341675</v>
      </c>
      <c r="X83" s="278" t="str">
        <f>"{"&amp;"'coin':"&amp;表1_861218222426728894[[#This Row],[补偿Coin]]&amp;",'"&amp;配置!$A$2&amp;"':"&amp;表1_861218222426728894[[#This Row],[补偿辎重]]&amp;"},"</f>
        <v>{'coin':1000,'item036':10},</v>
      </c>
      <c r="Y83" s="278" t="str">
        <f>"      '"&amp;表1_861218222426728894[[#This Row],[区服]]&amp;"':{"</f>
        <v>      '5155':{</v>
      </c>
    </row>
    <row r="84" customHeight="1" spans="1:25">
      <c r="A84" s="259">
        <v>5155</v>
      </c>
      <c r="B84" s="210">
        <f>VLOOKUP(表1_861218222426728894[[#This Row],[区服]],$P$149:$Q$196,2,FALSE)</f>
        <v>43</v>
      </c>
      <c r="C84" s="41" t="s">
        <v>202</v>
      </c>
      <c r="D84" s="212" t="str">
        <f>表1_861218222426728894[[#This Row],[目标国家]]</f>
        <v>蜀</v>
      </c>
      <c r="E84" s="213">
        <f>(VLOOKUP(表1_861218222426728894[[#This Row],[目标区服]],$R$149:$S$175,2,FALSE)-表1_861218222426728894[[#This Row],[开服天数]])*配置!$B$1</f>
        <v>1000</v>
      </c>
      <c r="F84" s="213">
        <f>表1_861218222426728894[[#This Row],[补偿Coin]]*(表1_861218222426728894[[#This Row],[活跃高战玩家数]]+表1_861218222426728894[[#This Row],[活跃中坚玩家数]])</f>
        <v>31000</v>
      </c>
      <c r="G84" s="260">
        <f>(VLOOKUP(表1_861218222426728894[[#This Row],[目标区服]],$R$149:$S$180,2,FALSE)-表1_861218222426728894[[#This Row],[开服天数]])*配置!$B$2</f>
        <v>10</v>
      </c>
      <c r="H84" s="212" t="s">
        <v>26</v>
      </c>
      <c r="I84" s="268">
        <f>IF(表1_861218222426728894[[#This Row],[原国家]]="魏",0,IF(表1_861218222426728894[[#This Row],[原国家]]="蜀",1,2))</f>
        <v>1</v>
      </c>
      <c r="J84" s="213">
        <v>7</v>
      </c>
      <c r="K84" s="213">
        <v>273</v>
      </c>
      <c r="L84" s="213">
        <v>6</v>
      </c>
      <c r="M84" s="213">
        <v>25</v>
      </c>
      <c r="N84" s="213">
        <v>155250</v>
      </c>
      <c r="O84" s="419">
        <v>2188410</v>
      </c>
      <c r="P84" s="420">
        <v>23946795</v>
      </c>
      <c r="Q84" s="31" t="s">
        <v>26</v>
      </c>
      <c r="R84" s="212">
        <f>IF(表1_861218222426728894[[#This Row],[目标国家]]="魏",0,IF(表1_861218222426728894[[#This Row],[目标国家]]="蜀",1,2))</f>
        <v>1</v>
      </c>
      <c r="S84" s="213">
        <v>34568</v>
      </c>
      <c r="T84" s="213">
        <v>0</v>
      </c>
      <c r="U84" s="213">
        <v>465110</v>
      </c>
      <c r="V84" s="213">
        <v>10058</v>
      </c>
      <c r="W84" s="213">
        <v>673278</v>
      </c>
      <c r="X84" s="278" t="str">
        <f>"{"&amp;"'coin':"&amp;表1_861218222426728894[[#This Row],[补偿Coin]]&amp;",'"&amp;配置!$A$2&amp;"':"&amp;表1_861218222426728894[[#This Row],[补偿辎重]]&amp;"},"</f>
        <v>{'coin':1000,'item036':10},</v>
      </c>
      <c r="Y84" s="278" t="str">
        <f>"            'to_zone':'"&amp;表1_861218222426728894[[#This Row],[目标区服]]&amp;"',
            'reward':"&amp;表1_861218222426728894[[#This Row],[辅助导出]]&amp;"
            'country':["&amp;R83&amp;","&amp;R84&amp;","&amp;R85&amp;"],"</f>
        <v>            'to_zone':'h1_571',
            'reward':{'coin':1000,'item036':10},
            'country':[0,1,2],</v>
      </c>
    </row>
    <row r="85" customHeight="1" spans="1:25">
      <c r="A85" s="259">
        <v>5155</v>
      </c>
      <c r="B85" s="210">
        <f>VLOOKUP(表1_861218222426728894[[#This Row],[区服]],$P$149:$Q$196,2,FALSE)</f>
        <v>43</v>
      </c>
      <c r="C85" s="41" t="s">
        <v>202</v>
      </c>
      <c r="D85" s="212" t="str">
        <f>表1_861218222426728894[[#This Row],[目标国家]]</f>
        <v>吴</v>
      </c>
      <c r="E85" s="213">
        <f>(VLOOKUP(表1_861218222426728894[[#This Row],[目标区服]],$R$149:$S$175,2,FALSE)-表1_861218222426728894[[#This Row],[开服天数]])*配置!$B$1</f>
        <v>1000</v>
      </c>
      <c r="F85" s="213">
        <f>表1_861218222426728894[[#This Row],[补偿Coin]]*(表1_861218222426728894[[#This Row],[活跃高战玩家数]]+表1_861218222426728894[[#This Row],[活跃中坚玩家数]])</f>
        <v>20000</v>
      </c>
      <c r="G85" s="260">
        <f>(VLOOKUP(表1_861218222426728894[[#This Row],[目标区服]],$R$149:$S$180,2,FALSE)-表1_861218222426728894[[#This Row],[开服天数]])*配置!$B$2</f>
        <v>10</v>
      </c>
      <c r="H85" s="212" t="s">
        <v>27</v>
      </c>
      <c r="I85" s="268">
        <f>IF(表1_861218222426728894[[#This Row],[原国家]]="魏",0,IF(表1_861218222426728894[[#This Row],[原国家]]="蜀",1,2))</f>
        <v>2</v>
      </c>
      <c r="J85" s="213">
        <v>2</v>
      </c>
      <c r="K85" s="213">
        <v>81</v>
      </c>
      <c r="L85" s="213">
        <v>4</v>
      </c>
      <c r="M85" s="213">
        <v>16</v>
      </c>
      <c r="N85" s="213">
        <v>95425</v>
      </c>
      <c r="O85" s="419">
        <v>1835994</v>
      </c>
      <c r="P85" s="420">
        <v>14927441</v>
      </c>
      <c r="Q85" s="31" t="s">
        <v>27</v>
      </c>
      <c r="R85" s="212">
        <f>IF(表1_861218222426728894[[#This Row],[目标国家]]="魏",0,IF(表1_861218222426728894[[#This Row],[目标国家]]="蜀",1,2))</f>
        <v>2</v>
      </c>
      <c r="S85" s="213">
        <v>36400</v>
      </c>
      <c r="T85" s="213">
        <v>0</v>
      </c>
      <c r="U85" s="213">
        <v>209013</v>
      </c>
      <c r="V85" s="213">
        <v>6012</v>
      </c>
      <c r="W85" s="213">
        <v>513478</v>
      </c>
      <c r="X85" s="278" t="str">
        <f>"{"&amp;"'coin':"&amp;表1_861218222426728894[[#This Row],[补偿Coin]]&amp;",'"&amp;配置!$A$2&amp;"':"&amp;表1_861218222426728894[[#This Row],[补偿辎重]]&amp;"},"</f>
        <v>{'coin':1000,'item036':10},</v>
      </c>
      <c r="Y85" s="278" t="str">
        <f t="shared" ref="Y85" si="6">"      },"</f>
        <v>      },</v>
      </c>
    </row>
    <row r="86" customHeight="1" spans="1:25">
      <c r="A86" s="17">
        <v>5156</v>
      </c>
      <c r="B86" s="17">
        <f>VLOOKUP(表1_861218222426728894[[#This Row],[区服]],$P$149:$Q$196,2,FALSE)</f>
        <v>43</v>
      </c>
      <c r="C86" s="45" t="s">
        <v>203</v>
      </c>
      <c r="D86" s="19" t="str">
        <f>表1_861218222426728894[[#This Row],[目标国家]]</f>
        <v>魏</v>
      </c>
      <c r="E86" s="20">
        <f>(VLOOKUP(表1_861218222426728894[[#This Row],[目标区服]],$R$149:$S$175,2,FALSE)-表1_861218222426728894[[#This Row],[开服天数]])*配置!$B$1</f>
        <v>1000</v>
      </c>
      <c r="F86" s="20">
        <f>表1_861218222426728894[[#This Row],[补偿Coin]]*(表1_861218222426728894[[#This Row],[活跃高战玩家数]]+表1_861218222426728894[[#This Row],[活跃中坚玩家数]])</f>
        <v>11000</v>
      </c>
      <c r="G86" s="20">
        <f>(VLOOKUP(表1_861218222426728894[[#This Row],[目标区服]],$R$149:$S$180,2,FALSE)-表1_861218222426728894[[#This Row],[开服天数]])*配置!$B$2</f>
        <v>10</v>
      </c>
      <c r="H86" s="19" t="s">
        <v>25</v>
      </c>
      <c r="I86" s="19">
        <f>IF(表1_861218222426728894[[#This Row],[原国家]]="魏",0,IF(表1_861218222426728894[[#This Row],[原国家]]="蜀",1,2))</f>
        <v>0</v>
      </c>
      <c r="J86" s="20">
        <v>0</v>
      </c>
      <c r="K86" s="20">
        <v>12</v>
      </c>
      <c r="L86" s="20">
        <v>3</v>
      </c>
      <c r="M86" s="20">
        <v>8</v>
      </c>
      <c r="N86" s="20">
        <v>50081</v>
      </c>
      <c r="O86" s="20">
        <v>2851951</v>
      </c>
      <c r="P86" s="26">
        <v>10961571</v>
      </c>
      <c r="Q86" s="31" t="s">
        <v>25</v>
      </c>
      <c r="R86" s="19">
        <f>IF(表1_861218222426728894[[#This Row],[目标国家]]="魏",0,IF(表1_861218222426728894[[#This Row],[目标国家]]="蜀",1,2))</f>
        <v>0</v>
      </c>
      <c r="S86" s="20">
        <v>142408</v>
      </c>
      <c r="T86" s="20">
        <v>0</v>
      </c>
      <c r="U86" s="20">
        <v>168804</v>
      </c>
      <c r="V86" s="20">
        <v>8675</v>
      </c>
      <c r="W86" s="32">
        <v>829962</v>
      </c>
      <c r="X86" s="33" t="str">
        <f>"{"&amp;"'coin':"&amp;表1_861218222426728894[[#This Row],[补偿Coin]]&amp;",'"&amp;配置!$A$2&amp;"':"&amp;表1_861218222426728894[[#This Row],[补偿辎重]]&amp;"},"</f>
        <v>{'coin':1000,'item036':10},</v>
      </c>
      <c r="Y86" s="34" t="str">
        <f>"      '"&amp;表1_861218222426728894[[#This Row],[区服]]&amp;"':{"</f>
        <v>      '5156':{</v>
      </c>
    </row>
    <row r="87" customHeight="1" spans="1:25">
      <c r="A87" s="17">
        <v>5156</v>
      </c>
      <c r="B87" s="17">
        <f>VLOOKUP(表1_861218222426728894[[#This Row],[区服]],$P$149:$Q$196,2,FALSE)</f>
        <v>43</v>
      </c>
      <c r="C87" s="45" t="s">
        <v>203</v>
      </c>
      <c r="D87" s="19" t="str">
        <f>表1_861218222426728894[[#This Row],[目标国家]]</f>
        <v>蜀</v>
      </c>
      <c r="E87" s="20">
        <f>(VLOOKUP(表1_861218222426728894[[#This Row],[目标区服]],$R$149:$S$175,2,FALSE)-表1_861218222426728894[[#This Row],[开服天数]])*配置!$B$1</f>
        <v>1000</v>
      </c>
      <c r="F87" s="20">
        <f>表1_861218222426728894[[#This Row],[补偿Coin]]*(表1_861218222426728894[[#This Row],[活跃高战玩家数]]+表1_861218222426728894[[#This Row],[活跃中坚玩家数]])</f>
        <v>31000</v>
      </c>
      <c r="G87" s="20">
        <f>(VLOOKUP(表1_861218222426728894[[#This Row],[目标区服]],$R$149:$S$180,2,FALSE)-表1_861218222426728894[[#This Row],[开服天数]])*配置!$B$2</f>
        <v>10</v>
      </c>
      <c r="H87" s="19" t="s">
        <v>26</v>
      </c>
      <c r="I87" s="19">
        <f>IF(表1_861218222426728894[[#This Row],[原国家]]="魏",0,IF(表1_861218222426728894[[#This Row],[原国家]]="蜀",1,2))</f>
        <v>1</v>
      </c>
      <c r="J87" s="20">
        <v>6</v>
      </c>
      <c r="K87" s="20">
        <v>239</v>
      </c>
      <c r="L87" s="20">
        <v>4</v>
      </c>
      <c r="M87" s="20">
        <v>27</v>
      </c>
      <c r="N87" s="20">
        <v>125766</v>
      </c>
      <c r="O87" s="20">
        <v>2909118</v>
      </c>
      <c r="P87" s="26">
        <v>25925338</v>
      </c>
      <c r="Q87" s="31" t="s">
        <v>26</v>
      </c>
      <c r="R87" s="19">
        <f>IF(表1_861218222426728894[[#This Row],[目标国家]]="魏",0,IF(表1_861218222426728894[[#This Row],[目标国家]]="蜀",1,2))</f>
        <v>1</v>
      </c>
      <c r="S87" s="20">
        <v>93138</v>
      </c>
      <c r="T87" s="20">
        <v>0</v>
      </c>
      <c r="U87" s="20">
        <v>591055</v>
      </c>
      <c r="V87" s="20">
        <v>12210</v>
      </c>
      <c r="W87" s="32">
        <v>881008</v>
      </c>
      <c r="X87" s="33" t="str">
        <f>"{"&amp;"'coin':"&amp;表1_861218222426728894[[#This Row],[补偿Coin]]&amp;",'"&amp;配置!$A$2&amp;"':"&amp;表1_861218222426728894[[#This Row],[补偿辎重]]&amp;"},"</f>
        <v>{'coin':1000,'item036':10},</v>
      </c>
      <c r="Y87" s="34" t="str">
        <f>"            'to_zone':'"&amp;表1_861218222426728894[[#This Row],[目标区服]]&amp;"',
            'reward':"&amp;表1_861218222426728894[[#This Row],[辅助导出]]&amp;"
            'country':["&amp;R86&amp;","&amp;R87&amp;","&amp;R88&amp;"],"</f>
        <v>            'to_zone':'h1_572',
            'reward':{'coin':1000,'item036':10},
            'country':[0,1,2],</v>
      </c>
    </row>
    <row r="88" customHeight="1" spans="1:25">
      <c r="A88" s="17">
        <v>5156</v>
      </c>
      <c r="B88" s="17">
        <f>VLOOKUP(表1_861218222426728894[[#This Row],[区服]],$P$149:$Q$196,2,FALSE)</f>
        <v>43</v>
      </c>
      <c r="C88" s="45" t="s">
        <v>203</v>
      </c>
      <c r="D88" s="19" t="str">
        <f>表1_861218222426728894[[#This Row],[目标国家]]</f>
        <v>吴</v>
      </c>
      <c r="E88" s="20">
        <f>(VLOOKUP(表1_861218222426728894[[#This Row],[目标区服]],$R$149:$S$175,2,FALSE)-表1_861218222426728894[[#This Row],[开服天数]])*配置!$B$1</f>
        <v>1000</v>
      </c>
      <c r="F88" s="20">
        <f>表1_861218222426728894[[#This Row],[补偿Coin]]*(表1_861218222426728894[[#This Row],[活跃高战玩家数]]+表1_861218222426728894[[#This Row],[活跃中坚玩家数]])</f>
        <v>27000</v>
      </c>
      <c r="G88" s="20">
        <f>(VLOOKUP(表1_861218222426728894[[#This Row],[目标区服]],$R$149:$S$180,2,FALSE)-表1_861218222426728894[[#This Row],[开服天数]])*配置!$B$2</f>
        <v>10</v>
      </c>
      <c r="H88" s="19" t="s">
        <v>27</v>
      </c>
      <c r="I88" s="19">
        <f>IF(表1_861218222426728894[[#This Row],[原国家]]="魏",0,IF(表1_861218222426728894[[#This Row],[原国家]]="蜀",1,2))</f>
        <v>2</v>
      </c>
      <c r="J88" s="20">
        <v>3</v>
      </c>
      <c r="K88" s="20">
        <v>144</v>
      </c>
      <c r="L88" s="20">
        <v>3</v>
      </c>
      <c r="M88" s="20">
        <v>24</v>
      </c>
      <c r="N88" s="20">
        <v>97079</v>
      </c>
      <c r="O88" s="20">
        <v>1985389</v>
      </c>
      <c r="P88" s="26">
        <v>19714014</v>
      </c>
      <c r="Q88" s="31" t="s">
        <v>27</v>
      </c>
      <c r="R88" s="19">
        <f>IF(表1_861218222426728894[[#This Row],[目标国家]]="魏",0,IF(表1_861218222426728894[[#This Row],[目标国家]]="蜀",1,2))</f>
        <v>2</v>
      </c>
      <c r="S88" s="20">
        <v>38298</v>
      </c>
      <c r="T88" s="20">
        <v>0</v>
      </c>
      <c r="U88" s="20">
        <v>342655</v>
      </c>
      <c r="V88" s="20">
        <v>7502</v>
      </c>
      <c r="W88" s="32">
        <v>609588</v>
      </c>
      <c r="X88" s="33" t="str">
        <f>"{"&amp;"'coin':"&amp;表1_861218222426728894[[#This Row],[补偿Coin]]&amp;",'"&amp;配置!$A$2&amp;"':"&amp;表1_861218222426728894[[#This Row],[补偿辎重]]&amp;"},"</f>
        <v>{'coin':1000,'item036':10},</v>
      </c>
      <c r="Y88" s="34" t="str">
        <f t="shared" ref="Y88:Y118" si="7">"      },"</f>
        <v>      },</v>
      </c>
    </row>
    <row r="89" customHeight="1" spans="1:25">
      <c r="A89" s="17">
        <v>5157</v>
      </c>
      <c r="B89" s="17">
        <f>VLOOKUP(表1_861218222426728894[[#This Row],[区服]],$P$149:$Q$196,2,FALSE)</f>
        <v>43</v>
      </c>
      <c r="C89" s="45" t="s">
        <v>203</v>
      </c>
      <c r="D89" s="19" t="str">
        <f>表1_861218222426728894[[#This Row],[目标国家]]</f>
        <v>魏</v>
      </c>
      <c r="E89" s="20">
        <f>(VLOOKUP(表1_861218222426728894[[#This Row],[目标区服]],$R$149:$S$175,2,FALSE)-表1_861218222426728894[[#This Row],[开服天数]])*配置!$B$1</f>
        <v>1000</v>
      </c>
      <c r="F89" s="20">
        <f>表1_861218222426728894[[#This Row],[补偿Coin]]*(表1_861218222426728894[[#This Row],[活跃高战玩家数]]+表1_861218222426728894[[#This Row],[活跃中坚玩家数]])</f>
        <v>25000</v>
      </c>
      <c r="G89" s="20">
        <f>(VLOOKUP(表1_861218222426728894[[#This Row],[目标区服]],$R$149:$S$180,2,FALSE)-表1_861218222426728894[[#This Row],[开服天数]])*配置!$B$2</f>
        <v>10</v>
      </c>
      <c r="H89" s="19" t="s">
        <v>25</v>
      </c>
      <c r="I89" s="19">
        <f>IF(表1_861218222426728894[[#This Row],[原国家]]="魏",0,IF(表1_861218222426728894[[#This Row],[原国家]]="蜀",1,2))</f>
        <v>0</v>
      </c>
      <c r="J89" s="20">
        <v>3</v>
      </c>
      <c r="K89" s="20">
        <v>117</v>
      </c>
      <c r="L89" s="20">
        <v>1</v>
      </c>
      <c r="M89" s="20">
        <v>24</v>
      </c>
      <c r="N89" s="20">
        <v>94207</v>
      </c>
      <c r="O89" s="20">
        <v>1546719</v>
      </c>
      <c r="P89" s="26">
        <v>15841538</v>
      </c>
      <c r="Q89" s="31" t="s">
        <v>25</v>
      </c>
      <c r="R89" s="19">
        <f>IF(表1_861218222426728894[[#This Row],[目标国家]]="魏",0,IF(表1_861218222426728894[[#This Row],[目标国家]]="蜀",1,2))</f>
        <v>0</v>
      </c>
      <c r="S89" s="20">
        <v>15086</v>
      </c>
      <c r="T89" s="20">
        <v>0</v>
      </c>
      <c r="U89" s="20">
        <v>131699</v>
      </c>
      <c r="V89" s="20">
        <v>5590</v>
      </c>
      <c r="W89" s="32">
        <v>489133</v>
      </c>
      <c r="X89" s="33" t="str">
        <f>"{"&amp;"'coin':"&amp;表1_861218222426728894[[#This Row],[补偿Coin]]&amp;",'"&amp;配置!$A$2&amp;"':"&amp;表1_861218222426728894[[#This Row],[补偿辎重]]&amp;"},"</f>
        <v>{'coin':1000,'item036':10},</v>
      </c>
      <c r="Y89" s="34" t="str">
        <f>"      '"&amp;表1_861218222426728894[[#This Row],[区服]]&amp;"':{"</f>
        <v>      '5157':{</v>
      </c>
    </row>
    <row r="90" customHeight="1" spans="1:25">
      <c r="A90" s="17">
        <v>5157</v>
      </c>
      <c r="B90" s="17">
        <f>VLOOKUP(表1_861218222426728894[[#This Row],[区服]],$P$149:$Q$196,2,FALSE)</f>
        <v>43</v>
      </c>
      <c r="C90" s="45" t="s">
        <v>203</v>
      </c>
      <c r="D90" s="19" t="str">
        <f>表1_861218222426728894[[#This Row],[目标国家]]</f>
        <v>蜀</v>
      </c>
      <c r="E90" s="20">
        <f>(VLOOKUP(表1_861218222426728894[[#This Row],[目标区服]],$R$149:$S$175,2,FALSE)-表1_861218222426728894[[#This Row],[开服天数]])*配置!$B$1</f>
        <v>1000</v>
      </c>
      <c r="F90" s="20">
        <f>表1_861218222426728894[[#This Row],[补偿Coin]]*(表1_861218222426728894[[#This Row],[活跃高战玩家数]]+表1_861218222426728894[[#This Row],[活跃中坚玩家数]])</f>
        <v>20000</v>
      </c>
      <c r="G90" s="20">
        <f>(VLOOKUP(表1_861218222426728894[[#This Row],[目标区服]],$R$149:$S$180,2,FALSE)-表1_861218222426728894[[#This Row],[开服天数]])*配置!$B$2</f>
        <v>10</v>
      </c>
      <c r="H90" s="19" t="s">
        <v>26</v>
      </c>
      <c r="I90" s="19">
        <f>IF(表1_861218222426728894[[#This Row],[原国家]]="魏",0,IF(表1_861218222426728894[[#This Row],[原国家]]="蜀",1,2))</f>
        <v>1</v>
      </c>
      <c r="J90" s="20">
        <v>0</v>
      </c>
      <c r="K90" s="20">
        <v>64</v>
      </c>
      <c r="L90" s="20">
        <v>2</v>
      </c>
      <c r="M90" s="20">
        <v>18</v>
      </c>
      <c r="N90" s="20">
        <v>78524</v>
      </c>
      <c r="O90" s="20">
        <v>1834434</v>
      </c>
      <c r="P90" s="26">
        <v>13111567</v>
      </c>
      <c r="Q90" s="31" t="s">
        <v>26</v>
      </c>
      <c r="R90" s="19">
        <f>IF(表1_861218222426728894[[#This Row],[目标国家]]="魏",0,IF(表1_861218222426728894[[#This Row],[目标国家]]="蜀",1,2))</f>
        <v>1</v>
      </c>
      <c r="S90" s="20">
        <v>39604</v>
      </c>
      <c r="T90" s="20">
        <v>0</v>
      </c>
      <c r="U90" s="20">
        <v>225522</v>
      </c>
      <c r="V90" s="20">
        <v>5479</v>
      </c>
      <c r="W90" s="32">
        <v>564871</v>
      </c>
      <c r="X90" s="33" t="str">
        <f>"{"&amp;"'coin':"&amp;表1_861218222426728894[[#This Row],[补偿Coin]]&amp;",'"&amp;配置!$A$2&amp;"':"&amp;表1_861218222426728894[[#This Row],[补偿辎重]]&amp;"},"</f>
        <v>{'coin':1000,'item036':10},</v>
      </c>
      <c r="Y90" s="34" t="str">
        <f>"            'to_zone':'"&amp;表1_861218222426728894[[#This Row],[目标区服]]&amp;"',
            'reward':"&amp;表1_861218222426728894[[#This Row],[辅助导出]]&amp;"
            'country':["&amp;R89&amp;","&amp;R90&amp;","&amp;R91&amp;"],"</f>
        <v>            'to_zone':'h1_572',
            'reward':{'coin':1000,'item036':10},
            'country':[0,1,2],</v>
      </c>
    </row>
    <row r="91" customHeight="1" spans="1:25">
      <c r="A91" s="17">
        <v>5157</v>
      </c>
      <c r="B91" s="17">
        <f>VLOOKUP(表1_861218222426728894[[#This Row],[区服]],$P$149:$Q$196,2,FALSE)</f>
        <v>43</v>
      </c>
      <c r="C91" s="45" t="s">
        <v>203</v>
      </c>
      <c r="D91" s="19" t="str">
        <f>表1_861218222426728894[[#This Row],[目标国家]]</f>
        <v>吴</v>
      </c>
      <c r="E91" s="20">
        <f>(VLOOKUP(表1_861218222426728894[[#This Row],[目标区服]],$R$149:$S$175,2,FALSE)-表1_861218222426728894[[#This Row],[开服天数]])*配置!$B$1</f>
        <v>1000</v>
      </c>
      <c r="F91" s="20">
        <f>表1_861218222426728894[[#This Row],[补偿Coin]]*(表1_861218222426728894[[#This Row],[活跃高战玩家数]]+表1_861218222426728894[[#This Row],[活跃中坚玩家数]])</f>
        <v>30000</v>
      </c>
      <c r="G91" s="20">
        <f>(VLOOKUP(表1_861218222426728894[[#This Row],[目标区服]],$R$149:$S$180,2,FALSE)-表1_861218222426728894[[#This Row],[开服天数]])*配置!$B$2</f>
        <v>10</v>
      </c>
      <c r="H91" s="19" t="s">
        <v>27</v>
      </c>
      <c r="I91" s="19">
        <f>IF(表1_861218222426728894[[#This Row],[原国家]]="魏",0,IF(表1_861218222426728894[[#This Row],[原国家]]="蜀",1,2))</f>
        <v>2</v>
      </c>
      <c r="J91" s="20">
        <v>6</v>
      </c>
      <c r="K91" s="20">
        <v>214</v>
      </c>
      <c r="L91" s="20">
        <v>7</v>
      </c>
      <c r="M91" s="20">
        <v>23</v>
      </c>
      <c r="N91" s="20">
        <v>142442</v>
      </c>
      <c r="O91" s="20">
        <v>3034456</v>
      </c>
      <c r="P91" s="26">
        <v>25899908</v>
      </c>
      <c r="Q91" s="31" t="s">
        <v>27</v>
      </c>
      <c r="R91" s="19">
        <f>IF(表1_861218222426728894[[#This Row],[目标国家]]="魏",0,IF(表1_861218222426728894[[#This Row],[目标国家]]="蜀",1,2))</f>
        <v>2</v>
      </c>
      <c r="S91" s="20">
        <v>116310</v>
      </c>
      <c r="T91" s="20">
        <v>0</v>
      </c>
      <c r="U91" s="20">
        <v>703621</v>
      </c>
      <c r="V91" s="20">
        <v>12917</v>
      </c>
      <c r="W91" s="32">
        <v>910275</v>
      </c>
      <c r="X91" s="33" t="str">
        <f>"{"&amp;"'coin':"&amp;表1_861218222426728894[[#This Row],[补偿Coin]]&amp;",'"&amp;配置!$A$2&amp;"':"&amp;表1_861218222426728894[[#This Row],[补偿辎重]]&amp;"},"</f>
        <v>{'coin':1000,'item036':10},</v>
      </c>
      <c r="Y91" s="34" t="str">
        <f t="shared" ref="Y91:Y115" si="8">"      },"</f>
        <v>      },</v>
      </c>
    </row>
    <row r="92" customHeight="1" spans="1:25">
      <c r="A92" s="214">
        <v>5158</v>
      </c>
      <c r="B92" s="214">
        <f>VLOOKUP(表1_861218222426728894[[#This Row],[区服]],$P$149:$Q$196,2,FALSE)</f>
        <v>43</v>
      </c>
      <c r="C92" s="308" t="s">
        <v>204</v>
      </c>
      <c r="D92" s="216" t="str">
        <f>表1_861218222426728894[[#This Row],[目标国家]]</f>
        <v>魏</v>
      </c>
      <c r="E92" s="217">
        <f>(VLOOKUP(表1_861218222426728894[[#This Row],[目标区服]],$R$149:$S$175,2,FALSE)-表1_861218222426728894[[#This Row],[开服天数]])*配置!$B$1</f>
        <v>1000</v>
      </c>
      <c r="F92" s="217">
        <f>表1_861218222426728894[[#This Row],[补偿Coin]]*(表1_861218222426728894[[#This Row],[活跃高战玩家数]]+表1_861218222426728894[[#This Row],[活跃中坚玩家数]])</f>
        <v>33000</v>
      </c>
      <c r="G92" s="217">
        <f>(VLOOKUP(表1_861218222426728894[[#This Row],[目标区服]],$R$149:$S$180,2,FALSE)-表1_861218222426728894[[#This Row],[开服天数]])*配置!$B$2</f>
        <v>10</v>
      </c>
      <c r="H92" s="216" t="s">
        <v>25</v>
      </c>
      <c r="I92" s="216">
        <f>IF(表1_861218222426728894[[#This Row],[原国家]]="魏",0,IF(表1_861218222426728894[[#This Row],[原国家]]="蜀",1,2))</f>
        <v>0</v>
      </c>
      <c r="J92" s="217">
        <v>7</v>
      </c>
      <c r="K92" s="217">
        <v>254</v>
      </c>
      <c r="L92" s="217">
        <v>6</v>
      </c>
      <c r="M92" s="217">
        <v>27</v>
      </c>
      <c r="N92" s="217">
        <v>146215</v>
      </c>
      <c r="O92" s="217">
        <v>2980299</v>
      </c>
      <c r="P92" s="334">
        <v>27120186</v>
      </c>
      <c r="Q92" s="31" t="s">
        <v>25</v>
      </c>
      <c r="R92" s="216">
        <f>IF(表1_861218222426728894[[#This Row],[目标国家]]="魏",0,IF(表1_861218222426728894[[#This Row],[目标国家]]="蜀",1,2))</f>
        <v>0</v>
      </c>
      <c r="S92" s="217">
        <v>103228</v>
      </c>
      <c r="T92" s="217">
        <v>0</v>
      </c>
      <c r="U92" s="217">
        <v>623559</v>
      </c>
      <c r="V92" s="217">
        <v>13072</v>
      </c>
      <c r="W92" s="294">
        <v>834962</v>
      </c>
      <c r="X92" s="249" t="str">
        <f>"{"&amp;"'coin':"&amp;表1_861218222426728894[[#This Row],[补偿Coin]]&amp;",'"&amp;配置!$A$2&amp;"':"&amp;表1_861218222426728894[[#This Row],[补偿辎重]]&amp;"},"</f>
        <v>{'coin':1000,'item036':10},</v>
      </c>
      <c r="Y92" s="251" t="str">
        <f>"      '"&amp;表1_861218222426728894[[#This Row],[区服]]&amp;"':{"</f>
        <v>      '5158':{</v>
      </c>
    </row>
    <row r="93" customHeight="1" spans="1:25">
      <c r="A93" s="214">
        <v>5158</v>
      </c>
      <c r="B93" s="214">
        <f>VLOOKUP(表1_861218222426728894[[#This Row],[区服]],$P$149:$Q$196,2,FALSE)</f>
        <v>43</v>
      </c>
      <c r="C93" s="308" t="s">
        <v>204</v>
      </c>
      <c r="D93" s="216" t="str">
        <f>表1_861218222426728894[[#This Row],[目标国家]]</f>
        <v>蜀</v>
      </c>
      <c r="E93" s="217">
        <f>(VLOOKUP(表1_861218222426728894[[#This Row],[目标区服]],$R$149:$S$175,2,FALSE)-表1_861218222426728894[[#This Row],[开服天数]])*配置!$B$1</f>
        <v>1000</v>
      </c>
      <c r="F93" s="217">
        <f>表1_861218222426728894[[#This Row],[补偿Coin]]*(表1_861218222426728894[[#This Row],[活跃高战玩家数]]+表1_861218222426728894[[#This Row],[活跃中坚玩家数]])</f>
        <v>21000</v>
      </c>
      <c r="G93" s="217">
        <f>(VLOOKUP(表1_861218222426728894[[#This Row],[目标区服]],$R$149:$S$180,2,FALSE)-表1_861218222426728894[[#This Row],[开服天数]])*配置!$B$2</f>
        <v>10</v>
      </c>
      <c r="H93" s="216" t="s">
        <v>26</v>
      </c>
      <c r="I93" s="216">
        <f>IF(表1_861218222426728894[[#This Row],[原国家]]="魏",0,IF(表1_861218222426728894[[#This Row],[原国家]]="蜀",1,2))</f>
        <v>1</v>
      </c>
      <c r="J93" s="217">
        <v>1</v>
      </c>
      <c r="K93" s="217">
        <v>63</v>
      </c>
      <c r="L93" s="217">
        <v>1</v>
      </c>
      <c r="M93" s="217">
        <v>20</v>
      </c>
      <c r="N93" s="217">
        <v>84529</v>
      </c>
      <c r="O93" s="217">
        <v>1727334</v>
      </c>
      <c r="P93" s="334">
        <v>14678405</v>
      </c>
      <c r="Q93" s="31" t="s">
        <v>26</v>
      </c>
      <c r="R93" s="216">
        <f>IF(表1_861218222426728894[[#This Row],[目标国家]]="魏",0,IF(表1_861218222426728894[[#This Row],[目标国家]]="蜀",1,2))</f>
        <v>1</v>
      </c>
      <c r="S93" s="217">
        <v>29928</v>
      </c>
      <c r="T93" s="217">
        <v>0</v>
      </c>
      <c r="U93" s="217">
        <v>139554</v>
      </c>
      <c r="V93" s="217">
        <v>5315</v>
      </c>
      <c r="W93" s="294">
        <v>585976</v>
      </c>
      <c r="X93" s="249" t="str">
        <f>"{"&amp;"'coin':"&amp;表1_861218222426728894[[#This Row],[补偿Coin]]&amp;",'"&amp;配置!$A$2&amp;"':"&amp;表1_861218222426728894[[#This Row],[补偿辎重]]&amp;"},"</f>
        <v>{'coin':1000,'item036':10},</v>
      </c>
      <c r="Y93" s="251" t="str">
        <f>"            'to_zone':'"&amp;表1_861218222426728894[[#This Row],[目标区服]]&amp;"',
            'reward':"&amp;表1_861218222426728894[[#This Row],[辅助导出]]&amp;"
            'country':["&amp;R92&amp;","&amp;R93&amp;","&amp;R94&amp;"],"</f>
        <v>            'to_zone':'h1_573',
            'reward':{'coin':1000,'item036':10},
            'country':[0,1,2],</v>
      </c>
    </row>
    <row r="94" customHeight="1" spans="1:25">
      <c r="A94" s="214">
        <v>5158</v>
      </c>
      <c r="B94" s="214">
        <f>VLOOKUP(表1_861218222426728894[[#This Row],[区服]],$P$149:$Q$196,2,FALSE)</f>
        <v>43</v>
      </c>
      <c r="C94" s="308" t="s">
        <v>204</v>
      </c>
      <c r="D94" s="216" t="str">
        <f>表1_861218222426728894[[#This Row],[目标国家]]</f>
        <v>吴</v>
      </c>
      <c r="E94" s="217">
        <f>(VLOOKUP(表1_861218222426728894[[#This Row],[目标区服]],$R$149:$S$175,2,FALSE)-表1_861218222426728894[[#This Row],[开服天数]])*配置!$B$1</f>
        <v>1000</v>
      </c>
      <c r="F94" s="217">
        <f>表1_861218222426728894[[#This Row],[补偿Coin]]*(表1_861218222426728894[[#This Row],[活跃高战玩家数]]+表1_861218222426728894[[#This Row],[活跃中坚玩家数]])</f>
        <v>17000</v>
      </c>
      <c r="G94" s="217">
        <f>(VLOOKUP(表1_861218222426728894[[#This Row],[目标区服]],$R$149:$S$180,2,FALSE)-表1_861218222426728894[[#This Row],[开服天数]])*配置!$B$2</f>
        <v>10</v>
      </c>
      <c r="H94" s="216" t="s">
        <v>27</v>
      </c>
      <c r="I94" s="216">
        <f>IF(表1_861218222426728894[[#This Row],[原国家]]="魏",0,IF(表1_861218222426728894[[#This Row],[原国家]]="蜀",1,2))</f>
        <v>2</v>
      </c>
      <c r="J94" s="217">
        <v>1</v>
      </c>
      <c r="K94" s="217">
        <v>78</v>
      </c>
      <c r="L94" s="217">
        <v>2</v>
      </c>
      <c r="M94" s="217">
        <v>15</v>
      </c>
      <c r="N94" s="217">
        <v>62306</v>
      </c>
      <c r="O94" s="217">
        <v>1725847</v>
      </c>
      <c r="P94" s="334">
        <v>11805367</v>
      </c>
      <c r="Q94" s="31" t="s">
        <v>27</v>
      </c>
      <c r="R94" s="216">
        <f>IF(表1_861218222426728894[[#This Row],[目标国家]]="魏",0,IF(表1_861218222426728894[[#This Row],[目标国家]]="蜀",1,2))</f>
        <v>2</v>
      </c>
      <c r="S94" s="217">
        <v>49186</v>
      </c>
      <c r="T94" s="217">
        <v>0</v>
      </c>
      <c r="U94" s="217">
        <v>110617</v>
      </c>
      <c r="V94" s="217">
        <v>5628</v>
      </c>
      <c r="W94" s="294">
        <v>522104</v>
      </c>
      <c r="X94" s="249" t="str">
        <f>"{"&amp;"'coin':"&amp;表1_861218222426728894[[#This Row],[补偿Coin]]&amp;",'"&amp;配置!$A$2&amp;"':"&amp;表1_861218222426728894[[#This Row],[补偿辎重]]&amp;"},"</f>
        <v>{'coin':1000,'item036':10},</v>
      </c>
      <c r="Y94" s="251" t="str">
        <f t="shared" si="7"/>
        <v>      },</v>
      </c>
    </row>
    <row r="95" customHeight="1" spans="1:25">
      <c r="A95" s="367">
        <v>5159</v>
      </c>
      <c r="B95" s="214">
        <f>VLOOKUP(表1_861218222426728894[[#This Row],[区服]],$P$149:$Q$196,2,FALSE)</f>
        <v>42</v>
      </c>
      <c r="C95" s="308" t="s">
        <v>204</v>
      </c>
      <c r="D95" s="216" t="str">
        <f>表1_861218222426728894[[#This Row],[目标国家]]</f>
        <v>吴</v>
      </c>
      <c r="E95" s="413">
        <f>(VLOOKUP(表1_861218222426728894[[#This Row],[目标区服]],$R$149:$S$175,2,FALSE)-表1_861218222426728894[[#This Row],[开服天数]])*配置!$B$1</f>
        <v>1500</v>
      </c>
      <c r="F95" s="217">
        <f>表1_861218222426728894[[#This Row],[补偿Coin]]*(表1_861218222426728894[[#This Row],[活跃高战玩家数]]+表1_861218222426728894[[#This Row],[活跃中坚玩家数]])</f>
        <v>40500</v>
      </c>
      <c r="G95" s="368">
        <f>(VLOOKUP(表1_861218222426728894[[#This Row],[目标区服]],$R$149:$S$180,2,FALSE)-表1_861218222426728894[[#This Row],[开服天数]])*配置!$B$2</f>
        <v>15</v>
      </c>
      <c r="H95" s="216" t="s">
        <v>25</v>
      </c>
      <c r="I95" s="377">
        <f>IF(表1_861218222426728894[[#This Row],[原国家]]="魏",0,IF(表1_861218222426728894[[#This Row],[原国家]]="蜀",1,2))</f>
        <v>0</v>
      </c>
      <c r="J95" s="217">
        <v>4</v>
      </c>
      <c r="K95" s="217">
        <v>176</v>
      </c>
      <c r="L95" s="217">
        <v>7</v>
      </c>
      <c r="M95" s="217">
        <v>20</v>
      </c>
      <c r="N95" s="217">
        <v>144537</v>
      </c>
      <c r="O95" s="378">
        <v>2552405</v>
      </c>
      <c r="P95" s="334">
        <v>23290150</v>
      </c>
      <c r="Q95" s="31" t="s">
        <v>27</v>
      </c>
      <c r="R95" s="216">
        <f>IF(表1_861218222426728894[[#This Row],[目标国家]]="魏",0,IF(表1_861218222426728894[[#This Row],[目标国家]]="蜀",1,2))</f>
        <v>2</v>
      </c>
      <c r="S95" s="217">
        <v>41674</v>
      </c>
      <c r="T95" s="217">
        <v>0</v>
      </c>
      <c r="U95" s="217">
        <v>239511</v>
      </c>
      <c r="V95" s="217">
        <v>9134</v>
      </c>
      <c r="W95" s="488">
        <v>705637</v>
      </c>
      <c r="X95" s="382" t="str">
        <f>"{"&amp;"'coin':"&amp;表1_861218222426728894[[#This Row],[补偿Coin]]&amp;",'"&amp;配置!$A$2&amp;"':"&amp;表1_861218222426728894[[#This Row],[补偿辎重]]&amp;"},"</f>
        <v>{'coin':1500,'item036':15},</v>
      </c>
      <c r="Y95" s="251" t="str">
        <f>"      '"&amp;表1_861218222426728894[[#This Row],[区服]]&amp;"':{"</f>
        <v>      '5159':{</v>
      </c>
    </row>
    <row r="96" customHeight="1" spans="1:25">
      <c r="A96" s="367">
        <v>5159</v>
      </c>
      <c r="B96" s="214">
        <f>VLOOKUP(表1_861218222426728894[[#This Row],[区服]],$P$149:$Q$196,2,FALSE)</f>
        <v>42</v>
      </c>
      <c r="C96" s="308" t="s">
        <v>204</v>
      </c>
      <c r="D96" s="216" t="str">
        <f>表1_861218222426728894[[#This Row],[目标国家]]</f>
        <v>蜀</v>
      </c>
      <c r="E96" s="413">
        <f>(VLOOKUP(表1_861218222426728894[[#This Row],[目标区服]],$R$149:$S$175,2,FALSE)-表1_861218222426728894[[#This Row],[开服天数]])*配置!$B$1</f>
        <v>1500</v>
      </c>
      <c r="F96" s="217">
        <f>表1_861218222426728894[[#This Row],[补偿Coin]]*(表1_861218222426728894[[#This Row],[活跃高战玩家数]]+表1_861218222426728894[[#This Row],[活跃中坚玩家数]])</f>
        <v>49500</v>
      </c>
      <c r="G96" s="368">
        <f>(VLOOKUP(表1_861218222426728894[[#This Row],[目标区服]],$R$149:$S$180,2,FALSE)-表1_861218222426728894[[#This Row],[开服天数]])*配置!$B$2</f>
        <v>15</v>
      </c>
      <c r="H96" s="216" t="s">
        <v>26</v>
      </c>
      <c r="I96" s="377">
        <f>IF(表1_861218222426728894[[#This Row],[原国家]]="魏",0,IF(表1_861218222426728894[[#This Row],[原国家]]="蜀",1,2))</f>
        <v>1</v>
      </c>
      <c r="J96" s="217">
        <v>3</v>
      </c>
      <c r="K96" s="217">
        <v>134</v>
      </c>
      <c r="L96" s="217">
        <v>1</v>
      </c>
      <c r="M96" s="217">
        <v>32</v>
      </c>
      <c r="N96" s="217">
        <v>97230</v>
      </c>
      <c r="O96" s="378">
        <v>1454882</v>
      </c>
      <c r="P96" s="334">
        <v>17980069</v>
      </c>
      <c r="Q96" s="31" t="s">
        <v>26</v>
      </c>
      <c r="R96" s="216">
        <f>IF(表1_861218222426728894[[#This Row],[目标国家]]="魏",0,IF(表1_861218222426728894[[#This Row],[目标国家]]="蜀",1,2))</f>
        <v>1</v>
      </c>
      <c r="S96" s="217">
        <v>33488</v>
      </c>
      <c r="T96" s="217">
        <v>0</v>
      </c>
      <c r="U96" s="217">
        <v>481292</v>
      </c>
      <c r="V96" s="217">
        <v>6624</v>
      </c>
      <c r="W96" s="488">
        <v>520018</v>
      </c>
      <c r="X96" s="382" t="str">
        <f>"{"&amp;"'coin':"&amp;表1_861218222426728894[[#This Row],[补偿Coin]]&amp;",'"&amp;配置!$A$2&amp;"':"&amp;表1_861218222426728894[[#This Row],[补偿辎重]]&amp;"},"</f>
        <v>{'coin':1500,'item036':15},</v>
      </c>
      <c r="Y96" s="251" t="str">
        <f>"            'to_zone':'"&amp;表1_861218222426728894[[#This Row],[目标区服]]&amp;"',
            'reward':"&amp;表1_861218222426728894[[#This Row],[辅助导出]]&amp;"
            'country':["&amp;R95&amp;","&amp;R96&amp;","&amp;R97&amp;"],"</f>
        <v>            'to_zone':'h1_573',
            'reward':{'coin':1500,'item036':15},
            'country':[2,1,1],</v>
      </c>
    </row>
    <row r="97" customHeight="1" spans="1:25">
      <c r="A97" s="367">
        <v>5159</v>
      </c>
      <c r="B97" s="214">
        <f>VLOOKUP(表1_861218222426728894[[#This Row],[区服]],$P$149:$Q$196,2,FALSE)</f>
        <v>42</v>
      </c>
      <c r="C97" s="308" t="s">
        <v>204</v>
      </c>
      <c r="D97" s="216" t="str">
        <f>表1_861218222426728894[[#This Row],[目标国家]]</f>
        <v>蜀</v>
      </c>
      <c r="E97" s="413">
        <f>(VLOOKUP(表1_861218222426728894[[#This Row],[目标区服]],$R$149:$S$175,2,FALSE)-表1_861218222426728894[[#This Row],[开服天数]])*配置!$B$1</f>
        <v>1500</v>
      </c>
      <c r="F97" s="217">
        <f>表1_861218222426728894[[#This Row],[补偿Coin]]*(表1_861218222426728894[[#This Row],[活跃高战玩家数]]+表1_861218222426728894[[#This Row],[活跃中坚玩家数]])</f>
        <v>31500</v>
      </c>
      <c r="G97" s="368">
        <f>(VLOOKUP(表1_861218222426728894[[#This Row],[目标区服]],$R$149:$S$180,2,FALSE)-表1_861218222426728894[[#This Row],[开服天数]])*配置!$B$2</f>
        <v>15</v>
      </c>
      <c r="H97" s="216" t="s">
        <v>27</v>
      </c>
      <c r="I97" s="377">
        <f>IF(表1_861218222426728894[[#This Row],[原国家]]="魏",0,IF(表1_861218222426728894[[#This Row],[原国家]]="蜀",1,2))</f>
        <v>2</v>
      </c>
      <c r="J97" s="217">
        <v>2</v>
      </c>
      <c r="K97" s="217">
        <v>85</v>
      </c>
      <c r="L97" s="217">
        <v>2</v>
      </c>
      <c r="M97" s="217">
        <v>19</v>
      </c>
      <c r="N97" s="217">
        <v>77057</v>
      </c>
      <c r="O97" s="378">
        <v>1542468</v>
      </c>
      <c r="P97" s="334">
        <v>12992554</v>
      </c>
      <c r="Q97" s="31" t="s">
        <v>26</v>
      </c>
      <c r="R97" s="216">
        <f>IF(表1_861218222426728894[[#This Row],[目标国家]]="魏",0,IF(表1_861218222426728894[[#This Row],[目标国家]]="蜀",1,2))</f>
        <v>1</v>
      </c>
      <c r="S97" s="217">
        <v>17176</v>
      </c>
      <c r="T97" s="217">
        <v>0</v>
      </c>
      <c r="U97" s="217">
        <v>164007</v>
      </c>
      <c r="V97" s="217">
        <v>4874</v>
      </c>
      <c r="W97" s="488">
        <v>456236</v>
      </c>
      <c r="X97" s="382" t="str">
        <f>"{"&amp;"'coin':"&amp;表1_861218222426728894[[#This Row],[补偿Coin]]&amp;",'"&amp;配置!$A$2&amp;"':"&amp;表1_861218222426728894[[#This Row],[补偿辎重]]&amp;"},"</f>
        <v>{'coin':1500,'item036':15},</v>
      </c>
      <c r="Y97" s="251" t="str">
        <f t="shared" si="8"/>
        <v>      },</v>
      </c>
    </row>
    <row r="98" customHeight="1" spans="1:25">
      <c r="A98" s="370">
        <v>5160</v>
      </c>
      <c r="B98" s="81">
        <f>VLOOKUP(表1_861218222426728894[[#This Row],[区服]],$P$149:$Q$196,2,FALSE)</f>
        <v>42</v>
      </c>
      <c r="C98" s="414" t="s">
        <v>205</v>
      </c>
      <c r="D98" s="83" t="str">
        <f>表1_861218222426728894[[#This Row],[目标国家]]</f>
        <v>魏</v>
      </c>
      <c r="E98" s="415">
        <f>(VLOOKUP(表1_861218222426728894[[#This Row],[目标区服]],$R$149:$S$175,2,FALSE)-表1_861218222426728894[[#This Row],[开服天数]])*配置!$B$1</f>
        <v>1000</v>
      </c>
      <c r="F98" s="85">
        <f>表1_861218222426728894[[#This Row],[补偿Coin]]*(表1_861218222426728894[[#This Row],[活跃高战玩家数]]+表1_861218222426728894[[#This Row],[活跃中坚玩家数]])</f>
        <v>11000</v>
      </c>
      <c r="G98" s="416">
        <f>(VLOOKUP(表1_861218222426728894[[#This Row],[目标区服]],$R$149:$S$180,2,FALSE)-表1_861218222426728894[[#This Row],[开服天数]])*配置!$B$2</f>
        <v>10</v>
      </c>
      <c r="H98" s="83" t="s">
        <v>25</v>
      </c>
      <c r="I98" s="421">
        <f>IF(表1_861218222426728894[[#This Row],[原国家]]="魏",0,IF(表1_861218222426728894[[#This Row],[原国家]]="蜀",1,2))</f>
        <v>0</v>
      </c>
      <c r="J98" s="85">
        <v>0</v>
      </c>
      <c r="K98" s="85">
        <v>45</v>
      </c>
      <c r="L98" s="85">
        <v>1</v>
      </c>
      <c r="M98" s="85">
        <v>10</v>
      </c>
      <c r="N98" s="85">
        <v>45839</v>
      </c>
      <c r="O98" s="422">
        <v>2018079</v>
      </c>
      <c r="P98" s="379">
        <v>7770747</v>
      </c>
      <c r="Q98" s="31" t="s">
        <v>25</v>
      </c>
      <c r="R98" s="83">
        <f>IF(表1_861218222426728894[[#This Row],[目标国家]]="魏",0,IF(表1_861218222426728894[[#This Row],[目标国家]]="蜀",1,2))</f>
        <v>0</v>
      </c>
      <c r="S98" s="85">
        <v>35626</v>
      </c>
      <c r="T98" s="85">
        <v>0</v>
      </c>
      <c r="U98" s="85">
        <v>80123</v>
      </c>
      <c r="V98" s="85">
        <v>4583</v>
      </c>
      <c r="W98" s="489">
        <v>838846</v>
      </c>
      <c r="X98" s="431" t="str">
        <f>"{"&amp;"'coin':"&amp;表1_861218222426728894[[#This Row],[补偿Coin]]&amp;",'"&amp;配置!$A$2&amp;"':"&amp;表1_861218222426728894[[#This Row],[补偿辎重]]&amp;"},"</f>
        <v>{'coin':1000,'item036':10},</v>
      </c>
      <c r="Y98" s="149" t="str">
        <f>"      '"&amp;表1_861218222426728894[[#This Row],[区服]]&amp;"':{"</f>
        <v>      '5160':{</v>
      </c>
    </row>
    <row r="99" customHeight="1" spans="1:25">
      <c r="A99" s="370">
        <v>5160</v>
      </c>
      <c r="B99" s="81">
        <f>VLOOKUP(表1_861218222426728894[[#This Row],[区服]],$P$149:$Q$196,2,FALSE)</f>
        <v>42</v>
      </c>
      <c r="C99" s="414" t="s">
        <v>205</v>
      </c>
      <c r="D99" s="83" t="str">
        <f>表1_861218222426728894[[#This Row],[目标国家]]</f>
        <v>吴</v>
      </c>
      <c r="E99" s="415">
        <f>(VLOOKUP(表1_861218222426728894[[#This Row],[目标区服]],$R$149:$S$175,2,FALSE)-表1_861218222426728894[[#This Row],[开服天数]])*配置!$B$1</f>
        <v>1000</v>
      </c>
      <c r="F99" s="85">
        <f>表1_861218222426728894[[#This Row],[补偿Coin]]*(表1_861218222426728894[[#This Row],[活跃高战玩家数]]+表1_861218222426728894[[#This Row],[活跃中坚玩家数]])</f>
        <v>18000</v>
      </c>
      <c r="G99" s="416">
        <f>(VLOOKUP(表1_861218222426728894[[#This Row],[目标区服]],$R$149:$S$180,2,FALSE)-表1_861218222426728894[[#This Row],[开服天数]])*配置!$B$2</f>
        <v>10</v>
      </c>
      <c r="H99" s="83" t="s">
        <v>26</v>
      </c>
      <c r="I99" s="421">
        <f>IF(表1_861218222426728894[[#This Row],[原国家]]="魏",0,IF(表1_861218222426728894[[#This Row],[原国家]]="蜀",1,2))</f>
        <v>1</v>
      </c>
      <c r="J99" s="85">
        <v>0</v>
      </c>
      <c r="K99" s="85">
        <v>49</v>
      </c>
      <c r="L99" s="85">
        <v>0</v>
      </c>
      <c r="M99" s="85">
        <v>18</v>
      </c>
      <c r="N99" s="85">
        <v>56958</v>
      </c>
      <c r="O99" s="422">
        <v>991209</v>
      </c>
      <c r="P99" s="379">
        <v>8527494</v>
      </c>
      <c r="Q99" s="31" t="s">
        <v>27</v>
      </c>
      <c r="R99" s="83">
        <f>IF(表1_861218222426728894[[#This Row],[目标国家]]="魏",0,IF(表1_861218222426728894[[#This Row],[目标国家]]="蜀",1,2))</f>
        <v>2</v>
      </c>
      <c r="S99" s="85">
        <v>4744</v>
      </c>
      <c r="T99" s="85">
        <v>0</v>
      </c>
      <c r="U99" s="85">
        <v>84641</v>
      </c>
      <c r="V99" s="85">
        <v>2803</v>
      </c>
      <c r="W99" s="489">
        <v>281498</v>
      </c>
      <c r="X99" s="431" t="str">
        <f>"{"&amp;"'coin':"&amp;表1_861218222426728894[[#This Row],[补偿Coin]]&amp;",'"&amp;配置!$A$2&amp;"':"&amp;表1_861218222426728894[[#This Row],[补偿辎重]]&amp;"},"</f>
        <v>{'coin':1000,'item036':10},</v>
      </c>
      <c r="Y99" s="149" t="str">
        <f>"            'to_zone':'"&amp;表1_861218222426728894[[#This Row],[目标区服]]&amp;"',
            'reward':"&amp;表1_861218222426728894[[#This Row],[辅助导出]]&amp;"
            'country':["&amp;R98&amp;","&amp;R99&amp;","&amp;R100&amp;"],"</f>
        <v>            'to_zone':'h1_574',
            'reward':{'coin':1000,'item036':10},
            'country':[0,2,2],</v>
      </c>
    </row>
    <row r="100" customHeight="1" spans="1:25">
      <c r="A100" s="370">
        <v>5160</v>
      </c>
      <c r="B100" s="81">
        <f>VLOOKUP(表1_861218222426728894[[#This Row],[区服]],$P$149:$Q$196,2,FALSE)</f>
        <v>42</v>
      </c>
      <c r="C100" s="414" t="s">
        <v>205</v>
      </c>
      <c r="D100" s="83" t="str">
        <f>表1_861218222426728894[[#This Row],[目标国家]]</f>
        <v>吴</v>
      </c>
      <c r="E100" s="415">
        <f>(VLOOKUP(表1_861218222426728894[[#This Row],[目标区服]],$R$149:$S$175,2,FALSE)-表1_861218222426728894[[#This Row],[开服天数]])*配置!$B$1</f>
        <v>1000</v>
      </c>
      <c r="F100" s="85">
        <f>表1_861218222426728894[[#This Row],[补偿Coin]]*(表1_861218222426728894[[#This Row],[活跃高战玩家数]]+表1_861218222426728894[[#This Row],[活跃中坚玩家数]])</f>
        <v>28000</v>
      </c>
      <c r="G100" s="416">
        <f>(VLOOKUP(表1_861218222426728894[[#This Row],[目标区服]],$R$149:$S$180,2,FALSE)-表1_861218222426728894[[#This Row],[开服天数]])*配置!$B$2</f>
        <v>10</v>
      </c>
      <c r="H100" s="83" t="s">
        <v>27</v>
      </c>
      <c r="I100" s="421">
        <f>IF(表1_861218222426728894[[#This Row],[原国家]]="魏",0,IF(表1_861218222426728894[[#This Row],[原国家]]="蜀",1,2))</f>
        <v>2</v>
      </c>
      <c r="J100" s="85">
        <v>9</v>
      </c>
      <c r="K100" s="85">
        <v>301</v>
      </c>
      <c r="L100" s="85">
        <v>9</v>
      </c>
      <c r="M100" s="85">
        <v>19</v>
      </c>
      <c r="N100" s="85">
        <v>166682</v>
      </c>
      <c r="O100" s="422">
        <v>3201160</v>
      </c>
      <c r="P100" s="379">
        <v>25318104</v>
      </c>
      <c r="Q100" s="31" t="s">
        <v>27</v>
      </c>
      <c r="R100" s="83">
        <f>IF(表1_861218222426728894[[#This Row],[目标国家]]="魏",0,IF(表1_861218222426728894[[#This Row],[目标国家]]="蜀",1,2))</f>
        <v>2</v>
      </c>
      <c r="S100" s="85">
        <v>78682</v>
      </c>
      <c r="T100" s="85">
        <v>0</v>
      </c>
      <c r="U100" s="85">
        <v>757696</v>
      </c>
      <c r="V100" s="85">
        <v>13215</v>
      </c>
      <c r="W100" s="489">
        <v>1013568</v>
      </c>
      <c r="X100" s="431" t="str">
        <f>"{"&amp;"'coin':"&amp;表1_861218222426728894[[#This Row],[补偿Coin]]&amp;",'"&amp;配置!$A$2&amp;"':"&amp;表1_861218222426728894[[#This Row],[补偿辎重]]&amp;"},"</f>
        <v>{'coin':1000,'item036':10},</v>
      </c>
      <c r="Y100" s="149" t="str">
        <f t="shared" si="7"/>
        <v>      },</v>
      </c>
    </row>
    <row r="101" customHeight="1" spans="1:25">
      <c r="A101" s="370">
        <v>5161</v>
      </c>
      <c r="B101" s="81">
        <f>VLOOKUP(表1_861218222426728894[[#This Row],[区服]],$P$149:$Q$196,2,FALSE)</f>
        <v>42</v>
      </c>
      <c r="C101" s="414" t="s">
        <v>205</v>
      </c>
      <c r="D101" s="83" t="str">
        <f>表1_861218222426728894[[#This Row],[目标国家]]</f>
        <v>魏</v>
      </c>
      <c r="E101" s="415">
        <f>(VLOOKUP(表1_861218222426728894[[#This Row],[目标区服]],$R$149:$S$175,2,FALSE)-表1_861218222426728894[[#This Row],[开服天数]])*配置!$B$1</f>
        <v>1000</v>
      </c>
      <c r="F101" s="85">
        <f>表1_861218222426728894[[#This Row],[补偿Coin]]*(表1_861218222426728894[[#This Row],[活跃高战玩家数]]+表1_861218222426728894[[#This Row],[活跃中坚玩家数]])</f>
        <v>20000</v>
      </c>
      <c r="G101" s="416">
        <f>(VLOOKUP(表1_861218222426728894[[#This Row],[目标区服]],$R$149:$S$180,2,FALSE)-表1_861218222426728894[[#This Row],[开服天数]])*配置!$B$2</f>
        <v>10</v>
      </c>
      <c r="H101" s="83" t="s">
        <v>25</v>
      </c>
      <c r="I101" s="421">
        <f>IF(表1_861218222426728894[[#This Row],[原国家]]="魏",0,IF(表1_861218222426728894[[#This Row],[原国家]]="蜀",1,2))</f>
        <v>0</v>
      </c>
      <c r="J101" s="85">
        <v>1</v>
      </c>
      <c r="K101" s="85">
        <v>77</v>
      </c>
      <c r="L101" s="85">
        <v>4</v>
      </c>
      <c r="M101" s="85">
        <v>16</v>
      </c>
      <c r="N101" s="85">
        <v>81575</v>
      </c>
      <c r="O101" s="422">
        <v>1661106</v>
      </c>
      <c r="P101" s="379">
        <v>11902020</v>
      </c>
      <c r="Q101" s="31" t="s">
        <v>25</v>
      </c>
      <c r="R101" s="83">
        <f>IF(表1_861218222426728894[[#This Row],[目标国家]]="魏",0,IF(表1_861218222426728894[[#This Row],[目标国家]]="蜀",1,2))</f>
        <v>0</v>
      </c>
      <c r="S101" s="85">
        <v>13494</v>
      </c>
      <c r="T101" s="85">
        <v>0</v>
      </c>
      <c r="U101" s="85">
        <v>145580</v>
      </c>
      <c r="V101" s="85">
        <v>4606</v>
      </c>
      <c r="W101" s="489">
        <v>511802</v>
      </c>
      <c r="X101" s="431" t="str">
        <f>"{"&amp;"'coin':"&amp;表1_861218222426728894[[#This Row],[补偿Coin]]&amp;",'"&amp;配置!$A$2&amp;"':"&amp;表1_861218222426728894[[#This Row],[补偿辎重]]&amp;"},"</f>
        <v>{'coin':1000,'item036':10},</v>
      </c>
      <c r="Y101" s="149" t="str">
        <f>"      '"&amp;表1_861218222426728894[[#This Row],[区服]]&amp;"':{"</f>
        <v>      '5161':{</v>
      </c>
    </row>
    <row r="102" customHeight="1" spans="1:25">
      <c r="A102" s="370">
        <v>5161</v>
      </c>
      <c r="B102" s="81">
        <f>VLOOKUP(表1_861218222426728894[[#This Row],[区服]],$P$149:$Q$196,2,FALSE)</f>
        <v>42</v>
      </c>
      <c r="C102" s="414" t="s">
        <v>205</v>
      </c>
      <c r="D102" s="83" t="str">
        <f>表1_861218222426728894[[#This Row],[目标国家]]</f>
        <v>蜀</v>
      </c>
      <c r="E102" s="415">
        <f>(VLOOKUP(表1_861218222426728894[[#This Row],[目标区服]],$R$149:$S$175,2,FALSE)-表1_861218222426728894[[#This Row],[开服天数]])*配置!$B$1</f>
        <v>1000</v>
      </c>
      <c r="F102" s="85">
        <f>表1_861218222426728894[[#This Row],[补偿Coin]]*(表1_861218222426728894[[#This Row],[活跃高战玩家数]]+表1_861218222426728894[[#This Row],[活跃中坚玩家数]])</f>
        <v>29000</v>
      </c>
      <c r="G102" s="416">
        <f>(VLOOKUP(表1_861218222426728894[[#This Row],[目标区服]],$R$149:$S$180,2,FALSE)-表1_861218222426728894[[#This Row],[开服天数]])*配置!$B$2</f>
        <v>10</v>
      </c>
      <c r="H102" s="83" t="s">
        <v>26</v>
      </c>
      <c r="I102" s="421">
        <f>IF(表1_861218222426728894[[#This Row],[原国家]]="魏",0,IF(表1_861218222426728894[[#This Row],[原国家]]="蜀",1,2))</f>
        <v>1</v>
      </c>
      <c r="J102" s="85">
        <v>5</v>
      </c>
      <c r="K102" s="85">
        <v>213</v>
      </c>
      <c r="L102" s="85">
        <v>3</v>
      </c>
      <c r="M102" s="85">
        <v>26</v>
      </c>
      <c r="N102" s="85">
        <v>116613</v>
      </c>
      <c r="O102" s="422">
        <v>2685231</v>
      </c>
      <c r="P102" s="379">
        <v>19502250</v>
      </c>
      <c r="Q102" s="31" t="s">
        <v>26</v>
      </c>
      <c r="R102" s="83">
        <f>IF(表1_861218222426728894[[#This Row],[目标国家]]="魏",0,IF(表1_861218222426728894[[#This Row],[目标国家]]="蜀",1,2))</f>
        <v>1</v>
      </c>
      <c r="S102" s="85">
        <v>137818</v>
      </c>
      <c r="T102" s="85">
        <v>0</v>
      </c>
      <c r="U102" s="85">
        <v>799283</v>
      </c>
      <c r="V102" s="85">
        <v>12382</v>
      </c>
      <c r="W102" s="489">
        <v>975338</v>
      </c>
      <c r="X102" s="431" t="str">
        <f>"{"&amp;"'coin':"&amp;表1_861218222426728894[[#This Row],[补偿Coin]]&amp;",'"&amp;配置!$A$2&amp;"':"&amp;表1_861218222426728894[[#This Row],[补偿辎重]]&amp;"},"</f>
        <v>{'coin':1000,'item036':10},</v>
      </c>
      <c r="Y102" s="149" t="str">
        <f>"            'to_zone':'"&amp;表1_861218222426728894[[#This Row],[目标区服]]&amp;"',
            'reward':"&amp;表1_861218222426728894[[#This Row],[辅助导出]]&amp;"
            'country':["&amp;R101&amp;","&amp;R102&amp;","&amp;R103&amp;"],"</f>
        <v>            'to_zone':'h1_574',
            'reward':{'coin':1000,'item036':10},
            'country':[0,1,0],</v>
      </c>
    </row>
    <row r="103" customHeight="1" spans="1:25">
      <c r="A103" s="370">
        <v>5161</v>
      </c>
      <c r="B103" s="81">
        <f>VLOOKUP(表1_861218222426728894[[#This Row],[区服]],$P$149:$Q$196,2,FALSE)</f>
        <v>42</v>
      </c>
      <c r="C103" s="414" t="s">
        <v>205</v>
      </c>
      <c r="D103" s="83" t="str">
        <f>表1_861218222426728894[[#This Row],[目标国家]]</f>
        <v>魏</v>
      </c>
      <c r="E103" s="415">
        <f>(VLOOKUP(表1_861218222426728894[[#This Row],[目标区服]],$R$149:$S$175,2,FALSE)-表1_861218222426728894[[#This Row],[开服天数]])*配置!$B$1</f>
        <v>1000</v>
      </c>
      <c r="F103" s="85">
        <f>表1_861218222426728894[[#This Row],[补偿Coin]]*(表1_861218222426728894[[#This Row],[活跃高战玩家数]]+表1_861218222426728894[[#This Row],[活跃中坚玩家数]])</f>
        <v>22000</v>
      </c>
      <c r="G103" s="416">
        <f>(VLOOKUP(表1_861218222426728894[[#This Row],[目标区服]],$R$149:$S$180,2,FALSE)-表1_861218222426728894[[#This Row],[开服天数]])*配置!$B$2</f>
        <v>10</v>
      </c>
      <c r="H103" s="83" t="s">
        <v>27</v>
      </c>
      <c r="I103" s="421">
        <f>IF(表1_861218222426728894[[#This Row],[原国家]]="魏",0,IF(表1_861218222426728894[[#This Row],[原国家]]="蜀",1,2))</f>
        <v>2</v>
      </c>
      <c r="J103" s="85">
        <v>3</v>
      </c>
      <c r="K103" s="85">
        <v>105</v>
      </c>
      <c r="L103" s="85">
        <v>3</v>
      </c>
      <c r="M103" s="85">
        <v>19</v>
      </c>
      <c r="N103" s="85">
        <v>102040</v>
      </c>
      <c r="O103" s="422">
        <v>1762466</v>
      </c>
      <c r="P103" s="379">
        <v>14814483</v>
      </c>
      <c r="Q103" s="31" t="s">
        <v>25</v>
      </c>
      <c r="R103" s="83">
        <f>IF(表1_861218222426728894[[#This Row],[目标国家]]="魏",0,IF(表1_861218222426728894[[#This Row],[目标国家]]="蜀",1,2))</f>
        <v>0</v>
      </c>
      <c r="S103" s="85">
        <v>37556</v>
      </c>
      <c r="T103" s="85">
        <v>0</v>
      </c>
      <c r="U103" s="85">
        <v>171540</v>
      </c>
      <c r="V103" s="85">
        <v>6316</v>
      </c>
      <c r="W103" s="489">
        <v>484307</v>
      </c>
      <c r="X103" s="431" t="str">
        <f>"{"&amp;"'coin':"&amp;表1_861218222426728894[[#This Row],[补偿Coin]]&amp;",'"&amp;配置!$A$2&amp;"':"&amp;表1_861218222426728894[[#This Row],[补偿辎重]]&amp;"},"</f>
        <v>{'coin':1000,'item036':10},</v>
      </c>
      <c r="Y103" s="149" t="str">
        <f t="shared" si="8"/>
        <v>      },</v>
      </c>
    </row>
    <row r="104" customHeight="1" spans="1:25">
      <c r="A104" s="314">
        <v>5162</v>
      </c>
      <c r="B104" s="91">
        <f>VLOOKUP(表1_861218222426728894[[#This Row],[区服]],$P$149:$Q$196,2,FALSE)</f>
        <v>42</v>
      </c>
      <c r="C104" s="177" t="s">
        <v>206</v>
      </c>
      <c r="D104" s="93" t="str">
        <f>表1_861218222426728894[[#This Row],[目标国家]]</f>
        <v>魏</v>
      </c>
      <c r="E104" s="417">
        <f>(VLOOKUP(表1_861218222426728894[[#This Row],[目标区服]],$R$149:$S$175,2,FALSE)-表1_861218222426728894[[#This Row],[开服天数]])*配置!$B$1</f>
        <v>1000</v>
      </c>
      <c r="F104" s="95">
        <f>表1_861218222426728894[[#This Row],[补偿Coin]]*(表1_861218222426728894[[#This Row],[活跃高战玩家数]]+表1_861218222426728894[[#This Row],[活跃中坚玩家数]])</f>
        <v>17000</v>
      </c>
      <c r="G104" s="418">
        <f>(VLOOKUP(表1_861218222426728894[[#This Row],[目标区服]],$R$149:$S$180,2,FALSE)-表1_861218222426728894[[#This Row],[开服天数]])*配置!$B$2</f>
        <v>10</v>
      </c>
      <c r="H104" s="93" t="s">
        <v>25</v>
      </c>
      <c r="I104" s="423">
        <f>IF(表1_861218222426728894[[#This Row],[原国家]]="魏",0,IF(表1_861218222426728894[[#This Row],[原国家]]="蜀",1,2))</f>
        <v>0</v>
      </c>
      <c r="J104" s="95">
        <v>2</v>
      </c>
      <c r="K104" s="95">
        <v>88</v>
      </c>
      <c r="L104" s="95">
        <v>3</v>
      </c>
      <c r="M104" s="95">
        <v>14</v>
      </c>
      <c r="N104" s="95">
        <v>88579</v>
      </c>
      <c r="O104" s="424">
        <v>1661977</v>
      </c>
      <c r="P104" s="326">
        <v>11908553</v>
      </c>
      <c r="Q104" s="137" t="s">
        <v>25</v>
      </c>
      <c r="R104" s="93">
        <f>IF(表1_861218222426728894[[#This Row],[目标国家]]="魏",0,IF(表1_861218222426728894[[#This Row],[目标国家]]="蜀",1,2))</f>
        <v>0</v>
      </c>
      <c r="S104" s="95">
        <v>14904</v>
      </c>
      <c r="T104" s="95">
        <v>0</v>
      </c>
      <c r="U104" s="95">
        <v>170134</v>
      </c>
      <c r="V104" s="95">
        <v>4907</v>
      </c>
      <c r="W104" s="495">
        <v>614015</v>
      </c>
      <c r="X104" s="433" t="str">
        <f>"{"&amp;"'coin':"&amp;表1_861218222426728894[[#This Row],[补偿Coin]]&amp;",'"&amp;配置!$A$2&amp;"':"&amp;表1_861218222426728894[[#This Row],[补偿辎重]]&amp;"},"</f>
        <v>{'coin':1000,'item036':10},</v>
      </c>
      <c r="Y104" s="138" t="str">
        <f>"      '"&amp;表1_861218222426728894[[#This Row],[区服]]&amp;"':{"</f>
        <v>      '5162':{</v>
      </c>
    </row>
    <row r="105" customHeight="1" spans="1:25">
      <c r="A105" s="314">
        <v>5162</v>
      </c>
      <c r="B105" s="91">
        <f>VLOOKUP(表1_861218222426728894[[#This Row],[区服]],$P$149:$Q$196,2,FALSE)</f>
        <v>42</v>
      </c>
      <c r="C105" s="177" t="s">
        <v>206</v>
      </c>
      <c r="D105" s="93" t="str">
        <f>表1_861218222426728894[[#This Row],[目标国家]]</f>
        <v>蜀</v>
      </c>
      <c r="E105" s="417">
        <f>(VLOOKUP(表1_861218222426728894[[#This Row],[目标区服]],$R$149:$S$175,2,FALSE)-表1_861218222426728894[[#This Row],[开服天数]])*配置!$B$1</f>
        <v>1000</v>
      </c>
      <c r="F105" s="95">
        <f>表1_861218222426728894[[#This Row],[补偿Coin]]*(表1_861218222426728894[[#This Row],[活跃高战玩家数]]+表1_861218222426728894[[#This Row],[活跃中坚玩家数]])</f>
        <v>27000</v>
      </c>
      <c r="G105" s="418">
        <f>(VLOOKUP(表1_861218222426728894[[#This Row],[目标区服]],$R$149:$S$180,2,FALSE)-表1_861218222426728894[[#This Row],[开服天数]])*配置!$B$2</f>
        <v>10</v>
      </c>
      <c r="H105" s="93" t="s">
        <v>26</v>
      </c>
      <c r="I105" s="423">
        <f>IF(表1_861218222426728894[[#This Row],[原国家]]="魏",0,IF(表1_861218222426728894[[#This Row],[原国家]]="蜀",1,2))</f>
        <v>1</v>
      </c>
      <c r="J105" s="95">
        <v>3</v>
      </c>
      <c r="K105" s="95">
        <v>132</v>
      </c>
      <c r="L105" s="95">
        <v>3</v>
      </c>
      <c r="M105" s="95">
        <v>24</v>
      </c>
      <c r="N105" s="95">
        <v>103849</v>
      </c>
      <c r="O105" s="424">
        <v>2067006</v>
      </c>
      <c r="P105" s="326">
        <v>16617904</v>
      </c>
      <c r="Q105" s="137" t="s">
        <v>26</v>
      </c>
      <c r="R105" s="93">
        <f>IF(表1_861218222426728894[[#This Row],[目标国家]]="魏",0,IF(表1_861218222426728894[[#This Row],[目标国家]]="蜀",1,2))</f>
        <v>1</v>
      </c>
      <c r="S105" s="95">
        <v>37584</v>
      </c>
      <c r="T105" s="95">
        <v>0</v>
      </c>
      <c r="U105" s="95">
        <v>622893</v>
      </c>
      <c r="V105" s="95">
        <v>7307</v>
      </c>
      <c r="W105" s="495">
        <v>691451</v>
      </c>
      <c r="X105" s="433" t="str">
        <f>"{"&amp;"'coin':"&amp;表1_861218222426728894[[#This Row],[补偿Coin]]&amp;",'"&amp;配置!$A$2&amp;"':"&amp;表1_861218222426728894[[#This Row],[补偿辎重]]&amp;"},"</f>
        <v>{'coin':1000,'item036':10},</v>
      </c>
      <c r="Y105" s="138" t="str">
        <f>"            'to_zone':'"&amp;表1_861218222426728894[[#This Row],[目标区服]]&amp;"',
            'reward':"&amp;表1_861218222426728894[[#This Row],[辅助导出]]&amp;"
            'country':["&amp;R104&amp;","&amp;R105&amp;","&amp;R106&amp;"],"</f>
        <v>            'to_zone':'h1_575',
            'reward':{'coin':1000,'item036':10},
            'country':[0,1,1],</v>
      </c>
    </row>
    <row r="106" customHeight="1" spans="1:25">
      <c r="A106" s="314">
        <v>5162</v>
      </c>
      <c r="B106" s="91">
        <f>VLOOKUP(表1_861218222426728894[[#This Row],[区服]],$P$149:$Q$196,2,FALSE)</f>
        <v>42</v>
      </c>
      <c r="C106" s="177" t="s">
        <v>206</v>
      </c>
      <c r="D106" s="93" t="str">
        <f>表1_861218222426728894[[#This Row],[目标国家]]</f>
        <v>蜀</v>
      </c>
      <c r="E106" s="417">
        <f>(VLOOKUP(表1_861218222426728894[[#This Row],[目标区服]],$R$149:$S$175,2,FALSE)-表1_861218222426728894[[#This Row],[开服天数]])*配置!$B$1</f>
        <v>1000</v>
      </c>
      <c r="F106" s="95">
        <f>表1_861218222426728894[[#This Row],[补偿Coin]]*(表1_861218222426728894[[#This Row],[活跃高战玩家数]]+表1_861218222426728894[[#This Row],[活跃中坚玩家数]])</f>
        <v>27000</v>
      </c>
      <c r="G106" s="418">
        <f>(VLOOKUP(表1_861218222426728894[[#This Row],[目标区服]],$R$149:$S$180,2,FALSE)-表1_861218222426728894[[#This Row],[开服天数]])*配置!$B$2</f>
        <v>10</v>
      </c>
      <c r="H106" s="93" t="s">
        <v>27</v>
      </c>
      <c r="I106" s="423">
        <f>IF(表1_861218222426728894[[#This Row],[原国家]]="魏",0,IF(表1_861218222426728894[[#This Row],[原国家]]="蜀",1,2))</f>
        <v>2</v>
      </c>
      <c r="J106" s="95">
        <v>4</v>
      </c>
      <c r="K106" s="95">
        <v>175</v>
      </c>
      <c r="L106" s="95">
        <v>4</v>
      </c>
      <c r="M106" s="95">
        <v>23</v>
      </c>
      <c r="N106" s="95">
        <v>112568</v>
      </c>
      <c r="O106" s="424">
        <v>1948503</v>
      </c>
      <c r="P106" s="326">
        <v>16998903</v>
      </c>
      <c r="Q106" s="137" t="s">
        <v>26</v>
      </c>
      <c r="R106" s="93">
        <f>IF(表1_861218222426728894[[#This Row],[目标国家]]="魏",0,IF(表1_861218222426728894[[#This Row],[目标国家]]="蜀",1,2))</f>
        <v>1</v>
      </c>
      <c r="S106" s="95">
        <v>12730</v>
      </c>
      <c r="T106" s="95">
        <v>0</v>
      </c>
      <c r="U106" s="95">
        <v>301302</v>
      </c>
      <c r="V106" s="95">
        <v>6893</v>
      </c>
      <c r="W106" s="495">
        <v>517813</v>
      </c>
      <c r="X106" s="433" t="str">
        <f>"{"&amp;"'coin':"&amp;表1_861218222426728894[[#This Row],[补偿Coin]]&amp;",'"&amp;配置!$A$2&amp;"':"&amp;表1_861218222426728894[[#This Row],[补偿辎重]]&amp;"},"</f>
        <v>{'coin':1000,'item036':10},</v>
      </c>
      <c r="Y106" s="138" t="str">
        <f t="shared" si="7"/>
        <v>      },</v>
      </c>
    </row>
    <row r="107" customHeight="1" spans="1:25">
      <c r="A107" s="314">
        <v>5163</v>
      </c>
      <c r="B107" s="91">
        <f>VLOOKUP(表1_861218222426728894[[#This Row],[区服]],$P$149:$Q$196,2,FALSE)</f>
        <v>42</v>
      </c>
      <c r="C107" s="177" t="s">
        <v>206</v>
      </c>
      <c r="D107" s="93" t="str">
        <f>表1_861218222426728894[[#This Row],[目标国家]]</f>
        <v>魏</v>
      </c>
      <c r="E107" s="417">
        <f>(VLOOKUP(表1_861218222426728894[[#This Row],[目标区服]],$R$149:$S$175,2,FALSE)-表1_861218222426728894[[#This Row],[开服天数]])*配置!$B$1</f>
        <v>1000</v>
      </c>
      <c r="F107" s="95">
        <f>表1_861218222426728894[[#This Row],[补偿Coin]]*(表1_861218222426728894[[#This Row],[活跃高战玩家数]]+表1_861218222426728894[[#This Row],[活跃中坚玩家数]])</f>
        <v>18000</v>
      </c>
      <c r="G107" s="418">
        <f>(VLOOKUP(表1_861218222426728894[[#This Row],[目标区服]],$R$149:$S$180,2,FALSE)-表1_861218222426728894[[#This Row],[开服天数]])*配置!$B$2</f>
        <v>10</v>
      </c>
      <c r="H107" s="93" t="s">
        <v>25</v>
      </c>
      <c r="I107" s="423">
        <f>IF(表1_861218222426728894[[#This Row],[原国家]]="魏",0,IF(表1_861218222426728894[[#This Row],[原国家]]="蜀",1,2))</f>
        <v>0</v>
      </c>
      <c r="J107" s="95">
        <v>6</v>
      </c>
      <c r="K107" s="95">
        <v>263</v>
      </c>
      <c r="L107" s="95">
        <v>5</v>
      </c>
      <c r="M107" s="95">
        <v>13</v>
      </c>
      <c r="N107" s="95">
        <v>112410</v>
      </c>
      <c r="O107" s="424">
        <v>1564436</v>
      </c>
      <c r="P107" s="326">
        <v>11294668</v>
      </c>
      <c r="Q107" s="137" t="s">
        <v>25</v>
      </c>
      <c r="R107" s="93">
        <f>IF(表1_861218222426728894[[#This Row],[目标国家]]="魏",0,IF(表1_861218222426728894[[#This Row],[目标国家]]="蜀",1,2))</f>
        <v>0</v>
      </c>
      <c r="S107" s="95">
        <v>9940</v>
      </c>
      <c r="T107" s="95">
        <v>0</v>
      </c>
      <c r="U107" s="95">
        <v>172183</v>
      </c>
      <c r="V107" s="95">
        <v>6870</v>
      </c>
      <c r="W107" s="495">
        <v>503638</v>
      </c>
      <c r="X107" s="433" t="str">
        <f>"{"&amp;"'coin':"&amp;表1_861218222426728894[[#This Row],[补偿Coin]]&amp;",'"&amp;配置!$A$2&amp;"':"&amp;表1_861218222426728894[[#This Row],[补偿辎重]]&amp;"},"</f>
        <v>{'coin':1000,'item036':10},</v>
      </c>
      <c r="Y107" s="138" t="str">
        <f>"      '"&amp;表1_861218222426728894[[#This Row],[区服]]&amp;"':{"</f>
        <v>      '5163':{</v>
      </c>
    </row>
    <row r="108" customHeight="1" spans="1:25">
      <c r="A108" s="314">
        <v>5163</v>
      </c>
      <c r="B108" s="91">
        <f>VLOOKUP(表1_861218222426728894[[#This Row],[区服]],$P$149:$Q$196,2,FALSE)</f>
        <v>42</v>
      </c>
      <c r="C108" s="177" t="s">
        <v>206</v>
      </c>
      <c r="D108" s="93" t="str">
        <f>表1_861218222426728894[[#This Row],[目标国家]]</f>
        <v>吴</v>
      </c>
      <c r="E108" s="417">
        <f>(VLOOKUP(表1_861218222426728894[[#This Row],[目标区服]],$R$149:$S$175,2,FALSE)-表1_861218222426728894[[#This Row],[开服天数]])*配置!$B$1</f>
        <v>1000</v>
      </c>
      <c r="F108" s="95">
        <f>表1_861218222426728894[[#This Row],[补偿Coin]]*(表1_861218222426728894[[#This Row],[活跃高战玩家数]]+表1_861218222426728894[[#This Row],[活跃中坚玩家数]])</f>
        <v>19000</v>
      </c>
      <c r="G108" s="418">
        <f>(VLOOKUP(表1_861218222426728894[[#This Row],[目标区服]],$R$149:$S$180,2,FALSE)-表1_861218222426728894[[#This Row],[开服天数]])*配置!$B$2</f>
        <v>10</v>
      </c>
      <c r="H108" s="93" t="s">
        <v>26</v>
      </c>
      <c r="I108" s="423">
        <f>IF(表1_861218222426728894[[#This Row],[原国家]]="魏",0,IF(表1_861218222426728894[[#This Row],[原国家]]="蜀",1,2))</f>
        <v>1</v>
      </c>
      <c r="J108" s="95">
        <v>1</v>
      </c>
      <c r="K108" s="95">
        <v>57</v>
      </c>
      <c r="L108" s="95">
        <v>3</v>
      </c>
      <c r="M108" s="95">
        <v>16</v>
      </c>
      <c r="N108" s="95">
        <v>94269</v>
      </c>
      <c r="O108" s="424">
        <v>1153168</v>
      </c>
      <c r="P108" s="326">
        <v>8476262</v>
      </c>
      <c r="Q108" s="137" t="s">
        <v>27</v>
      </c>
      <c r="R108" s="93">
        <f>IF(表1_861218222426728894[[#This Row],[目标国家]]="魏",0,IF(表1_861218222426728894[[#This Row],[目标国家]]="蜀",1,2))</f>
        <v>2</v>
      </c>
      <c r="S108" s="95">
        <v>2164</v>
      </c>
      <c r="T108" s="95">
        <v>0</v>
      </c>
      <c r="U108" s="95">
        <v>95602</v>
      </c>
      <c r="V108" s="95">
        <v>3254</v>
      </c>
      <c r="W108" s="495">
        <v>388129</v>
      </c>
      <c r="X108" s="433" t="str">
        <f>"{"&amp;"'coin':"&amp;表1_861218222426728894[[#This Row],[补偿Coin]]&amp;",'"&amp;配置!$A$2&amp;"':"&amp;表1_861218222426728894[[#This Row],[补偿辎重]]&amp;"},"</f>
        <v>{'coin':1000,'item036':10},</v>
      </c>
      <c r="Y108" s="138" t="str">
        <f>"            'to_zone':'"&amp;表1_861218222426728894[[#This Row],[目标区服]]&amp;"',
            'reward':"&amp;表1_861218222426728894[[#This Row],[辅助导出]]&amp;"
            'country':["&amp;R107&amp;","&amp;R108&amp;","&amp;R109&amp;"],"</f>
        <v>            'to_zone':'h1_575',
            'reward':{'coin':1000,'item036':10},
            'country':[0,2,0],</v>
      </c>
    </row>
    <row r="109" customHeight="1" spans="1:25">
      <c r="A109" s="314">
        <v>5163</v>
      </c>
      <c r="B109" s="91">
        <f>VLOOKUP(表1_861218222426728894[[#This Row],[区服]],$P$149:$Q$196,2,FALSE)</f>
        <v>42</v>
      </c>
      <c r="C109" s="177" t="s">
        <v>206</v>
      </c>
      <c r="D109" s="93" t="str">
        <f>表1_861218222426728894[[#This Row],[目标国家]]</f>
        <v>魏</v>
      </c>
      <c r="E109" s="417">
        <f>(VLOOKUP(表1_861218222426728894[[#This Row],[目标区服]],$R$149:$S$175,2,FALSE)-表1_861218222426728894[[#This Row],[开服天数]])*配置!$B$1</f>
        <v>1000</v>
      </c>
      <c r="F109" s="95">
        <f>表1_861218222426728894[[#This Row],[补偿Coin]]*(表1_861218222426728894[[#This Row],[活跃高战玩家数]]+表1_861218222426728894[[#This Row],[活跃中坚玩家数]])</f>
        <v>5000</v>
      </c>
      <c r="G109" s="418">
        <f>(VLOOKUP(表1_861218222426728894[[#This Row],[目标区服]],$R$149:$S$180,2,FALSE)-表1_861218222426728894[[#This Row],[开服天数]])*配置!$B$2</f>
        <v>10</v>
      </c>
      <c r="H109" s="93" t="s">
        <v>27</v>
      </c>
      <c r="I109" s="423">
        <f>IF(表1_861218222426728894[[#This Row],[原国家]]="魏",0,IF(表1_861218222426728894[[#This Row],[原国家]]="蜀",1,2))</f>
        <v>2</v>
      </c>
      <c r="J109" s="95">
        <v>2</v>
      </c>
      <c r="K109" s="95">
        <v>75</v>
      </c>
      <c r="L109" s="95">
        <v>1</v>
      </c>
      <c r="M109" s="95">
        <v>4</v>
      </c>
      <c r="N109" s="95">
        <v>26258</v>
      </c>
      <c r="O109" s="424">
        <v>915957</v>
      </c>
      <c r="P109" s="326">
        <v>2655244</v>
      </c>
      <c r="Q109" s="137" t="s">
        <v>25</v>
      </c>
      <c r="R109" s="93">
        <f>IF(表1_861218222426728894[[#This Row],[目标国家]]="魏",0,IF(表1_861218222426728894[[#This Row],[目标国家]]="蜀",1,2))</f>
        <v>0</v>
      </c>
      <c r="S109" s="95">
        <v>9242</v>
      </c>
      <c r="T109" s="95">
        <v>0</v>
      </c>
      <c r="U109" s="95">
        <v>76051</v>
      </c>
      <c r="V109" s="95">
        <v>2578</v>
      </c>
      <c r="W109" s="495">
        <v>257485</v>
      </c>
      <c r="X109" s="433" t="str">
        <f>"{"&amp;"'coin':"&amp;表1_861218222426728894[[#This Row],[补偿Coin]]&amp;",'"&amp;配置!$A$2&amp;"':"&amp;表1_861218222426728894[[#This Row],[补偿辎重]]&amp;"},"</f>
        <v>{'coin':1000,'item036':10},</v>
      </c>
      <c r="Y109" s="138" t="str">
        <f t="shared" si="8"/>
        <v>      },</v>
      </c>
    </row>
    <row r="110" customHeight="1" spans="1:25">
      <c r="A110" s="91">
        <v>5164</v>
      </c>
      <c r="B110" s="91">
        <f>VLOOKUP(表1_861218222426728894[[#This Row],[区服]],$P$149:$Q$196,2,FALSE)</f>
        <v>42</v>
      </c>
      <c r="C110" s="177" t="s">
        <v>206</v>
      </c>
      <c r="D110" s="313" t="str">
        <f>表1_861218222426728894[[#This Row],[目标国家]]</f>
        <v>魏</v>
      </c>
      <c r="E110" s="94">
        <f>(VLOOKUP(表1_861218222426728894[[#This Row],[目标区服]],$R$149:$S$175,2,FALSE)-表1_861218222426728894[[#This Row],[开服天数]])*配置!$B$1</f>
        <v>1000</v>
      </c>
      <c r="F110" s="94">
        <f>表1_861218222426728894[[#This Row],[补偿Coin]]*(表1_861218222426728894[[#This Row],[活跃高战玩家数]]+表1_861218222426728894[[#This Row],[活跃中坚玩家数]])</f>
        <v>13000</v>
      </c>
      <c r="G110" s="94">
        <f>(VLOOKUP(表1_861218222426728894[[#This Row],[目标区服]],$R$149:$S$180,2,FALSE)-表1_861218222426728894[[#This Row],[开服天数]])*配置!$B$2</f>
        <v>10</v>
      </c>
      <c r="H110" s="93" t="s">
        <v>25</v>
      </c>
      <c r="I110" s="93">
        <f>IF(表1_861218222426728894[[#This Row],[原国家]]="魏",0,IF(表1_861218222426728894[[#This Row],[原国家]]="蜀",1,2))</f>
        <v>0</v>
      </c>
      <c r="J110" s="95">
        <v>2</v>
      </c>
      <c r="K110" s="95">
        <v>73</v>
      </c>
      <c r="L110" s="95">
        <v>4</v>
      </c>
      <c r="M110" s="95">
        <v>9</v>
      </c>
      <c r="N110" s="95">
        <v>74871</v>
      </c>
      <c r="O110" s="95">
        <v>1603324</v>
      </c>
      <c r="P110" s="326">
        <v>8180908</v>
      </c>
      <c r="Q110" s="137" t="s">
        <v>25</v>
      </c>
      <c r="R110" s="93">
        <f>IF(表1_861218222426728894[[#This Row],[目标国家]]="魏",0,IF(表1_861218222426728894[[#This Row],[目标国家]]="蜀",1,2))</f>
        <v>0</v>
      </c>
      <c r="S110" s="95">
        <v>33740</v>
      </c>
      <c r="T110" s="95">
        <v>0</v>
      </c>
      <c r="U110" s="95">
        <v>188050</v>
      </c>
      <c r="V110" s="95">
        <v>4831</v>
      </c>
      <c r="W110" s="94">
        <v>620734</v>
      </c>
      <c r="X110" s="140" t="str">
        <f>"{"&amp;"'coin':"&amp;表1_861218222426728894[[#This Row],[补偿Coin]]&amp;",'"&amp;配置!$A$2&amp;"':"&amp;表1_861218222426728894[[#This Row],[补偿辎重]]&amp;"},"</f>
        <v>{'coin':1000,'item036':10},</v>
      </c>
      <c r="Y110" s="138" t="str">
        <f>"      '"&amp;表1_861218222426728894[[#This Row],[区服]]&amp;"':{"</f>
        <v>      '5164':{</v>
      </c>
    </row>
    <row r="111" customHeight="1" spans="1:25">
      <c r="A111" s="91">
        <v>5164</v>
      </c>
      <c r="B111" s="91">
        <f>VLOOKUP(表1_861218222426728894[[#This Row],[区服]],$P$149:$Q$196,2,FALSE)</f>
        <v>42</v>
      </c>
      <c r="C111" s="177" t="s">
        <v>206</v>
      </c>
      <c r="D111" s="93" t="str">
        <f>表1_861218222426728894[[#This Row],[目标国家]]</f>
        <v>蜀</v>
      </c>
      <c r="E111" s="95">
        <f>(VLOOKUP(表1_861218222426728894[[#This Row],[目标区服]],$R$149:$S$175,2,FALSE)-表1_861218222426728894[[#This Row],[开服天数]])*配置!$B$1</f>
        <v>1000</v>
      </c>
      <c r="F111" s="95">
        <f>表1_861218222426728894[[#This Row],[补偿Coin]]*(表1_861218222426728894[[#This Row],[活跃高战玩家数]]+表1_861218222426728894[[#This Row],[活跃中坚玩家数]])</f>
        <v>19000</v>
      </c>
      <c r="G111" s="95">
        <f>(VLOOKUP(表1_861218222426728894[[#This Row],[目标区服]],$R$149:$S$180,2,FALSE)-表1_861218222426728894[[#This Row],[开服天数]])*配置!$B$2</f>
        <v>10</v>
      </c>
      <c r="H111" s="93" t="s">
        <v>26</v>
      </c>
      <c r="I111" s="93">
        <f>IF(表1_861218222426728894[[#This Row],[原国家]]="魏",0,IF(表1_861218222426728894[[#This Row],[原国家]]="蜀",1,2))</f>
        <v>1</v>
      </c>
      <c r="J111" s="95">
        <v>2</v>
      </c>
      <c r="K111" s="95">
        <v>97</v>
      </c>
      <c r="L111" s="95">
        <v>3</v>
      </c>
      <c r="M111" s="95">
        <v>16</v>
      </c>
      <c r="N111" s="95">
        <v>105588</v>
      </c>
      <c r="O111" s="95">
        <v>1562905</v>
      </c>
      <c r="P111" s="326">
        <v>9979203</v>
      </c>
      <c r="Q111" s="137" t="s">
        <v>26</v>
      </c>
      <c r="R111" s="93">
        <f>IF(表1_861218222426728894[[#This Row],[目标国家]]="魏",0,IF(表1_861218222426728894[[#This Row],[目标国家]]="蜀",1,2))</f>
        <v>1</v>
      </c>
      <c r="S111" s="95">
        <v>10524</v>
      </c>
      <c r="T111" s="95">
        <v>0</v>
      </c>
      <c r="U111" s="95">
        <v>139374</v>
      </c>
      <c r="V111" s="95">
        <v>4644</v>
      </c>
      <c r="W111" s="94">
        <v>522910</v>
      </c>
      <c r="X111" s="140" t="str">
        <f>"{"&amp;"'coin':"&amp;表1_861218222426728894[[#This Row],[补偿Coin]]&amp;",'"&amp;配置!$A$2&amp;"':"&amp;表1_861218222426728894[[#This Row],[补偿辎重]]&amp;"},"</f>
        <v>{'coin':1000,'item036':10},</v>
      </c>
      <c r="Y111" s="138" t="str">
        <f>"            'to_zone':'"&amp;表1_861218222426728894[[#This Row],[目标区服]]&amp;"',
            'reward':"&amp;表1_861218222426728894[[#This Row],[辅助导出]]&amp;"
            'country':["&amp;R110&amp;","&amp;R111&amp;","&amp;R112&amp;"],"</f>
        <v>            'to_zone':'h1_575',
            'reward':{'coin':1000,'item036':10},
            'country':[0,1,2],</v>
      </c>
    </row>
    <row r="112" customHeight="1" spans="1:25">
      <c r="A112" s="91">
        <v>5164</v>
      </c>
      <c r="B112" s="91">
        <f>VLOOKUP(表1_861218222426728894[[#This Row],[区服]],$P$149:$Q$196,2,FALSE)</f>
        <v>42</v>
      </c>
      <c r="C112" s="177" t="s">
        <v>206</v>
      </c>
      <c r="D112" s="93" t="str">
        <f>表1_861218222426728894[[#This Row],[目标国家]]</f>
        <v>吴</v>
      </c>
      <c r="E112" s="95">
        <f>(VLOOKUP(表1_861218222426728894[[#This Row],[目标区服]],$R$149:$S$175,2,FALSE)-表1_861218222426728894[[#This Row],[开服天数]])*配置!$B$1</f>
        <v>1000</v>
      </c>
      <c r="F112" s="95">
        <f>表1_861218222426728894[[#This Row],[补偿Coin]]*(表1_861218222426728894[[#This Row],[活跃高战玩家数]]+表1_861218222426728894[[#This Row],[活跃中坚玩家数]])</f>
        <v>14000</v>
      </c>
      <c r="G112" s="95">
        <f>(VLOOKUP(表1_861218222426728894[[#This Row],[目标区服]],$R$149:$S$180,2,FALSE)-表1_861218222426728894[[#This Row],[开服天数]])*配置!$B$2</f>
        <v>10</v>
      </c>
      <c r="H112" s="93" t="s">
        <v>27</v>
      </c>
      <c r="I112" s="93">
        <f>IF(表1_861218222426728894[[#This Row],[原国家]]="魏",0,IF(表1_861218222426728894[[#This Row],[原国家]]="蜀",1,2))</f>
        <v>2</v>
      </c>
      <c r="J112" s="95">
        <v>5</v>
      </c>
      <c r="K112" s="95">
        <v>225</v>
      </c>
      <c r="L112" s="95">
        <v>2</v>
      </c>
      <c r="M112" s="95">
        <v>12</v>
      </c>
      <c r="N112" s="95">
        <v>75852</v>
      </c>
      <c r="O112" s="95">
        <v>2159867</v>
      </c>
      <c r="P112" s="326">
        <v>9357262</v>
      </c>
      <c r="Q112" s="137" t="s">
        <v>27</v>
      </c>
      <c r="R112" s="93">
        <f>IF(表1_861218222426728894[[#This Row],[目标国家]]="魏",0,IF(表1_861218222426728894[[#This Row],[目标国家]]="蜀",1,2))</f>
        <v>2</v>
      </c>
      <c r="S112" s="95">
        <v>81100</v>
      </c>
      <c r="T112" s="95">
        <v>0</v>
      </c>
      <c r="U112" s="95">
        <v>701886</v>
      </c>
      <c r="V112" s="95">
        <v>9008</v>
      </c>
      <c r="W112" s="94">
        <v>900376</v>
      </c>
      <c r="X112" s="140" t="str">
        <f>"{"&amp;"'coin':"&amp;表1_861218222426728894[[#This Row],[补偿Coin]]&amp;",'"&amp;配置!$A$2&amp;"':"&amp;表1_861218222426728894[[#This Row],[补偿辎重]]&amp;"},"</f>
        <v>{'coin':1000,'item036':10},</v>
      </c>
      <c r="Y112" s="138" t="str">
        <f t="shared" si="7"/>
        <v>      },</v>
      </c>
    </row>
    <row r="113" customHeight="1" spans="1:25">
      <c r="A113" s="259">
        <v>5165</v>
      </c>
      <c r="B113" s="210">
        <f>VLOOKUP(表1_861218222426728894[[#This Row],[区服]],$P$149:$Q$196,2,FALSE)</f>
        <v>42</v>
      </c>
      <c r="C113" s="41" t="s">
        <v>207</v>
      </c>
      <c r="D113" s="212" t="str">
        <f>表1_861218222426728894[[#This Row],[目标国家]]</f>
        <v>魏</v>
      </c>
      <c r="E113" s="213">
        <f>(VLOOKUP(表1_861218222426728894[[#This Row],[目标区服]],$R$149:$S$175,2,FALSE)-表1_861218222426728894[[#This Row],[开服天数]])*配置!$B$1</f>
        <v>1000</v>
      </c>
      <c r="F113" s="213">
        <f>表1_861218222426728894[[#This Row],[补偿Coin]]*(表1_861218222426728894[[#This Row],[活跃高战玩家数]]+表1_861218222426728894[[#This Row],[活跃中坚玩家数]])</f>
        <v>25000</v>
      </c>
      <c r="G113" s="213">
        <f>(VLOOKUP(表1_861218222426728894[[#This Row],[目标区服]],$R$149:$S$180,2,FALSE)-表1_861218222426728894[[#This Row],[开服天数]])*配置!$B$2</f>
        <v>10</v>
      </c>
      <c r="H113" s="212" t="s">
        <v>25</v>
      </c>
      <c r="I113" s="212">
        <f>IF(表1_861218222426728894[[#This Row],[原国家]]="魏",0,IF(表1_861218222426728894[[#This Row],[原国家]]="蜀",1,2))</f>
        <v>0</v>
      </c>
      <c r="J113" s="213">
        <v>6</v>
      </c>
      <c r="K113" s="213">
        <v>215</v>
      </c>
      <c r="L113" s="213">
        <v>7</v>
      </c>
      <c r="M113" s="213">
        <v>18</v>
      </c>
      <c r="N113" s="213">
        <v>144983</v>
      </c>
      <c r="O113" s="213">
        <v>2130385</v>
      </c>
      <c r="P113" s="420">
        <v>19393126</v>
      </c>
      <c r="Q113" s="243" t="s">
        <v>25</v>
      </c>
      <c r="R113" s="212">
        <f>IF(表1_861218222426728894[[#This Row],[目标国家]]="魏",0,IF(表1_861218222426728894[[#This Row],[目标国家]]="蜀",1,2))</f>
        <v>0</v>
      </c>
      <c r="S113" s="213">
        <v>27924</v>
      </c>
      <c r="T113" s="213">
        <v>0</v>
      </c>
      <c r="U113" s="213">
        <v>363445</v>
      </c>
      <c r="V113" s="213">
        <v>8564</v>
      </c>
      <c r="W113" s="68">
        <v>622068</v>
      </c>
      <c r="X113" s="245" t="str">
        <f>"{"&amp;"'coin':"&amp;表1_861218222426728894[[#This Row],[补偿Coin]]&amp;",'"&amp;配置!$A$2&amp;"':"&amp;表1_861218222426728894[[#This Row],[补偿辎重]]&amp;"},"</f>
        <v>{'coin':1000,'item036':10},</v>
      </c>
      <c r="Y113" s="254" t="str">
        <f>"      '"&amp;表1_861218222426728894[[#This Row],[区服]]&amp;"':{"</f>
        <v>      '5165':{</v>
      </c>
    </row>
    <row r="114" customHeight="1" spans="1:25">
      <c r="A114" s="259">
        <v>5165</v>
      </c>
      <c r="B114" s="210">
        <f>VLOOKUP(表1_861218222426728894[[#This Row],[区服]],$P$149:$Q$196,2,FALSE)</f>
        <v>42</v>
      </c>
      <c r="C114" s="41" t="s">
        <v>207</v>
      </c>
      <c r="D114" s="212" t="str">
        <f>表1_861218222426728894[[#This Row],[目标国家]]</f>
        <v>蜀</v>
      </c>
      <c r="E114" s="213">
        <f>(VLOOKUP(表1_861218222426728894[[#This Row],[目标区服]],$R$149:$S$175,2,FALSE)-表1_861218222426728894[[#This Row],[开服天数]])*配置!$B$1</f>
        <v>1000</v>
      </c>
      <c r="F114" s="213">
        <f>表1_861218222426728894[[#This Row],[补偿Coin]]*(表1_861218222426728894[[#This Row],[活跃高战玩家数]]+表1_861218222426728894[[#This Row],[活跃中坚玩家数]])</f>
        <v>13000</v>
      </c>
      <c r="G114" s="213">
        <f>(VLOOKUP(表1_861218222426728894[[#This Row],[目标区服]],$R$149:$S$180,2,FALSE)-表1_861218222426728894[[#This Row],[开服天数]])*配置!$B$2</f>
        <v>10</v>
      </c>
      <c r="H114" s="212" t="s">
        <v>26</v>
      </c>
      <c r="I114" s="212">
        <f>IF(表1_861218222426728894[[#This Row],[原国家]]="魏",0,IF(表1_861218222426728894[[#This Row],[原国家]]="蜀",1,2))</f>
        <v>1</v>
      </c>
      <c r="J114" s="213">
        <v>0</v>
      </c>
      <c r="K114" s="213">
        <v>69</v>
      </c>
      <c r="L114" s="213">
        <v>2</v>
      </c>
      <c r="M114" s="213">
        <v>11</v>
      </c>
      <c r="N114" s="213">
        <v>72377</v>
      </c>
      <c r="O114" s="213">
        <v>1709899</v>
      </c>
      <c r="P114" s="420">
        <v>9612420</v>
      </c>
      <c r="Q114" s="243" t="s">
        <v>26</v>
      </c>
      <c r="R114" s="212">
        <f>IF(表1_861218222426728894[[#This Row],[目标国家]]="魏",0,IF(表1_861218222426728894[[#This Row],[目标国家]]="蜀",1,2))</f>
        <v>1</v>
      </c>
      <c r="S114" s="213">
        <v>33680</v>
      </c>
      <c r="T114" s="213">
        <v>0</v>
      </c>
      <c r="U114" s="213">
        <v>157163</v>
      </c>
      <c r="V114" s="213">
        <v>4812</v>
      </c>
      <c r="W114" s="68">
        <v>582016</v>
      </c>
      <c r="X114" s="245" t="str">
        <f>"{"&amp;"'coin':"&amp;表1_861218222426728894[[#This Row],[补偿Coin]]&amp;",'"&amp;配置!$A$2&amp;"':"&amp;表1_861218222426728894[[#This Row],[补偿辎重]]&amp;"},"</f>
        <v>{'coin':1000,'item036':10},</v>
      </c>
      <c r="Y114" s="254" t="str">
        <f>"            'to_zone':'"&amp;表1_861218222426728894[[#This Row],[目标区服]]&amp;"',
            'reward':"&amp;表1_861218222426728894[[#This Row],[辅助导出]]&amp;"
            'country':["&amp;R113&amp;","&amp;R114&amp;","&amp;R115&amp;"],"</f>
        <v>            'to_zone':'h1_576',
            'reward':{'coin':1000,'item036':10},
            'country':[0,1,2],</v>
      </c>
    </row>
    <row r="115" customHeight="1" spans="1:25">
      <c r="A115" s="259">
        <v>5165</v>
      </c>
      <c r="B115" s="210">
        <f>VLOOKUP(表1_861218222426728894[[#This Row],[区服]],$P$149:$Q$196,2,FALSE)</f>
        <v>42</v>
      </c>
      <c r="C115" s="41" t="s">
        <v>207</v>
      </c>
      <c r="D115" s="212" t="str">
        <f>表1_861218222426728894[[#This Row],[目标国家]]</f>
        <v>吴</v>
      </c>
      <c r="E115" s="213">
        <f>(VLOOKUP(表1_861218222426728894[[#This Row],[目标区服]],$R$149:$S$175,2,FALSE)-表1_861218222426728894[[#This Row],[开服天数]])*配置!$B$1</f>
        <v>1000</v>
      </c>
      <c r="F115" s="213">
        <f>表1_861218222426728894[[#This Row],[补偿Coin]]*(表1_861218222426728894[[#This Row],[活跃高战玩家数]]+表1_861218222426728894[[#This Row],[活跃中坚玩家数]])</f>
        <v>13000</v>
      </c>
      <c r="G115" s="213">
        <f>(VLOOKUP(表1_861218222426728894[[#This Row],[目标区服]],$R$149:$S$180,2,FALSE)-表1_861218222426728894[[#This Row],[开服天数]])*配置!$B$2</f>
        <v>10</v>
      </c>
      <c r="H115" s="212" t="s">
        <v>27</v>
      </c>
      <c r="I115" s="212">
        <f>IF(表1_861218222426728894[[#This Row],[原国家]]="魏",0,IF(表1_861218222426728894[[#This Row],[原国家]]="蜀",1,2))</f>
        <v>2</v>
      </c>
      <c r="J115" s="213">
        <v>3</v>
      </c>
      <c r="K115" s="213">
        <v>111</v>
      </c>
      <c r="L115" s="213">
        <v>1</v>
      </c>
      <c r="M115" s="213">
        <v>12</v>
      </c>
      <c r="N115" s="213">
        <v>62881</v>
      </c>
      <c r="O115" s="213">
        <v>1972836</v>
      </c>
      <c r="P115" s="420">
        <v>9372225</v>
      </c>
      <c r="Q115" s="243" t="s">
        <v>27</v>
      </c>
      <c r="R115" s="212">
        <f>IF(表1_861218222426728894[[#This Row],[目标国家]]="魏",0,IF(表1_861218222426728894[[#This Row],[目标国家]]="蜀",1,2))</f>
        <v>2</v>
      </c>
      <c r="S115" s="213">
        <v>66230</v>
      </c>
      <c r="T115" s="213">
        <v>0</v>
      </c>
      <c r="U115" s="213">
        <v>300266</v>
      </c>
      <c r="V115" s="213">
        <v>6771</v>
      </c>
      <c r="W115" s="68">
        <v>734241</v>
      </c>
      <c r="X115" s="245" t="str">
        <f>"{"&amp;"'coin':"&amp;表1_861218222426728894[[#This Row],[补偿Coin]]&amp;",'"&amp;配置!$A$2&amp;"':"&amp;表1_861218222426728894[[#This Row],[补偿辎重]]&amp;"},"</f>
        <v>{'coin':1000,'item036':10},</v>
      </c>
      <c r="Y115" s="254" t="str">
        <f t="shared" si="8"/>
        <v>      },</v>
      </c>
    </row>
    <row r="116" customHeight="1" spans="1:25">
      <c r="A116" s="259">
        <v>5166</v>
      </c>
      <c r="B116" s="210">
        <f>VLOOKUP(表1_861218222426728894[[#This Row],[区服]],$P$149:$Q$196,2,FALSE)</f>
        <v>42</v>
      </c>
      <c r="C116" s="41" t="s">
        <v>207</v>
      </c>
      <c r="D116" s="212" t="str">
        <f>表1_861218222426728894[[#This Row],[目标国家]]</f>
        <v>魏</v>
      </c>
      <c r="E116" s="213">
        <f>(VLOOKUP(表1_861218222426728894[[#This Row],[目标区服]],$R$149:$S$175,2,FALSE)-表1_861218222426728894[[#This Row],[开服天数]])*配置!$B$1</f>
        <v>1000</v>
      </c>
      <c r="F116" s="213">
        <f>表1_861218222426728894[[#This Row],[补偿Coin]]*(表1_861218222426728894[[#This Row],[活跃高战玩家数]]+表1_861218222426728894[[#This Row],[活跃中坚玩家数]])</f>
        <v>17000</v>
      </c>
      <c r="G116" s="260">
        <f>(VLOOKUP(表1_861218222426728894[[#This Row],[目标区服]],$R$149:$S$180,2,FALSE)-表1_861218222426728894[[#This Row],[开服天数]])*配置!$B$2</f>
        <v>10</v>
      </c>
      <c r="H116" s="212" t="s">
        <v>25</v>
      </c>
      <c r="I116" s="268">
        <f>IF(表1_861218222426728894[[#This Row],[原国家]]="魏",0,IF(表1_861218222426728894[[#This Row],[原国家]]="蜀",1,2))</f>
        <v>0</v>
      </c>
      <c r="J116" s="213">
        <v>3</v>
      </c>
      <c r="K116" s="213">
        <v>115</v>
      </c>
      <c r="L116" s="213">
        <v>3</v>
      </c>
      <c r="M116" s="213">
        <v>14</v>
      </c>
      <c r="N116" s="213">
        <v>86511</v>
      </c>
      <c r="O116" s="419">
        <v>1605094</v>
      </c>
      <c r="P116" s="420">
        <v>10107574</v>
      </c>
      <c r="Q116" s="31" t="s">
        <v>25</v>
      </c>
      <c r="R116" s="212">
        <f>IF(表1_861218222426728894[[#This Row],[目标国家]]="魏",0,IF(表1_861218222426728894[[#This Row],[目标国家]]="蜀",1,2))</f>
        <v>0</v>
      </c>
      <c r="S116" s="213">
        <v>22968</v>
      </c>
      <c r="T116" s="213">
        <v>0</v>
      </c>
      <c r="U116" s="213">
        <v>137998</v>
      </c>
      <c r="V116" s="213">
        <v>5256</v>
      </c>
      <c r="W116" s="213">
        <v>493304</v>
      </c>
      <c r="X116" s="278" t="str">
        <f>"{"&amp;"'coin':"&amp;表1_861218222426728894[[#This Row],[补偿Coin]]&amp;",'"&amp;配置!$A$2&amp;"':"&amp;表1_861218222426728894[[#This Row],[补偿辎重]]&amp;"},"</f>
        <v>{'coin':1000,'item036':10},</v>
      </c>
      <c r="Y116" s="278" t="str">
        <f>"      '"&amp;表1_861218222426728894[[#This Row],[区服]]&amp;"':{"</f>
        <v>      '5166':{</v>
      </c>
    </row>
    <row r="117" customHeight="1" spans="1:25">
      <c r="A117" s="259">
        <v>5166</v>
      </c>
      <c r="B117" s="210">
        <f>VLOOKUP(表1_861218222426728894[[#This Row],[区服]],$P$149:$Q$196,2,FALSE)</f>
        <v>42</v>
      </c>
      <c r="C117" s="41" t="s">
        <v>207</v>
      </c>
      <c r="D117" s="212" t="str">
        <f>表1_861218222426728894[[#This Row],[目标国家]]</f>
        <v>蜀</v>
      </c>
      <c r="E117" s="213">
        <f>(VLOOKUP(表1_861218222426728894[[#This Row],[目标区服]],$R$149:$S$175,2,FALSE)-表1_861218222426728894[[#This Row],[开服天数]])*配置!$B$1</f>
        <v>1000</v>
      </c>
      <c r="F117" s="213">
        <f>表1_861218222426728894[[#This Row],[补偿Coin]]*(表1_861218222426728894[[#This Row],[活跃高战玩家数]]+表1_861218222426728894[[#This Row],[活跃中坚玩家数]])</f>
        <v>22000</v>
      </c>
      <c r="G117" s="260">
        <f>(VLOOKUP(表1_861218222426728894[[#This Row],[目标区服]],$R$149:$S$180,2,FALSE)-表1_861218222426728894[[#This Row],[开服天数]])*配置!$B$2</f>
        <v>10</v>
      </c>
      <c r="H117" s="212" t="s">
        <v>26</v>
      </c>
      <c r="I117" s="268">
        <f>IF(表1_861218222426728894[[#This Row],[原国家]]="魏",0,IF(表1_861218222426728894[[#This Row],[原国家]]="蜀",1,2))</f>
        <v>1</v>
      </c>
      <c r="J117" s="213">
        <v>4</v>
      </c>
      <c r="K117" s="213">
        <v>196</v>
      </c>
      <c r="L117" s="213">
        <v>5</v>
      </c>
      <c r="M117" s="213">
        <v>17</v>
      </c>
      <c r="N117" s="213">
        <v>121468</v>
      </c>
      <c r="O117" s="419">
        <v>1827409</v>
      </c>
      <c r="P117" s="420">
        <v>14549974</v>
      </c>
      <c r="Q117" s="31" t="s">
        <v>26</v>
      </c>
      <c r="R117" s="212">
        <f>IF(表1_861218222426728894[[#This Row],[目标国家]]="魏",0,IF(表1_861218222426728894[[#This Row],[目标国家]]="蜀",1,2))</f>
        <v>1</v>
      </c>
      <c r="S117" s="213">
        <v>30312</v>
      </c>
      <c r="T117" s="213">
        <v>0</v>
      </c>
      <c r="U117" s="213">
        <v>339658</v>
      </c>
      <c r="V117" s="213">
        <v>7328</v>
      </c>
      <c r="W117" s="213">
        <v>477792</v>
      </c>
      <c r="X117" s="278" t="str">
        <f>"{"&amp;"'coin':"&amp;表1_861218222426728894[[#This Row],[补偿Coin]]&amp;",'"&amp;配置!$A$2&amp;"':"&amp;表1_861218222426728894[[#This Row],[补偿辎重]]&amp;"},"</f>
        <v>{'coin':1000,'item036':10},</v>
      </c>
      <c r="Y117" s="278" t="str">
        <f>"            'to_zone':'"&amp;表1_861218222426728894[[#This Row],[目标区服]]&amp;"',
            'reward':"&amp;表1_861218222426728894[[#This Row],[辅助导出]]&amp;"
            'country':["&amp;R116&amp;","&amp;R117&amp;","&amp;R118&amp;"],"</f>
        <v>            'to_zone':'h1_576',
            'reward':{'coin':1000,'item036':10},
            'country':[0,1,0],</v>
      </c>
    </row>
    <row r="118" customHeight="1" spans="1:25">
      <c r="A118" s="259">
        <v>5166</v>
      </c>
      <c r="B118" s="210">
        <f>VLOOKUP(表1_861218222426728894[[#This Row],[区服]],$P$149:$Q$196,2,FALSE)</f>
        <v>42</v>
      </c>
      <c r="C118" s="41" t="s">
        <v>207</v>
      </c>
      <c r="D118" s="212" t="str">
        <f>表1_861218222426728894[[#This Row],[目标国家]]</f>
        <v>魏</v>
      </c>
      <c r="E118" s="213">
        <f>(VLOOKUP(表1_861218222426728894[[#This Row],[目标区服]],$R$149:$S$175,2,FALSE)-表1_861218222426728894[[#This Row],[开服天数]])*配置!$B$1</f>
        <v>1000</v>
      </c>
      <c r="F118" s="213">
        <f>表1_861218222426728894[[#This Row],[补偿Coin]]*(表1_861218222426728894[[#This Row],[活跃高战玩家数]]+表1_861218222426728894[[#This Row],[活跃中坚玩家数]])</f>
        <v>15000</v>
      </c>
      <c r="G118" s="260">
        <f>(VLOOKUP(表1_861218222426728894[[#This Row],[目标区服]],$R$149:$S$180,2,FALSE)-表1_861218222426728894[[#This Row],[开服天数]])*配置!$B$2</f>
        <v>10</v>
      </c>
      <c r="H118" s="212" t="s">
        <v>27</v>
      </c>
      <c r="I118" s="268">
        <f>IF(表1_861218222426728894[[#This Row],[原国家]]="魏",0,IF(表1_861218222426728894[[#This Row],[原国家]]="蜀",1,2))</f>
        <v>2</v>
      </c>
      <c r="J118" s="213">
        <v>2</v>
      </c>
      <c r="K118" s="213">
        <v>84</v>
      </c>
      <c r="L118" s="213">
        <v>2</v>
      </c>
      <c r="M118" s="213">
        <v>13</v>
      </c>
      <c r="N118" s="213">
        <v>72714</v>
      </c>
      <c r="O118" s="419">
        <v>1311373</v>
      </c>
      <c r="P118" s="420">
        <v>8041229</v>
      </c>
      <c r="Q118" s="31" t="s">
        <v>25</v>
      </c>
      <c r="R118" s="212">
        <f>IF(表1_861218222426728894[[#This Row],[目标国家]]="魏",0,IF(表1_861218222426728894[[#This Row],[目标国家]]="蜀",1,2))</f>
        <v>0</v>
      </c>
      <c r="S118" s="213">
        <v>10166</v>
      </c>
      <c r="T118" s="213">
        <v>0</v>
      </c>
      <c r="U118" s="213">
        <v>117623</v>
      </c>
      <c r="V118" s="213">
        <v>3882</v>
      </c>
      <c r="W118" s="213">
        <v>376158</v>
      </c>
      <c r="X118" s="278" t="str">
        <f>"{"&amp;"'coin':"&amp;表1_861218222426728894[[#This Row],[补偿Coin]]&amp;",'"&amp;配置!$A$2&amp;"':"&amp;表1_861218222426728894[[#This Row],[补偿辎重]]&amp;"},"</f>
        <v>{'coin':1000,'item036':10},</v>
      </c>
      <c r="Y118" s="278" t="str">
        <f t="shared" si="7"/>
        <v>      },</v>
      </c>
    </row>
    <row r="119" customHeight="1" spans="1:25">
      <c r="A119" s="259">
        <v>5167</v>
      </c>
      <c r="B119" s="210">
        <f>VLOOKUP(表1_861218222426728894[[#This Row],[区服]],$P$149:$Q$196,2,FALSE)</f>
        <v>42</v>
      </c>
      <c r="C119" s="41" t="s">
        <v>207</v>
      </c>
      <c r="D119" s="212" t="str">
        <f>表1_861218222426728894[[#This Row],[目标国家]]</f>
        <v>吴</v>
      </c>
      <c r="E119" s="213">
        <f>(VLOOKUP(表1_861218222426728894[[#This Row],[目标区服]],$R$149:$S$175,2,FALSE)-表1_861218222426728894[[#This Row],[开服天数]])*配置!$B$1</f>
        <v>1000</v>
      </c>
      <c r="F119" s="213">
        <f>表1_861218222426728894[[#This Row],[补偿Coin]]*(表1_861218222426728894[[#This Row],[活跃高战玩家数]]+表1_861218222426728894[[#This Row],[活跃中坚玩家数]])</f>
        <v>13000</v>
      </c>
      <c r="G119" s="260">
        <f>(VLOOKUP(表1_861218222426728894[[#This Row],[目标区服]],$R$149:$S$180,2,FALSE)-表1_861218222426728894[[#This Row],[开服天数]])*配置!$B$2</f>
        <v>10</v>
      </c>
      <c r="H119" s="212" t="s">
        <v>25</v>
      </c>
      <c r="I119" s="268">
        <f>IF(表1_861218222426728894[[#This Row],[原国家]]="魏",0,IF(表1_861218222426728894[[#This Row],[原国家]]="蜀",1,2))</f>
        <v>0</v>
      </c>
      <c r="J119" s="213">
        <v>0</v>
      </c>
      <c r="K119" s="213">
        <v>32</v>
      </c>
      <c r="L119" s="213">
        <v>0</v>
      </c>
      <c r="M119" s="213">
        <v>13</v>
      </c>
      <c r="N119" s="213">
        <v>42251</v>
      </c>
      <c r="O119" s="419">
        <v>593107</v>
      </c>
      <c r="P119" s="420">
        <v>3914690</v>
      </c>
      <c r="Q119" s="31" t="s">
        <v>27</v>
      </c>
      <c r="R119" s="212">
        <f>IF(表1_861218222426728894[[#This Row],[目标国家]]="魏",0,IF(表1_861218222426728894[[#This Row],[目标国家]]="蜀",1,2))</f>
        <v>2</v>
      </c>
      <c r="S119" s="213">
        <v>970</v>
      </c>
      <c r="T119" s="213">
        <v>0</v>
      </c>
      <c r="U119" s="213">
        <v>51892</v>
      </c>
      <c r="V119" s="213">
        <v>1570</v>
      </c>
      <c r="W119" s="213">
        <v>156514</v>
      </c>
      <c r="X119" s="278" t="str">
        <f>"{"&amp;"'coin':"&amp;表1_861218222426728894[[#This Row],[补偿Coin]]&amp;",'"&amp;配置!$A$2&amp;"':"&amp;表1_861218222426728894[[#This Row],[补偿辎重]]&amp;"},"</f>
        <v>{'coin':1000,'item036':10},</v>
      </c>
      <c r="Y119" s="278" t="str">
        <f>"      '"&amp;表1_861218222426728894[[#This Row],[区服]]&amp;"':{"</f>
        <v>      '5167':{</v>
      </c>
    </row>
    <row r="120" customHeight="1" spans="1:25">
      <c r="A120" s="259">
        <v>5167</v>
      </c>
      <c r="B120" s="210">
        <f>VLOOKUP(表1_861218222426728894[[#This Row],[区服]],$P$149:$Q$196,2,FALSE)</f>
        <v>42</v>
      </c>
      <c r="C120" s="41" t="s">
        <v>207</v>
      </c>
      <c r="D120" s="212" t="str">
        <f>表1_861218222426728894[[#This Row],[目标国家]]</f>
        <v>蜀</v>
      </c>
      <c r="E120" s="213">
        <f>(VLOOKUP(表1_861218222426728894[[#This Row],[目标区服]],$R$149:$S$175,2,FALSE)-表1_861218222426728894[[#This Row],[开服天数]])*配置!$B$1</f>
        <v>1000</v>
      </c>
      <c r="F120" s="213">
        <f>表1_861218222426728894[[#This Row],[补偿Coin]]*(表1_861218222426728894[[#This Row],[活跃高战玩家数]]+表1_861218222426728894[[#This Row],[活跃中坚玩家数]])</f>
        <v>20000</v>
      </c>
      <c r="G120" s="260">
        <f>(VLOOKUP(表1_861218222426728894[[#This Row],[目标区服]],$R$149:$S$180,2,FALSE)-表1_861218222426728894[[#This Row],[开服天数]])*配置!$B$2</f>
        <v>10</v>
      </c>
      <c r="H120" s="212" t="s">
        <v>26</v>
      </c>
      <c r="I120" s="268">
        <f>IF(表1_861218222426728894[[#This Row],[原国家]]="魏",0,IF(表1_861218222426728894[[#This Row],[原国家]]="蜀",1,2))</f>
        <v>1</v>
      </c>
      <c r="J120" s="213">
        <v>6</v>
      </c>
      <c r="K120" s="213">
        <v>222</v>
      </c>
      <c r="L120" s="213">
        <v>5</v>
      </c>
      <c r="M120" s="213">
        <v>15</v>
      </c>
      <c r="N120" s="213">
        <v>115056</v>
      </c>
      <c r="O120" s="419">
        <v>2069648</v>
      </c>
      <c r="P120" s="420">
        <v>12372746</v>
      </c>
      <c r="Q120" s="31" t="s">
        <v>26</v>
      </c>
      <c r="R120" s="212">
        <f>IF(表1_861218222426728894[[#This Row],[目标国家]]="魏",0,IF(表1_861218222426728894[[#This Row],[目标国家]]="蜀",1,2))</f>
        <v>1</v>
      </c>
      <c r="S120" s="213">
        <v>16066</v>
      </c>
      <c r="T120" s="213">
        <v>0</v>
      </c>
      <c r="U120" s="213">
        <v>128659</v>
      </c>
      <c r="V120" s="213">
        <v>7248</v>
      </c>
      <c r="W120" s="213">
        <v>623686</v>
      </c>
      <c r="X120" s="278" t="str">
        <f>"{"&amp;"'coin':"&amp;表1_861218222426728894[[#This Row],[补偿Coin]]&amp;",'"&amp;配置!$A$2&amp;"':"&amp;表1_861218222426728894[[#This Row],[补偿辎重]]&amp;"},"</f>
        <v>{'coin':1000,'item036':10},</v>
      </c>
      <c r="Y120" s="278" t="str">
        <f>"            'to_zone':'"&amp;表1_861218222426728894[[#This Row],[目标区服]]&amp;"',
            'reward':"&amp;表1_861218222426728894[[#This Row],[辅助导出]]&amp;"
            'country':["&amp;R119&amp;","&amp;R120&amp;","&amp;R121&amp;"],"</f>
        <v>            'to_zone':'h1_576',
            'reward':{'coin':1000,'item036':10},
            'country':[2,1,2],</v>
      </c>
    </row>
    <row r="121" customHeight="1" spans="1:25">
      <c r="A121" s="259">
        <v>5167</v>
      </c>
      <c r="B121" s="210">
        <f>VLOOKUP(表1_861218222426728894[[#This Row],[区服]],$P$149:$Q$196,2,FALSE)</f>
        <v>42</v>
      </c>
      <c r="C121" s="41" t="s">
        <v>207</v>
      </c>
      <c r="D121" s="212" t="str">
        <f>表1_861218222426728894[[#This Row],[目标国家]]</f>
        <v>吴</v>
      </c>
      <c r="E121" s="213">
        <f>(VLOOKUP(表1_861218222426728894[[#This Row],[目标区服]],$R$149:$S$175,2,FALSE)-表1_861218222426728894[[#This Row],[开服天数]])*配置!$B$1</f>
        <v>1000</v>
      </c>
      <c r="F121" s="213">
        <f>表1_861218222426728894[[#This Row],[补偿Coin]]*(表1_861218222426728894[[#This Row],[活跃高战玩家数]]+表1_861218222426728894[[#This Row],[活跃中坚玩家数]])</f>
        <v>20000</v>
      </c>
      <c r="G121" s="260">
        <f>(VLOOKUP(表1_861218222426728894[[#This Row],[目标区服]],$R$149:$S$180,2,FALSE)-表1_861218222426728894[[#This Row],[开服天数]])*配置!$B$2</f>
        <v>10</v>
      </c>
      <c r="H121" s="212" t="s">
        <v>27</v>
      </c>
      <c r="I121" s="268">
        <f>IF(表1_861218222426728894[[#This Row],[原国家]]="魏",0,IF(表1_861218222426728894[[#This Row],[原国家]]="蜀",1,2))</f>
        <v>2</v>
      </c>
      <c r="J121" s="213">
        <v>3</v>
      </c>
      <c r="K121" s="213">
        <v>141</v>
      </c>
      <c r="L121" s="213">
        <v>5</v>
      </c>
      <c r="M121" s="213">
        <v>15</v>
      </c>
      <c r="N121" s="213">
        <v>106810</v>
      </c>
      <c r="O121" s="419">
        <v>1845056</v>
      </c>
      <c r="P121" s="420">
        <v>11649121</v>
      </c>
      <c r="Q121" s="31" t="s">
        <v>27</v>
      </c>
      <c r="R121" s="212">
        <f>IF(表1_861218222426728894[[#This Row],[目标国家]]="魏",0,IF(表1_861218222426728894[[#This Row],[目标国家]]="蜀",1,2))</f>
        <v>2</v>
      </c>
      <c r="S121" s="213">
        <v>19922</v>
      </c>
      <c r="T121" s="213">
        <v>0</v>
      </c>
      <c r="U121" s="213">
        <v>312439</v>
      </c>
      <c r="V121" s="213">
        <v>6007</v>
      </c>
      <c r="W121" s="213">
        <v>600572</v>
      </c>
      <c r="X121" s="278" t="str">
        <f>"{"&amp;"'coin':"&amp;表1_861218222426728894[[#This Row],[补偿Coin]]&amp;",'"&amp;配置!$A$2&amp;"':"&amp;表1_861218222426728894[[#This Row],[补偿辎重]]&amp;"},"</f>
        <v>{'coin':1000,'item036':10},</v>
      </c>
      <c r="Y121" s="278" t="str">
        <f t="shared" ref="Y121" si="9">"      },"</f>
        <v>      },</v>
      </c>
    </row>
    <row r="122" customHeight="1" spans="1:25">
      <c r="A122" s="17">
        <v>5168</v>
      </c>
      <c r="B122" s="17">
        <f>VLOOKUP(表1_861218222426728894[[#This Row],[区服]],$P$149:$Q$196,2,FALSE)</f>
        <v>42</v>
      </c>
      <c r="C122" s="45" t="s">
        <v>208</v>
      </c>
      <c r="D122" s="19" t="str">
        <f>表1_861218222426728894[[#This Row],[目标国家]]</f>
        <v>魏</v>
      </c>
      <c r="E122" s="20">
        <f>(VLOOKUP(表1_861218222426728894[[#This Row],[目标区服]],$R$149:$S$175,2,FALSE)-表1_861218222426728894[[#This Row],[开服天数]])*配置!$B$1</f>
        <v>1000</v>
      </c>
      <c r="F122" s="20">
        <f>表1_861218222426728894[[#This Row],[补偿Coin]]*(表1_861218222426728894[[#This Row],[活跃高战玩家数]]+表1_861218222426728894[[#This Row],[活跃中坚玩家数]])</f>
        <v>19000</v>
      </c>
      <c r="G122" s="20">
        <f>(VLOOKUP(表1_861218222426728894[[#This Row],[目标区服]],$R$149:$S$180,2,FALSE)-表1_861218222426728894[[#This Row],[开服天数]])*配置!$B$2</f>
        <v>10</v>
      </c>
      <c r="H122" s="19" t="s">
        <v>25</v>
      </c>
      <c r="I122" s="19">
        <f>IF(表1_861218222426728894[[#This Row],[原国家]]="魏",0,IF(表1_861218222426728894[[#This Row],[原国家]]="蜀",1,2))</f>
        <v>0</v>
      </c>
      <c r="J122" s="20">
        <v>5</v>
      </c>
      <c r="K122" s="20">
        <v>225</v>
      </c>
      <c r="L122" s="20">
        <v>3</v>
      </c>
      <c r="M122" s="20">
        <v>16</v>
      </c>
      <c r="N122" s="20">
        <v>91633</v>
      </c>
      <c r="O122" s="20">
        <v>2379605</v>
      </c>
      <c r="P122" s="26">
        <v>12717827</v>
      </c>
      <c r="Q122" s="496" t="s">
        <v>25</v>
      </c>
      <c r="R122" s="19">
        <f>IF(表1_861218222426728894[[#This Row],[目标国家]]="魏",0,IF(表1_861218222426728894[[#This Row],[目标国家]]="蜀",1,2))</f>
        <v>0</v>
      </c>
      <c r="S122" s="20">
        <v>71740</v>
      </c>
      <c r="T122" s="20">
        <v>0</v>
      </c>
      <c r="U122" s="20">
        <v>519676</v>
      </c>
      <c r="V122" s="20">
        <v>9271</v>
      </c>
      <c r="W122" s="32">
        <v>785438</v>
      </c>
      <c r="X122" s="33" t="str">
        <f>"{"&amp;"'coin':"&amp;表1_861218222426728894[[#This Row],[补偿Coin]]&amp;",'"&amp;配置!$A$2&amp;"':"&amp;表1_861218222426728894[[#This Row],[补偿辎重]]&amp;"},"</f>
        <v>{'coin':1000,'item036':10},</v>
      </c>
      <c r="Y122" s="34" t="str">
        <f>"      '"&amp;表1_861218222426728894[[#This Row],[区服]]&amp;"':{"</f>
        <v>      '5168':{</v>
      </c>
    </row>
    <row r="123" customHeight="1" spans="1:25">
      <c r="A123" s="17">
        <v>5168</v>
      </c>
      <c r="B123" s="17">
        <f>VLOOKUP(表1_861218222426728894[[#This Row],[区服]],$P$149:$Q$196,2,FALSE)</f>
        <v>42</v>
      </c>
      <c r="C123" s="45" t="s">
        <v>208</v>
      </c>
      <c r="D123" s="19" t="str">
        <f>表1_861218222426728894[[#This Row],[目标国家]]</f>
        <v>吴</v>
      </c>
      <c r="E123" s="20">
        <f>(VLOOKUP(表1_861218222426728894[[#This Row],[目标区服]],$R$149:$S$175,2,FALSE)-表1_861218222426728894[[#This Row],[开服天数]])*配置!$B$1</f>
        <v>1000</v>
      </c>
      <c r="F123" s="20">
        <f>表1_861218222426728894[[#This Row],[补偿Coin]]*(表1_861218222426728894[[#This Row],[活跃高战玩家数]]+表1_861218222426728894[[#This Row],[活跃中坚玩家数]])</f>
        <v>20000</v>
      </c>
      <c r="G123" s="20">
        <f>(VLOOKUP(表1_861218222426728894[[#This Row],[目标区服]],$R$149:$S$180,2,FALSE)-表1_861218222426728894[[#This Row],[开服天数]])*配置!$B$2</f>
        <v>10</v>
      </c>
      <c r="H123" s="19" t="s">
        <v>26</v>
      </c>
      <c r="I123" s="19">
        <f>IF(表1_861218222426728894[[#This Row],[原国家]]="魏",0,IF(表1_861218222426728894[[#This Row],[原国家]]="蜀",1,2))</f>
        <v>1</v>
      </c>
      <c r="J123" s="20">
        <v>3</v>
      </c>
      <c r="K123" s="20">
        <v>129</v>
      </c>
      <c r="L123" s="20">
        <v>4</v>
      </c>
      <c r="M123" s="20">
        <v>16</v>
      </c>
      <c r="N123" s="20">
        <v>119324</v>
      </c>
      <c r="O123" s="20">
        <v>1994678</v>
      </c>
      <c r="P123" s="26">
        <v>14527250</v>
      </c>
      <c r="Q123" s="496" t="s">
        <v>27</v>
      </c>
      <c r="R123" s="19">
        <f>IF(表1_861218222426728894[[#This Row],[目标国家]]="魏",0,IF(表1_861218222426728894[[#This Row],[目标国家]]="蜀",1,2))</f>
        <v>2</v>
      </c>
      <c r="S123" s="20">
        <v>25506</v>
      </c>
      <c r="T123" s="20">
        <v>26240</v>
      </c>
      <c r="U123" s="20">
        <v>261533</v>
      </c>
      <c r="V123" s="20">
        <v>6792</v>
      </c>
      <c r="W123" s="32">
        <v>557514</v>
      </c>
      <c r="X123" s="33" t="str">
        <f>"{"&amp;"'coin':"&amp;表1_861218222426728894[[#This Row],[补偿Coin]]&amp;",'"&amp;配置!$A$2&amp;"':"&amp;表1_861218222426728894[[#This Row],[补偿辎重]]&amp;"},"</f>
        <v>{'coin':1000,'item036':10},</v>
      </c>
      <c r="Y123" s="34" t="str">
        <f>"            'to_zone':'"&amp;表1_861218222426728894[[#This Row],[目标区服]]&amp;"',
            'reward':"&amp;表1_861218222426728894[[#This Row],[辅助导出]]&amp;"
            'country':["&amp;R122&amp;","&amp;R123&amp;","&amp;R124&amp;"],"</f>
        <v>            'to_zone':'h1_577',
            'reward':{'coin':1000,'item036':10},
            'country':[0,2,0],</v>
      </c>
    </row>
    <row r="124" customHeight="1" spans="1:25">
      <c r="A124" s="17">
        <v>5168</v>
      </c>
      <c r="B124" s="17">
        <f>VLOOKUP(表1_861218222426728894[[#This Row],[区服]],$P$149:$Q$196,2,FALSE)</f>
        <v>42</v>
      </c>
      <c r="C124" s="45" t="s">
        <v>208</v>
      </c>
      <c r="D124" s="19" t="str">
        <f>表1_861218222426728894[[#This Row],[目标国家]]</f>
        <v>魏</v>
      </c>
      <c r="E124" s="20">
        <f>(VLOOKUP(表1_861218222426728894[[#This Row],[目标区服]],$R$149:$S$175,2,FALSE)-表1_861218222426728894[[#This Row],[开服天数]])*配置!$B$1</f>
        <v>1000</v>
      </c>
      <c r="F124" s="20">
        <f>表1_861218222426728894[[#This Row],[补偿Coin]]*(表1_861218222426728894[[#This Row],[活跃高战玩家数]]+表1_861218222426728894[[#This Row],[活跃中坚玩家数]])</f>
        <v>15000</v>
      </c>
      <c r="G124" s="20">
        <f>(VLOOKUP(表1_861218222426728894[[#This Row],[目标区服]],$R$149:$S$180,2,FALSE)-表1_861218222426728894[[#This Row],[开服天数]])*配置!$B$2</f>
        <v>10</v>
      </c>
      <c r="H124" s="19" t="s">
        <v>27</v>
      </c>
      <c r="I124" s="19">
        <f>IF(表1_861218222426728894[[#This Row],[原国家]]="魏",0,IF(表1_861218222426728894[[#This Row],[原国家]]="蜀",1,2))</f>
        <v>2</v>
      </c>
      <c r="J124" s="20">
        <v>1</v>
      </c>
      <c r="K124" s="20">
        <v>41</v>
      </c>
      <c r="L124" s="20">
        <v>3</v>
      </c>
      <c r="M124" s="20">
        <v>12</v>
      </c>
      <c r="N124" s="20">
        <v>66159</v>
      </c>
      <c r="O124" s="20">
        <v>1510326</v>
      </c>
      <c r="P124" s="26">
        <v>7622386</v>
      </c>
      <c r="Q124" s="496" t="s">
        <v>25</v>
      </c>
      <c r="R124" s="19">
        <f>IF(表1_861218222426728894[[#This Row],[目标国家]]="魏",0,IF(表1_861218222426728894[[#This Row],[目标国家]]="蜀",1,2))</f>
        <v>0</v>
      </c>
      <c r="S124" s="20">
        <v>7162</v>
      </c>
      <c r="T124" s="20">
        <v>0</v>
      </c>
      <c r="U124" s="20">
        <v>130640</v>
      </c>
      <c r="V124" s="20">
        <v>3393</v>
      </c>
      <c r="W124" s="32">
        <v>458423</v>
      </c>
      <c r="X124" s="33" t="str">
        <f>"{"&amp;"'coin':"&amp;表1_861218222426728894[[#This Row],[补偿Coin]]&amp;",'"&amp;配置!$A$2&amp;"':"&amp;表1_861218222426728894[[#This Row],[补偿辎重]]&amp;"},"</f>
        <v>{'coin':1000,'item036':10},</v>
      </c>
      <c r="Y124" s="34" t="str">
        <f t="shared" ref="Y124:Y142" si="10">"      },"</f>
        <v>      },</v>
      </c>
    </row>
    <row r="125" customHeight="1" spans="1:25">
      <c r="A125" s="17">
        <v>5169</v>
      </c>
      <c r="B125" s="17">
        <f>VLOOKUP(表1_861218222426728894[[#This Row],[区服]],$P$149:$Q$196,2,FALSE)</f>
        <v>41</v>
      </c>
      <c r="C125" s="45" t="s">
        <v>208</v>
      </c>
      <c r="D125" s="19" t="str">
        <f>表1_861218222426728894[[#This Row],[目标国家]]</f>
        <v>蜀</v>
      </c>
      <c r="E125" s="20">
        <f>(VLOOKUP(表1_861218222426728894[[#This Row],[目标区服]],$R$149:$S$175,2,FALSE)-表1_861218222426728894[[#This Row],[开服天数]])*配置!$B$1</f>
        <v>1500</v>
      </c>
      <c r="F125" s="20">
        <f>表1_861218222426728894[[#This Row],[补偿Coin]]*(表1_861218222426728894[[#This Row],[活跃高战玩家数]]+表1_861218222426728894[[#This Row],[活跃中坚玩家数]])</f>
        <v>45000</v>
      </c>
      <c r="G125" s="20">
        <f>(VLOOKUP(表1_861218222426728894[[#This Row],[目标区服]],$R$149:$S$180,2,FALSE)-表1_861218222426728894[[#This Row],[开服天数]])*配置!$B$2</f>
        <v>15</v>
      </c>
      <c r="H125" s="19" t="s">
        <v>25</v>
      </c>
      <c r="I125" s="19">
        <f>IF(表1_861218222426728894[[#This Row],[原国家]]="魏",0,IF(表1_861218222426728894[[#This Row],[原国家]]="蜀",1,2))</f>
        <v>0</v>
      </c>
      <c r="J125" s="20">
        <v>9</v>
      </c>
      <c r="K125" s="20">
        <v>342</v>
      </c>
      <c r="L125" s="20">
        <v>7</v>
      </c>
      <c r="M125" s="20">
        <v>23</v>
      </c>
      <c r="N125" s="20">
        <v>173165</v>
      </c>
      <c r="O125" s="20">
        <v>2262472</v>
      </c>
      <c r="P125" s="26">
        <v>20159336</v>
      </c>
      <c r="Q125" s="496" t="s">
        <v>26</v>
      </c>
      <c r="R125" s="19">
        <f>IF(表1_861218222426728894[[#This Row],[目标国家]]="魏",0,IF(表1_861218222426728894[[#This Row],[目标国家]]="蜀",1,2))</f>
        <v>1</v>
      </c>
      <c r="S125" s="20">
        <v>35426</v>
      </c>
      <c r="T125" s="20">
        <v>0</v>
      </c>
      <c r="U125" s="20">
        <v>587317</v>
      </c>
      <c r="V125" s="20">
        <v>10820</v>
      </c>
      <c r="W125" s="32">
        <v>661597</v>
      </c>
      <c r="X125" s="33" t="str">
        <f>"{"&amp;"'coin':"&amp;表1_861218222426728894[[#This Row],[补偿Coin]]&amp;",'"&amp;配置!$A$2&amp;"':"&amp;表1_861218222426728894[[#This Row],[补偿辎重]]&amp;"},"</f>
        <v>{'coin':1500,'item036':15},</v>
      </c>
      <c r="Y125" s="34" t="str">
        <f>"      '"&amp;表1_861218222426728894[[#This Row],[区服]]&amp;"':{"</f>
        <v>      '5169':{</v>
      </c>
    </row>
    <row r="126" customHeight="1" spans="1:25">
      <c r="A126" s="17">
        <v>5169</v>
      </c>
      <c r="B126" s="17">
        <f>VLOOKUP(表1_861218222426728894[[#This Row],[区服]],$P$149:$Q$196,2,FALSE)</f>
        <v>41</v>
      </c>
      <c r="C126" s="45" t="s">
        <v>208</v>
      </c>
      <c r="D126" s="19" t="str">
        <f>表1_861218222426728894[[#This Row],[目标国家]]</f>
        <v>吴</v>
      </c>
      <c r="E126" s="20">
        <f>(VLOOKUP(表1_861218222426728894[[#This Row],[目标区服]],$R$149:$S$175,2,FALSE)-表1_861218222426728894[[#This Row],[开服天数]])*配置!$B$1</f>
        <v>1500</v>
      </c>
      <c r="F126" s="20">
        <f>表1_861218222426728894[[#This Row],[补偿Coin]]*(表1_861218222426728894[[#This Row],[活跃高战玩家数]]+表1_861218222426728894[[#This Row],[活跃中坚玩家数]])</f>
        <v>21000</v>
      </c>
      <c r="G126" s="20">
        <f>(VLOOKUP(表1_861218222426728894[[#This Row],[目标区服]],$R$149:$S$180,2,FALSE)-表1_861218222426728894[[#This Row],[开服天数]])*配置!$B$2</f>
        <v>15</v>
      </c>
      <c r="H126" s="19" t="s">
        <v>26</v>
      </c>
      <c r="I126" s="19">
        <f>IF(表1_861218222426728894[[#This Row],[原国家]]="魏",0,IF(表1_861218222426728894[[#This Row],[原国家]]="蜀",1,2))</f>
        <v>1</v>
      </c>
      <c r="J126" s="20">
        <v>0</v>
      </c>
      <c r="K126" s="20">
        <v>29</v>
      </c>
      <c r="L126" s="20">
        <v>1</v>
      </c>
      <c r="M126" s="20">
        <v>13</v>
      </c>
      <c r="N126" s="20">
        <v>53847</v>
      </c>
      <c r="O126" s="20">
        <v>925158</v>
      </c>
      <c r="P126" s="26">
        <v>5632536</v>
      </c>
      <c r="Q126" s="496" t="s">
        <v>27</v>
      </c>
      <c r="R126" s="19">
        <f>IF(表1_861218222426728894[[#This Row],[目标国家]]="魏",0,IF(表1_861218222426728894[[#This Row],[目标国家]]="蜀",1,2))</f>
        <v>2</v>
      </c>
      <c r="S126" s="20">
        <v>12244</v>
      </c>
      <c r="T126" s="20">
        <v>0</v>
      </c>
      <c r="U126" s="20">
        <v>52569</v>
      </c>
      <c r="V126" s="20">
        <v>2441</v>
      </c>
      <c r="W126" s="32">
        <v>325576</v>
      </c>
      <c r="X126" s="33" t="str">
        <f>"{"&amp;"'coin':"&amp;表1_861218222426728894[[#This Row],[补偿Coin]]&amp;",'"&amp;配置!$A$2&amp;"':"&amp;表1_861218222426728894[[#This Row],[补偿辎重]]&amp;"},"</f>
        <v>{'coin':1500,'item036':15},</v>
      </c>
      <c r="Y126" s="34" t="str">
        <f>"            'to_zone':'"&amp;表1_861218222426728894[[#This Row],[目标区服]]&amp;"',
            'reward':"&amp;表1_861218222426728894[[#This Row],[辅助导出]]&amp;"
            'country':["&amp;R125&amp;","&amp;R126&amp;","&amp;R127&amp;"],"</f>
        <v>            'to_zone':'h1_577',
            'reward':{'coin':1500,'item036':15},
            'country':[1,2,1],</v>
      </c>
    </row>
    <row r="127" customHeight="1" spans="1:25">
      <c r="A127" s="17">
        <v>5169</v>
      </c>
      <c r="B127" s="17">
        <f>VLOOKUP(表1_861218222426728894[[#This Row],[区服]],$P$149:$Q$196,2,FALSE)</f>
        <v>41</v>
      </c>
      <c r="C127" s="45" t="s">
        <v>208</v>
      </c>
      <c r="D127" s="19" t="str">
        <f>表1_861218222426728894[[#This Row],[目标国家]]</f>
        <v>蜀</v>
      </c>
      <c r="E127" s="20">
        <f>(VLOOKUP(表1_861218222426728894[[#This Row],[目标区服]],$R$149:$S$175,2,FALSE)-表1_861218222426728894[[#This Row],[开服天数]])*配置!$B$1</f>
        <v>1500</v>
      </c>
      <c r="F127" s="20">
        <f>表1_861218222426728894[[#This Row],[补偿Coin]]*(表1_861218222426728894[[#This Row],[活跃高战玩家数]]+表1_861218222426728894[[#This Row],[活跃中坚玩家数]])</f>
        <v>9000</v>
      </c>
      <c r="G127" s="20">
        <f>(VLOOKUP(表1_861218222426728894[[#This Row],[目标区服]],$R$149:$S$180,2,FALSE)-表1_861218222426728894[[#This Row],[开服天数]])*配置!$B$2</f>
        <v>15</v>
      </c>
      <c r="H127" s="19" t="s">
        <v>27</v>
      </c>
      <c r="I127" s="19">
        <f>IF(表1_861218222426728894[[#This Row],[原国家]]="魏",0,IF(表1_861218222426728894[[#This Row],[原国家]]="蜀",1,2))</f>
        <v>2</v>
      </c>
      <c r="J127" s="20">
        <v>0</v>
      </c>
      <c r="K127" s="20">
        <v>24</v>
      </c>
      <c r="L127" s="20">
        <v>2</v>
      </c>
      <c r="M127" s="20">
        <v>4</v>
      </c>
      <c r="N127" s="20">
        <v>31184</v>
      </c>
      <c r="O127" s="20">
        <v>1073921</v>
      </c>
      <c r="P127" s="26">
        <v>3170411</v>
      </c>
      <c r="Q127" s="496" t="s">
        <v>26</v>
      </c>
      <c r="R127" s="19">
        <f>IF(表1_861218222426728894[[#This Row],[目标国家]]="魏",0,IF(表1_861218222426728894[[#This Row],[目标国家]]="蜀",1,2))</f>
        <v>1</v>
      </c>
      <c r="S127" s="20">
        <v>5058</v>
      </c>
      <c r="T127" s="20">
        <v>0</v>
      </c>
      <c r="U127" s="20">
        <v>84165</v>
      </c>
      <c r="V127" s="20">
        <v>1980</v>
      </c>
      <c r="W127" s="32">
        <v>291230</v>
      </c>
      <c r="X127" s="33" t="str">
        <f>"{"&amp;"'coin':"&amp;表1_861218222426728894[[#This Row],[补偿Coin]]&amp;",'"&amp;配置!$A$2&amp;"':"&amp;表1_861218222426728894[[#This Row],[补偿辎重]]&amp;"},"</f>
        <v>{'coin':1500,'item036':15},</v>
      </c>
      <c r="Y127" s="34" t="str">
        <f t="shared" ref="Y127:Y145" si="11">"      },"</f>
        <v>      },</v>
      </c>
    </row>
    <row r="128" customHeight="1" spans="1:25">
      <c r="A128" s="17">
        <v>5170</v>
      </c>
      <c r="B128" s="17">
        <f>VLOOKUP(表1_861218222426728894[[#This Row],[区服]],$P$149:$Q$196,2,FALSE)</f>
        <v>41</v>
      </c>
      <c r="C128" s="45" t="s">
        <v>208</v>
      </c>
      <c r="D128" s="19" t="str">
        <f>表1_861218222426728894[[#This Row],[目标国家]]</f>
        <v>魏</v>
      </c>
      <c r="E128" s="20">
        <f>(VLOOKUP(表1_861218222426728894[[#This Row],[目标区服]],$R$149:$S$175,2,FALSE)-表1_861218222426728894[[#This Row],[开服天数]])*配置!$B$1</f>
        <v>1500</v>
      </c>
      <c r="F128" s="20">
        <f>表1_861218222426728894[[#This Row],[补偿Coin]]*(表1_861218222426728894[[#This Row],[活跃高战玩家数]]+表1_861218222426728894[[#This Row],[活跃中坚玩家数]])</f>
        <v>27000</v>
      </c>
      <c r="G128" s="20">
        <f>(VLOOKUP(表1_861218222426728894[[#This Row],[目标区服]],$R$149:$S$180,2,FALSE)-表1_861218222426728894[[#This Row],[开服天数]])*配置!$B$2</f>
        <v>15</v>
      </c>
      <c r="H128" s="19" t="s">
        <v>25</v>
      </c>
      <c r="I128" s="19">
        <f>IF(表1_861218222426728894[[#This Row],[原国家]]="魏",0,IF(表1_861218222426728894[[#This Row],[原国家]]="蜀",1,2))</f>
        <v>0</v>
      </c>
      <c r="J128" s="20">
        <v>3</v>
      </c>
      <c r="K128" s="20">
        <v>118</v>
      </c>
      <c r="L128" s="20">
        <v>3</v>
      </c>
      <c r="M128" s="20">
        <v>15</v>
      </c>
      <c r="N128" s="20">
        <v>85948</v>
      </c>
      <c r="O128" s="20">
        <v>1414095</v>
      </c>
      <c r="P128" s="26">
        <v>10686755</v>
      </c>
      <c r="Q128" s="496" t="s">
        <v>25</v>
      </c>
      <c r="R128" s="19">
        <f>IF(表1_861218222426728894[[#This Row],[目标国家]]="魏",0,IF(表1_861218222426728894[[#This Row],[目标国家]]="蜀",1,2))</f>
        <v>0</v>
      </c>
      <c r="S128" s="20">
        <v>5408</v>
      </c>
      <c r="T128" s="20">
        <v>0</v>
      </c>
      <c r="U128" s="20">
        <v>189939</v>
      </c>
      <c r="V128" s="20">
        <v>4649</v>
      </c>
      <c r="W128" s="32">
        <v>391119</v>
      </c>
      <c r="X128" s="33" t="str">
        <f>"{"&amp;"'coin':"&amp;表1_861218222426728894[[#This Row],[补偿Coin]]&amp;",'"&amp;配置!$A$2&amp;"':"&amp;表1_861218222426728894[[#This Row],[补偿辎重]]&amp;"},"</f>
        <v>{'coin':1500,'item036':15},</v>
      </c>
      <c r="Y128" s="34" t="str">
        <f>"      '"&amp;表1_861218222426728894[[#This Row],[区服]]&amp;"':{"</f>
        <v>      '5170':{</v>
      </c>
    </row>
    <row r="129" customHeight="1" spans="1:25">
      <c r="A129" s="17">
        <v>5170</v>
      </c>
      <c r="B129" s="17">
        <f>VLOOKUP(表1_861218222426728894[[#This Row],[区服]],$P$149:$Q$196,2,FALSE)</f>
        <v>41</v>
      </c>
      <c r="C129" s="45" t="s">
        <v>208</v>
      </c>
      <c r="D129" s="19" t="str">
        <f>表1_861218222426728894[[#This Row],[目标国家]]</f>
        <v>蜀</v>
      </c>
      <c r="E129" s="20">
        <f>(VLOOKUP(表1_861218222426728894[[#This Row],[目标区服]],$R$149:$S$175,2,FALSE)-表1_861218222426728894[[#This Row],[开服天数]])*配置!$B$1</f>
        <v>1500</v>
      </c>
      <c r="F129" s="20">
        <f>表1_861218222426728894[[#This Row],[补偿Coin]]*(表1_861218222426728894[[#This Row],[活跃高战玩家数]]+表1_861218222426728894[[#This Row],[活跃中坚玩家数]])</f>
        <v>45000</v>
      </c>
      <c r="G129" s="20">
        <f>(VLOOKUP(表1_861218222426728894[[#This Row],[目标区服]],$R$149:$S$180,2,FALSE)-表1_861218222426728894[[#This Row],[开服天数]])*配置!$B$2</f>
        <v>15</v>
      </c>
      <c r="H129" s="19" t="s">
        <v>26</v>
      </c>
      <c r="I129" s="19">
        <f>IF(表1_861218222426728894[[#This Row],[原国家]]="魏",0,IF(表1_861218222426728894[[#This Row],[原国家]]="蜀",1,2))</f>
        <v>1</v>
      </c>
      <c r="J129" s="20">
        <v>4</v>
      </c>
      <c r="K129" s="20">
        <v>187</v>
      </c>
      <c r="L129" s="20">
        <v>6</v>
      </c>
      <c r="M129" s="20">
        <v>24</v>
      </c>
      <c r="N129" s="20">
        <v>141907</v>
      </c>
      <c r="O129" s="20">
        <v>2018424</v>
      </c>
      <c r="P129" s="26">
        <v>18577577</v>
      </c>
      <c r="Q129" s="496" t="s">
        <v>26</v>
      </c>
      <c r="R129" s="19">
        <f>IF(表1_861218222426728894[[#This Row],[目标国家]]="魏",0,IF(表1_861218222426728894[[#This Row],[目标国家]]="蜀",1,2))</f>
        <v>1</v>
      </c>
      <c r="S129" s="20">
        <v>45472</v>
      </c>
      <c r="T129" s="20">
        <v>0</v>
      </c>
      <c r="U129" s="20">
        <v>350740</v>
      </c>
      <c r="V129" s="20">
        <v>8395</v>
      </c>
      <c r="W129" s="32">
        <v>593368</v>
      </c>
      <c r="X129" s="33" t="str">
        <f>"{"&amp;"'coin':"&amp;表1_861218222426728894[[#This Row],[补偿Coin]]&amp;",'"&amp;配置!$A$2&amp;"':"&amp;表1_861218222426728894[[#This Row],[补偿辎重]]&amp;"},"</f>
        <v>{'coin':1500,'item036':15},</v>
      </c>
      <c r="Y129" s="34" t="str">
        <f>"            'to_zone':'"&amp;表1_861218222426728894[[#This Row],[目标区服]]&amp;"',
            'reward':"&amp;表1_861218222426728894[[#This Row],[辅助导出]]&amp;"
            'country':["&amp;R128&amp;","&amp;R129&amp;","&amp;R130&amp;"],"</f>
        <v>            'to_zone':'h1_577',
            'reward':{'coin':1500,'item036':15},
            'country':[0,1,2],</v>
      </c>
    </row>
    <row r="130" customHeight="1" spans="1:25">
      <c r="A130" s="17">
        <v>5170</v>
      </c>
      <c r="B130" s="17">
        <f>VLOOKUP(表1_861218222426728894[[#This Row],[区服]],$P$149:$Q$196,2,FALSE)</f>
        <v>41</v>
      </c>
      <c r="C130" s="45" t="s">
        <v>208</v>
      </c>
      <c r="D130" s="19" t="str">
        <f>表1_861218222426728894[[#This Row],[目标国家]]</f>
        <v>吴</v>
      </c>
      <c r="E130" s="20">
        <f>(VLOOKUP(表1_861218222426728894[[#This Row],[目标区服]],$R$149:$S$175,2,FALSE)-表1_861218222426728894[[#This Row],[开服天数]])*配置!$B$1</f>
        <v>1500</v>
      </c>
      <c r="F130" s="20">
        <f>表1_861218222426728894[[#This Row],[补偿Coin]]*(表1_861218222426728894[[#This Row],[活跃高战玩家数]]+表1_861218222426728894[[#This Row],[活跃中坚玩家数]])</f>
        <v>28500</v>
      </c>
      <c r="G130" s="20">
        <f>(VLOOKUP(表1_861218222426728894[[#This Row],[目标区服]],$R$149:$S$180,2,FALSE)-表1_861218222426728894[[#This Row],[开服天数]])*配置!$B$2</f>
        <v>15</v>
      </c>
      <c r="H130" s="19" t="s">
        <v>27</v>
      </c>
      <c r="I130" s="19">
        <f>IF(表1_861218222426728894[[#This Row],[原国家]]="魏",0,IF(表1_861218222426728894[[#This Row],[原国家]]="蜀",1,2))</f>
        <v>2</v>
      </c>
      <c r="J130" s="20">
        <v>2</v>
      </c>
      <c r="K130" s="20">
        <v>90</v>
      </c>
      <c r="L130" s="20">
        <v>1</v>
      </c>
      <c r="M130" s="20">
        <v>18</v>
      </c>
      <c r="N130" s="20">
        <v>75020</v>
      </c>
      <c r="O130" s="20">
        <v>1083303</v>
      </c>
      <c r="P130" s="26">
        <v>9304539</v>
      </c>
      <c r="Q130" s="496" t="s">
        <v>27</v>
      </c>
      <c r="R130" s="19">
        <f>IF(表1_861218222426728894[[#This Row],[目标国家]]="魏",0,IF(表1_861218222426728894[[#This Row],[目标国家]]="蜀",1,2))</f>
        <v>2</v>
      </c>
      <c r="S130" s="20">
        <v>9126</v>
      </c>
      <c r="T130" s="20">
        <v>0</v>
      </c>
      <c r="U130" s="20">
        <v>199061</v>
      </c>
      <c r="V130" s="20">
        <v>3862</v>
      </c>
      <c r="W130" s="32">
        <v>312358</v>
      </c>
      <c r="X130" s="33" t="str">
        <f>"{"&amp;"'coin':"&amp;表1_861218222426728894[[#This Row],[补偿Coin]]&amp;",'"&amp;配置!$A$2&amp;"':"&amp;表1_861218222426728894[[#This Row],[补偿辎重]]&amp;"},"</f>
        <v>{'coin':1500,'item036':15},</v>
      </c>
      <c r="Y130" s="34" t="str">
        <f t="shared" si="10"/>
        <v>      },</v>
      </c>
    </row>
    <row r="131" customHeight="1" spans="1:25">
      <c r="A131" s="370">
        <v>5171</v>
      </c>
      <c r="B131" s="81">
        <f>VLOOKUP(表1_861218222426728894[[#This Row],[区服]],$P$149:$Q$196,2,FALSE)</f>
        <v>41</v>
      </c>
      <c r="C131" s="497" t="s">
        <v>209</v>
      </c>
      <c r="D131" s="83" t="str">
        <f>表1_861218222426728894[[#This Row],[目标国家]]</f>
        <v>魏</v>
      </c>
      <c r="E131" s="415">
        <f>(VLOOKUP(表1_861218222426728894[[#This Row],[目标区服]],$R$149:$S$175,2,FALSE)-表1_861218222426728894[[#This Row],[开服天数]])*配置!$B$1</f>
        <v>1000</v>
      </c>
      <c r="F131" s="85">
        <f>表1_861218222426728894[[#This Row],[补偿Coin]]*(表1_861218222426728894[[#This Row],[活跃高战玩家数]]+表1_861218222426728894[[#This Row],[活跃中坚玩家数]])</f>
        <v>14000</v>
      </c>
      <c r="G131" s="416">
        <f>(VLOOKUP(表1_861218222426728894[[#This Row],[目标区服]],$R$149:$S$180,2,FALSE)-表1_861218222426728894[[#This Row],[开服天数]])*配置!$B$2</f>
        <v>10</v>
      </c>
      <c r="H131" s="83" t="s">
        <v>25</v>
      </c>
      <c r="I131" s="421">
        <f>IF(表1_861218222426728894[[#This Row],[原国家]]="魏",0,IF(表1_861218222426728894[[#This Row],[原国家]]="蜀",1,2))</f>
        <v>0</v>
      </c>
      <c r="J131" s="85">
        <v>0</v>
      </c>
      <c r="K131" s="85">
        <v>30</v>
      </c>
      <c r="L131" s="85">
        <v>3</v>
      </c>
      <c r="M131" s="85">
        <v>11</v>
      </c>
      <c r="N131" s="85">
        <v>60756</v>
      </c>
      <c r="O131" s="422">
        <v>1695094</v>
      </c>
      <c r="P131" s="379">
        <v>8741428</v>
      </c>
      <c r="Q131" s="128" t="s">
        <v>25</v>
      </c>
      <c r="R131" s="83">
        <f>IF(表1_861218222426728894[[#This Row],[目标国家]]="魏",0,IF(表1_861218222426728894[[#This Row],[目标国家]]="蜀",1,2))</f>
        <v>0</v>
      </c>
      <c r="S131" s="85">
        <v>19832</v>
      </c>
      <c r="T131" s="85">
        <v>0</v>
      </c>
      <c r="U131" s="85">
        <v>116404</v>
      </c>
      <c r="V131" s="85">
        <v>3826</v>
      </c>
      <c r="W131" s="489">
        <v>482546</v>
      </c>
      <c r="X131" s="431" t="str">
        <f>"{"&amp;"'coin':"&amp;表1_861218222426728894[[#This Row],[补偿Coin]]&amp;",'"&amp;配置!$A$2&amp;"':"&amp;表1_861218222426728894[[#This Row],[补偿辎重]]&amp;"},"</f>
        <v>{'coin':1000,'item036':10},</v>
      </c>
      <c r="Y131" s="149" t="str">
        <f>"      '"&amp;表1_861218222426728894[[#This Row],[区服]]&amp;"':{"</f>
        <v>      '5171':{</v>
      </c>
    </row>
    <row r="132" customHeight="1" spans="1:25">
      <c r="A132" s="370">
        <v>5171</v>
      </c>
      <c r="B132" s="81">
        <f>VLOOKUP(表1_861218222426728894[[#This Row],[区服]],$P$149:$Q$196,2,FALSE)</f>
        <v>41</v>
      </c>
      <c r="C132" s="497" t="s">
        <v>209</v>
      </c>
      <c r="D132" s="83" t="str">
        <f>表1_861218222426728894[[#This Row],[目标国家]]</f>
        <v>蜀</v>
      </c>
      <c r="E132" s="415">
        <f>(VLOOKUP(表1_861218222426728894[[#This Row],[目标区服]],$R$149:$S$175,2,FALSE)-表1_861218222426728894[[#This Row],[开服天数]])*配置!$B$1</f>
        <v>1000</v>
      </c>
      <c r="F132" s="85">
        <f>表1_861218222426728894[[#This Row],[补偿Coin]]*(表1_861218222426728894[[#This Row],[活跃高战玩家数]]+表1_861218222426728894[[#This Row],[活跃中坚玩家数]])</f>
        <v>28000</v>
      </c>
      <c r="G132" s="416">
        <f>(VLOOKUP(表1_861218222426728894[[#This Row],[目标区服]],$R$149:$S$180,2,FALSE)-表1_861218222426728894[[#This Row],[开服天数]])*配置!$B$2</f>
        <v>10</v>
      </c>
      <c r="H132" s="83" t="s">
        <v>26</v>
      </c>
      <c r="I132" s="421">
        <f>IF(表1_861218222426728894[[#This Row],[原国家]]="魏",0,IF(表1_861218222426728894[[#This Row],[原国家]]="蜀",1,2))</f>
        <v>1</v>
      </c>
      <c r="J132" s="85">
        <v>9</v>
      </c>
      <c r="K132" s="85">
        <v>338</v>
      </c>
      <c r="L132" s="85">
        <v>6</v>
      </c>
      <c r="M132" s="85">
        <v>22</v>
      </c>
      <c r="N132" s="85">
        <v>170728</v>
      </c>
      <c r="O132" s="422">
        <v>2417390</v>
      </c>
      <c r="P132" s="379">
        <v>23457620</v>
      </c>
      <c r="Q132" s="128" t="s">
        <v>26</v>
      </c>
      <c r="R132" s="83">
        <f>IF(表1_861218222426728894[[#This Row],[目标国家]]="魏",0,IF(表1_861218222426728894[[#This Row],[目标国家]]="蜀",1,2))</f>
        <v>1</v>
      </c>
      <c r="S132" s="85">
        <v>60500</v>
      </c>
      <c r="T132" s="85">
        <v>0</v>
      </c>
      <c r="U132" s="85">
        <v>855255</v>
      </c>
      <c r="V132" s="85">
        <v>12139</v>
      </c>
      <c r="W132" s="489">
        <v>702244</v>
      </c>
      <c r="X132" s="431" t="str">
        <f>"{"&amp;"'coin':"&amp;表1_861218222426728894[[#This Row],[补偿Coin]]&amp;",'"&amp;配置!$A$2&amp;"':"&amp;表1_861218222426728894[[#This Row],[补偿辎重]]&amp;"},"</f>
        <v>{'coin':1000,'item036':10},</v>
      </c>
      <c r="Y132" s="149" t="str">
        <f>"            'to_zone':'"&amp;表1_861218222426728894[[#This Row],[目标区服]]&amp;"',
            'reward':"&amp;表1_861218222426728894[[#This Row],[辅助导出]]&amp;"
            'country':["&amp;R131&amp;","&amp;R132&amp;","&amp;R133&amp;"],"</f>
        <v>            'to_zone':'h1_578',
            'reward':{'coin':1000,'item036':10},
            'country':[0,1,1],</v>
      </c>
    </row>
    <row r="133" customHeight="1" spans="1:25">
      <c r="A133" s="370">
        <v>5171</v>
      </c>
      <c r="B133" s="81">
        <f>VLOOKUP(表1_861218222426728894[[#This Row],[区服]],$P$149:$Q$196,2,FALSE)</f>
        <v>41</v>
      </c>
      <c r="C133" s="497" t="s">
        <v>209</v>
      </c>
      <c r="D133" s="83" t="str">
        <f>表1_861218222426728894[[#This Row],[目标国家]]</f>
        <v>蜀</v>
      </c>
      <c r="E133" s="415">
        <f>(VLOOKUP(表1_861218222426728894[[#This Row],[目标区服]],$R$149:$S$175,2,FALSE)-表1_861218222426728894[[#This Row],[开服天数]])*配置!$B$1</f>
        <v>1000</v>
      </c>
      <c r="F133" s="85">
        <f>表1_861218222426728894[[#This Row],[补偿Coin]]*(表1_861218222426728894[[#This Row],[活跃高战玩家数]]+表1_861218222426728894[[#This Row],[活跃中坚玩家数]])</f>
        <v>10000</v>
      </c>
      <c r="G133" s="416">
        <f>(VLOOKUP(表1_861218222426728894[[#This Row],[目标区服]],$R$149:$S$180,2,FALSE)-表1_861218222426728894[[#This Row],[开服天数]])*配置!$B$2</f>
        <v>10</v>
      </c>
      <c r="H133" s="83" t="s">
        <v>27</v>
      </c>
      <c r="I133" s="421">
        <f>IF(表1_861218222426728894[[#This Row],[原国家]]="魏",0,IF(表1_861218222426728894[[#This Row],[原国家]]="蜀",1,2))</f>
        <v>2</v>
      </c>
      <c r="J133" s="85">
        <v>0</v>
      </c>
      <c r="K133" s="85">
        <v>27</v>
      </c>
      <c r="L133" s="85">
        <v>1</v>
      </c>
      <c r="M133" s="85">
        <v>9</v>
      </c>
      <c r="N133" s="85">
        <v>25166</v>
      </c>
      <c r="O133" s="422">
        <v>1087149</v>
      </c>
      <c r="P133" s="379">
        <v>4151987</v>
      </c>
      <c r="Q133" s="128" t="s">
        <v>26</v>
      </c>
      <c r="R133" s="83">
        <f>IF(表1_861218222426728894[[#This Row],[目标国家]]="魏",0,IF(表1_861218222426728894[[#This Row],[目标国家]]="蜀",1,2))</f>
        <v>1</v>
      </c>
      <c r="S133" s="85">
        <v>9926</v>
      </c>
      <c r="T133" s="85">
        <v>0</v>
      </c>
      <c r="U133" s="85">
        <v>100547</v>
      </c>
      <c r="V133" s="85">
        <v>2246</v>
      </c>
      <c r="W133" s="489">
        <v>375754</v>
      </c>
      <c r="X133" s="431" t="str">
        <f>"{"&amp;"'coin':"&amp;表1_861218222426728894[[#This Row],[补偿Coin]]&amp;",'"&amp;配置!$A$2&amp;"':"&amp;表1_861218222426728894[[#This Row],[补偿辎重]]&amp;"},"</f>
        <v>{'coin':1000,'item036':10},</v>
      </c>
      <c r="Y133" s="149" t="str">
        <f t="shared" si="11"/>
        <v>      },</v>
      </c>
    </row>
    <row r="134" customHeight="1" spans="1:25">
      <c r="A134" s="370">
        <v>5172</v>
      </c>
      <c r="B134" s="81">
        <f>VLOOKUP(表1_861218222426728894[[#This Row],[区服]],$P$149:$Q$196,2,FALSE)</f>
        <v>41</v>
      </c>
      <c r="C134" s="497" t="s">
        <v>209</v>
      </c>
      <c r="D134" s="83" t="str">
        <f>表1_861218222426728894[[#This Row],[目标国家]]</f>
        <v>魏</v>
      </c>
      <c r="E134" s="415">
        <f>(VLOOKUP(表1_861218222426728894[[#This Row],[目标区服]],$R$149:$S$175,2,FALSE)-表1_861218222426728894[[#This Row],[开服天数]])*配置!$B$1</f>
        <v>1000</v>
      </c>
      <c r="F134" s="85">
        <f>表1_861218222426728894[[#This Row],[补偿Coin]]*(表1_861218222426728894[[#This Row],[活跃高战玩家数]]+表1_861218222426728894[[#This Row],[活跃中坚玩家数]])</f>
        <v>19000</v>
      </c>
      <c r="G134" s="416">
        <f>(VLOOKUP(表1_861218222426728894[[#This Row],[目标区服]],$R$149:$S$180,2,FALSE)-表1_861218222426728894[[#This Row],[开服天数]])*配置!$B$2</f>
        <v>10</v>
      </c>
      <c r="H134" s="83" t="s">
        <v>25</v>
      </c>
      <c r="I134" s="421">
        <f>IF(表1_861218222426728894[[#This Row],[原国家]]="魏",0,IF(表1_861218222426728894[[#This Row],[原国家]]="蜀",1,2))</f>
        <v>0</v>
      </c>
      <c r="J134" s="85">
        <v>2</v>
      </c>
      <c r="K134" s="85">
        <v>74</v>
      </c>
      <c r="L134" s="85">
        <v>4</v>
      </c>
      <c r="M134" s="85">
        <v>15</v>
      </c>
      <c r="N134" s="85">
        <v>94847</v>
      </c>
      <c r="O134" s="422">
        <v>1612461</v>
      </c>
      <c r="P134" s="379">
        <v>11757845</v>
      </c>
      <c r="Q134" s="128" t="s">
        <v>25</v>
      </c>
      <c r="R134" s="83">
        <f>IF(表1_861218222426728894[[#This Row],[目标国家]]="魏",0,IF(表1_861218222426728894[[#This Row],[目标国家]]="蜀",1,2))</f>
        <v>0</v>
      </c>
      <c r="S134" s="85">
        <v>16890</v>
      </c>
      <c r="T134" s="85">
        <v>0</v>
      </c>
      <c r="U134" s="85">
        <v>218057</v>
      </c>
      <c r="V134" s="85">
        <v>4818</v>
      </c>
      <c r="W134" s="489">
        <v>501103</v>
      </c>
      <c r="X134" s="431" t="str">
        <f>"{"&amp;"'coin':"&amp;表1_861218222426728894[[#This Row],[补偿Coin]]&amp;",'"&amp;配置!$A$2&amp;"':"&amp;表1_861218222426728894[[#This Row],[补偿辎重]]&amp;"},"</f>
        <v>{'coin':1000,'item036':10},</v>
      </c>
      <c r="Y134" s="149" t="str">
        <f>"      '"&amp;表1_861218222426728894[[#This Row],[区服]]&amp;"':{"</f>
        <v>      '5172':{</v>
      </c>
    </row>
    <row r="135" customHeight="1" spans="1:25">
      <c r="A135" s="370">
        <v>5172</v>
      </c>
      <c r="B135" s="81">
        <f>VLOOKUP(表1_861218222426728894[[#This Row],[区服]],$P$149:$Q$196,2,FALSE)</f>
        <v>41</v>
      </c>
      <c r="C135" s="497" t="s">
        <v>209</v>
      </c>
      <c r="D135" s="83" t="str">
        <f>表1_861218222426728894[[#This Row],[目标国家]]</f>
        <v>蜀</v>
      </c>
      <c r="E135" s="415">
        <f>(VLOOKUP(表1_861218222426728894[[#This Row],[目标区服]],$R$149:$S$175,2,FALSE)-表1_861218222426728894[[#This Row],[开服天数]])*配置!$B$1</f>
        <v>1000</v>
      </c>
      <c r="F135" s="85">
        <f>表1_861218222426728894[[#This Row],[补偿Coin]]*(表1_861218222426728894[[#This Row],[活跃高战玩家数]]+表1_861218222426728894[[#This Row],[活跃中坚玩家数]])</f>
        <v>22000</v>
      </c>
      <c r="G135" s="416">
        <f>(VLOOKUP(表1_861218222426728894[[#This Row],[目标区服]],$R$149:$S$180,2,FALSE)-表1_861218222426728894[[#This Row],[开服天数]])*配置!$B$2</f>
        <v>10</v>
      </c>
      <c r="H135" s="83" t="s">
        <v>26</v>
      </c>
      <c r="I135" s="421">
        <f>IF(表1_861218222426728894[[#This Row],[原国家]]="魏",0,IF(表1_861218222426728894[[#This Row],[原国家]]="蜀",1,2))</f>
        <v>1</v>
      </c>
      <c r="J135" s="85">
        <v>0</v>
      </c>
      <c r="K135" s="85">
        <v>84</v>
      </c>
      <c r="L135" s="85">
        <v>0</v>
      </c>
      <c r="M135" s="85">
        <v>22</v>
      </c>
      <c r="N135" s="85">
        <v>80263</v>
      </c>
      <c r="O135" s="422">
        <v>969976</v>
      </c>
      <c r="P135" s="379">
        <v>10215774</v>
      </c>
      <c r="Q135" s="128" t="s">
        <v>26</v>
      </c>
      <c r="R135" s="83">
        <f>IF(表1_861218222426728894[[#This Row],[目标国家]]="魏",0,IF(表1_861218222426728894[[#This Row],[目标国家]]="蜀",1,2))</f>
        <v>1</v>
      </c>
      <c r="S135" s="85">
        <v>10906</v>
      </c>
      <c r="T135" s="85">
        <v>0</v>
      </c>
      <c r="U135" s="85">
        <v>223543</v>
      </c>
      <c r="V135" s="85">
        <v>3671</v>
      </c>
      <c r="W135" s="489">
        <v>305802</v>
      </c>
      <c r="X135" s="431" t="str">
        <f>"{"&amp;"'coin':"&amp;表1_861218222426728894[[#This Row],[补偿Coin]]&amp;",'"&amp;配置!$A$2&amp;"':"&amp;表1_861218222426728894[[#This Row],[补偿辎重]]&amp;"},"</f>
        <v>{'coin':1000,'item036':10},</v>
      </c>
      <c r="Y135" s="149" t="str">
        <f>"            'to_zone':'"&amp;表1_861218222426728894[[#This Row],[目标区服]]&amp;"',
            'reward':"&amp;表1_861218222426728894[[#This Row],[辅助导出]]&amp;"
            'country':["&amp;R134&amp;","&amp;R135&amp;","&amp;R136&amp;"],"</f>
        <v>            'to_zone':'h1_578',
            'reward':{'coin':1000,'item036':10},
            'country':[0,1,0],</v>
      </c>
    </row>
    <row r="136" customHeight="1" spans="1:25">
      <c r="A136" s="370">
        <v>5172</v>
      </c>
      <c r="B136" s="81">
        <f>VLOOKUP(表1_861218222426728894[[#This Row],[区服]],$P$149:$Q$196,2,FALSE)</f>
        <v>41</v>
      </c>
      <c r="C136" s="497" t="s">
        <v>209</v>
      </c>
      <c r="D136" s="83" t="str">
        <f>表1_861218222426728894[[#This Row],[目标国家]]</f>
        <v>魏</v>
      </c>
      <c r="E136" s="415">
        <f>(VLOOKUP(表1_861218222426728894[[#This Row],[目标区服]],$R$149:$S$175,2,FALSE)-表1_861218222426728894[[#This Row],[开服天数]])*配置!$B$1</f>
        <v>1000</v>
      </c>
      <c r="F136" s="85">
        <f>表1_861218222426728894[[#This Row],[补偿Coin]]*(表1_861218222426728894[[#This Row],[活跃高战玩家数]]+表1_861218222426728894[[#This Row],[活跃中坚玩家数]])</f>
        <v>23000</v>
      </c>
      <c r="G136" s="416">
        <f>(VLOOKUP(表1_861218222426728894[[#This Row],[目标区服]],$R$149:$S$180,2,FALSE)-表1_861218222426728894[[#This Row],[开服天数]])*配置!$B$2</f>
        <v>10</v>
      </c>
      <c r="H136" s="83" t="s">
        <v>27</v>
      </c>
      <c r="I136" s="421">
        <f>IF(表1_861218222426728894[[#This Row],[原国家]]="魏",0,IF(表1_861218222426728894[[#This Row],[原国家]]="蜀",1,2))</f>
        <v>2</v>
      </c>
      <c r="J136" s="85">
        <v>7</v>
      </c>
      <c r="K136" s="85">
        <v>237</v>
      </c>
      <c r="L136" s="85">
        <v>5</v>
      </c>
      <c r="M136" s="85">
        <v>18</v>
      </c>
      <c r="N136" s="85">
        <v>105277</v>
      </c>
      <c r="O136" s="422">
        <v>1961533</v>
      </c>
      <c r="P136" s="379">
        <v>14917285</v>
      </c>
      <c r="Q136" s="128" t="s">
        <v>25</v>
      </c>
      <c r="R136" s="83">
        <f>IF(表1_861218222426728894[[#This Row],[目标国家]]="魏",0,IF(表1_861218222426728894[[#This Row],[目标国家]]="蜀",1,2))</f>
        <v>0</v>
      </c>
      <c r="S136" s="85">
        <v>51032</v>
      </c>
      <c r="T136" s="85">
        <v>0</v>
      </c>
      <c r="U136" s="85">
        <v>528922</v>
      </c>
      <c r="V136" s="85">
        <v>8845</v>
      </c>
      <c r="W136" s="489">
        <v>605155</v>
      </c>
      <c r="X136" s="431" t="str">
        <f>"{"&amp;"'coin':"&amp;表1_861218222426728894[[#This Row],[补偿Coin]]&amp;",'"&amp;配置!$A$2&amp;"':"&amp;表1_861218222426728894[[#This Row],[补偿辎重]]&amp;"},"</f>
        <v>{'coin':1000,'item036':10},</v>
      </c>
      <c r="Y136" s="149" t="str">
        <f t="shared" si="10"/>
        <v>      },</v>
      </c>
    </row>
    <row r="137" customHeight="1" spans="1:25">
      <c r="A137" s="370">
        <v>5173</v>
      </c>
      <c r="B137" s="81">
        <f>VLOOKUP(表1_861218222426728894[[#This Row],[区服]],$P$149:$Q$196,2,FALSE)</f>
        <v>41</v>
      </c>
      <c r="C137" s="497" t="s">
        <v>209</v>
      </c>
      <c r="D137" s="83" t="str">
        <f>表1_861218222426728894[[#This Row],[目标国家]]</f>
        <v>吴</v>
      </c>
      <c r="E137" s="415">
        <f>(VLOOKUP(表1_861218222426728894[[#This Row],[目标区服]],$R$149:$S$175,2,FALSE)-表1_861218222426728894[[#This Row],[开服天数]])*配置!$B$1</f>
        <v>1000</v>
      </c>
      <c r="F137" s="85">
        <f>表1_861218222426728894[[#This Row],[补偿Coin]]*(表1_861218222426728894[[#This Row],[活跃高战玩家数]]+表1_861218222426728894[[#This Row],[活跃中坚玩家数]])</f>
        <v>22000</v>
      </c>
      <c r="G137" s="416">
        <f>(VLOOKUP(表1_861218222426728894[[#This Row],[目标区服]],$R$149:$S$180,2,FALSE)-表1_861218222426728894[[#This Row],[开服天数]])*配置!$B$2</f>
        <v>10</v>
      </c>
      <c r="H137" s="83" t="s">
        <v>25</v>
      </c>
      <c r="I137" s="421">
        <f>IF(表1_861218222426728894[[#This Row],[原国家]]="魏",0,IF(表1_861218222426728894[[#This Row],[原国家]]="蜀",1,2))</f>
        <v>0</v>
      </c>
      <c r="J137" s="85">
        <v>3</v>
      </c>
      <c r="K137" s="85">
        <v>123</v>
      </c>
      <c r="L137" s="85">
        <v>3</v>
      </c>
      <c r="M137" s="85">
        <v>19</v>
      </c>
      <c r="N137" s="85">
        <v>83933</v>
      </c>
      <c r="O137" s="422">
        <v>2374771</v>
      </c>
      <c r="P137" s="379">
        <v>12596475</v>
      </c>
      <c r="Q137" s="128" t="s">
        <v>27</v>
      </c>
      <c r="R137" s="83">
        <f>IF(表1_861218222426728894[[#This Row],[目标国家]]="魏",0,IF(表1_861218222426728894[[#This Row],[目标国家]]="蜀",1,2))</f>
        <v>2</v>
      </c>
      <c r="S137" s="85">
        <v>36106</v>
      </c>
      <c r="T137" s="85">
        <v>0</v>
      </c>
      <c r="U137" s="85">
        <v>179799</v>
      </c>
      <c r="V137" s="85">
        <v>6757</v>
      </c>
      <c r="W137" s="489">
        <v>616968</v>
      </c>
      <c r="X137" s="431" t="str">
        <f>"{"&amp;"'coin':"&amp;表1_861218222426728894[[#This Row],[补偿Coin]]&amp;",'"&amp;配置!$A$2&amp;"':"&amp;表1_861218222426728894[[#This Row],[补偿辎重]]&amp;"},"</f>
        <v>{'coin':1000,'item036':10},</v>
      </c>
      <c r="Y137" s="149" t="str">
        <f>"      '"&amp;表1_861218222426728894[[#This Row],[区服]]&amp;"':{"</f>
        <v>      '5173':{</v>
      </c>
    </row>
    <row r="138" customHeight="1" spans="1:25">
      <c r="A138" s="370">
        <v>5173</v>
      </c>
      <c r="B138" s="81">
        <f>VLOOKUP(表1_861218222426728894[[#This Row],[区服]],$P$149:$Q$196,2,FALSE)</f>
        <v>41</v>
      </c>
      <c r="C138" s="497" t="s">
        <v>209</v>
      </c>
      <c r="D138" s="83" t="str">
        <f>表1_861218222426728894[[#This Row],[目标国家]]</f>
        <v>吴</v>
      </c>
      <c r="E138" s="415">
        <f>(VLOOKUP(表1_861218222426728894[[#This Row],[目标区服]],$R$149:$S$175,2,FALSE)-表1_861218222426728894[[#This Row],[开服天数]])*配置!$B$1</f>
        <v>1000</v>
      </c>
      <c r="F138" s="85">
        <f>表1_861218222426728894[[#This Row],[补偿Coin]]*(表1_861218222426728894[[#This Row],[活跃高战玩家数]]+表1_861218222426728894[[#This Row],[活跃中坚玩家数]])</f>
        <v>28000</v>
      </c>
      <c r="G138" s="416">
        <f>(VLOOKUP(表1_861218222426728894[[#This Row],[目标区服]],$R$149:$S$180,2,FALSE)-表1_861218222426728894[[#This Row],[开服天数]])*配置!$B$2</f>
        <v>10</v>
      </c>
      <c r="H138" s="83" t="s">
        <v>26</v>
      </c>
      <c r="I138" s="421">
        <f>IF(表1_861218222426728894[[#This Row],[原国家]]="魏",0,IF(表1_861218222426728894[[#This Row],[原国家]]="蜀",1,2))</f>
        <v>1</v>
      </c>
      <c r="J138" s="85">
        <v>5</v>
      </c>
      <c r="K138" s="85">
        <v>210</v>
      </c>
      <c r="L138" s="85">
        <v>6</v>
      </c>
      <c r="M138" s="85">
        <v>22</v>
      </c>
      <c r="N138" s="85">
        <v>152375</v>
      </c>
      <c r="O138" s="422">
        <v>2312456</v>
      </c>
      <c r="P138" s="379">
        <v>20321302</v>
      </c>
      <c r="Q138" s="128" t="s">
        <v>27</v>
      </c>
      <c r="R138" s="83">
        <f>IF(表1_861218222426728894[[#This Row],[目标国家]]="魏",0,IF(表1_861218222426728894[[#This Row],[目标国家]]="蜀",1,2))</f>
        <v>2</v>
      </c>
      <c r="S138" s="85">
        <v>70724</v>
      </c>
      <c r="T138" s="85">
        <v>0</v>
      </c>
      <c r="U138" s="85">
        <v>300930</v>
      </c>
      <c r="V138" s="85">
        <v>9978</v>
      </c>
      <c r="W138" s="489">
        <v>760866</v>
      </c>
      <c r="X138" s="431" t="str">
        <f>"{"&amp;"'coin':"&amp;表1_861218222426728894[[#This Row],[补偿Coin]]&amp;",'"&amp;配置!$A$2&amp;"':"&amp;表1_861218222426728894[[#This Row],[补偿辎重]]&amp;"},"</f>
        <v>{'coin':1000,'item036':10},</v>
      </c>
      <c r="Y138" s="149" t="str">
        <f>"            'to_zone':'"&amp;表1_861218222426728894[[#This Row],[目标区服]]&amp;"',
            'reward':"&amp;表1_861218222426728894[[#This Row],[辅助导出]]&amp;"
            'country':["&amp;R137&amp;","&amp;R138&amp;","&amp;R139&amp;"],"</f>
        <v>            'to_zone':'h1_578',
            'reward':{'coin':1000,'item036':10},
            'country':[2,2,0],</v>
      </c>
    </row>
    <row r="139" customHeight="1" spans="1:25">
      <c r="A139" s="370">
        <v>5173</v>
      </c>
      <c r="B139" s="81">
        <f>VLOOKUP(表1_861218222426728894[[#This Row],[区服]],$P$149:$Q$196,2,FALSE)</f>
        <v>41</v>
      </c>
      <c r="C139" s="497" t="s">
        <v>209</v>
      </c>
      <c r="D139" s="83" t="str">
        <f>表1_861218222426728894[[#This Row],[目标国家]]</f>
        <v>魏</v>
      </c>
      <c r="E139" s="415">
        <f>(VLOOKUP(表1_861218222426728894[[#This Row],[目标区服]],$R$149:$S$175,2,FALSE)-表1_861218222426728894[[#This Row],[开服天数]])*配置!$B$1</f>
        <v>1000</v>
      </c>
      <c r="F139" s="85">
        <f>表1_861218222426728894[[#This Row],[补偿Coin]]*(表1_861218222426728894[[#This Row],[活跃高战玩家数]]+表1_861218222426728894[[#This Row],[活跃中坚玩家数]])</f>
        <v>17000</v>
      </c>
      <c r="G139" s="416">
        <f>(VLOOKUP(表1_861218222426728894[[#This Row],[目标区服]],$R$149:$S$180,2,FALSE)-表1_861218222426728894[[#This Row],[开服天数]])*配置!$B$2</f>
        <v>10</v>
      </c>
      <c r="H139" s="83" t="s">
        <v>27</v>
      </c>
      <c r="I139" s="421">
        <f>IF(表1_861218222426728894[[#This Row],[原国家]]="魏",0,IF(表1_861218222426728894[[#This Row],[原国家]]="蜀",1,2))</f>
        <v>2</v>
      </c>
      <c r="J139" s="85">
        <v>1</v>
      </c>
      <c r="K139" s="85">
        <v>62</v>
      </c>
      <c r="L139" s="85">
        <v>1</v>
      </c>
      <c r="M139" s="85">
        <v>16</v>
      </c>
      <c r="N139" s="85">
        <v>61782</v>
      </c>
      <c r="O139" s="422">
        <v>1243967</v>
      </c>
      <c r="P139" s="379">
        <v>8170403</v>
      </c>
      <c r="Q139" s="128" t="s">
        <v>25</v>
      </c>
      <c r="R139" s="83">
        <f>IF(表1_861218222426728894[[#This Row],[目标国家]]="魏",0,IF(表1_861218222426728894[[#This Row],[目标国家]]="蜀",1,2))</f>
        <v>0</v>
      </c>
      <c r="S139" s="85">
        <v>3528</v>
      </c>
      <c r="T139" s="85">
        <v>0</v>
      </c>
      <c r="U139" s="85">
        <v>127992</v>
      </c>
      <c r="V139" s="85">
        <v>3259</v>
      </c>
      <c r="W139" s="489">
        <v>412448</v>
      </c>
      <c r="X139" s="431" t="str">
        <f>"{"&amp;"'coin':"&amp;表1_861218222426728894[[#This Row],[补偿Coin]]&amp;",'"&amp;配置!$A$2&amp;"':"&amp;表1_861218222426728894[[#This Row],[补偿辎重]]&amp;"},"</f>
        <v>{'coin':1000,'item036':10},</v>
      </c>
      <c r="Y139" s="149" t="str">
        <f t="shared" si="11"/>
        <v>      },</v>
      </c>
    </row>
    <row r="140" customHeight="1" spans="1:25">
      <c r="A140" s="314">
        <v>5174</v>
      </c>
      <c r="B140" s="91">
        <f>VLOOKUP(表1_861218222426728894[[#This Row],[区服]],$P$149:$Q$196,2,FALSE)</f>
        <v>41</v>
      </c>
      <c r="C140" s="177" t="s">
        <v>210</v>
      </c>
      <c r="D140" s="93" t="str">
        <f>表1_861218222426728894[[#This Row],[目标国家]]</f>
        <v>魏</v>
      </c>
      <c r="E140" s="417">
        <f>(VLOOKUP(表1_861218222426728894[[#This Row],[目标区服]],$R$149:$S$175,2,FALSE)-表1_861218222426728894[[#This Row],[开服天数]])*配置!$B$1</f>
        <v>1000</v>
      </c>
      <c r="F140" s="95">
        <f>表1_861218222426728894[[#This Row],[补偿Coin]]*(表1_861218222426728894[[#This Row],[活跃高战玩家数]]+表1_861218222426728894[[#This Row],[活跃中坚玩家数]])</f>
        <v>24000</v>
      </c>
      <c r="G140" s="418">
        <f>(VLOOKUP(表1_861218222426728894[[#This Row],[目标区服]],$R$149:$S$180,2,FALSE)-表1_861218222426728894[[#This Row],[开服天数]])*配置!$B$2</f>
        <v>10</v>
      </c>
      <c r="H140" s="93" t="s">
        <v>25</v>
      </c>
      <c r="I140" s="423">
        <f>IF(表1_861218222426728894[[#This Row],[原国家]]="魏",0,IF(表1_861218222426728894[[#This Row],[原国家]]="蜀",1,2))</f>
        <v>0</v>
      </c>
      <c r="J140" s="95">
        <v>4</v>
      </c>
      <c r="K140" s="95">
        <v>119</v>
      </c>
      <c r="L140" s="95">
        <v>4</v>
      </c>
      <c r="M140" s="95">
        <v>20</v>
      </c>
      <c r="N140" s="95">
        <v>107832</v>
      </c>
      <c r="O140" s="424">
        <v>2290237</v>
      </c>
      <c r="P140" s="326">
        <v>16138394</v>
      </c>
      <c r="Q140" s="31" t="s">
        <v>25</v>
      </c>
      <c r="R140" s="93">
        <f>IF(表1_861218222426728894[[#This Row],[目标国家]]="魏",0,IF(表1_861218222426728894[[#This Row],[目标国家]]="蜀",1,2))</f>
        <v>0</v>
      </c>
      <c r="S140" s="95">
        <v>44460</v>
      </c>
      <c r="T140" s="95">
        <v>0</v>
      </c>
      <c r="U140" s="95">
        <v>589259</v>
      </c>
      <c r="V140" s="95">
        <v>7661</v>
      </c>
      <c r="W140" s="495">
        <v>613392</v>
      </c>
      <c r="X140" s="433" t="str">
        <f>"{"&amp;"'coin':"&amp;表1_861218222426728894[[#This Row],[补偿Coin]]&amp;",'"&amp;配置!$A$2&amp;"':"&amp;表1_861218222426728894[[#This Row],[补偿辎重]]&amp;"},"</f>
        <v>{'coin':1000,'item036':10},</v>
      </c>
      <c r="Y140" s="138" t="str">
        <f>"      '"&amp;表1_861218222426728894[[#This Row],[区服]]&amp;"':{"</f>
        <v>      '5174':{</v>
      </c>
    </row>
    <row r="141" customHeight="1" spans="1:25">
      <c r="A141" s="314">
        <v>5174</v>
      </c>
      <c r="B141" s="91">
        <f>VLOOKUP(表1_861218222426728894[[#This Row],[区服]],$P$149:$Q$196,2,FALSE)</f>
        <v>41</v>
      </c>
      <c r="C141" s="177" t="s">
        <v>210</v>
      </c>
      <c r="D141" s="93" t="str">
        <f>表1_861218222426728894[[#This Row],[目标国家]]</f>
        <v>魏</v>
      </c>
      <c r="E141" s="417">
        <f>(VLOOKUP(表1_861218222426728894[[#This Row],[目标区服]],$R$149:$S$175,2,FALSE)-表1_861218222426728894[[#This Row],[开服天数]])*配置!$B$1</f>
        <v>1000</v>
      </c>
      <c r="F141" s="95">
        <f>表1_861218222426728894[[#This Row],[补偿Coin]]*(表1_861218222426728894[[#This Row],[活跃高战玩家数]]+表1_861218222426728894[[#This Row],[活跃中坚玩家数]])</f>
        <v>19000</v>
      </c>
      <c r="G141" s="418">
        <f>(VLOOKUP(表1_861218222426728894[[#This Row],[目标区服]],$R$149:$S$180,2,FALSE)-表1_861218222426728894[[#This Row],[开服天数]])*配置!$B$2</f>
        <v>10</v>
      </c>
      <c r="H141" s="93" t="s">
        <v>26</v>
      </c>
      <c r="I141" s="423">
        <f>IF(表1_861218222426728894[[#This Row],[原国家]]="魏",0,IF(表1_861218222426728894[[#This Row],[原国家]]="蜀",1,2))</f>
        <v>1</v>
      </c>
      <c r="J141" s="95">
        <v>2</v>
      </c>
      <c r="K141" s="95">
        <v>113</v>
      </c>
      <c r="L141" s="95">
        <v>2</v>
      </c>
      <c r="M141" s="95">
        <v>17</v>
      </c>
      <c r="N141" s="95">
        <v>75987</v>
      </c>
      <c r="O141" s="424">
        <v>1923883</v>
      </c>
      <c r="P141" s="326">
        <v>10949512</v>
      </c>
      <c r="Q141" s="31" t="s">
        <v>25</v>
      </c>
      <c r="R141" s="93">
        <f>IF(表1_861218222426728894[[#This Row],[目标国家]]="魏",0,IF(表1_861218222426728894[[#This Row],[目标国家]]="蜀",1,2))</f>
        <v>0</v>
      </c>
      <c r="S141" s="95">
        <v>31510</v>
      </c>
      <c r="T141" s="95">
        <v>0</v>
      </c>
      <c r="U141" s="95">
        <v>185389</v>
      </c>
      <c r="V141" s="95">
        <v>5766</v>
      </c>
      <c r="W141" s="495">
        <v>593374</v>
      </c>
      <c r="X141" s="433" t="str">
        <f>"{"&amp;"'coin':"&amp;表1_861218222426728894[[#This Row],[补偿Coin]]&amp;",'"&amp;配置!$A$2&amp;"':"&amp;表1_861218222426728894[[#This Row],[补偿辎重]]&amp;"},"</f>
        <v>{'coin':1000,'item036':10},</v>
      </c>
      <c r="Y141" s="138" t="str">
        <f>"            'to_zone':'"&amp;表1_861218222426728894[[#This Row],[目标区服]]&amp;"',
            'reward':"&amp;表1_861218222426728894[[#This Row],[辅助导出]]&amp;"
            'country':["&amp;R140&amp;","&amp;R141&amp;","&amp;R142&amp;"],"</f>
        <v>            'to_zone':'h1_579',
            'reward':{'coin':1000,'item036':10},
            'country':[0,0,2],</v>
      </c>
    </row>
    <row r="142" customHeight="1" spans="1:25">
      <c r="A142" s="314">
        <v>5174</v>
      </c>
      <c r="B142" s="91">
        <f>VLOOKUP(表1_861218222426728894[[#This Row],[区服]],$P$149:$Q$196,2,FALSE)</f>
        <v>41</v>
      </c>
      <c r="C142" s="177" t="s">
        <v>210</v>
      </c>
      <c r="D142" s="93" t="str">
        <f>表1_861218222426728894[[#This Row],[目标国家]]</f>
        <v>吴</v>
      </c>
      <c r="E142" s="417">
        <f>(VLOOKUP(表1_861218222426728894[[#This Row],[目标区服]],$R$149:$S$175,2,FALSE)-表1_861218222426728894[[#This Row],[开服天数]])*配置!$B$1</f>
        <v>1000</v>
      </c>
      <c r="F142" s="95">
        <f>表1_861218222426728894[[#This Row],[补偿Coin]]*(表1_861218222426728894[[#This Row],[活跃高战玩家数]]+表1_861218222426728894[[#This Row],[活跃中坚玩家数]])</f>
        <v>16000</v>
      </c>
      <c r="G142" s="418">
        <f>(VLOOKUP(表1_861218222426728894[[#This Row],[目标区服]],$R$149:$S$180,2,FALSE)-表1_861218222426728894[[#This Row],[开服天数]])*配置!$B$2</f>
        <v>10</v>
      </c>
      <c r="H142" s="93" t="s">
        <v>27</v>
      </c>
      <c r="I142" s="423">
        <f>IF(表1_861218222426728894[[#This Row],[原国家]]="魏",0,IF(表1_861218222426728894[[#This Row],[原国家]]="蜀",1,2))</f>
        <v>2</v>
      </c>
      <c r="J142" s="95">
        <v>3</v>
      </c>
      <c r="K142" s="95">
        <v>163</v>
      </c>
      <c r="L142" s="95">
        <v>3</v>
      </c>
      <c r="M142" s="95">
        <v>13</v>
      </c>
      <c r="N142" s="95">
        <v>91732</v>
      </c>
      <c r="O142" s="424">
        <v>2741871</v>
      </c>
      <c r="P142" s="326">
        <v>14503958</v>
      </c>
      <c r="Q142" s="31" t="s">
        <v>27</v>
      </c>
      <c r="R142" s="93">
        <f>IF(表1_861218222426728894[[#This Row],[目标国家]]="魏",0,IF(表1_861218222426728894[[#This Row],[目标国家]]="蜀",1,2))</f>
        <v>2</v>
      </c>
      <c r="S142" s="95">
        <v>60516</v>
      </c>
      <c r="T142" s="95">
        <v>0</v>
      </c>
      <c r="U142" s="95">
        <v>308810</v>
      </c>
      <c r="V142" s="95">
        <v>8550</v>
      </c>
      <c r="W142" s="495">
        <v>845401</v>
      </c>
      <c r="X142" s="433" t="str">
        <f>"{"&amp;"'coin':"&amp;表1_861218222426728894[[#This Row],[补偿Coin]]&amp;",'"&amp;配置!$A$2&amp;"':"&amp;表1_861218222426728894[[#This Row],[补偿辎重]]&amp;"},"</f>
        <v>{'coin':1000,'item036':10},</v>
      </c>
      <c r="Y142" s="138" t="str">
        <f t="shared" si="10"/>
        <v>      },</v>
      </c>
    </row>
    <row r="143" customHeight="1" spans="1:25">
      <c r="A143" s="314">
        <v>5175</v>
      </c>
      <c r="B143" s="91">
        <f>VLOOKUP(表1_861218222426728894[[#This Row],[区服]],$P$149:$Q$196,2,FALSE)</f>
        <v>41</v>
      </c>
      <c r="C143" s="177" t="s">
        <v>210</v>
      </c>
      <c r="D143" s="93" t="str">
        <f>表1_861218222426728894[[#This Row],[目标国家]]</f>
        <v>蜀</v>
      </c>
      <c r="E143" s="417">
        <f>(VLOOKUP(表1_861218222426728894[[#This Row],[目标区服]],$R$149:$S$175,2,FALSE)-表1_861218222426728894[[#This Row],[开服天数]])*配置!$B$1</f>
        <v>1000</v>
      </c>
      <c r="F143" s="95">
        <f>表1_861218222426728894[[#This Row],[补偿Coin]]*(表1_861218222426728894[[#This Row],[活跃高战玩家数]]+表1_861218222426728894[[#This Row],[活跃中坚玩家数]])</f>
        <v>17000</v>
      </c>
      <c r="G143" s="418">
        <f>(VLOOKUP(表1_861218222426728894[[#This Row],[目标区服]],$R$149:$S$180,2,FALSE)-表1_861218222426728894[[#This Row],[开服天数]])*配置!$B$2</f>
        <v>10</v>
      </c>
      <c r="H143" s="93" t="s">
        <v>25</v>
      </c>
      <c r="I143" s="423">
        <f>IF(表1_861218222426728894[[#This Row],[原国家]]="魏",0,IF(表1_861218222426728894[[#This Row],[原国家]]="蜀",1,2))</f>
        <v>0</v>
      </c>
      <c r="J143" s="95">
        <v>2</v>
      </c>
      <c r="K143" s="95">
        <v>56</v>
      </c>
      <c r="L143" s="95">
        <v>2</v>
      </c>
      <c r="M143" s="95">
        <v>15</v>
      </c>
      <c r="N143" s="95">
        <v>62592</v>
      </c>
      <c r="O143" s="424">
        <v>1547833</v>
      </c>
      <c r="P143" s="326">
        <v>8539582</v>
      </c>
      <c r="Q143" s="31" t="s">
        <v>26</v>
      </c>
      <c r="R143" s="93">
        <f>IF(表1_861218222426728894[[#This Row],[目标国家]]="魏",0,IF(表1_861218222426728894[[#This Row],[目标国家]]="蜀",1,2))</f>
        <v>1</v>
      </c>
      <c r="S143" s="95">
        <v>15736</v>
      </c>
      <c r="T143" s="95">
        <v>0</v>
      </c>
      <c r="U143" s="95">
        <v>200791</v>
      </c>
      <c r="V143" s="95">
        <v>4047</v>
      </c>
      <c r="W143" s="495">
        <v>468090</v>
      </c>
      <c r="X143" s="433" t="str">
        <f>"{"&amp;"'coin':"&amp;表1_861218222426728894[[#This Row],[补偿Coin]]&amp;",'"&amp;配置!$A$2&amp;"':"&amp;表1_861218222426728894[[#This Row],[补偿辎重]]&amp;"},"</f>
        <v>{'coin':1000,'item036':10},</v>
      </c>
      <c r="Y143" s="138" t="str">
        <f>"      '"&amp;表1_861218222426728894[[#This Row],[区服]]&amp;"':{"</f>
        <v>      '5175':{</v>
      </c>
    </row>
    <row r="144" ht="14.25" customHeight="1" spans="1:25">
      <c r="A144" s="314">
        <v>5175</v>
      </c>
      <c r="B144" s="91">
        <f>VLOOKUP(表1_861218222426728894[[#This Row],[区服]],$P$149:$Q$196,2,FALSE)</f>
        <v>41</v>
      </c>
      <c r="C144" s="177" t="s">
        <v>210</v>
      </c>
      <c r="D144" s="93" t="str">
        <f>表1_861218222426728894[[#This Row],[目标国家]]</f>
        <v>蜀</v>
      </c>
      <c r="E144" s="417">
        <f>(VLOOKUP(表1_861218222426728894[[#This Row],[目标区服]],$R$149:$S$175,2,FALSE)-表1_861218222426728894[[#This Row],[开服天数]])*配置!$B$1</f>
        <v>1000</v>
      </c>
      <c r="F144" s="95">
        <f>表1_861218222426728894[[#This Row],[补偿Coin]]*(表1_861218222426728894[[#This Row],[活跃高战玩家数]]+表1_861218222426728894[[#This Row],[活跃中坚玩家数]])</f>
        <v>26000</v>
      </c>
      <c r="G144" s="418">
        <f>(VLOOKUP(表1_861218222426728894[[#This Row],[目标区服]],$R$149:$S$180,2,FALSE)-表1_861218222426728894[[#This Row],[开服天数]])*配置!$B$2</f>
        <v>10</v>
      </c>
      <c r="H144" s="93" t="s">
        <v>26</v>
      </c>
      <c r="I144" s="423">
        <f>IF(表1_861218222426728894[[#This Row],[原国家]]="魏",0,IF(表1_861218222426728894[[#This Row],[原国家]]="蜀",1,2))</f>
        <v>1</v>
      </c>
      <c r="J144" s="95">
        <v>4</v>
      </c>
      <c r="K144" s="95">
        <v>237</v>
      </c>
      <c r="L144" s="95">
        <v>5</v>
      </c>
      <c r="M144" s="95">
        <v>21</v>
      </c>
      <c r="N144" s="95">
        <v>125912</v>
      </c>
      <c r="O144" s="424">
        <v>2797203</v>
      </c>
      <c r="P144" s="326">
        <v>17249140</v>
      </c>
      <c r="Q144" s="31" t="s">
        <v>26</v>
      </c>
      <c r="R144" s="93">
        <f>IF(表1_861218222426728894[[#This Row],[目标国家]]="魏",0,IF(表1_861218222426728894[[#This Row],[目标国家]]="蜀",1,2))</f>
        <v>1</v>
      </c>
      <c r="S144" s="95">
        <v>47782</v>
      </c>
      <c r="T144" s="95">
        <v>0</v>
      </c>
      <c r="U144" s="95">
        <v>456995</v>
      </c>
      <c r="V144" s="95">
        <v>9583</v>
      </c>
      <c r="W144" s="495">
        <v>842020</v>
      </c>
      <c r="X144" s="433" t="str">
        <f>"{"&amp;"'coin':"&amp;表1_861218222426728894[[#This Row],[补偿Coin]]&amp;",'"&amp;配置!$A$2&amp;"':"&amp;表1_861218222426728894[[#This Row],[补偿辎重]]&amp;"},"</f>
        <v>{'coin':1000,'item036':10},</v>
      </c>
      <c r="Y144" s="138" t="str">
        <f>"            'to_zone':'"&amp;表1_861218222426728894[[#This Row],[目标区服]]&amp;"',
            'reward':"&amp;表1_861218222426728894[[#This Row],[辅助导出]]&amp;"
            'country':["&amp;R143&amp;","&amp;R144&amp;","&amp;R145&amp;"],"</f>
        <v>            'to_zone':'h1_579',
            'reward':{'coin':1000,'item036':10},
            'country':[1,1,2],</v>
      </c>
    </row>
    <row r="145" customHeight="1" spans="1:25">
      <c r="A145" s="314">
        <v>5175</v>
      </c>
      <c r="B145" s="91">
        <f>VLOOKUP(表1_861218222426728894[[#This Row],[区服]],$P$149:$Q$196,2,FALSE)</f>
        <v>41</v>
      </c>
      <c r="C145" s="177" t="s">
        <v>210</v>
      </c>
      <c r="D145" s="93" t="str">
        <f>表1_861218222426728894[[#This Row],[目标国家]]</f>
        <v>吴</v>
      </c>
      <c r="E145" s="417">
        <f>(VLOOKUP(表1_861218222426728894[[#This Row],[目标区服]],$R$149:$S$175,2,FALSE)-表1_861218222426728894[[#This Row],[开服天数]])*配置!$B$1</f>
        <v>1000</v>
      </c>
      <c r="F145" s="95">
        <f>表1_861218222426728894[[#This Row],[补偿Coin]]*(表1_861218222426728894[[#This Row],[活跃高战玩家数]]+表1_861218222426728894[[#This Row],[活跃中坚玩家数]])</f>
        <v>24000</v>
      </c>
      <c r="G145" s="418">
        <f>(VLOOKUP(表1_861218222426728894[[#This Row],[目标区服]],$R$149:$S$180,2,FALSE)-表1_861218222426728894[[#This Row],[开服天数]])*配置!$B$2</f>
        <v>10</v>
      </c>
      <c r="H145" s="93" t="s">
        <v>27</v>
      </c>
      <c r="I145" s="423">
        <f>IF(表1_861218222426728894[[#This Row],[原国家]]="魏",0,IF(表1_861218222426728894[[#This Row],[原国家]]="蜀",1,2))</f>
        <v>2</v>
      </c>
      <c r="J145" s="95">
        <v>3</v>
      </c>
      <c r="K145" s="95">
        <v>102</v>
      </c>
      <c r="L145" s="95">
        <v>2</v>
      </c>
      <c r="M145" s="95">
        <v>22</v>
      </c>
      <c r="N145" s="95">
        <v>89388</v>
      </c>
      <c r="O145" s="424">
        <v>1636661</v>
      </c>
      <c r="P145" s="326">
        <v>11426006</v>
      </c>
      <c r="Q145" s="31" t="s">
        <v>27</v>
      </c>
      <c r="R145" s="93">
        <f>IF(表1_861218222426728894[[#This Row],[目标国家]]="魏",0,IF(表1_861218222426728894[[#This Row],[目标国家]]="蜀",1,2))</f>
        <v>2</v>
      </c>
      <c r="S145" s="95">
        <v>6510</v>
      </c>
      <c r="T145" s="95">
        <v>0</v>
      </c>
      <c r="U145" s="95">
        <v>186041</v>
      </c>
      <c r="V145" s="95">
        <v>4834</v>
      </c>
      <c r="W145" s="495">
        <v>576737</v>
      </c>
      <c r="X145" s="433" t="str">
        <f>"{"&amp;"'coin':"&amp;表1_861218222426728894[[#This Row],[补偿Coin]]&amp;",'"&amp;配置!$A$2&amp;"':"&amp;表1_861218222426728894[[#This Row],[补偿辎重]]&amp;"},"</f>
        <v>{'coin':1000,'item036':10},</v>
      </c>
      <c r="Y145" s="138" t="str">
        <f t="shared" si="11"/>
        <v>      },</v>
      </c>
    </row>
    <row r="148" ht="27" spans="1:19">
      <c r="A148" s="36" t="s">
        <v>28</v>
      </c>
      <c r="B148" s="37" t="s">
        <v>29</v>
      </c>
      <c r="C148" s="38" t="s">
        <v>30</v>
      </c>
      <c r="D148" s="38" t="s">
        <v>31</v>
      </c>
      <c r="E148" s="38" t="s">
        <v>32</v>
      </c>
      <c r="F148" s="38" t="s">
        <v>33</v>
      </c>
      <c r="G148" s="38" t="s">
        <v>15</v>
      </c>
      <c r="H148" s="37" t="s">
        <v>18</v>
      </c>
      <c r="I148" s="37" t="s">
        <v>19</v>
      </c>
      <c r="J148" s="37" t="s">
        <v>34</v>
      </c>
      <c r="K148" s="38" t="s">
        <v>35</v>
      </c>
      <c r="L148" s="38" t="s">
        <v>36</v>
      </c>
      <c r="M148" s="38" t="s">
        <v>37</v>
      </c>
      <c r="N148" s="38" t="s">
        <v>88</v>
      </c>
      <c r="P148" s="51" t="s">
        <v>0</v>
      </c>
      <c r="Q148" s="51" t="s">
        <v>1</v>
      </c>
      <c r="R148" s="51"/>
      <c r="S148" s="51" t="s">
        <v>38</v>
      </c>
    </row>
    <row r="149" ht="15" spans="1:19">
      <c r="A149" s="39" t="s">
        <v>190</v>
      </c>
      <c r="B149" s="39" t="s">
        <v>25</v>
      </c>
      <c r="C149" s="39">
        <f>COUNTIFS(表1_861218222426728894[目标区服],表2_971319232527738995[[#This Row],[合区区服]],表1_861218222426728894[目标国家（映射）],表2_971319232527738995[[#This Row],[国家]])</f>
        <v>1</v>
      </c>
      <c r="D149" s="39">
        <f>SUMIFS(表1_861218222426728894[活跃高战玩家数],表1_861218222426728894[目标区服],表2_971319232527738995[[#This Row],[合区区服]],表1_861218222426728894[目标国家（映射）],表2_971319232527738995[[#This Row],[国家]])</f>
        <v>5</v>
      </c>
      <c r="E149" s="39">
        <f>SUMIFS(表1_861218222426728894[活跃中坚玩家数],表1_861218222426728894[目标区服],表2_971319232527738995[[#This Row],[合区区服]],表1_861218222426728894[目标国家（映射）],表2_971319232527738995[[#This Row],[国家]])</f>
        <v>27</v>
      </c>
      <c r="F149" s="39">
        <f t="array" ref="F149">MAX((表1_861218222426728894[目标区服]=表2_971319232527738995[[#This Row],[合区区服]])*(表1_861218222426728894[目标国家（映射）]=表2_971319232527738995[[#This Row],[国家]])*表1_861218222426728894[活跃尖端战力])</f>
        <v>4040688</v>
      </c>
      <c r="G149" s="40">
        <f>SUMIFS(表1_861218222426728894[活跃总战力],表1_861218222426728894[目标区服],表2_971319232527738995[[#This Row],[合区区服]],表1_861218222426728894[目标国家（映射）],表2_971319232527738995[[#This Row],[国家]])</f>
        <v>30195937</v>
      </c>
      <c r="H149" s="39">
        <f>SUMIFS(表1_861218222426728894[活跃实际充值],表1_861218222426728894[目标区服],表2_971319232527738995[[#This Row],[合区区服]],表1_861218222426728894[目标国家（映射）],表2_971319232527738995[[#This Row],[国家]])</f>
        <v>78926</v>
      </c>
      <c r="I149" s="39">
        <f>SUMIFS(表1_861218222426728894[活跃虚拟充值],表1_861218222426728894[目标区服],表2_971319232527738995[[#This Row],[合区区服]],表1_861218222426728894[目标国家（映射）],表2_971319232527738995[[#This Row],[国家]])</f>
        <v>129140</v>
      </c>
      <c r="J149" s="39">
        <f>SUMIFS(表1_861218222426728894[活跃Coin],表1_861218222426728894[目标区服],表2_971319232527738995[[#This Row],[合区区服]],表1_861218222426728894[目标国家（映射）],表2_971319232527738995[[#This Row],[国家]])</f>
        <v>759710</v>
      </c>
      <c r="K149" s="39">
        <f>SUMIFS(表1_861218222426728894[共计补偿Coin],表1_861218222426728894[目标区服],表2_971319232527738995[[#This Row],[合区区服]],表1_861218222426728894[目标国家（映射）],表2_971319232527738995[[#This Row],[国家]])</f>
        <v>32000</v>
      </c>
      <c r="L149" s="39">
        <f>表2_971319232527738995[[#This Row],[活跃Coin]]+表2_971319232527738995[[#This Row],[共计补偿Coin]]</f>
        <v>791710</v>
      </c>
      <c r="M149" s="39">
        <f>SUMIFS(表1_861218222426728894[综合国力],表1_861218222426728894[目标区服],表2_971319232527738995[[#This Row],[合区区服]],表1_861218222426728894[目标国家（映射）],表2_971319232527738995[[#This Row],[国家]])</f>
        <v>15231</v>
      </c>
      <c r="N149" s="39">
        <f t="array" ref="N149">MAX((表1_861218222426728894[目标区服]=表2_971319232527738995[[#This Row],[合区区服]])*(表1_861218222426728894[目标国家（映射）]=表2_971319232527738995[[#This Row],[国家]])*表1_861218222426728894[单将最高战力])</f>
        <v>1319923</v>
      </c>
      <c r="P149" s="51">
        <v>5128</v>
      </c>
      <c r="Q149" s="51">
        <v>47</v>
      </c>
      <c r="R149" s="51" t="s">
        <v>190</v>
      </c>
      <c r="S149" s="51">
        <v>49</v>
      </c>
    </row>
    <row r="150" ht="15" spans="1:19">
      <c r="A150" s="39" t="s">
        <v>190</v>
      </c>
      <c r="B150" s="39" t="s">
        <v>26</v>
      </c>
      <c r="C150" s="39">
        <f>COUNTIFS(表1_861218222426728894[目标区服],表2_971319232527738995[[#This Row],[合区区服]],表1_861218222426728894[目标国家（映射）],表2_971319232527738995[[#This Row],[国家]])</f>
        <v>3</v>
      </c>
      <c r="D150" s="39">
        <f>SUMIFS(表1_861218222426728894[活跃高战玩家数],表1_861218222426728894[目标区服],表2_971319232527738995[[#This Row],[合区区服]],表1_861218222426728894[目标国家（映射）],表2_971319232527738995[[#This Row],[国家]])</f>
        <v>6</v>
      </c>
      <c r="E150" s="39">
        <f>SUMIFS(表1_861218222426728894[活跃中坚玩家数],表1_861218222426728894[目标区服],表2_971319232527738995[[#This Row],[合区区服]],表1_861218222426728894[目标国家（映射）],表2_971319232527738995[[#This Row],[国家]])</f>
        <v>34</v>
      </c>
      <c r="F150" s="39">
        <f t="array" ref="F150">MAX((表1_861218222426728894[目标区服]=表2_971319232527738995[[#This Row],[合区区服]])*(表1_861218222426728894[目标国家（映射）]=表2_971319232527738995[[#This Row],[国家]])*表1_861218222426728894[活跃尖端战力])</f>
        <v>2834292</v>
      </c>
      <c r="G150" s="40">
        <f>SUMIFS(表1_861218222426728894[活跃总战力],表1_861218222426728894[目标区服],表2_971319232527738995[[#This Row],[合区区服]],表1_861218222426728894[目标国家（映射）],表2_971319232527738995[[#This Row],[国家]])</f>
        <v>33113706</v>
      </c>
      <c r="H150" s="39">
        <f>SUMIFS(表1_861218222426728894[活跃实际充值],表1_861218222426728894[目标区服],表2_971319232527738995[[#This Row],[合区区服]],表1_861218222426728894[目标国家（映射）],表2_971319232527738995[[#This Row],[国家]])</f>
        <v>106986</v>
      </c>
      <c r="I150" s="39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50" s="39">
        <f>SUMIFS(表1_861218222426728894[活跃Coin],表1_861218222426728894[目标区服],表2_971319232527738995[[#This Row],[合区区服]],表1_861218222426728894[目标国家（映射）],表2_971319232527738995[[#This Row],[国家]])</f>
        <v>306790</v>
      </c>
      <c r="K150" s="39">
        <f>SUMIFS(表1_861218222426728894[共计补偿Coin],表1_861218222426728894[目标区服],表2_971319232527738995[[#This Row],[合区区服]],表1_861218222426728894[目标国家（映射）],表2_971319232527738995[[#This Row],[国家]])</f>
        <v>40000</v>
      </c>
      <c r="L150" s="39">
        <f>表2_971319232527738995[[#This Row],[活跃Coin]]+表2_971319232527738995[[#This Row],[共计补偿Coin]]</f>
        <v>346790</v>
      </c>
      <c r="M150" s="39">
        <f>SUMIFS(表1_861218222426728894[综合国力],表1_861218222426728894[目标区服],表2_971319232527738995[[#This Row],[合区区服]],表1_861218222426728894[目标国家（映射）],表2_971319232527738995[[#This Row],[国家]])</f>
        <v>16698</v>
      </c>
      <c r="N150" s="39">
        <f t="array" ref="N150">MAX((表1_861218222426728894[目标区服]=表2_971319232527738995[[#This Row],[合区区服]])*(表1_861218222426728894[目标国家（映射）]=表2_971319232527738995[[#This Row],[国家]])*表1_861218222426728894[单将最高战力])</f>
        <v>797315</v>
      </c>
      <c r="P150" s="51">
        <v>5129</v>
      </c>
      <c r="Q150" s="51">
        <v>47</v>
      </c>
      <c r="R150" s="51" t="s">
        <v>191</v>
      </c>
      <c r="S150" s="51">
        <v>49</v>
      </c>
    </row>
    <row r="151" ht="15" spans="1:19">
      <c r="A151" s="39" t="s">
        <v>190</v>
      </c>
      <c r="B151" s="39" t="s">
        <v>27</v>
      </c>
      <c r="C151" s="39">
        <f>COUNTIFS(表1_861218222426728894[目标区服],表2_971319232527738995[[#This Row],[合区区服]],表1_861218222426728894[目标国家（映射）],表2_971319232527738995[[#This Row],[国家]])</f>
        <v>2</v>
      </c>
      <c r="D151" s="39">
        <f>SUMIFS(表1_861218222426728894[活跃高战玩家数],表1_861218222426728894[目标区服],表2_971319232527738995[[#This Row],[合区区服]],表1_861218222426728894[目标国家（映射）],表2_971319232527738995[[#This Row],[国家]])</f>
        <v>8</v>
      </c>
      <c r="E151" s="39">
        <f>SUMIFS(表1_861218222426728894[活跃中坚玩家数],表1_861218222426728894[目标区服],表2_971319232527738995[[#This Row],[合区区服]],表1_861218222426728894[目标国家（映射）],表2_971319232527738995[[#This Row],[国家]])</f>
        <v>48</v>
      </c>
      <c r="F151" s="39">
        <f t="array" ref="F151">MAX((表1_861218222426728894[目标区服]=表2_971319232527738995[[#This Row],[合区区服]])*(表1_861218222426728894[目标国家（映射）]=表2_971319232527738995[[#This Row],[国家]])*表1_861218222426728894[活跃尖端战力])</f>
        <v>3083276</v>
      </c>
      <c r="G151" s="40">
        <f>SUMIFS(表1_861218222426728894[活跃总战力],表1_861218222426728894[目标区服],表2_971319232527738995[[#This Row],[合区区服]],表1_861218222426728894[目标国家（映射）],表2_971319232527738995[[#This Row],[国家]])</f>
        <v>51607187</v>
      </c>
      <c r="H151" s="39">
        <f>SUMIFS(表1_861218222426728894[活跃实际充值],表1_861218222426728894[目标区服],表2_971319232527738995[[#This Row],[合区区服]],表1_861218222426728894[目标国家（映射）],表2_971319232527738995[[#This Row],[国家]])</f>
        <v>170798</v>
      </c>
      <c r="I151" s="39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51" s="39">
        <f>SUMIFS(表1_861218222426728894[活跃Coin],表1_861218222426728894[目标区服],表2_971319232527738995[[#This Row],[合区区服]],表1_861218222426728894[目标国家（映射）],表2_971319232527738995[[#This Row],[国家]])</f>
        <v>747130</v>
      </c>
      <c r="K151" s="39">
        <f>SUMIFS(表1_861218222426728894[共计补偿Coin],表1_861218222426728894[目标区服],表2_971319232527738995[[#This Row],[合区区服]],表1_861218222426728894[目标国家（映射）],表2_971319232527738995[[#This Row],[国家]])</f>
        <v>56000</v>
      </c>
      <c r="L151" s="39">
        <f>表2_971319232527738995[[#This Row],[活跃Coin]]+表2_971319232527738995[[#This Row],[共计补偿Coin]]</f>
        <v>803130</v>
      </c>
      <c r="M151" s="39">
        <f>SUMIFS(表1_861218222426728894[综合国力],表1_861218222426728894[目标区服],表2_971319232527738995[[#This Row],[合区区服]],表1_861218222426728894[目标国家（映射）],表2_971319232527738995[[#This Row],[国家]])</f>
        <v>20668</v>
      </c>
      <c r="N151" s="39">
        <f t="array" ref="N151">MAX((表1_861218222426728894[目标区服]=表2_971319232527738995[[#This Row],[合区区服]])*(表1_861218222426728894[目标国家（映射）]=表2_971319232527738995[[#This Row],[国家]])*表1_861218222426728894[单将最高战力])</f>
        <v>796324</v>
      </c>
      <c r="P151" s="51">
        <v>5130</v>
      </c>
      <c r="Q151" s="51">
        <v>47</v>
      </c>
      <c r="R151" s="51" t="s">
        <v>192</v>
      </c>
      <c r="S151" s="51">
        <v>49</v>
      </c>
    </row>
    <row r="152" ht="15" spans="1:19">
      <c r="A152" s="41" t="s">
        <v>191</v>
      </c>
      <c r="B152" s="41" t="s">
        <v>25</v>
      </c>
      <c r="C152" s="41">
        <f>COUNTIFS(表1_861218222426728894[目标区服],表2_971319232527738995[[#This Row],[合区区服]],表1_861218222426728894[目标国家（映射）],表2_971319232527738995[[#This Row],[国家]])</f>
        <v>2</v>
      </c>
      <c r="D152" s="41">
        <f>SUMIFS(表1_861218222426728894[活跃高战玩家数],表1_861218222426728894[目标区服],表2_971319232527738995[[#This Row],[合区区服]],表1_861218222426728894[目标国家（映射）],表2_971319232527738995[[#This Row],[国家]])</f>
        <v>11</v>
      </c>
      <c r="E152" s="41">
        <f>SUMIFS(表1_861218222426728894[活跃中坚玩家数],表1_861218222426728894[目标区服],表2_971319232527738995[[#This Row],[合区区服]],表1_861218222426728894[目标国家（映射）],表2_971319232527738995[[#This Row],[国家]])</f>
        <v>44</v>
      </c>
      <c r="F152" s="41">
        <f t="array" ref="F152">MAX((表1_861218222426728894[目标区服]=表2_971319232527738995[[#This Row],[合区区服]])*(表1_861218222426728894[目标国家（映射）]=表2_971319232527738995[[#This Row],[国家]])*表1_861218222426728894[活跃尖端战力])</f>
        <v>3117468</v>
      </c>
      <c r="G152" s="42">
        <f>SUMIFS(表1_861218222426728894[活跃总战力],表1_861218222426728894[目标区服],表2_971319232527738995[[#This Row],[合区区服]],表1_861218222426728894[目标国家（映射）],表2_971319232527738995[[#This Row],[国家]])</f>
        <v>54039309</v>
      </c>
      <c r="H152" s="41">
        <f>SUMIFS(表1_861218222426728894[活跃实际充值],表1_861218222426728894[目标区服],表2_971319232527738995[[#This Row],[合区区服]],表1_861218222426728894[目标国家（映射）],表2_971319232527738995[[#This Row],[国家]])</f>
        <v>127244</v>
      </c>
      <c r="I152" s="41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52" s="41">
        <f>SUMIFS(表1_861218222426728894[活跃Coin],表1_861218222426728894[目标区服],表2_971319232527738995[[#This Row],[合区区服]],表1_861218222426728894[目标国家（映射）],表2_971319232527738995[[#This Row],[国家]])</f>
        <v>646417</v>
      </c>
      <c r="K152" s="41">
        <f>SUMIFS(表1_861218222426728894[共计补偿Coin],表1_861218222426728894[目标区服],表2_971319232527738995[[#This Row],[合区区服]],表1_861218222426728894[目标国家（映射）],表2_971319232527738995[[#This Row],[国家]])</f>
        <v>55000</v>
      </c>
      <c r="L152" s="41">
        <f>表2_971319232527738995[[#This Row],[活跃Coin]]+表2_971319232527738995[[#This Row],[共计补偿Coin]]</f>
        <v>701417</v>
      </c>
      <c r="M152" s="41">
        <f>SUMIFS(表1_861218222426728894[综合国力],表1_861218222426728894[目标区服],表2_971319232527738995[[#This Row],[合区区服]],表1_861218222426728894[目标国家（映射）],表2_971319232527738995[[#This Row],[国家]])</f>
        <v>22067</v>
      </c>
      <c r="N152" s="41">
        <f t="array" ref="N152">MAX((表1_861218222426728894[目标区服]=表2_971319232527738995[[#This Row],[合区区服]])*(表1_861218222426728894[目标国家（映射）]=表2_971319232527738995[[#This Row],[国家]])*表1_861218222426728894[单将最高战力])</f>
        <v>1008402</v>
      </c>
      <c r="P152" s="51">
        <v>5131</v>
      </c>
      <c r="Q152" s="51">
        <v>47</v>
      </c>
      <c r="R152" s="51" t="s">
        <v>193</v>
      </c>
      <c r="S152" s="51">
        <v>48</v>
      </c>
    </row>
    <row r="153" ht="15" spans="1:19">
      <c r="A153" s="41" t="s">
        <v>191</v>
      </c>
      <c r="B153" s="41" t="s">
        <v>26</v>
      </c>
      <c r="C153" s="41">
        <f>COUNTIFS(表1_861218222426728894[目标区服],表2_971319232527738995[[#This Row],[合区区服]],表1_861218222426728894[目标国家（映射）],表2_971319232527738995[[#This Row],[国家]])</f>
        <v>2</v>
      </c>
      <c r="D153" s="41">
        <f>SUMIFS(表1_861218222426728894[活跃高战玩家数],表1_861218222426728894[目标区服],表2_971319232527738995[[#This Row],[合区区服]],表1_861218222426728894[目标国家（映射）],表2_971319232527738995[[#This Row],[国家]])</f>
        <v>5</v>
      </c>
      <c r="E153" s="41">
        <f>SUMIFS(表1_861218222426728894[活跃中坚玩家数],表1_861218222426728894[目标区服],表2_971319232527738995[[#This Row],[合区区服]],表1_861218222426728894[目标国家（映射）],表2_971319232527738995[[#This Row],[国家]])</f>
        <v>42</v>
      </c>
      <c r="F153" s="41">
        <f t="array" ref="F153">MAX((表1_861218222426728894[目标区服]=表2_971319232527738995[[#This Row],[合区区服]])*(表1_861218222426728894[目标国家（映射）]=表2_971319232527738995[[#This Row],[国家]])*表1_861218222426728894[活跃尖端战力])</f>
        <v>2955982</v>
      </c>
      <c r="G153" s="42">
        <f>SUMIFS(表1_861218222426728894[活跃总战力],表1_861218222426728894[目标区服],表2_971319232527738995[[#This Row],[合区区服]],表1_861218222426728894[目标国家（映射）],表2_971319232527738995[[#This Row],[国家]])</f>
        <v>35150091</v>
      </c>
      <c r="H153" s="41">
        <f>SUMIFS(表1_861218222426728894[活跃实际充值],表1_861218222426728894[目标区服],表2_971319232527738995[[#This Row],[合区区服]],表1_861218222426728894[目标国家（映射）],表2_971319232527738995[[#This Row],[国家]])</f>
        <v>81644</v>
      </c>
      <c r="I153" s="41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53" s="41">
        <f>SUMIFS(表1_861218222426728894[活跃Coin],表1_861218222426728894[目标区服],表2_971319232527738995[[#This Row],[合区区服]],表1_861218222426728894[目标国家（映射）],表2_971319232527738995[[#This Row],[国家]])</f>
        <v>431695</v>
      </c>
      <c r="K153" s="41">
        <f>SUMIFS(表1_861218222426728894[共计补偿Coin],表1_861218222426728894[目标区服],表2_971319232527738995[[#This Row],[合区区服]],表1_861218222426728894[目标国家（映射）],表2_971319232527738995[[#This Row],[国家]])</f>
        <v>47000</v>
      </c>
      <c r="L153" s="41">
        <f>表2_971319232527738995[[#This Row],[活跃Coin]]+表2_971319232527738995[[#This Row],[共计补偿Coin]]</f>
        <v>478695</v>
      </c>
      <c r="M153" s="41">
        <f>SUMIFS(表1_861218222426728894[综合国力],表1_861218222426728894[目标区服],表2_971319232527738995[[#This Row],[合区区服]],表1_861218222426728894[目标国家（映射）],表2_971319232527738995[[#This Row],[国家]])</f>
        <v>14361</v>
      </c>
      <c r="N153" s="41">
        <f t="array" ref="N153">MAX((表1_861218222426728894[目标区服]=表2_971319232527738995[[#This Row],[合区区服]])*(表1_861218222426728894[目标国家（映射）]=表2_971319232527738995[[#This Row],[国家]])*表1_861218222426728894[单将最高战力])</f>
        <v>910422</v>
      </c>
      <c r="P153" s="51">
        <v>5132</v>
      </c>
      <c r="Q153" s="51">
        <v>47</v>
      </c>
      <c r="R153" s="51" t="s">
        <v>194</v>
      </c>
      <c r="S153" s="51">
        <v>48</v>
      </c>
    </row>
    <row r="154" ht="15" spans="1:19">
      <c r="A154" s="41" t="s">
        <v>191</v>
      </c>
      <c r="B154" s="43" t="s">
        <v>27</v>
      </c>
      <c r="C154" s="43">
        <f>COUNTIFS(表1_861218222426728894[目标区服],表2_971319232527738995[[#This Row],[合区区服]],表1_861218222426728894[目标国家（映射）],表2_971319232527738995[[#This Row],[国家]])</f>
        <v>2</v>
      </c>
      <c r="D154" s="43">
        <f>SUMIFS(表1_861218222426728894[活跃高战玩家数],表1_861218222426728894[目标区服],表2_971319232527738995[[#This Row],[合区区服]],表1_861218222426728894[目标国家（映射）],表2_971319232527738995[[#This Row],[国家]])</f>
        <v>4</v>
      </c>
      <c r="E154" s="43">
        <f>SUMIFS(表1_861218222426728894[活跃中坚玩家数],表1_861218222426728894[目标区服],表2_971319232527738995[[#This Row],[合区区服]],表1_861218222426728894[目标国家（映射）],表2_971319232527738995[[#This Row],[国家]])</f>
        <v>37</v>
      </c>
      <c r="F154" s="43">
        <f t="array" ref="F154">MAX((表1_861218222426728894[目标区服]=表2_971319232527738995[[#This Row],[合区区服]])*(表1_861218222426728894[目标国家（映射）]=表2_971319232527738995[[#This Row],[国家]])*表1_861218222426728894[活跃尖端战力])</f>
        <v>1931412</v>
      </c>
      <c r="G154" s="44">
        <f>SUMIFS(表1_861218222426728894[活跃总战力],表1_861218222426728894[目标区服],表2_971319232527738995[[#This Row],[合区区服]],表1_861218222426728894[目标国家（映射）],表2_971319232527738995[[#This Row],[国家]])</f>
        <v>27623546</v>
      </c>
      <c r="H154" s="43">
        <f>SUMIFS(表1_861218222426728894[活跃实际充值],表1_861218222426728894[目标区服],表2_971319232527738995[[#This Row],[合区区服]],表1_861218222426728894[目标国家（映射）],表2_971319232527738995[[#This Row],[国家]])</f>
        <v>147144</v>
      </c>
      <c r="I154" s="43">
        <f>SUMIFS(表1_861218222426728894[活跃虚拟充值],表1_861218222426728894[目标区服],表2_971319232527738995[[#This Row],[合区区服]],表1_861218222426728894[目标国家（映射）],表2_971319232527738995[[#This Row],[国家]])</f>
        <v>8616</v>
      </c>
      <c r="J154" s="43">
        <f>SUMIFS(表1_861218222426728894[活跃Coin],表1_861218222426728894[目标区服],表2_971319232527738995[[#This Row],[合区区服]],表1_861218222426728894[目标国家（映射）],表2_971319232527738995[[#This Row],[国家]])</f>
        <v>452182</v>
      </c>
      <c r="K154" s="43">
        <f>SUMIFS(表1_861218222426728894[共计补偿Coin],表1_861218222426728894[目标区服],表2_971319232527738995[[#This Row],[合区区服]],表1_861218222426728894[目标国家（映射）],表2_971319232527738995[[#This Row],[国家]])</f>
        <v>41000</v>
      </c>
      <c r="L154" s="43">
        <f>表2_971319232527738995[[#This Row],[活跃Coin]]+表2_971319232527738995[[#This Row],[共计补偿Coin]]</f>
        <v>493182</v>
      </c>
      <c r="M154" s="43">
        <f>SUMIFS(表1_861218222426728894[综合国力],表1_861218222426728894[目标区服],表2_971319232527738995[[#This Row],[合区区服]],表1_861218222426728894[目标国家（映射）],表2_971319232527738995[[#This Row],[国家]])</f>
        <v>13214</v>
      </c>
      <c r="N154" s="41">
        <f t="array" ref="N154">MAX((表1_861218222426728894[目标区服]=表2_971319232527738995[[#This Row],[合区区服]])*(表1_861218222426728894[目标国家（映射）]=表2_971319232527738995[[#This Row],[国家]])*表1_861218222426728894[单将最高战力])</f>
        <v>930025</v>
      </c>
      <c r="P154" s="51">
        <v>5133</v>
      </c>
      <c r="Q154" s="51">
        <v>46</v>
      </c>
      <c r="R154" s="51" t="s">
        <v>195</v>
      </c>
      <c r="S154" s="51">
        <v>47</v>
      </c>
    </row>
    <row r="155" ht="15" spans="1:19">
      <c r="A155" s="45" t="s">
        <v>192</v>
      </c>
      <c r="B155" s="46" t="s">
        <v>25</v>
      </c>
      <c r="C155" s="46">
        <f>COUNTIFS(表1_861218222426728894[目标区服],表2_971319232527738995[[#This Row],[合区区服]],表1_861218222426728894[目标国家（映射）],表2_971319232527738995[[#This Row],[国家]])</f>
        <v>2</v>
      </c>
      <c r="D155" s="46">
        <f>SUMIFS(表1_861218222426728894[活跃高战玩家数],表1_861218222426728894[目标区服],表2_971319232527738995[[#This Row],[合区区服]],表1_861218222426728894[目标国家（映射）],表2_971319232527738995[[#This Row],[国家]])</f>
        <v>7</v>
      </c>
      <c r="E155" s="46">
        <f>SUMIFS(表1_861218222426728894[活跃中坚玩家数],表1_861218222426728894[目标区服],表2_971319232527738995[[#This Row],[合区区服]],表1_861218222426728894[目标国家（映射）],表2_971319232527738995[[#This Row],[国家]])</f>
        <v>46</v>
      </c>
      <c r="F155" s="46">
        <f t="array" ref="F155">MAX((表1_861218222426728894[目标区服]=表2_971319232527738995[[#This Row],[合区区服]])*(表1_861218222426728894[目标国家（映射）]=表2_971319232527738995[[#This Row],[国家]])*表1_861218222426728894[活跃尖端战力])</f>
        <v>3216583</v>
      </c>
      <c r="G155" s="47">
        <f>SUMIFS(表1_861218222426728894[活跃总战力],表1_861218222426728894[目标区服],表2_971319232527738995[[#This Row],[合区区服]],表1_861218222426728894[目标国家（映射）],表2_971319232527738995[[#This Row],[国家]])</f>
        <v>45687506</v>
      </c>
      <c r="H155" s="46">
        <f>SUMIFS(表1_861218222426728894[活跃实际充值],表1_861218222426728894[目标区服],表2_971319232527738995[[#This Row],[合区区服]],表1_861218222426728894[目标国家（映射）],表2_971319232527738995[[#This Row],[国家]])</f>
        <v>138680</v>
      </c>
      <c r="I155" s="46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55" s="46">
        <f>SUMIFS(表1_861218222426728894[活跃Coin],表1_861218222426728894[目标区服],表2_971319232527738995[[#This Row],[合区区服]],表1_861218222426728894[目标国家（映射）],表2_971319232527738995[[#This Row],[国家]])</f>
        <v>701458</v>
      </c>
      <c r="K155" s="46">
        <f>SUMIFS(表1_861218222426728894[共计补偿Coin],表1_861218222426728894[目标区服],表2_971319232527738995[[#This Row],[合区区服]],表1_861218222426728894[目标国家（映射）],表2_971319232527738995[[#This Row],[国家]])</f>
        <v>67000</v>
      </c>
      <c r="L155" s="46">
        <f>表2_971319232527738995[[#This Row],[活跃Coin]]+表2_971319232527738995[[#This Row],[共计补偿Coin]]</f>
        <v>768458</v>
      </c>
      <c r="M155" s="46">
        <f>SUMIFS(表1_861218222426728894[综合国力],表1_861218222426728894[目标区服],表2_971319232527738995[[#This Row],[合区区服]],表1_861218222426728894[目标国家（映射）],表2_971319232527738995[[#This Row],[国家]])</f>
        <v>17828</v>
      </c>
      <c r="N155" s="46">
        <f t="array" ref="N155">MAX((表1_861218222426728894[目标区服]=表2_971319232527738995[[#This Row],[合区区服]])*(表1_861218222426728894[目标国家（映射）]=表2_971319232527738995[[#This Row],[国家]])*表1_861218222426728894[单将最高战力])</f>
        <v>987468</v>
      </c>
      <c r="P155" s="51">
        <v>5134</v>
      </c>
      <c r="Q155" s="51">
        <v>46</v>
      </c>
      <c r="R155" s="51" t="s">
        <v>196</v>
      </c>
      <c r="S155" s="51">
        <v>47</v>
      </c>
    </row>
    <row r="156" ht="15" spans="1:19">
      <c r="A156" s="45" t="s">
        <v>192</v>
      </c>
      <c r="B156" s="46" t="s">
        <v>26</v>
      </c>
      <c r="C156" s="46">
        <f>COUNTIFS(表1_861218222426728894[目标区服],表2_971319232527738995[[#This Row],[合区区服]],表1_861218222426728894[目标国家（映射）],表2_971319232527738995[[#This Row],[国家]])</f>
        <v>2</v>
      </c>
      <c r="D156" s="46">
        <f>SUMIFS(表1_861218222426728894[活跃高战玩家数],表1_861218222426728894[目标区服],表2_971319232527738995[[#This Row],[合区区服]],表1_861218222426728894[目标国家（映射）],表2_971319232527738995[[#This Row],[国家]])</f>
        <v>6</v>
      </c>
      <c r="E156" s="46">
        <f>SUMIFS(表1_861218222426728894[活跃中坚玩家数],表1_861218222426728894[目标区服],表2_971319232527738995[[#This Row],[合区区服]],表1_861218222426728894[目标国家（映射）],表2_971319232527738995[[#This Row],[国家]])</f>
        <v>45</v>
      </c>
      <c r="F156" s="46">
        <f t="array" ref="F156">MAX((表1_861218222426728894[目标区服]=表2_971319232527738995[[#This Row],[合区区服]])*(表1_861218222426728894[目标国家（映射）]=表2_971319232527738995[[#This Row],[国家]])*表1_861218222426728894[活跃尖端战力])</f>
        <v>2881607</v>
      </c>
      <c r="G156" s="47">
        <f>SUMIFS(表1_861218222426728894[活跃总战力],表1_861218222426728894[目标区服],表2_971319232527738995[[#This Row],[合区区服]],表1_861218222426728894[目标国家（映射）],表2_971319232527738995[[#This Row],[国家]])</f>
        <v>41577162</v>
      </c>
      <c r="H156" s="46">
        <f>SUMIFS(表1_861218222426728894[活跃实际充值],表1_861218222426728894[目标区服],表2_971319232527738995[[#This Row],[合区区服]],表1_861218222426728894[目标国家（映射）],表2_971319232527738995[[#This Row],[国家]])</f>
        <v>124340</v>
      </c>
      <c r="I156" s="46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56" s="46">
        <f>SUMIFS(表1_861218222426728894[活跃Coin],表1_861218222426728894[目标区服],表2_971319232527738995[[#This Row],[合区区服]],表1_861218222426728894[目标国家（映射）],表2_971319232527738995[[#This Row],[国家]])</f>
        <v>592007</v>
      </c>
      <c r="K156" s="46">
        <f>SUMIFS(表1_861218222426728894[共计补偿Coin],表1_861218222426728894[目标区服],表2_971319232527738995[[#This Row],[合区区服]],表1_861218222426728894[目标国家（映射）],表2_971319232527738995[[#This Row],[国家]])</f>
        <v>66500</v>
      </c>
      <c r="L156" s="46">
        <f>表2_971319232527738995[[#This Row],[活跃Coin]]+表2_971319232527738995[[#This Row],[共计补偿Coin]]</f>
        <v>658507</v>
      </c>
      <c r="M156" s="46">
        <f>SUMIFS(表1_861218222426728894[综合国力],表1_861218222426728894[目标区服],表2_971319232527738995[[#This Row],[合区区服]],表1_861218222426728894[目标国家（映射）],表2_971319232527738995[[#This Row],[国家]])</f>
        <v>17172</v>
      </c>
      <c r="N156" s="46">
        <f t="array" ref="N156">MAX((表1_861218222426728894[目标区服]=表2_971319232527738995[[#This Row],[合区区服]])*(表1_861218222426728894[目标国家（映射）]=表2_971319232527738995[[#This Row],[国家]])*表1_861218222426728894[单将最高战力])</f>
        <v>946749</v>
      </c>
      <c r="P156" s="51">
        <v>5135</v>
      </c>
      <c r="Q156" s="51">
        <v>46</v>
      </c>
      <c r="R156" s="51" t="s">
        <v>197</v>
      </c>
      <c r="S156" s="51">
        <v>47</v>
      </c>
    </row>
    <row r="157" ht="15" spans="1:19">
      <c r="A157" s="45" t="s">
        <v>192</v>
      </c>
      <c r="B157" s="48" t="s">
        <v>27</v>
      </c>
      <c r="C157" s="48">
        <f>COUNTIFS(表1_861218222426728894[目标区服],表2_971319232527738995[[#This Row],[合区区服]],表1_861218222426728894[目标国家（映射）],表2_971319232527738995[[#This Row],[国家]])</f>
        <v>2</v>
      </c>
      <c r="D157" s="48">
        <f>SUMIFS(表1_861218222426728894[活跃高战玩家数],表1_861218222426728894[目标区服],表2_971319232527738995[[#This Row],[合区区服]],表1_861218222426728894[目标国家（映射）],表2_971319232527738995[[#This Row],[国家]])</f>
        <v>6</v>
      </c>
      <c r="E157" s="48">
        <f>SUMIFS(表1_861218222426728894[活跃中坚玩家数],表1_861218222426728894[目标区服],表2_971319232527738995[[#This Row],[合区区服]],表1_861218222426728894[目标国家（映射）],表2_971319232527738995[[#This Row],[国家]])</f>
        <v>37</v>
      </c>
      <c r="F157" s="48">
        <f t="array" ref="F157">MAX((表1_861218222426728894[目标区服]=表2_971319232527738995[[#This Row],[合区区服]])*(表1_861218222426728894[目标国家（映射）]=表2_971319232527738995[[#This Row],[国家]])*表1_861218222426728894[活跃尖端战力])</f>
        <v>3051707</v>
      </c>
      <c r="G157" s="458">
        <f>SUMIFS(表1_861218222426728894[活跃总战力],表1_861218222426728894[目标区服],表2_971319232527738995[[#This Row],[合区区服]],表1_861218222426728894[目标国家（映射）],表2_971319232527738995[[#This Row],[国家]])</f>
        <v>39349327</v>
      </c>
      <c r="H157" s="48">
        <f>SUMIFS(表1_861218222426728894[活跃实际充值],表1_861218222426728894[目标区服],表2_971319232527738995[[#This Row],[合区区服]],表1_861218222426728894[目标国家（映射）],表2_971319232527738995[[#This Row],[国家]])</f>
        <v>120694</v>
      </c>
      <c r="I157" s="48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57" s="48">
        <f>SUMIFS(表1_861218222426728894[活跃Coin],表1_861218222426728894[目标区服],表2_971319232527738995[[#This Row],[合区区服]],表1_861218222426728894[目标国家（映射）],表2_971319232527738995[[#This Row],[国家]])</f>
        <v>329862</v>
      </c>
      <c r="K157" s="48">
        <f>SUMIFS(表1_861218222426728894[共计补偿Coin],表1_861218222426728894[目标区服],表2_971319232527738995[[#This Row],[合区区服]],表1_861218222426728894[目标国家（映射）],表2_971319232527738995[[#This Row],[国家]])</f>
        <v>54000</v>
      </c>
      <c r="L157" s="48">
        <f>表2_971319232527738995[[#This Row],[活跃Coin]]+表2_971319232527738995[[#This Row],[共计补偿Coin]]</f>
        <v>383862</v>
      </c>
      <c r="M157" s="48">
        <f>SUMIFS(表1_861218222426728894[综合国力],表1_861218222426728894[目标区服],表2_971319232527738995[[#This Row],[合区区服]],表1_861218222426728894[目标国家（映射）],表2_971319232527738995[[#This Row],[国家]])</f>
        <v>17511</v>
      </c>
      <c r="N157" s="46">
        <f t="array" ref="N157">MAX((表1_861218222426728894[目标区服]=表2_971319232527738995[[#This Row],[合区区服]])*(表1_861218222426728894[目标国家（映射）]=表2_971319232527738995[[#This Row],[国家]])*表1_861218222426728894[单将最高战力])</f>
        <v>838719</v>
      </c>
      <c r="P157" s="51">
        <v>5136</v>
      </c>
      <c r="Q157" s="51">
        <v>46</v>
      </c>
      <c r="R157" s="51" t="s">
        <v>198</v>
      </c>
      <c r="S157" s="51">
        <v>47</v>
      </c>
    </row>
    <row r="158" ht="15" spans="1:19">
      <c r="A158" s="308" t="s">
        <v>193</v>
      </c>
      <c r="B158" s="224" t="s">
        <v>25</v>
      </c>
      <c r="C158" s="224">
        <f>COUNTIFS(表1_861218222426728894[目标区服],表2_971319232527738995[[#This Row],[合区区服]],表1_861218222426728894[目标国家（映射）],表2_971319232527738995[[#This Row],[国家]])</f>
        <v>2</v>
      </c>
      <c r="D158" s="224">
        <f>SUMIFS(表1_861218222426728894[活跃高战玩家数],表1_861218222426728894[目标区服],表2_971319232527738995[[#This Row],[合区区服]],表1_861218222426728894[目标国家（映射）],表2_971319232527738995[[#This Row],[国家]])</f>
        <v>6</v>
      </c>
      <c r="E158" s="224">
        <f>SUMIFS(表1_861218222426728894[活跃中坚玩家数],表1_861218222426728894[目标区服],表2_971319232527738995[[#This Row],[合区区服]],表1_861218222426728894[目标国家（映射）],表2_971319232527738995[[#This Row],[国家]])</f>
        <v>44</v>
      </c>
      <c r="F158" s="224">
        <f t="array" ref="F158">MAX((表1_861218222426728894[目标区服]=表2_971319232527738995[[#This Row],[合区区服]])*(表1_861218222426728894[目标国家（映射）]=表2_971319232527738995[[#This Row],[国家]])*表1_861218222426728894[活跃尖端战力])</f>
        <v>2617076</v>
      </c>
      <c r="G158" s="225">
        <f>SUMIFS(表1_861218222426728894[活跃总战力],表1_861218222426728894[目标区服],表2_971319232527738995[[#This Row],[合区区服]],表1_861218222426728894[目标国家（映射）],表2_971319232527738995[[#This Row],[国家]])</f>
        <v>34984835</v>
      </c>
      <c r="H158" s="224">
        <f>SUMIFS(表1_861218222426728894[活跃实际充值],表1_861218222426728894[目标区服],表2_971319232527738995[[#This Row],[合区区服]],表1_861218222426728894[目标国家（映射）],表2_971319232527738995[[#This Row],[国家]])</f>
        <v>56896</v>
      </c>
      <c r="I158" s="224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58" s="224">
        <f>SUMIFS(表1_861218222426728894[活跃Coin],表1_861218222426728894[目标区服],表2_971319232527738995[[#This Row],[合区区服]],表1_861218222426728894[目标国家（映射）],表2_971319232527738995[[#This Row],[国家]])</f>
        <v>525363</v>
      </c>
      <c r="K158" s="224">
        <f>SUMIFS(表1_861218222426728894[共计补偿Coin],表1_861218222426728894[目标区服],表2_971319232527738995[[#This Row],[合区区服]],表1_861218222426728894[目标国家（映射）],表2_971319232527738995[[#This Row],[国家]])</f>
        <v>50000</v>
      </c>
      <c r="L158" s="224">
        <f>表2_971319232527738995[[#This Row],[活跃Coin]]+表2_971319232527738995[[#This Row],[共计补偿Coin]]</f>
        <v>575363</v>
      </c>
      <c r="M158" s="224">
        <f>SUMIFS(表1_861218222426728894[综合国力],表1_861218222426728894[目标区服],表2_971319232527738995[[#This Row],[合区区服]],表1_861218222426728894[目标国家（映射）],表2_971319232527738995[[#This Row],[国家]])</f>
        <v>13061</v>
      </c>
      <c r="N158" s="471">
        <f t="array" ref="N158">MAX((表1_861218222426728894[目标区服]=表2_971319232527738995[[#This Row],[合区区服]])*(表1_861218222426728894[目标国家（映射）]=表2_971319232527738995[[#This Row],[国家]])*表1_861218222426728894[单将最高战力])</f>
        <v>886716</v>
      </c>
      <c r="P158" s="51">
        <v>5137</v>
      </c>
      <c r="Q158" s="51">
        <v>46</v>
      </c>
      <c r="R158" s="51" t="s">
        <v>199</v>
      </c>
      <c r="S158" s="51">
        <v>46</v>
      </c>
    </row>
    <row r="159" ht="15" spans="1:19">
      <c r="A159" s="308" t="s">
        <v>193</v>
      </c>
      <c r="B159" s="224" t="s">
        <v>26</v>
      </c>
      <c r="C159" s="224">
        <f>COUNTIFS(表1_861218222426728894[目标区服],表2_971319232527738995[[#This Row],[合区区服]],表1_861218222426728894[目标国家（映射）],表2_971319232527738995[[#This Row],[国家]])</f>
        <v>2</v>
      </c>
      <c r="D159" s="224">
        <f>SUMIFS(表1_861218222426728894[活跃高战玩家数],表1_861218222426728894[目标区服],表2_971319232527738995[[#This Row],[合区区服]],表1_861218222426728894[目标国家（映射）],表2_971319232527738995[[#This Row],[国家]])</f>
        <v>6</v>
      </c>
      <c r="E159" s="224">
        <f>SUMIFS(表1_861218222426728894[活跃中坚玩家数],表1_861218222426728894[目标区服],表2_971319232527738995[[#This Row],[合区区服]],表1_861218222426728894[目标国家（映射）],表2_971319232527738995[[#This Row],[国家]])</f>
        <v>54</v>
      </c>
      <c r="F159" s="224">
        <f t="array" ref="F159">MAX((表1_861218222426728894[目标区服]=表2_971319232527738995[[#This Row],[合区区服]])*(表1_861218222426728894[目标国家（映射）]=表2_971319232527738995[[#This Row],[国家]])*表1_861218222426728894[活跃尖端战力])</f>
        <v>2898807</v>
      </c>
      <c r="G159" s="225">
        <f>SUMIFS(表1_861218222426728894[活跃总战力],表1_861218222426728894[目标区服],表2_971319232527738995[[#This Row],[合区区服]],表1_861218222426728894[目标国家（映射）],表2_971319232527738995[[#This Row],[国家]])</f>
        <v>41272675</v>
      </c>
      <c r="H159" s="224">
        <f>SUMIFS(表1_861218222426728894[活跃实际充值],表1_861218222426728894[目标区服],表2_971319232527738995[[#This Row],[合区区服]],表1_861218222426728894[目标国家（映射）],表2_971319232527738995[[#This Row],[国家]])</f>
        <v>60224</v>
      </c>
      <c r="I159" s="224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59" s="224">
        <f>SUMIFS(表1_861218222426728894[活跃Coin],表1_861218222426728894[目标区服],表2_971319232527738995[[#This Row],[合区区服]],表1_861218222426728894[目标国家（映射）],表2_971319232527738995[[#This Row],[国家]])</f>
        <v>532299</v>
      </c>
      <c r="K159" s="224">
        <f>SUMIFS(表1_861218222426728894[共计补偿Coin],表1_861218222426728894[目标区服],表2_971319232527738995[[#This Row],[合区区服]],表1_861218222426728894[目标国家（映射）],表2_971319232527738995[[#This Row],[国家]])</f>
        <v>60000</v>
      </c>
      <c r="L159" s="224">
        <f>表2_971319232527738995[[#This Row],[活跃Coin]]+表2_971319232527738995[[#This Row],[共计补偿Coin]]</f>
        <v>592299</v>
      </c>
      <c r="M159" s="224">
        <f>SUMIFS(表1_861218222426728894[综合国力],表1_861218222426728894[目标区服],表2_971319232527738995[[#This Row],[合区区服]],表1_861218222426728894[目标国家（映射）],表2_971319232527738995[[#This Row],[国家]])</f>
        <v>15517</v>
      </c>
      <c r="N159" s="471">
        <f t="array" ref="N159">MAX((表1_861218222426728894[目标区服]=表2_971319232527738995[[#This Row],[合区区服]])*(表1_861218222426728894[目标国家（映射）]=表2_971319232527738995[[#This Row],[国家]])*表1_861218222426728894[单将最高战力])</f>
        <v>992703</v>
      </c>
      <c r="P159" s="51">
        <v>5138</v>
      </c>
      <c r="Q159" s="51">
        <v>45</v>
      </c>
      <c r="R159" s="51" t="s">
        <v>200</v>
      </c>
      <c r="S159" s="51">
        <v>46</v>
      </c>
    </row>
    <row r="160" ht="15" spans="1:19">
      <c r="A160" s="308" t="s">
        <v>193</v>
      </c>
      <c r="B160" s="224" t="s">
        <v>27</v>
      </c>
      <c r="C160" s="224">
        <f>COUNTIFS(表1_861218222426728894[目标区服],表2_971319232527738995[[#This Row],[合区区服]],表1_861218222426728894[目标国家（映射）],表2_971319232527738995[[#This Row],[国家]])</f>
        <v>2</v>
      </c>
      <c r="D160" s="224">
        <f>SUMIFS(表1_861218222426728894[活跃高战玩家数],表1_861218222426728894[目标区服],表2_971319232527738995[[#This Row],[合区区服]],表1_861218222426728894[目标国家（映射）],表2_971319232527738995[[#This Row],[国家]])</f>
        <v>8</v>
      </c>
      <c r="E160" s="224">
        <f>SUMIFS(表1_861218222426728894[活跃中坚玩家数],表1_861218222426728894[目标区服],表2_971319232527738995[[#This Row],[合区区服]],表1_861218222426728894[目标国家（映射）],表2_971319232527738995[[#This Row],[国家]])</f>
        <v>30</v>
      </c>
      <c r="F160" s="224">
        <f t="array" ref="F160">MAX((表1_861218222426728894[目标区服]=表2_971319232527738995[[#This Row],[合区区服]])*(表1_861218222426728894[目标国家（映射）]=表2_971319232527738995[[#This Row],[国家]])*表1_861218222426728894[活跃尖端战力])</f>
        <v>2792250</v>
      </c>
      <c r="G160" s="225">
        <f>SUMIFS(表1_861218222426728894[活跃总战力],表1_861218222426728894[目标区服],表2_971319232527738995[[#This Row],[合区区服]],表1_861218222426728894[目标国家（映射）],表2_971319232527738995[[#This Row],[国家]])</f>
        <v>30729876</v>
      </c>
      <c r="H160" s="224">
        <f>SUMIFS(表1_861218222426728894[活跃实际充值],表1_861218222426728894[目标区服],表2_971319232527738995[[#This Row],[合区区服]],表1_861218222426728894[目标国家（映射）],表2_971319232527738995[[#This Row],[国家]])</f>
        <v>104982</v>
      </c>
      <c r="I160" s="224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60" s="224">
        <f>SUMIFS(表1_861218222426728894[活跃Coin],表1_861218222426728894[目标区服],表2_971319232527738995[[#This Row],[合区区服]],表1_861218222426728894[目标国家（映射）],表2_971319232527738995[[#This Row],[国家]])</f>
        <v>616844</v>
      </c>
      <c r="K160" s="224">
        <f>SUMIFS(表1_861218222426728894[共计补偿Coin],表1_861218222426728894[目标区服],表2_971319232527738995[[#This Row],[合区区服]],表1_861218222426728894[目标国家（映射）],表2_971319232527738995[[#This Row],[国家]])</f>
        <v>38000</v>
      </c>
      <c r="L160" s="224">
        <f>表2_971319232527738995[[#This Row],[活跃Coin]]+表2_971319232527738995[[#This Row],[共计补偿Coin]]</f>
        <v>654844</v>
      </c>
      <c r="M160" s="224">
        <f>SUMIFS(表1_861218222426728894[综合国力],表1_861218222426728894[目标区服],表2_971319232527738995[[#This Row],[合区区服]],表1_861218222426728894[目标国家（映射）],表2_971319232527738995[[#This Row],[国家]])</f>
        <v>14678</v>
      </c>
      <c r="N160" s="471">
        <f t="array" ref="N160">MAX((表1_861218222426728894[目标区服]=表2_971319232527738995[[#This Row],[合区区服]])*(表1_861218222426728894[目标国家（映射）]=表2_971319232527738995[[#This Row],[国家]])*表1_861218222426728894[单将最高战力])</f>
        <v>778668</v>
      </c>
      <c r="P160" s="51">
        <v>5139</v>
      </c>
      <c r="Q160" s="51">
        <v>45</v>
      </c>
      <c r="R160" s="51" t="s">
        <v>201</v>
      </c>
      <c r="S160" s="51">
        <v>46</v>
      </c>
    </row>
    <row r="161" ht="15" spans="1:19">
      <c r="A161" s="414" t="s">
        <v>194</v>
      </c>
      <c r="B161" s="455" t="s">
        <v>25</v>
      </c>
      <c r="C161" s="455">
        <f>COUNTIFS(表1_861218222426728894[目标区服],表2_971319232527738995[[#This Row],[合区区服]],表1_861218222426728894[目标国家（映射）],表2_971319232527738995[[#This Row],[国家]])</f>
        <v>2</v>
      </c>
      <c r="D161" s="455">
        <f>SUMIFS(表1_861218222426728894[活跃高战玩家数],表1_861218222426728894[目标区服],表2_971319232527738995[[#This Row],[合区区服]],表1_861218222426728894[目标国家（映射）],表2_971319232527738995[[#This Row],[国家]])</f>
        <v>4</v>
      </c>
      <c r="E161" s="455">
        <f>SUMIFS(表1_861218222426728894[活跃中坚玩家数],表1_861218222426728894[目标区服],表2_971319232527738995[[#This Row],[合区区服]],表1_861218222426728894[目标国家（映射）],表2_971319232527738995[[#This Row],[国家]])</f>
        <v>34</v>
      </c>
      <c r="F161" s="455">
        <f t="array" ref="F161">MAX((表1_861218222426728894[目标区服]=表2_971319232527738995[[#This Row],[合区区服]])*(表1_861218222426728894[目标国家（映射）]=表2_971319232527738995[[#This Row],[国家]])*表1_861218222426728894[活跃尖端战力])</f>
        <v>1988132</v>
      </c>
      <c r="G161" s="456">
        <f>SUMIFS(表1_861218222426728894[活跃总战力],表1_861218222426728894[目标区服],表2_971319232527738995[[#This Row],[合区区服]],表1_861218222426728894[目标国家（映射）],表2_971319232527738995[[#This Row],[国家]])</f>
        <v>24200130</v>
      </c>
      <c r="H161" s="455">
        <f>SUMIFS(表1_861218222426728894[活跃实际充值],表1_861218222426728894[目标区服],表2_971319232527738995[[#This Row],[合区区服]],表1_861218222426728894[目标国家（映射）],表2_971319232527738995[[#This Row],[国家]])</f>
        <v>22368</v>
      </c>
      <c r="I161" s="455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61" s="455">
        <f>SUMIFS(表1_861218222426728894[活跃Coin],表1_861218222426728894[目标区服],表2_971319232527738995[[#This Row],[合区区服]],表1_861218222426728894[目标国家（映射）],表2_971319232527738995[[#This Row],[国家]])</f>
        <v>611155</v>
      </c>
      <c r="K161" s="455">
        <f>SUMIFS(表1_861218222426728894[共计补偿Coin],表1_861218222426728894[目标区服],表2_971319232527738995[[#This Row],[合区区服]],表1_861218222426728894[目标国家（映射）],表2_971319232527738995[[#This Row],[国家]])</f>
        <v>38000</v>
      </c>
      <c r="L161" s="455">
        <f>表2_971319232527738995[[#This Row],[活跃Coin]]+表2_971319232527738995[[#This Row],[共计补偿Coin]]</f>
        <v>649155</v>
      </c>
      <c r="M161" s="455">
        <f>SUMIFS(表1_861218222426728894[综合国力],表1_861218222426728894[目标区服],表2_971319232527738995[[#This Row],[合区区服]],表1_861218222426728894[目标国家（映射）],表2_971319232527738995[[#This Row],[国家]])</f>
        <v>10144</v>
      </c>
      <c r="N161" s="472">
        <f t="array" ref="N161">MAX((表1_861218222426728894[目标区服]=表2_971319232527738995[[#This Row],[合区区服]])*(表1_861218222426728894[目标国家（映射）]=表2_971319232527738995[[#This Row],[国家]])*表1_861218222426728894[单将最高战力])</f>
        <v>669899</v>
      </c>
      <c r="P161" s="51">
        <v>5140</v>
      </c>
      <c r="Q161" s="51">
        <v>45</v>
      </c>
      <c r="R161" s="51" t="s">
        <v>202</v>
      </c>
      <c r="S161" s="51">
        <v>45</v>
      </c>
    </row>
    <row r="162" ht="15" spans="1:19">
      <c r="A162" s="414" t="s">
        <v>194</v>
      </c>
      <c r="B162" s="455" t="s">
        <v>26</v>
      </c>
      <c r="C162" s="455">
        <f>COUNTIFS(表1_861218222426728894[目标区服],表2_971319232527738995[[#This Row],[合区区服]],表1_861218222426728894[目标国家（映射）],表2_971319232527738995[[#This Row],[国家]])</f>
        <v>2</v>
      </c>
      <c r="D162" s="455">
        <f>SUMIFS(表1_861218222426728894[活跃高战玩家数],表1_861218222426728894[目标区服],表2_971319232527738995[[#This Row],[合区区服]],表1_861218222426728894[目标国家（映射）],表2_971319232527738995[[#This Row],[国家]])</f>
        <v>6</v>
      </c>
      <c r="E162" s="455">
        <f>SUMIFS(表1_861218222426728894[活跃中坚玩家数],表1_861218222426728894[目标区服],表2_971319232527738995[[#This Row],[合区区服]],表1_861218222426728894[目标国家（映射）],表2_971319232527738995[[#This Row],[国家]])</f>
        <v>40</v>
      </c>
      <c r="F162" s="455">
        <f t="array" ref="F162">MAX((表1_861218222426728894[目标区服]=表2_971319232527738995[[#This Row],[合区区服]])*(表1_861218222426728894[目标国家（映射）]=表2_971319232527738995[[#This Row],[国家]])*表1_861218222426728894[活跃尖端战力])</f>
        <v>1972199</v>
      </c>
      <c r="G162" s="456">
        <f>SUMIFS(表1_861218222426728894[活跃总战力],表1_861218222426728894[目标区服],表2_971319232527738995[[#This Row],[合区区服]],表1_861218222426728894[目标国家（映射）],表2_971319232527738995[[#This Row],[国家]])</f>
        <v>28640116</v>
      </c>
      <c r="H162" s="455">
        <f>SUMIFS(表1_861218222426728894[活跃实际充值],表1_861218222426728894[目标区服],表2_971319232527738995[[#This Row],[合区区服]],表1_861218222426728894[目标国家（映射）],表2_971319232527738995[[#This Row],[国家]])</f>
        <v>12630</v>
      </c>
      <c r="I162" s="455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62" s="455">
        <f>SUMIFS(表1_861218222426728894[活跃Coin],表1_861218222426728894[目标区服],表2_971319232527738995[[#This Row],[合区区服]],表1_861218222426728894[目标国家（映射）],表2_971319232527738995[[#This Row],[国家]])</f>
        <v>625189</v>
      </c>
      <c r="K162" s="455">
        <f>SUMIFS(表1_861218222426728894[共计补偿Coin],表1_861218222426728894[目标区服],表2_971319232527738995[[#This Row],[合区区服]],表1_861218222426728894[目标国家（映射）],表2_971319232527738995[[#This Row],[国家]])</f>
        <v>46000</v>
      </c>
      <c r="L162" s="455">
        <f>表2_971319232527738995[[#This Row],[活跃Coin]]+表2_971319232527738995[[#This Row],[共计补偿Coin]]</f>
        <v>671189</v>
      </c>
      <c r="M162" s="455">
        <f>SUMIFS(表1_861218222426728894[综合国力],表1_861218222426728894[目标区服],表2_971319232527738995[[#This Row],[合区区服]],表1_861218222426728894[目标国家（映射）],表2_971319232527738995[[#This Row],[国家]])</f>
        <v>10295</v>
      </c>
      <c r="N162" s="472">
        <f t="array" ref="N162">MAX((表1_861218222426728894[目标区服]=表2_971319232527738995[[#This Row],[合区区服]])*(表1_861218222426728894[目标国家（映射）]=表2_971319232527738995[[#This Row],[国家]])*表1_861218222426728894[单将最高战力])</f>
        <v>677759</v>
      </c>
      <c r="P162" s="51">
        <v>5141</v>
      </c>
      <c r="Q162" s="51">
        <v>45</v>
      </c>
      <c r="R162" s="51" t="s">
        <v>203</v>
      </c>
      <c r="S162" s="51">
        <v>45</v>
      </c>
    </row>
    <row r="163" ht="15" spans="1:19">
      <c r="A163" s="414" t="s">
        <v>194</v>
      </c>
      <c r="B163" s="457" t="s">
        <v>27</v>
      </c>
      <c r="C163" s="457">
        <f>COUNTIFS(表1_861218222426728894[目标区服],表2_971319232527738995[[#This Row],[合区区服]],表1_861218222426728894[目标国家（映射）],表2_971319232527738995[[#This Row],[国家]])</f>
        <v>2</v>
      </c>
      <c r="D163" s="457">
        <f>SUMIFS(表1_861218222426728894[活跃高战玩家数],表1_861218222426728894[目标区服],表2_971319232527738995[[#This Row],[合区区服]],表1_861218222426728894[目标国家（映射）],表2_971319232527738995[[#This Row],[国家]])</f>
        <v>9</v>
      </c>
      <c r="E163" s="457">
        <f>SUMIFS(表1_861218222426728894[活跃中坚玩家数],表1_861218222426728894[目标区服],表2_971319232527738995[[#This Row],[合区区服]],表1_861218222426728894[目标国家（映射）],表2_971319232527738995[[#This Row],[国家]])</f>
        <v>25</v>
      </c>
      <c r="F163" s="455">
        <f t="array" ref="F163">MAX((表1_861218222426728894[目标区服]=表2_971319232527738995[[#This Row],[合区区服]])*(表1_861218222426728894[目标国家（映射）]=表2_971319232527738995[[#This Row],[国家]])*表1_861218222426728894[活跃尖端战力])</f>
        <v>2252796</v>
      </c>
      <c r="G163" s="456">
        <f>SUMIFS(表1_861218222426728894[活跃总战力],表1_861218222426728894[目标区服],表2_971319232527738995[[#This Row],[合区区服]],表1_861218222426728894[目标国家（映射）],表2_971319232527738995[[#This Row],[国家]])</f>
        <v>28173018</v>
      </c>
      <c r="H163" s="455">
        <f>SUMIFS(表1_861218222426728894[活跃实际充值],表1_861218222426728894[目标区服],表2_971319232527738995[[#This Row],[合区区服]],表1_861218222426728894[目标国家（映射）],表2_971319232527738995[[#This Row],[国家]])</f>
        <v>126762</v>
      </c>
      <c r="I163" s="455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63" s="455">
        <f>SUMIFS(表1_861218222426728894[活跃Coin],表1_861218222426728894[目标区服],表2_971319232527738995[[#This Row],[合区区服]],表1_861218222426728894[目标国家（映射）],表2_971319232527738995[[#This Row],[国家]])</f>
        <v>1107273</v>
      </c>
      <c r="K163" s="455">
        <f>SUMIFS(表1_861218222426728894[共计补偿Coin],表1_861218222426728894[目标区服],表2_971319232527738995[[#This Row],[合区区服]],表1_861218222426728894[目标国家（映射）],表2_971319232527738995[[#This Row],[国家]])</f>
        <v>34000</v>
      </c>
      <c r="L163" s="455">
        <f>表2_971319232527738995[[#This Row],[活跃Coin]]+表2_971319232527738995[[#This Row],[共计补偿Coin]]</f>
        <v>1141273</v>
      </c>
      <c r="M163" s="455">
        <f>SUMIFS(表1_861218222426728894[综合国力],表1_861218222426728894[目标区服],表2_971319232527738995[[#This Row],[合区区服]],表1_861218222426728894[目标国家（映射）],表2_971319232527738995[[#This Row],[国家]])</f>
        <v>15318</v>
      </c>
      <c r="N163" s="472">
        <f t="array" ref="N163">MAX((表1_861218222426728894[目标区服]=表2_971319232527738995[[#This Row],[合区区服]])*(表1_861218222426728894[目标国家（映射）]=表2_971319232527738995[[#This Row],[国家]])*表1_861218222426728894[单将最高战力])</f>
        <v>964879</v>
      </c>
      <c r="P163" s="51">
        <v>5142</v>
      </c>
      <c r="Q163" s="51">
        <v>45</v>
      </c>
      <c r="R163" s="51" t="s">
        <v>204</v>
      </c>
      <c r="S163" s="51">
        <v>45</v>
      </c>
    </row>
    <row r="164" ht="15" spans="1:19">
      <c r="A164" s="177" t="s">
        <v>195</v>
      </c>
      <c r="B164" s="178" t="s">
        <v>25</v>
      </c>
      <c r="C164" s="178">
        <f>COUNTIFS(表1_861218222426728894[目标区服],表2_971319232527738995[[#This Row],[合区区服]],表1_861218222426728894[目标国家（映射）],表2_971319232527738995[[#This Row],[国家]])</f>
        <v>2</v>
      </c>
      <c r="D164" s="178">
        <f>SUMIFS(表1_861218222426728894[活跃高战玩家数],表1_861218222426728894[目标区服],表2_971319232527738995[[#This Row],[合区区服]],表1_861218222426728894[目标国家（映射）],表2_971319232527738995[[#This Row],[国家]])</f>
        <v>8</v>
      </c>
      <c r="E164" s="178">
        <f>SUMIFS(表1_861218222426728894[活跃中坚玩家数],表1_861218222426728894[目标区服],表2_971319232527738995[[#This Row],[合区区服]],表1_861218222426728894[目标国家（映射）],表2_971319232527738995[[#This Row],[国家]])</f>
        <v>46</v>
      </c>
      <c r="F164" s="178">
        <f t="array" ref="F164">MAX((表1_861218222426728894[目标区服]=表2_971319232527738995[[#This Row],[合区区服]])*(表1_861218222426728894[目标国家（映射）]=表2_971319232527738995[[#This Row],[国家]])*表1_861218222426728894[活跃尖端战力])</f>
        <v>2210403</v>
      </c>
      <c r="G164" s="179">
        <f>SUMIFS(表1_861218222426728894[活跃总战力],表1_861218222426728894[目标区服],表2_971319232527738995[[#This Row],[合区区服]],表1_861218222426728894[目标国家（映射）],表2_971319232527738995[[#This Row],[国家]])</f>
        <v>41585898</v>
      </c>
      <c r="H164" s="178">
        <f>SUMIFS(表1_861218222426728894[活跃实际充值],表1_861218222426728894[目标区服],表2_971319232527738995[[#This Row],[合区区服]],表1_861218222426728894[目标国家（映射）],表2_971319232527738995[[#This Row],[国家]])</f>
        <v>55454</v>
      </c>
      <c r="I164" s="178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64" s="178">
        <f>SUMIFS(表1_861218222426728894[活跃Coin],表1_861218222426728894[目标区服],表2_971319232527738995[[#This Row],[合区区服]],表1_861218222426728894[目标国家（映射）],表2_971319232527738995[[#This Row],[国家]])</f>
        <v>569738</v>
      </c>
      <c r="K164" s="178">
        <f>SUMIFS(表1_861218222426728894[共计补偿Coin],表1_861218222426728894[目标区服],表2_971319232527738995[[#This Row],[合区区服]],表1_861218222426728894[目标国家（映射）],表2_971319232527738995[[#This Row],[国家]])</f>
        <v>54000</v>
      </c>
      <c r="L164" s="178">
        <f>表2_971319232527738995[[#This Row],[活跃Coin]]+表2_971319232527738995[[#This Row],[共计补偿Coin]]</f>
        <v>623738</v>
      </c>
      <c r="M164" s="178">
        <f>SUMIFS(表1_861218222426728894[综合国力],表1_861218222426728894[目标区服],表2_971319232527738995[[#This Row],[合区区服]],表1_861218222426728894[目标国家（映射）],表2_971319232527738995[[#This Row],[国家]])</f>
        <v>14295</v>
      </c>
      <c r="N164" s="473">
        <f t="array" ref="N164">MAX((表1_861218222426728894[目标区服]=表2_971319232527738995[[#This Row],[合区区服]])*(表1_861218222426728894[目标国家（映射）]=表2_971319232527738995[[#This Row],[国家]])*表1_861218222426728894[单将最高战力])</f>
        <v>703250</v>
      </c>
      <c r="P164" s="51">
        <v>5143</v>
      </c>
      <c r="Q164" s="51">
        <v>45</v>
      </c>
      <c r="R164" s="51" t="s">
        <v>205</v>
      </c>
      <c r="S164" s="51">
        <v>44</v>
      </c>
    </row>
    <row r="165" ht="15" spans="1:19">
      <c r="A165" s="177" t="s">
        <v>195</v>
      </c>
      <c r="B165" s="178" t="s">
        <v>26</v>
      </c>
      <c r="C165" s="178">
        <f>COUNTIFS(表1_861218222426728894[目标区服],表2_971319232527738995[[#This Row],[合区区服]],表1_861218222426728894[目标国家（映射）],表2_971319232527738995[[#This Row],[国家]])</f>
        <v>2</v>
      </c>
      <c r="D165" s="178">
        <f>SUMIFS(表1_861218222426728894[活跃高战玩家数],表1_861218222426728894[目标区服],表2_971319232527738995[[#This Row],[合区区服]],表1_861218222426728894[目标国家（映射）],表2_971319232527738995[[#This Row],[国家]])</f>
        <v>5</v>
      </c>
      <c r="E165" s="178">
        <f>SUMIFS(表1_861218222426728894[活跃中坚玩家数],表1_861218222426728894[目标区服],表2_971319232527738995[[#This Row],[合区区服]],表1_861218222426728894[目标国家（映射）],表2_971319232527738995[[#This Row],[国家]])</f>
        <v>40</v>
      </c>
      <c r="F165" s="178">
        <f t="array" ref="F165">MAX((表1_861218222426728894[目标区服]=表2_971319232527738995[[#This Row],[合区区服]])*(表1_861218222426728894[目标国家（映射）]=表2_971319232527738995[[#This Row],[国家]])*表1_861218222426728894[活跃尖端战力])</f>
        <v>1999623</v>
      </c>
      <c r="G165" s="179">
        <f>SUMIFS(表1_861218222426728894[活跃总战力],表1_861218222426728894[目标区服],表2_971319232527738995[[#This Row],[合区区服]],表1_861218222426728894[目标国家（映射）],表2_971319232527738995[[#This Row],[国家]])</f>
        <v>32565547</v>
      </c>
      <c r="H165" s="178">
        <f>SUMIFS(表1_861218222426728894[活跃实际充值],表1_861218222426728894[目标区服],表2_971319232527738995[[#This Row],[合区区服]],表1_861218222426728894[目标国家（映射）],表2_971319232527738995[[#This Row],[国家]])</f>
        <v>42834</v>
      </c>
      <c r="I165" s="178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65" s="178">
        <f>SUMIFS(表1_861218222426728894[活跃Coin],表1_861218222426728894[目标区服],表2_971319232527738995[[#This Row],[合区区服]],表1_861218222426728894[目标国家（映射）],表2_971319232527738995[[#This Row],[国家]])</f>
        <v>660458</v>
      </c>
      <c r="K165" s="178">
        <f>SUMIFS(表1_861218222426728894[共计补偿Coin],表1_861218222426728894[目标区服],表2_971319232527738995[[#This Row],[合区区服]],表1_861218222426728894[目标国家（映射）],表2_971319232527738995[[#This Row],[国家]])</f>
        <v>45000</v>
      </c>
      <c r="L165" s="178">
        <f>表2_971319232527738995[[#This Row],[活跃Coin]]+表2_971319232527738995[[#This Row],[共计补偿Coin]]</f>
        <v>705458</v>
      </c>
      <c r="M165" s="178">
        <f>SUMIFS(表1_861218222426728894[综合国力],表1_861218222426728894[目标区服],表2_971319232527738995[[#This Row],[合区区服]],表1_861218222426728894[目标国家（映射）],表2_971319232527738995[[#This Row],[国家]])</f>
        <v>12653</v>
      </c>
      <c r="N165" s="473">
        <f t="array" ref="N165">MAX((表1_861218222426728894[目标区服]=表2_971319232527738995[[#This Row],[合区区服]])*(表1_861218222426728894[目标国家（映射）]=表2_971319232527738995[[#This Row],[国家]])*表1_861218222426728894[单将最高战力])</f>
        <v>549310</v>
      </c>
      <c r="P165" s="51">
        <v>5144</v>
      </c>
      <c r="Q165" s="51">
        <v>45</v>
      </c>
      <c r="R165" s="51" t="s">
        <v>206</v>
      </c>
      <c r="S165" s="51">
        <v>44</v>
      </c>
    </row>
    <row r="166" ht="15" spans="1:19">
      <c r="A166" s="177" t="s">
        <v>195</v>
      </c>
      <c r="B166" s="180" t="s">
        <v>27</v>
      </c>
      <c r="C166" s="180">
        <f>COUNTIFS(表1_861218222426728894[目标区服],表2_971319232527738995[[#This Row],[合区区服]],表1_861218222426728894[目标国家（映射）],表2_971319232527738995[[#This Row],[国家]])</f>
        <v>2</v>
      </c>
      <c r="D166" s="180">
        <f>SUMIFS(表1_861218222426728894[活跃高战玩家数],表1_861218222426728894[目标区服],表2_971319232527738995[[#This Row],[合区区服]],表1_861218222426728894[目标国家（映射）],表2_971319232527738995[[#This Row],[国家]])</f>
        <v>7</v>
      </c>
      <c r="E166" s="180">
        <f>SUMIFS(表1_861218222426728894[活跃中坚玩家数],表1_861218222426728894[目标区服],表2_971319232527738995[[#This Row],[合区区服]],表1_861218222426728894[目标国家（映射）],表2_971319232527738995[[#This Row],[国家]])</f>
        <v>26</v>
      </c>
      <c r="F166" s="180">
        <f t="array" ref="F166">MAX((表1_861218222426728894[目标区服]=表2_971319232527738995[[#This Row],[合区区服]])*(表1_861218222426728894[目标国家（映射）]=表2_971319232527738995[[#This Row],[国家]])*表1_861218222426728894[活跃尖端战力])</f>
        <v>3239521</v>
      </c>
      <c r="G166" s="262">
        <f>SUMIFS(表1_861218222426728894[活跃总战力],表1_861218222426728894[目标区服],表2_971319232527738995[[#This Row],[合区区服]],表1_861218222426728894[目标国家（映射）],表2_971319232527738995[[#This Row],[国家]])</f>
        <v>27030992</v>
      </c>
      <c r="H166" s="180">
        <f>SUMIFS(表1_861218222426728894[活跃实际充值],表1_861218222426728894[目标区服],表2_971319232527738995[[#This Row],[合区区服]],表1_861218222426728894[目标国家（映射）],表2_971319232527738995[[#This Row],[国家]])</f>
        <v>102052</v>
      </c>
      <c r="I166" s="180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66" s="180">
        <f>SUMIFS(表1_861218222426728894[活跃Coin],表1_861218222426728894[目标区服],表2_971319232527738995[[#This Row],[合区区服]],表1_861218222426728894[目标国家（映射）],表2_971319232527738995[[#This Row],[国家]])</f>
        <v>563815</v>
      </c>
      <c r="K166" s="180">
        <f>SUMIFS(表1_861218222426728894[共计补偿Coin],表1_861218222426728894[目标区服],表2_971319232527738995[[#This Row],[合区区服]],表1_861218222426728894[目标国家（映射）],表2_971319232527738995[[#This Row],[国家]])</f>
        <v>33000</v>
      </c>
      <c r="L166" s="180">
        <f>表2_971319232527738995[[#This Row],[活跃Coin]]+表2_971319232527738995[[#This Row],[共计补偿Coin]]</f>
        <v>596815</v>
      </c>
      <c r="M166" s="180">
        <f>SUMIFS(表1_861218222426728894[综合国力],表1_861218222426728894[目标区服],表2_971319232527738995[[#This Row],[合区区服]],表1_861218222426728894[目标国家（映射）],表2_971319232527738995[[#This Row],[国家]])</f>
        <v>15178</v>
      </c>
      <c r="N166" s="474">
        <f t="array" ref="N166">MAX((表1_861218222426728894[目标区服]=表2_971319232527738995[[#This Row],[合区区服]])*(表1_861218222426728894[目标国家（映射）]=表2_971319232527738995[[#This Row],[国家]])*表1_861218222426728894[单将最高战力])</f>
        <v>908354</v>
      </c>
      <c r="P166" s="51">
        <v>5145</v>
      </c>
      <c r="Q166" s="51">
        <v>45</v>
      </c>
      <c r="R166" s="51" t="s">
        <v>207</v>
      </c>
      <c r="S166" s="484">
        <v>44</v>
      </c>
    </row>
    <row r="167" ht="15" spans="1:19">
      <c r="A167" s="39" t="s">
        <v>196</v>
      </c>
      <c r="B167" s="39" t="s">
        <v>25</v>
      </c>
      <c r="C167" s="39">
        <f>COUNTIFS(表1_861218222426728894[目标区服],表2_971319232527738995[[#This Row],[合区区服]],表1_861218222426728894[目标国家（映射）],表2_971319232527738995[[#This Row],[国家]])</f>
        <v>1</v>
      </c>
      <c r="D167" s="39">
        <f>SUMIFS(表1_861218222426728894[活跃高战玩家数],表1_861218222426728894[目标区服],表2_971319232527738995[[#This Row],[合区区服]],表1_861218222426728894[目标国家（映射）],表2_971319232527738995[[#This Row],[国家]])</f>
        <v>6</v>
      </c>
      <c r="E167" s="39">
        <f>SUMIFS(表1_861218222426728894[活跃中坚玩家数],表1_861218222426728894[目标区服],表2_971319232527738995[[#This Row],[合区区服]],表1_861218222426728894[目标国家（映射）],表2_971319232527738995[[#This Row],[国家]])</f>
        <v>16</v>
      </c>
      <c r="F167" s="39">
        <f t="array" ref="F167">MAX((表1_861218222426728894[目标区服]=表2_971319232527738995[[#This Row],[合区区服]])*(表1_861218222426728894[目标国家（映射）]=表2_971319232527738995[[#This Row],[国家]])*表1_861218222426728894[活跃尖端战力])</f>
        <v>2552259</v>
      </c>
      <c r="G167" s="40">
        <f>SUMIFS(表1_861218222426728894[活跃总战力],表1_861218222426728894[目标区服],表2_971319232527738995[[#This Row],[合区区服]],表1_861218222426728894[目标国家（映射）],表2_971319232527738995[[#This Row],[国家]])</f>
        <v>20605195</v>
      </c>
      <c r="H167" s="39">
        <f>SUMIFS(表1_861218222426728894[活跃实际充值],表1_861218222426728894[目标区服],表2_971319232527738995[[#This Row],[合区区服]],表1_861218222426728894[目标国家（映射）],表2_971319232527738995[[#This Row],[国家]])</f>
        <v>98144</v>
      </c>
      <c r="I167" s="39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67" s="39">
        <f>SUMIFS(表1_861218222426728894[活跃Coin],表1_861218222426728894[目标区服],表2_971319232527738995[[#This Row],[合区区服]],表1_861218222426728894[目标国家（映射）],表2_971319232527738995[[#This Row],[国家]])</f>
        <v>536788</v>
      </c>
      <c r="K167" s="39">
        <f>SUMIFS(表1_861218222426728894[共计补偿Coin],表1_861218222426728894[目标区服],表2_971319232527738995[[#This Row],[合区区服]],表1_861218222426728894[目标国家（映射）],表2_971319232527738995[[#This Row],[国家]])</f>
        <v>22000</v>
      </c>
      <c r="L167" s="39">
        <f>表2_971319232527738995[[#This Row],[活跃Coin]]+表2_971319232527738995[[#This Row],[共计补偿Coin]]</f>
        <v>558788</v>
      </c>
      <c r="M167" s="39">
        <f>SUMIFS(表1_861218222426728894[综合国力],表1_861218222426728894[目标区服],表2_971319232527738995[[#This Row],[合区区服]],表1_861218222426728894[目标国家（映射）],表2_971319232527738995[[#This Row],[国家]])</f>
        <v>11382</v>
      </c>
      <c r="N167" s="39">
        <f t="array" ref="N167">MAX((表1_861218222426728894[目标区服]=表2_971319232527738995[[#This Row],[合区区服]])*(表1_861218222426728894[目标国家（映射）]=表2_971319232527738995[[#This Row],[国家]])*表1_861218222426728894[单将最高战力])</f>
        <v>634166</v>
      </c>
      <c r="P167" s="51">
        <v>5146</v>
      </c>
      <c r="Q167" s="51">
        <v>44</v>
      </c>
      <c r="R167" s="51" t="s">
        <v>208</v>
      </c>
      <c r="S167" s="484">
        <v>44</v>
      </c>
    </row>
    <row r="168" ht="15" spans="1:19">
      <c r="A168" s="39" t="s">
        <v>196</v>
      </c>
      <c r="B168" s="39" t="s">
        <v>26</v>
      </c>
      <c r="C168" s="39">
        <f>COUNTIFS(表1_861218222426728894[目标区服],表2_971319232527738995[[#This Row],[合区区服]],表1_861218222426728894[目标国家（映射）],表2_971319232527738995[[#This Row],[国家]])</f>
        <v>2</v>
      </c>
      <c r="D168" s="39">
        <f>SUMIFS(表1_861218222426728894[活跃高战玩家数],表1_861218222426728894[目标区服],表2_971319232527738995[[#This Row],[合区区服]],表1_861218222426728894[目标国家（映射）],表2_971319232527738995[[#This Row],[国家]])</f>
        <v>6</v>
      </c>
      <c r="E168" s="39">
        <f>SUMIFS(表1_861218222426728894[活跃中坚玩家数],表1_861218222426728894[目标区服],表2_971319232527738995[[#This Row],[合区区服]],表1_861218222426728894[目标国家（映射）],表2_971319232527738995[[#This Row],[国家]])</f>
        <v>43</v>
      </c>
      <c r="F168" s="39">
        <f t="array" ref="F168">MAX((表1_861218222426728894[目标区服]=表2_971319232527738995[[#This Row],[合区区服]])*(表1_861218222426728894[目标国家（映射）]=表2_971319232527738995[[#This Row],[国家]])*表1_861218222426728894[活跃尖端战力])</f>
        <v>2463333</v>
      </c>
      <c r="G168" s="40">
        <f>SUMIFS(表1_861218222426728894[活跃总战力],表1_861218222426728894[目标区服],表2_971319232527738995[[#This Row],[合区区服]],表1_861218222426728894[目标国家（映射）],表2_971319232527738995[[#This Row],[国家]])</f>
        <v>31414510</v>
      </c>
      <c r="H168" s="39">
        <f>SUMIFS(表1_861218222426728894[活跃实际充值],表1_861218222426728894[目标区服],表2_971319232527738995[[#This Row],[合区区服]],表1_861218222426728894[目标国家（映射）],表2_971319232527738995[[#This Row],[国家]])</f>
        <v>53104</v>
      </c>
      <c r="I168" s="39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68" s="39">
        <f>SUMIFS(表1_861218222426728894[活跃Coin],表1_861218222426728894[目标区服],表2_971319232527738995[[#This Row],[合区区服]],表1_861218222426728894[目标国家（映射）],表2_971319232527738995[[#This Row],[国家]])</f>
        <v>504128</v>
      </c>
      <c r="K168" s="39">
        <f>SUMIFS(表1_861218222426728894[共计补偿Coin],表1_861218222426728894[目标区服],表2_971319232527738995[[#This Row],[合区区服]],表1_861218222426728894[目标国家（映射）],表2_971319232527738995[[#This Row],[国家]])</f>
        <v>49000</v>
      </c>
      <c r="L168" s="39">
        <f>表2_971319232527738995[[#This Row],[活跃Coin]]+表2_971319232527738995[[#This Row],[共计补偿Coin]]</f>
        <v>553128</v>
      </c>
      <c r="M168" s="39">
        <f>SUMIFS(表1_861218222426728894[综合国力],表1_861218222426728894[目标区服],表2_971319232527738995[[#This Row],[合区区服]],表1_861218222426728894[目标国家（映射）],表2_971319232527738995[[#This Row],[国家]])</f>
        <v>13462</v>
      </c>
      <c r="N168" s="39">
        <f t="array" ref="N168">MAX((表1_861218222426728894[目标区服]=表2_971319232527738995[[#This Row],[合区区服]])*(表1_861218222426728894[目标国家（映射）]=表2_971319232527738995[[#This Row],[国家]])*表1_861218222426728894[单将最高战力])</f>
        <v>733344</v>
      </c>
      <c r="P168" s="51">
        <v>5147</v>
      </c>
      <c r="Q168" s="51">
        <v>44</v>
      </c>
      <c r="R168" s="51" t="s">
        <v>209</v>
      </c>
      <c r="S168" s="484">
        <v>43</v>
      </c>
    </row>
    <row r="169" ht="15" spans="1:19">
      <c r="A169" s="39" t="s">
        <v>196</v>
      </c>
      <c r="B169" s="39" t="s">
        <v>27</v>
      </c>
      <c r="C169" s="39">
        <f>COUNTIFS(表1_861218222426728894[目标区服],表2_971319232527738995[[#This Row],[合区区服]],表1_861218222426728894[目标国家（映射）],表2_971319232527738995[[#This Row],[国家]])</f>
        <v>3</v>
      </c>
      <c r="D169" s="39">
        <f>SUMIFS(表1_861218222426728894[活跃高战玩家数],表1_861218222426728894[目标区服],表2_971319232527738995[[#This Row],[合区区服]],表1_861218222426728894[目标国家（映射）],表2_971319232527738995[[#This Row],[国家]])</f>
        <v>8</v>
      </c>
      <c r="E169" s="39">
        <f>SUMIFS(表1_861218222426728894[活跃中坚玩家数],表1_861218222426728894[目标区服],表2_971319232527738995[[#This Row],[合区区服]],表1_861218222426728894[目标国家（映射）],表2_971319232527738995[[#This Row],[国家]])</f>
        <v>43</v>
      </c>
      <c r="F169" s="39">
        <f t="array" ref="F169">MAX((表1_861218222426728894[目标区服]=表2_971319232527738995[[#This Row],[合区区服]])*(表1_861218222426728894[目标国家（映射）]=表2_971319232527738995[[#This Row],[国家]])*表1_861218222426728894[活跃尖端战力])</f>
        <v>2291096</v>
      </c>
      <c r="G169" s="40">
        <f>SUMIFS(表1_861218222426728894[活跃总战力],表1_861218222426728894[目标区服],表2_971319232527738995[[#This Row],[合区区服]],表1_861218222426728894[目标国家（映射）],表2_971319232527738995[[#This Row],[国家]])</f>
        <v>37256416</v>
      </c>
      <c r="H169" s="39">
        <f>SUMIFS(表1_861218222426728894[活跃实际充值],表1_861218222426728894[目标区服],表2_971319232527738995[[#This Row],[合区区服]],表1_861218222426728894[目标国家（映射）],表2_971319232527738995[[#This Row],[国家]])</f>
        <v>62934</v>
      </c>
      <c r="I169" s="39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69" s="39">
        <f>SUMIFS(表1_861218222426728894[活跃Coin],表1_861218222426728894[目标区服],表2_971319232527738995[[#This Row],[合区区服]],表1_861218222426728894[目标国家（映射）],表2_971319232527738995[[#This Row],[国家]])</f>
        <v>517009</v>
      </c>
      <c r="K169" s="39">
        <f>SUMIFS(表1_861218222426728894[共计补偿Coin],表1_861218222426728894[目标区服],表2_971319232527738995[[#This Row],[合区区服]],表1_861218222426728894[目标国家（映射）],表2_971319232527738995[[#This Row],[国家]])</f>
        <v>51000</v>
      </c>
      <c r="L169" s="39">
        <f>表2_971319232527738995[[#This Row],[活跃Coin]]+表2_971319232527738995[[#This Row],[共计补偿Coin]]</f>
        <v>568009</v>
      </c>
      <c r="M169" s="39">
        <f>SUMIFS(表1_861218222426728894[综合国力],表1_861218222426728894[目标区服],表2_971319232527738995[[#This Row],[合区区服]],表1_861218222426728894[目标国家（映射）],表2_971319232527738995[[#This Row],[国家]])</f>
        <v>15780</v>
      </c>
      <c r="N169" s="39">
        <f t="array" ref="N169">MAX((表1_861218222426728894[目标区服]=表2_971319232527738995[[#This Row],[合区区服]])*(表1_861218222426728894[目标国家（映射）]=表2_971319232527738995[[#This Row],[国家]])*表1_861218222426728894[单将最高战力])</f>
        <v>660585</v>
      </c>
      <c r="P169" s="51">
        <v>5148</v>
      </c>
      <c r="Q169" s="51">
        <v>44</v>
      </c>
      <c r="R169" s="51" t="s">
        <v>210</v>
      </c>
      <c r="S169" s="484">
        <v>43</v>
      </c>
    </row>
    <row r="170" ht="15" spans="1:19">
      <c r="A170" s="41" t="s">
        <v>197</v>
      </c>
      <c r="B170" s="41" t="s">
        <v>25</v>
      </c>
      <c r="C170" s="41">
        <f>COUNTIFS(表1_861218222426728894[目标区服],表2_971319232527738995[[#This Row],[合区区服]],表1_861218222426728894[目标国家（映射）],表2_971319232527738995[[#This Row],[国家]])</f>
        <v>2</v>
      </c>
      <c r="D170" s="41">
        <f>SUMIFS(表1_861218222426728894[活跃高战玩家数],表1_861218222426728894[目标区服],表2_971319232527738995[[#This Row],[合区区服]],表1_861218222426728894[目标国家（映射）],表2_971319232527738995[[#This Row],[国家]])</f>
        <v>4</v>
      </c>
      <c r="E170" s="41">
        <f>SUMIFS(表1_861218222426728894[活跃中坚玩家数],表1_861218222426728894[目标区服],表2_971319232527738995[[#This Row],[合区区服]],表1_861218222426728894[目标国家（映射）],表2_971319232527738995[[#This Row],[国家]])</f>
        <v>36</v>
      </c>
      <c r="F170" s="41">
        <f t="array" ref="F170">MAX((表1_861218222426728894[目标区服]=表2_971319232527738995[[#This Row],[合区区服]])*(表1_861218222426728894[目标国家（映射）]=表2_971319232527738995[[#This Row],[国家]])*表1_861218222426728894[活跃尖端战力])</f>
        <v>2801286</v>
      </c>
      <c r="G170" s="42">
        <f>SUMIFS(表1_861218222426728894[活跃总战力],表1_861218222426728894[目标区服],表2_971319232527738995[[#This Row],[合区区服]],表1_861218222426728894[目标国家（映射）],表2_971319232527738995[[#This Row],[国家]])</f>
        <v>26286098</v>
      </c>
      <c r="H170" s="41">
        <f>SUMIFS(表1_861218222426728894[活跃实际充值],表1_861218222426728894[目标区服],表2_971319232527738995[[#This Row],[合区区服]],表1_861218222426728894[目标国家（映射）],表2_971319232527738995[[#This Row],[国家]])</f>
        <v>79654</v>
      </c>
      <c r="I170" s="41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70" s="41">
        <f>SUMIFS(表1_861218222426728894[活跃Coin],表1_861218222426728894[目标区服],表2_971319232527738995[[#This Row],[合区区服]],表1_861218222426728894[目标国家（映射）],表2_971319232527738995[[#This Row],[国家]])</f>
        <v>578318</v>
      </c>
      <c r="K170" s="41">
        <f>SUMIFS(表1_861218222426728894[共计补偿Coin],表1_861218222426728894[目标区服],表2_971319232527738995[[#This Row],[合区区服]],表1_861218222426728894[目标国家（映射）],表2_971319232527738995[[#This Row],[国家]])</f>
        <v>40000</v>
      </c>
      <c r="L170" s="41">
        <f>表2_971319232527738995[[#This Row],[活跃Coin]]+表2_971319232527738995[[#This Row],[共计补偿Coin]]</f>
        <v>618318</v>
      </c>
      <c r="M170" s="41">
        <f>SUMIFS(表1_861218222426728894[综合国力],表1_861218222426728894[目标区服],表2_971319232527738995[[#This Row],[合区区服]],表1_861218222426728894[目标国家（映射）],表2_971319232527738995[[#This Row],[国家]])</f>
        <v>12870</v>
      </c>
      <c r="N170" s="41">
        <f t="array" ref="N170">MAX((表1_861218222426728894[目标区服]=表2_971319232527738995[[#This Row],[合区区服]])*(表1_861218222426728894[目标国家（映射）]=表2_971319232527738995[[#This Row],[国家]])*表1_861218222426728894[单将最高战力])</f>
        <v>732761</v>
      </c>
      <c r="P170" s="51">
        <v>5149</v>
      </c>
      <c r="Q170" s="51">
        <v>44</v>
      </c>
      <c r="R170" s="51"/>
      <c r="S170" s="484"/>
    </row>
    <row r="171" ht="15" spans="1:17">
      <c r="A171" s="41" t="s">
        <v>197</v>
      </c>
      <c r="B171" s="41" t="s">
        <v>26</v>
      </c>
      <c r="C171" s="41">
        <f>COUNTIFS(表1_861218222426728894[目标区服],表2_971319232527738995[[#This Row],[合区区服]],表1_861218222426728894[目标国家（映射）],表2_971319232527738995[[#This Row],[国家]])</f>
        <v>2</v>
      </c>
      <c r="D171" s="41">
        <f>SUMIFS(表1_861218222426728894[活跃高战玩家数],表1_861218222426728894[目标区服],表2_971319232527738995[[#This Row],[合区区服]],表1_861218222426728894[目标国家（映射）],表2_971319232527738995[[#This Row],[国家]])</f>
        <v>8</v>
      </c>
      <c r="E171" s="41">
        <f>SUMIFS(表1_861218222426728894[活跃中坚玩家数],表1_861218222426728894[目标区服],表2_971319232527738995[[#This Row],[合区区服]],表1_861218222426728894[目标国家（映射）],表2_971319232527738995[[#This Row],[国家]])</f>
        <v>35</v>
      </c>
      <c r="F171" s="41">
        <f t="array" ref="F171">MAX((表1_861218222426728894[目标区服]=表2_971319232527738995[[#This Row],[合区区服]])*(表1_861218222426728894[目标国家（映射）]=表2_971319232527738995[[#This Row],[国家]])*表1_861218222426728894[活跃尖端战力])</f>
        <v>2385899</v>
      </c>
      <c r="G171" s="42">
        <f>SUMIFS(表1_861218222426728894[活跃总战力],表1_861218222426728894[目标区服],表2_971319232527738995[[#This Row],[合区区服]],表1_861218222426728894[目标国家（映射）],表2_971319232527738995[[#This Row],[国家]])</f>
        <v>30956786</v>
      </c>
      <c r="H171" s="41">
        <f>SUMIFS(表1_861218222426728894[活跃实际充值],表1_861218222426728894[目标区服],表2_971319232527738995[[#This Row],[合区区服]],表1_861218222426728894[目标国家（映射）],表2_971319232527738995[[#This Row],[国家]])</f>
        <v>115994</v>
      </c>
      <c r="I171" s="41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71" s="41">
        <f>SUMIFS(表1_861218222426728894[活跃Coin],表1_861218222426728894[目标区服],表2_971319232527738995[[#This Row],[合区区服]],表1_861218222426728894[目标国家（映射）],表2_971319232527738995[[#This Row],[国家]])</f>
        <v>1036571</v>
      </c>
      <c r="K171" s="41">
        <f>SUMIFS(表1_861218222426728894[共计补偿Coin],表1_861218222426728894[目标区服],表2_971319232527738995[[#This Row],[合区区服]],表1_861218222426728894[目标国家（映射）],表2_971319232527738995[[#This Row],[国家]])</f>
        <v>43000</v>
      </c>
      <c r="L171" s="41">
        <f>表2_971319232527738995[[#This Row],[活跃Coin]]+表2_971319232527738995[[#This Row],[共计补偿Coin]]</f>
        <v>1079571</v>
      </c>
      <c r="M171" s="41">
        <f>SUMIFS(表1_861218222426728894[综合国力],表1_861218222426728894[目标区服],表2_971319232527738995[[#This Row],[合区区服]],表1_861218222426728894[目标国家（映射）],表2_971319232527738995[[#This Row],[国家]])</f>
        <v>15872</v>
      </c>
      <c r="N171" s="41">
        <f t="array" ref="N171">MAX((表1_861218222426728894[目标区服]=表2_971319232527738995[[#This Row],[合区区服]])*(表1_861218222426728894[目标国家（映射）]=表2_971319232527738995[[#This Row],[国家]])*表1_861218222426728894[单将最高战力])</f>
        <v>704016</v>
      </c>
      <c r="P171" s="51">
        <v>5150</v>
      </c>
      <c r="Q171" s="51">
        <v>44</v>
      </c>
    </row>
    <row r="172" ht="15" spans="1:17">
      <c r="A172" s="41" t="s">
        <v>197</v>
      </c>
      <c r="B172" s="43" t="s">
        <v>27</v>
      </c>
      <c r="C172" s="43">
        <f>COUNTIFS(表1_861218222426728894[目标区服],表2_971319232527738995[[#This Row],[合区区服]],表1_861218222426728894[目标国家（映射）],表2_971319232527738995[[#This Row],[国家]])</f>
        <v>2</v>
      </c>
      <c r="D172" s="43">
        <f>SUMIFS(表1_861218222426728894[活跃高战玩家数],表1_861218222426728894[目标区服],表2_971319232527738995[[#This Row],[合区区服]],表1_861218222426728894[目标国家（映射）],表2_971319232527738995[[#This Row],[国家]])</f>
        <v>8</v>
      </c>
      <c r="E172" s="43">
        <f>SUMIFS(表1_861218222426728894[活跃中坚玩家数],表1_861218222426728894[目标区服],表2_971319232527738995[[#This Row],[合区区服]],表1_861218222426728894[目标国家（映射）],表2_971319232527738995[[#This Row],[国家]])</f>
        <v>31</v>
      </c>
      <c r="F172" s="43">
        <f t="array" ref="F172">MAX((表1_861218222426728894[目标区服]=表2_971319232527738995[[#This Row],[合区区服]])*(表1_861218222426728894[目标国家（映射）]=表2_971319232527738995[[#This Row],[国家]])*表1_861218222426728894[活跃尖端战力])</f>
        <v>2655976</v>
      </c>
      <c r="G172" s="44">
        <f>SUMIFS(表1_861218222426728894[活跃总战力],表1_861218222426728894[目标区服],表2_971319232527738995[[#This Row],[合区区服]],表1_861218222426728894[目标国家（映射）],表2_971319232527738995[[#This Row],[国家]])</f>
        <v>28513644</v>
      </c>
      <c r="H172" s="43">
        <f>SUMIFS(表1_861218222426728894[活跃实际充值],表1_861218222426728894[目标区服],表2_971319232527738995[[#This Row],[合区区服]],表1_861218222426728894[目标国家（映射）],表2_971319232527738995[[#This Row],[国家]])</f>
        <v>104160</v>
      </c>
      <c r="I172" s="43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72" s="43">
        <f>SUMIFS(表1_861218222426728894[活跃Coin],表1_861218222426728894[目标区服],表2_971319232527738995[[#This Row],[合区区服]],表1_861218222426728894[目标国家（映射）],表2_971319232527738995[[#This Row],[国家]])</f>
        <v>666797</v>
      </c>
      <c r="K172" s="43">
        <f>SUMIFS(表1_861218222426728894[共计补偿Coin],表1_861218222426728894[目标区服],表2_971319232527738995[[#This Row],[合区区服]],表1_861218222426728894[目标国家（映射）],表2_971319232527738995[[#This Row],[国家]])</f>
        <v>39000</v>
      </c>
      <c r="L172" s="43">
        <f>表2_971319232527738995[[#This Row],[活跃Coin]]+表2_971319232527738995[[#This Row],[共计补偿Coin]]</f>
        <v>705797</v>
      </c>
      <c r="M172" s="43">
        <f>SUMIFS(表1_861218222426728894[综合国力],表1_861218222426728894[目标区服],表2_971319232527738995[[#This Row],[合区区服]],表1_861218222426728894[目标国家（映射）],表2_971319232527738995[[#This Row],[国家]])</f>
        <v>15599</v>
      </c>
      <c r="N172" s="41">
        <f t="array" ref="N172">MAX((表1_861218222426728894[目标区服]=表2_971319232527738995[[#This Row],[合区区服]])*(表1_861218222426728894[目标国家（映射）]=表2_971319232527738995[[#This Row],[国家]])*表1_861218222426728894[单将最高战力])</f>
        <v>839613</v>
      </c>
      <c r="P172" s="51">
        <v>5151</v>
      </c>
      <c r="Q172" s="51">
        <v>44</v>
      </c>
    </row>
    <row r="173" ht="15" spans="1:17">
      <c r="A173" s="45" t="s">
        <v>198</v>
      </c>
      <c r="B173" s="46" t="s">
        <v>25</v>
      </c>
      <c r="C173" s="46">
        <f>COUNTIFS(表1_861218222426728894[目标区服],表2_971319232527738995[[#This Row],[合区区服]],表1_861218222426728894[目标国家（映射）],表2_971319232527738995[[#This Row],[国家]])</f>
        <v>2</v>
      </c>
      <c r="D173" s="46">
        <f>SUMIFS(表1_861218222426728894[活跃高战玩家数],表1_861218222426728894[目标区服],表2_971319232527738995[[#This Row],[合区区服]],表1_861218222426728894[目标国家（映射）],表2_971319232527738995[[#This Row],[国家]])</f>
        <v>4</v>
      </c>
      <c r="E173" s="46">
        <f>SUMIFS(表1_861218222426728894[活跃中坚玩家数],表1_861218222426728894[目标区服],表2_971319232527738995[[#This Row],[合区区服]],表1_861218222426728894[目标国家（映射）],表2_971319232527738995[[#This Row],[国家]])</f>
        <v>36</v>
      </c>
      <c r="F173" s="46">
        <f t="array" ref="F173">MAX((表1_861218222426728894[目标区服]=表2_971319232527738995[[#This Row],[合区区服]])*(表1_861218222426728894[目标国家（映射）]=表2_971319232527738995[[#This Row],[国家]])*表1_861218222426728894[活跃尖端战力])</f>
        <v>2531486</v>
      </c>
      <c r="G173" s="47">
        <f>SUMIFS(表1_861218222426728894[活跃总战力],表1_861218222426728894[目标区服],表2_971319232527738995[[#This Row],[合区区服]],表1_861218222426728894[目标国家（映射）],表2_971319232527738995[[#This Row],[国家]])</f>
        <v>28481328</v>
      </c>
      <c r="H173" s="46">
        <f>SUMIFS(表1_861218222426728894[活跃实际充值],表1_861218222426728894[目标区服],表2_971319232527738995[[#This Row],[合区区服]],表1_861218222426728894[目标国家（映射）],表2_971319232527738995[[#This Row],[国家]])</f>
        <v>123606</v>
      </c>
      <c r="I173" s="46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73" s="46">
        <f>SUMIFS(表1_861218222426728894[活跃Coin],表1_861218222426728894[目标区服],表2_971319232527738995[[#This Row],[合区区服]],表1_861218222426728894[目标国家（映射）],表2_971319232527738995[[#This Row],[国家]])</f>
        <v>530339</v>
      </c>
      <c r="K173" s="46">
        <f>SUMIFS(表1_861218222426728894[共计补偿Coin],表1_861218222426728894[目标区服],表2_971319232527738995[[#This Row],[合区区服]],表1_861218222426728894[目标国家（映射）],表2_971319232527738995[[#This Row],[国家]])</f>
        <v>40000</v>
      </c>
      <c r="L173" s="46">
        <f>表2_971319232527738995[[#This Row],[活跃Coin]]+表2_971319232527738995[[#This Row],[共计补偿Coin]]</f>
        <v>570339</v>
      </c>
      <c r="M173" s="46">
        <f>SUMIFS(表1_861218222426728894[综合国力],表1_861218222426728894[目标区服],表2_971319232527738995[[#This Row],[合区区服]],表1_861218222426728894[目标国家（映射）],表2_971319232527738995[[#This Row],[国家]])</f>
        <v>14387</v>
      </c>
      <c r="N173" s="46">
        <f t="array" ref="N173">MAX((表1_861218222426728894[目标区服]=表2_971319232527738995[[#This Row],[合区区服]])*(表1_861218222426728894[目标国家（映射）]=表2_971319232527738995[[#This Row],[国家]])*表1_861218222426728894[单将最高战力])</f>
        <v>814689</v>
      </c>
      <c r="P173" s="51">
        <v>5152</v>
      </c>
      <c r="Q173" s="51">
        <v>44</v>
      </c>
    </row>
    <row r="174" ht="15" spans="1:17">
      <c r="A174" s="45" t="s">
        <v>198</v>
      </c>
      <c r="B174" s="46" t="s">
        <v>26</v>
      </c>
      <c r="C174" s="46">
        <f>COUNTIFS(表1_861218222426728894[目标区服],表2_971319232527738995[[#This Row],[合区区服]],表1_861218222426728894[目标国家（映射）],表2_971319232527738995[[#This Row],[国家]])</f>
        <v>2</v>
      </c>
      <c r="D174" s="46">
        <f>SUMIFS(表1_861218222426728894[活跃高战玩家数],表1_861218222426728894[目标区服],表2_971319232527738995[[#This Row],[合区区服]],表1_861218222426728894[目标国家（映射）],表2_971319232527738995[[#This Row],[国家]])</f>
        <v>9</v>
      </c>
      <c r="E174" s="46">
        <f>SUMIFS(表1_861218222426728894[活跃中坚玩家数],表1_861218222426728894[目标区服],表2_971319232527738995[[#This Row],[合区区服]],表1_861218222426728894[目标国家（映射）],表2_971319232527738995[[#This Row],[国家]])</f>
        <v>33</v>
      </c>
      <c r="F174" s="46">
        <f t="array" ref="F174">MAX((表1_861218222426728894[目标区服]=表2_971319232527738995[[#This Row],[合区区服]])*(表1_861218222426728894[目标国家（映射）]=表2_971319232527738995[[#This Row],[国家]])*表1_861218222426728894[活跃尖端战力])</f>
        <v>2951533</v>
      </c>
      <c r="G174" s="47">
        <f>SUMIFS(表1_861218222426728894[活跃总战力],表1_861218222426728894[目标区服],表2_971319232527738995[[#This Row],[合区区服]],表1_861218222426728894[目标国家（映射）],表2_971319232527738995[[#This Row],[国家]])</f>
        <v>32742584</v>
      </c>
      <c r="H174" s="46">
        <f>SUMIFS(表1_861218222426728894[活跃实际充值],表1_861218222426728894[目标区服],表2_971319232527738995[[#This Row],[合区区服]],表1_861218222426728894[目标国家（映射）],表2_971319232527738995[[#This Row],[国家]])</f>
        <v>132516</v>
      </c>
      <c r="I174" s="46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74" s="46">
        <f>SUMIFS(表1_861218222426728894[活跃Coin],表1_861218222426728894[目标区服],表2_971319232527738995[[#This Row],[合区区服]],表1_861218222426728894[目标国家（映射）],表2_971319232527738995[[#This Row],[国家]])</f>
        <v>1132449</v>
      </c>
      <c r="K174" s="46">
        <f>SUMIFS(表1_861218222426728894[共计补偿Coin],表1_861218222426728894[目标区服],表2_971319232527738995[[#This Row],[合区区服]],表1_861218222426728894[目标国家（映射）],表2_971319232527738995[[#This Row],[国家]])</f>
        <v>42000</v>
      </c>
      <c r="L174" s="46">
        <f>表2_971319232527738995[[#This Row],[活跃Coin]]+表2_971319232527738995[[#This Row],[共计补偿Coin]]</f>
        <v>1174449</v>
      </c>
      <c r="M174" s="46">
        <f>SUMIFS(表1_861218222426728894[综合国力],表1_861218222426728894[目标区服],表2_971319232527738995[[#This Row],[合区区服]],表1_861218222426728894[目标国家（映射）],表2_971319232527738995[[#This Row],[国家]])</f>
        <v>18162</v>
      </c>
      <c r="N174" s="46">
        <f t="array" ref="N174">MAX((表1_861218222426728894[目标区服]=表2_971319232527738995[[#This Row],[合区区服]])*(表1_861218222426728894[目标国家（映射）]=表2_971319232527738995[[#This Row],[国家]])*表1_861218222426728894[单将最高战力])</f>
        <v>794804</v>
      </c>
      <c r="P174" s="51">
        <v>5153</v>
      </c>
      <c r="Q174" s="51">
        <v>44</v>
      </c>
    </row>
    <row r="175" ht="15" spans="1:17">
      <c r="A175" s="45" t="s">
        <v>198</v>
      </c>
      <c r="B175" s="48" t="s">
        <v>27</v>
      </c>
      <c r="C175" s="48">
        <f>COUNTIFS(表1_861218222426728894[目标区服],表2_971319232527738995[[#This Row],[合区区服]],表1_861218222426728894[目标国家（映射）],表2_971319232527738995[[#This Row],[国家]])</f>
        <v>2</v>
      </c>
      <c r="D175" s="48">
        <f>SUMIFS(表1_861218222426728894[活跃高战玩家数],表1_861218222426728894[目标区服],表2_971319232527738995[[#This Row],[合区区服]],表1_861218222426728894[目标国家（映射）],表2_971319232527738995[[#This Row],[国家]])</f>
        <v>7</v>
      </c>
      <c r="E175" s="48">
        <f>SUMIFS(表1_861218222426728894[活跃中坚玩家数],表1_861218222426728894[目标区服],表2_971319232527738995[[#This Row],[合区区服]],表1_861218222426728894[目标国家（映射）],表2_971319232527738995[[#This Row],[国家]])</f>
        <v>34</v>
      </c>
      <c r="F175" s="48">
        <f t="array" ref="F175">MAX((表1_861218222426728894[目标区服]=表2_971319232527738995[[#This Row],[合区区服]])*(表1_861218222426728894[目标国家（映射）]=表2_971319232527738995[[#This Row],[国家]])*表1_861218222426728894[活跃尖端战力])</f>
        <v>2630840</v>
      </c>
      <c r="G175" s="458">
        <f>SUMIFS(表1_861218222426728894[活跃总战力],表1_861218222426728894[目标区服],表2_971319232527738995[[#This Row],[合区区服]],表1_861218222426728894[目标国家（映射）],表2_971319232527738995[[#This Row],[国家]])</f>
        <v>31742755</v>
      </c>
      <c r="H175" s="48">
        <f>SUMIFS(表1_861218222426728894[活跃实际充值],表1_861218222426728894[目标区服],表2_971319232527738995[[#This Row],[合区区服]],表1_861218222426728894[目标国家（映射）],表2_971319232527738995[[#This Row],[国家]])</f>
        <v>98100</v>
      </c>
      <c r="I175" s="48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75" s="48">
        <f>SUMIFS(表1_861218222426728894[活跃Coin],表1_861218222426728894[目标区服],表2_971319232527738995[[#This Row],[合区区服]],表1_861218222426728894[目标国家（映射）],表2_971319232527738995[[#This Row],[国家]])</f>
        <v>767943</v>
      </c>
      <c r="K175" s="48">
        <f>SUMIFS(表1_861218222426728894[共计补偿Coin],表1_861218222426728894[目标区服],表2_971319232527738995[[#This Row],[合区区服]],表1_861218222426728894[目标国家（映射）],表2_971319232527738995[[#This Row],[国家]])</f>
        <v>41000</v>
      </c>
      <c r="L175" s="48">
        <f>表2_971319232527738995[[#This Row],[活跃Coin]]+表2_971319232527738995[[#This Row],[共计补偿Coin]]</f>
        <v>808943</v>
      </c>
      <c r="M175" s="48">
        <f>SUMIFS(表1_861218222426728894[综合国力],表1_861218222426728894[目标区服],表2_971319232527738995[[#This Row],[合区区服]],表1_861218222426728894[目标国家（映射）],表2_971319232527738995[[#This Row],[国家]])</f>
        <v>14869</v>
      </c>
      <c r="N175" s="46">
        <f t="array" ref="N175">MAX((表1_861218222426728894[目标区服]=表2_971319232527738995[[#This Row],[合区区服]])*(表1_861218222426728894[目标国家（映射）]=表2_971319232527738995[[#This Row],[国家]])*表1_861218222426728894[单将最高战力])</f>
        <v>984969</v>
      </c>
      <c r="P175" s="51">
        <v>5154</v>
      </c>
      <c r="Q175" s="51">
        <v>43</v>
      </c>
    </row>
    <row r="176" ht="15" spans="1:17">
      <c r="A176" s="308" t="s">
        <v>199</v>
      </c>
      <c r="B176" s="224" t="s">
        <v>25</v>
      </c>
      <c r="C176" s="224">
        <f>COUNTIFS(表1_861218222426728894[目标区服],表2_971319232527738995[[#This Row],[合区区服]],表1_861218222426728894[目标国家（映射）],表2_971319232527738995[[#This Row],[国家]])</f>
        <v>2</v>
      </c>
      <c r="D176" s="224">
        <f>SUMIFS(表1_861218222426728894[活跃高战玩家数],表1_861218222426728894[目标区服],表2_971319232527738995[[#This Row],[合区区服]],表1_861218222426728894[目标国家（映射）],表2_971319232527738995[[#This Row],[国家]])</f>
        <v>7</v>
      </c>
      <c r="E176" s="224">
        <f>SUMIFS(表1_861218222426728894[活跃中坚玩家数],表1_861218222426728894[目标区服],表2_971319232527738995[[#This Row],[合区区服]],表1_861218222426728894[目标国家（映射）],表2_971319232527738995[[#This Row],[国家]])</f>
        <v>29</v>
      </c>
      <c r="F176" s="224">
        <f t="array" ref="F176">MAX((表1_861218222426728894[目标区服]=表2_971319232527738995[[#This Row],[合区区服]])*(表1_861218222426728894[目标国家（映射）]=表2_971319232527738995[[#This Row],[国家]])*表1_861218222426728894[活跃尖端战力])</f>
        <v>1684065</v>
      </c>
      <c r="G176" s="225">
        <f>SUMIFS(表1_861218222426728894[活跃总战力],表1_861218222426728894[目标区服],表2_971319232527738995[[#This Row],[合区区服]],表1_861218222426728894[目标国家（映射）],表2_971319232527738995[[#This Row],[国家]])</f>
        <v>21948977</v>
      </c>
      <c r="H176" s="224">
        <f>SUMIFS(表1_861218222426728894[活跃实际充值],表1_861218222426728894[目标区服],表2_971319232527738995[[#This Row],[合区区服]],表1_861218222426728894[目标国家（映射）],表2_971319232527738995[[#This Row],[国家]])</f>
        <v>47912</v>
      </c>
      <c r="I176" s="224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76" s="224">
        <f>SUMIFS(表1_861218222426728894[活跃Coin],表1_861218222426728894[目标区服],表2_971319232527738995[[#This Row],[合区区服]],表1_861218222426728894[目标国家（映射）],表2_971319232527738995[[#This Row],[国家]])</f>
        <v>379327</v>
      </c>
      <c r="K176" s="224">
        <f>SUMIFS(表1_861218222426728894[共计补偿Coin],表1_861218222426728894[目标区服],表2_971319232527738995[[#This Row],[合区区服]],表1_861218222426728894[目标国家（映射）],表2_971319232527738995[[#This Row],[国家]])</f>
        <v>36000</v>
      </c>
      <c r="L176" s="224">
        <f>表2_971319232527738995[[#This Row],[活跃Coin]]+表2_971319232527738995[[#This Row],[共计补偿Coin]]</f>
        <v>415327</v>
      </c>
      <c r="M176" s="224">
        <f>SUMIFS(表1_861218222426728894[综合国力],表1_861218222426728894[目标区服],表2_971319232527738995[[#This Row],[合区区服]],表1_861218222426728894[目标国家（映射）],表2_971319232527738995[[#This Row],[国家]])</f>
        <v>10571</v>
      </c>
      <c r="N176" s="471">
        <f t="array" ref="N176">MAX((表1_861218222426728894[目标区服]=表2_971319232527738995[[#This Row],[合区区服]])*(表1_861218222426728894[目标国家（映射）]=表2_971319232527738995[[#This Row],[国家]])*表1_861218222426728894[单将最高战力])</f>
        <v>574134</v>
      </c>
      <c r="P176" s="51">
        <v>5155</v>
      </c>
      <c r="Q176" s="51">
        <v>43</v>
      </c>
    </row>
    <row r="177" ht="15" spans="1:17">
      <c r="A177" s="308" t="s">
        <v>199</v>
      </c>
      <c r="B177" s="224" t="s">
        <v>26</v>
      </c>
      <c r="C177" s="224">
        <f>COUNTIFS(表1_861218222426728894[目标区服],表2_971319232527738995[[#This Row],[合区区服]],表1_861218222426728894[目标国家（映射）],表2_971319232527738995[[#This Row],[国家]])</f>
        <v>2</v>
      </c>
      <c r="D177" s="224">
        <f>SUMIFS(表1_861218222426728894[活跃高战玩家数],表1_861218222426728894[目标区服],表2_971319232527738995[[#This Row],[合区区服]],表1_861218222426728894[目标国家（映射）],表2_971319232527738995[[#This Row],[国家]])</f>
        <v>7</v>
      </c>
      <c r="E177" s="224">
        <f>SUMIFS(表1_861218222426728894[活跃中坚玩家数],表1_861218222426728894[目标区服],表2_971319232527738995[[#This Row],[合区区服]],表1_861218222426728894[目标国家（映射）],表2_971319232527738995[[#This Row],[国家]])</f>
        <v>33</v>
      </c>
      <c r="F177" s="224">
        <f t="array" ref="F177">MAX((表1_861218222426728894[目标区服]=表2_971319232527738995[[#This Row],[合区区服]])*(表1_861218222426728894[目标国家（映射）]=表2_971319232527738995[[#This Row],[国家]])*表1_861218222426728894[活跃尖端战力])</f>
        <v>2283115</v>
      </c>
      <c r="G177" s="225">
        <f>SUMIFS(表1_861218222426728894[活跃总战力],表1_861218222426728894[目标区服],表2_971319232527738995[[#This Row],[合区区服]],表1_861218222426728894[目标国家（映射）],表2_971319232527738995[[#This Row],[国家]])</f>
        <v>26175835</v>
      </c>
      <c r="H177" s="224">
        <f>SUMIFS(表1_861218222426728894[活跃实际充值],表1_861218222426728894[目标区服],表2_971319232527738995[[#This Row],[合区区服]],表1_861218222426728894[目标国家（映射）],表2_971319232527738995[[#This Row],[国家]])</f>
        <v>44458</v>
      </c>
      <c r="I177" s="224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77" s="224">
        <f>SUMIFS(表1_861218222426728894[活跃Coin],表1_861218222426728894[目标区服],表2_971319232527738995[[#This Row],[合区区服]],表1_861218222426728894[目标国家（映射）],表2_971319232527738995[[#This Row],[国家]])</f>
        <v>417773</v>
      </c>
      <c r="K177" s="224">
        <f>SUMIFS(表1_861218222426728894[共计补偿Coin],表1_861218222426728894[目标区服],表2_971319232527738995[[#This Row],[合区区服]],表1_861218222426728894[目标国家（映射）],表2_971319232527738995[[#This Row],[国家]])</f>
        <v>40000</v>
      </c>
      <c r="L177" s="224">
        <f>表2_971319232527738995[[#This Row],[活跃Coin]]+表2_971319232527738995[[#This Row],[共计补偿Coin]]</f>
        <v>457773</v>
      </c>
      <c r="M177" s="224">
        <f>SUMIFS(表1_861218222426728894[综合国力],表1_861218222426728894[目标区服],表2_971319232527738995[[#This Row],[合区区服]],表1_861218222426728894[目标国家（映射）],表2_971319232527738995[[#This Row],[国家]])</f>
        <v>11434</v>
      </c>
      <c r="N177" s="471">
        <f t="array" ref="N177">MAX((表1_861218222426728894[目标区服]=表2_971319232527738995[[#This Row],[合区区服]])*(表1_861218222426728894[目标国家（映射）]=表2_971319232527738995[[#This Row],[国家]])*表1_861218222426728894[单将最高战力])</f>
        <v>720908</v>
      </c>
      <c r="P177" s="51">
        <v>5156</v>
      </c>
      <c r="Q177" s="51">
        <v>43</v>
      </c>
    </row>
    <row r="178" ht="15" spans="1:17">
      <c r="A178" s="308" t="s">
        <v>199</v>
      </c>
      <c r="B178" s="224" t="s">
        <v>27</v>
      </c>
      <c r="C178" s="224">
        <f>COUNTIFS(表1_861218222426728894[目标区服],表2_971319232527738995[[#This Row],[合区区服]],表1_861218222426728894[目标国家（映射）],表2_971319232527738995[[#This Row],[国家]])</f>
        <v>2</v>
      </c>
      <c r="D178" s="224">
        <f>SUMIFS(表1_861218222426728894[活跃高战玩家数],表1_861218222426728894[目标区服],表2_971319232527738995[[#This Row],[合区区服]],表1_861218222426728894[目标国家（映射）],表2_971319232527738995[[#This Row],[国家]])</f>
        <v>4</v>
      </c>
      <c r="E178" s="224">
        <f>SUMIFS(表1_861218222426728894[活跃中坚玩家数],表1_861218222426728894[目标区服],表2_971319232527738995[[#This Row],[合区区服]],表1_861218222426728894[目标国家（映射）],表2_971319232527738995[[#This Row],[国家]])</f>
        <v>34</v>
      </c>
      <c r="F178" s="224">
        <f t="array" ref="F178">MAX((表1_861218222426728894[目标区服]=表2_971319232527738995[[#This Row],[合区区服]])*(表1_861218222426728894[目标国家（映射）]=表2_971319232527738995[[#This Row],[国家]])*表1_861218222426728894[活跃尖端战力])</f>
        <v>2431551</v>
      </c>
      <c r="G178" s="225">
        <f>SUMIFS(表1_861218222426728894[活跃总战力],表1_861218222426728894[目标区服],表2_971319232527738995[[#This Row],[合区区服]],表1_861218222426728894[目标国家（映射）],表2_971319232527738995[[#This Row],[国家]])</f>
        <v>24105171</v>
      </c>
      <c r="H178" s="224">
        <f>SUMIFS(表1_861218222426728894[活跃实际充值],表1_861218222426728894[目标区服],表2_971319232527738995[[#This Row],[合区区服]],表1_861218222426728894[目标国家（映射）],表2_971319232527738995[[#This Row],[国家]])</f>
        <v>41120</v>
      </c>
      <c r="I178" s="224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78" s="224">
        <f>SUMIFS(表1_861218222426728894[活跃Coin],表1_861218222426728894[目标区服],表2_971319232527738995[[#This Row],[合区区服]],表1_861218222426728894[目标国家（映射）],表2_971319232527738995[[#This Row],[国家]])</f>
        <v>390465</v>
      </c>
      <c r="K178" s="224">
        <f>SUMIFS(表1_861218222426728894[共计补偿Coin],表1_861218222426728894[目标区服],表2_971319232527738995[[#This Row],[合区区服]],表1_861218222426728894[目标国家（映射）],表2_971319232527738995[[#This Row],[国家]])</f>
        <v>38000</v>
      </c>
      <c r="L178" s="224">
        <f>表2_971319232527738995[[#This Row],[活跃Coin]]+表2_971319232527738995[[#This Row],[共计补偿Coin]]</f>
        <v>428465</v>
      </c>
      <c r="M178" s="224">
        <f>SUMIFS(表1_861218222426728894[综合国力],表1_861218222426728894[目标区服],表2_971319232527738995[[#This Row],[合区区服]],表1_861218222426728894[目标国家（映射）],表2_971319232527738995[[#This Row],[国家]])</f>
        <v>11551</v>
      </c>
      <c r="N178" s="471">
        <f t="array" ref="N178">MAX((表1_861218222426728894[目标区服]=表2_971319232527738995[[#This Row],[合区区服]])*(表1_861218222426728894[目标国家（映射）]=表2_971319232527738995[[#This Row],[国家]])*表1_861218222426728894[单将最高战力])</f>
        <v>660592</v>
      </c>
      <c r="P178" s="51">
        <v>5157</v>
      </c>
      <c r="Q178" s="51">
        <v>43</v>
      </c>
    </row>
    <row r="179" ht="15" spans="1:17">
      <c r="A179" s="414" t="s">
        <v>200</v>
      </c>
      <c r="B179" s="455" t="s">
        <v>25</v>
      </c>
      <c r="C179" s="455">
        <f>COUNTIFS(表1_861218222426728894[目标区服],表2_971319232527738995[[#This Row],[合区区服]],表1_861218222426728894[目标国家（映射）],表2_971319232527738995[[#This Row],[国家]])</f>
        <v>3</v>
      </c>
      <c r="D179" s="455">
        <f>SUMIFS(表1_861218222426728894[活跃高战玩家数],表1_861218222426728894[目标区服],表2_971319232527738995[[#This Row],[合区区服]],表1_861218222426728894[目标国家（映射）],表2_971319232527738995[[#This Row],[国家]])</f>
        <v>11</v>
      </c>
      <c r="E179" s="455">
        <f>SUMIFS(表1_861218222426728894[活跃中坚玩家数],表1_861218222426728894[目标区服],表2_971319232527738995[[#This Row],[合区区服]],表1_861218222426728894[目标国家（映射）],表2_971319232527738995[[#This Row],[国家]])</f>
        <v>49</v>
      </c>
      <c r="F179" s="455">
        <f t="array" ref="F179">MAX((表1_861218222426728894[目标区服]=表2_971319232527738995[[#This Row],[合区区服]])*(表1_861218222426728894[目标国家（映射）]=表2_971319232527738995[[#This Row],[国家]])*表1_861218222426728894[活跃尖端战力])</f>
        <v>1955286</v>
      </c>
      <c r="G179" s="456">
        <f>SUMIFS(表1_861218222426728894[活跃总战力],表1_861218222426728894[目标区服],表2_971319232527738995[[#This Row],[合区区服]],表1_861218222426728894[目标国家（映射）],表2_971319232527738995[[#This Row],[国家]])</f>
        <v>37950734</v>
      </c>
      <c r="H179" s="455">
        <f>SUMIFS(表1_861218222426728894[活跃实际充值],表1_861218222426728894[目标区服],表2_971319232527738995[[#This Row],[合区区服]],表1_861218222426728894[目标国家（映射）],表2_971319232527738995[[#This Row],[国家]])</f>
        <v>52366</v>
      </c>
      <c r="I179" s="455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79" s="455">
        <f>SUMIFS(表1_861218222426728894[活跃Coin],表1_861218222426728894[目标区服],表2_971319232527738995[[#This Row],[合区区服]],表1_861218222426728894[目标国家（映射）],表2_971319232527738995[[#This Row],[国家]])</f>
        <v>784506</v>
      </c>
      <c r="K179" s="455">
        <f>SUMIFS(表1_861218222426728894[共计补偿Coin],表1_861218222426728894[目标区服],表2_971319232527738995[[#This Row],[合区区服]],表1_861218222426728894[目标国家（映射）],表2_971319232527738995[[#This Row],[国家]])</f>
        <v>60000</v>
      </c>
      <c r="L179" s="455">
        <f>表2_971319232527738995[[#This Row],[活跃Coin]]+表2_971319232527738995[[#This Row],[共计补偿Coin]]</f>
        <v>844506</v>
      </c>
      <c r="M179" s="455">
        <f>SUMIFS(表1_861218222426728894[综合国力],表1_861218222426728894[目标区服],表2_971319232527738995[[#This Row],[合区区服]],表1_861218222426728894[目标国家（映射）],表2_971319232527738995[[#This Row],[国家]])</f>
        <v>16859</v>
      </c>
      <c r="N179" s="472">
        <f t="array" ref="N179">MAX((表1_861218222426728894[目标区服]=表2_971319232527738995[[#This Row],[合区区服]])*(表1_861218222426728894[目标国家（映射）]=表2_971319232527738995[[#This Row],[国家]])*表1_861218222426728894[单将最高战力])</f>
        <v>562603</v>
      </c>
      <c r="P179" s="51">
        <v>5158</v>
      </c>
      <c r="Q179" s="51">
        <v>43</v>
      </c>
    </row>
    <row r="180" ht="15" spans="1:17">
      <c r="A180" s="414" t="s">
        <v>200</v>
      </c>
      <c r="B180" s="455" t="s">
        <v>26</v>
      </c>
      <c r="C180" s="455">
        <f>COUNTIFS(表1_861218222426728894[目标区服],表2_971319232527738995[[#This Row],[合区区服]],表1_861218222426728894[目标国家（映射）],表2_971319232527738995[[#This Row],[国家]])</f>
        <v>2</v>
      </c>
      <c r="D180" s="455">
        <f>SUMIFS(表1_861218222426728894[活跃高战玩家数],表1_861218222426728894[目标区服],表2_971319232527738995[[#This Row],[合区区服]],表1_861218222426728894[目标国家（映射）],表2_971319232527738995[[#This Row],[国家]])</f>
        <v>7</v>
      </c>
      <c r="E180" s="455">
        <f>SUMIFS(表1_861218222426728894[活跃中坚玩家数],表1_861218222426728894[目标区服],表2_971319232527738995[[#This Row],[合区区服]],表1_861218222426728894[目标国家（映射）],表2_971319232527738995[[#This Row],[国家]])</f>
        <v>46</v>
      </c>
      <c r="F180" s="455">
        <f t="array" ref="F180">MAX((表1_861218222426728894[目标区服]=表2_971319232527738995[[#This Row],[合区区服]])*(表1_861218222426728894[目标国家（映射）]=表2_971319232527738995[[#This Row],[国家]])*表1_861218222426728894[活跃尖端战力])</f>
        <v>2391901</v>
      </c>
      <c r="G180" s="456">
        <f>SUMIFS(表1_861218222426728894[活跃总战力],表1_861218222426728894[目标区服],表2_971319232527738995[[#This Row],[合区区服]],表1_861218222426728894[目标国家（映射）],表2_971319232527738995[[#This Row],[国家]])</f>
        <v>35573186</v>
      </c>
      <c r="H180" s="455">
        <f>SUMIFS(表1_861218222426728894[活跃实际充值],表1_861218222426728894[目标区服],表2_971319232527738995[[#This Row],[合区区服]],表1_861218222426728894[目标国家（映射）],表2_971319232527738995[[#This Row],[国家]])</f>
        <v>67570</v>
      </c>
      <c r="I180" s="455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80" s="455">
        <f>SUMIFS(表1_861218222426728894[活跃Coin],表1_861218222426728894[目标区服],表2_971319232527738995[[#This Row],[合区区服]],表1_861218222426728894[目标国家（映射）],表2_971319232527738995[[#This Row],[国家]])</f>
        <v>489839</v>
      </c>
      <c r="K180" s="455">
        <f>SUMIFS(表1_861218222426728894[共计补偿Coin],表1_861218222426728894[目标区服],表2_971319232527738995[[#This Row],[合区区服]],表1_861218222426728894[目标国家（映射）],表2_971319232527738995[[#This Row],[国家]])</f>
        <v>53000</v>
      </c>
      <c r="L180" s="455">
        <f>表2_971319232527738995[[#This Row],[活跃Coin]]+表2_971319232527738995[[#This Row],[共计补偿Coin]]</f>
        <v>542839</v>
      </c>
      <c r="M180" s="455">
        <f>SUMIFS(表1_861218222426728894[综合国力],表1_861218222426728894[目标区服],表2_971319232527738995[[#This Row],[合区区服]],表1_861218222426728894[目标国家（映射）],表2_971319232527738995[[#This Row],[国家]])</f>
        <v>13653</v>
      </c>
      <c r="N180" s="472">
        <f t="array" ref="N180">MAX((表1_861218222426728894[目标区服]=表2_971319232527738995[[#This Row],[合区区服]])*(表1_861218222426728894[目标国家（映射）]=表2_971319232527738995[[#This Row],[国家]])*表1_861218222426728894[单将最高战力])</f>
        <v>721726</v>
      </c>
      <c r="P180" s="51">
        <v>5159</v>
      </c>
      <c r="Q180" s="51">
        <v>42</v>
      </c>
    </row>
    <row r="181" ht="15" spans="1:17">
      <c r="A181" s="414" t="s">
        <v>200</v>
      </c>
      <c r="B181" s="457" t="s">
        <v>27</v>
      </c>
      <c r="C181" s="457">
        <f>COUNTIFS(表1_861218222426728894[目标区服],表2_971319232527738995[[#This Row],[合区区服]],表1_861218222426728894[目标国家（映射）],表2_971319232527738995[[#This Row],[国家]])</f>
        <v>4</v>
      </c>
      <c r="D181" s="457">
        <f>SUMIFS(表1_861218222426728894[活跃高战玩家数],表1_861218222426728894[目标区服],表2_971319232527738995[[#This Row],[合区区服]],表1_861218222426728894[目标国家（映射）],表2_971319232527738995[[#This Row],[国家]])</f>
        <v>10</v>
      </c>
      <c r="E181" s="457">
        <f>SUMIFS(表1_861218222426728894[活跃中坚玩家数],表1_861218222426728894[目标区服],表2_971319232527738995[[#This Row],[合区区服]],表1_861218222426728894[目标国家（映射）],表2_971319232527738995[[#This Row],[国家]])</f>
        <v>52</v>
      </c>
      <c r="F181" s="455">
        <f t="array" ref="F181">MAX((表1_861218222426728894[目标区服]=表2_971319232527738995[[#This Row],[合区区服]])*(表1_861218222426728894[目标国家（映射）]=表2_971319232527738995[[#This Row],[国家]])*表1_861218222426728894[活跃尖端战力])</f>
        <v>1741264</v>
      </c>
      <c r="G181" s="456">
        <f>SUMIFS(表1_861218222426728894[活跃总战力],表1_861218222426728894[目标区服],表2_971319232527738995[[#This Row],[合区区服]],表1_861218222426728894[目标国家（映射）],表2_971319232527738995[[#This Row],[国家]])</f>
        <v>40803442</v>
      </c>
      <c r="H181" s="455">
        <f>SUMIFS(表1_861218222426728894[活跃实际充值],表1_861218222426728894[目标区服],表2_971319232527738995[[#This Row],[合区区服]],表1_861218222426728894[目标国家（映射）],表2_971319232527738995[[#This Row],[国家]])</f>
        <v>41428</v>
      </c>
      <c r="I181" s="455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81" s="455">
        <f>SUMIFS(表1_861218222426728894[活跃Coin],表1_861218222426728894[目标区服],表2_971319232527738995[[#This Row],[合区区服]],表1_861218222426728894[目标国家（映射）],表2_971319232527738995[[#This Row],[国家]])</f>
        <v>565807</v>
      </c>
      <c r="K181" s="455">
        <f>SUMIFS(表1_861218222426728894[共计补偿Coin],表1_861218222426728894[目标区服],表2_971319232527738995[[#This Row],[合区区服]],表1_861218222426728894[目标国家（映射）],表2_971319232527738995[[#This Row],[国家]])</f>
        <v>62000</v>
      </c>
      <c r="L181" s="455">
        <f>表2_971319232527738995[[#This Row],[活跃Coin]]+表2_971319232527738995[[#This Row],[共计补偿Coin]]</f>
        <v>627807</v>
      </c>
      <c r="M181" s="455">
        <f>SUMIFS(表1_861218222426728894[综合国力],表1_861218222426728894[目标区服],表2_971319232527738995[[#This Row],[合区区服]],表1_861218222426728894[目标国家（映射）],表2_971319232527738995[[#This Row],[国家]])</f>
        <v>19483</v>
      </c>
      <c r="N181" s="472">
        <f t="array" ref="N181">MAX((表1_861218222426728894[目标区服]=表2_971319232527738995[[#This Row],[合区区服]])*(表1_861218222426728894[目标国家（映射）]=表2_971319232527738995[[#This Row],[国家]])*表1_861218222426728894[单将最高战力])</f>
        <v>519013</v>
      </c>
      <c r="P181" s="51">
        <v>5160</v>
      </c>
      <c r="Q181" s="51">
        <v>42</v>
      </c>
    </row>
    <row r="182" ht="15" spans="1:17">
      <c r="A182" s="177" t="s">
        <v>201</v>
      </c>
      <c r="B182" s="178" t="s">
        <v>25</v>
      </c>
      <c r="C182" s="178">
        <f>COUNTIFS(表1_861218222426728894[目标区服],表2_971319232527738995[[#This Row],[合区区服]],表1_861218222426728894[目标国家（映射）],表2_971319232527738995[[#This Row],[国家]])</f>
        <v>3</v>
      </c>
      <c r="D182" s="178">
        <f>SUMIFS(表1_861218222426728894[活跃高战玩家数],表1_861218222426728894[目标区服],表2_971319232527738995[[#This Row],[合区区服]],表1_861218222426728894[目标国家（映射）],表2_971319232527738995[[#This Row],[国家]])</f>
        <v>14</v>
      </c>
      <c r="E182" s="178">
        <f>SUMIFS(表1_861218222426728894[活跃中坚玩家数],表1_861218222426728894[目标区服],表2_971319232527738995[[#This Row],[合区区服]],表1_861218222426728894[目标国家（映射）],表2_971319232527738995[[#This Row],[国家]])</f>
        <v>51</v>
      </c>
      <c r="F182" s="178">
        <f t="array" ref="F182">MAX((表1_861218222426728894[目标区服]=表2_971319232527738995[[#This Row],[合区区服]])*(表1_861218222426728894[目标国家（映射）]=表2_971319232527738995[[#This Row],[国家]])*表1_861218222426728894[活跃尖端战力])</f>
        <v>1891250</v>
      </c>
      <c r="G182" s="179">
        <f>SUMIFS(表1_861218222426728894[活跃总战力],表1_861218222426728894[目标区服],表2_971319232527738995[[#This Row],[合区区服]],表1_861218222426728894[目标国家（映射）],表2_971319232527738995[[#This Row],[国家]])</f>
        <v>43686258</v>
      </c>
      <c r="H182" s="178">
        <f>SUMIFS(表1_861218222426728894[活跃实际充值],表1_861218222426728894[目标区服],表2_971319232527738995[[#This Row],[合区区服]],表1_861218222426728894[目标国家（映射）],表2_971319232527738995[[#This Row],[国家]])</f>
        <v>72176</v>
      </c>
      <c r="I182" s="178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82" s="178">
        <f>SUMIFS(表1_861218222426728894[活跃Coin],表1_861218222426728894[目标区服],表2_971319232527738995[[#This Row],[合区区服]],表1_861218222426728894[目标国家（映射）],表2_971319232527738995[[#This Row],[国家]])</f>
        <v>849915</v>
      </c>
      <c r="K182" s="178">
        <f>SUMIFS(表1_861218222426728894[共计补偿Coin],表1_861218222426728894[目标区服],表2_971319232527738995[[#This Row],[合区区服]],表1_861218222426728894[目标国家（映射）],表2_971319232527738995[[#This Row],[国家]])</f>
        <v>65000</v>
      </c>
      <c r="L182" s="178">
        <f>表2_971319232527738995[[#This Row],[活跃Coin]]+表2_971319232527738995[[#This Row],[共计补偿Coin]]</f>
        <v>914915</v>
      </c>
      <c r="M182" s="178">
        <f>SUMIFS(表1_861218222426728894[综合国力],表1_861218222426728894[目标区服],表2_971319232527738995[[#This Row],[合区区服]],表1_861218222426728894[目标国家（映射）],表2_971319232527738995[[#This Row],[国家]])</f>
        <v>19475</v>
      </c>
      <c r="N182" s="473">
        <f t="array" ref="N182">MAX((表1_861218222426728894[目标区服]=表2_971319232527738995[[#This Row],[合区区服]])*(表1_861218222426728894[目标国家（映射）]=表2_971319232527738995[[#This Row],[国家]])*表1_861218222426728894[单将最高战力])</f>
        <v>568928</v>
      </c>
      <c r="P182" s="51">
        <v>5161</v>
      </c>
      <c r="Q182" s="51">
        <v>42</v>
      </c>
    </row>
    <row r="183" ht="15" spans="1:17">
      <c r="A183" s="177" t="s">
        <v>201</v>
      </c>
      <c r="B183" s="178" t="s">
        <v>26</v>
      </c>
      <c r="C183" s="178">
        <f>COUNTIFS(表1_861218222426728894[目标区服],表2_971319232527738995[[#This Row],[合区区服]],表1_861218222426728894[目标国家（映射）],表2_971319232527738995[[#This Row],[国家]])</f>
        <v>4</v>
      </c>
      <c r="D183" s="178">
        <f>SUMIFS(表1_861218222426728894[活跃高战玩家数],表1_861218222426728894[目标区服],表2_971319232527738995[[#This Row],[合区区服]],表1_861218222426728894[目标国家（映射）],表2_971319232527738995[[#This Row],[国家]])</f>
        <v>9</v>
      </c>
      <c r="E183" s="178">
        <f>SUMIFS(表1_861218222426728894[活跃中坚玩家数],表1_861218222426728894[目标区服],表2_971319232527738995[[#This Row],[合区区服]],表1_861218222426728894[目标国家（映射）],表2_971319232527738995[[#This Row],[国家]])</f>
        <v>61</v>
      </c>
      <c r="F183" s="178">
        <f t="array" ref="F183">MAX((表1_861218222426728894[目标区服]=表2_971319232527738995[[#This Row],[合区区服]])*(表1_861218222426728894[目标国家（映射）]=表2_971319232527738995[[#This Row],[国家]])*表1_861218222426728894[活跃尖端战力])</f>
        <v>1829363</v>
      </c>
      <c r="G183" s="179">
        <f>SUMIFS(表1_861218222426728894[活跃总战力],表1_861218222426728894[目标区服],表2_971319232527738995[[#This Row],[合区区服]],表1_861218222426728894[目标国家（映射）],表2_971319232527738995[[#This Row],[国家]])</f>
        <v>41171612</v>
      </c>
      <c r="H183" s="178">
        <f>SUMIFS(表1_861218222426728894[活跃实际充值],表1_861218222426728894[目标区服],表2_971319232527738995[[#This Row],[合区区服]],表1_861218222426728894[目标国家（映射）],表2_971319232527738995[[#This Row],[国家]])</f>
        <v>51808</v>
      </c>
      <c r="I183" s="178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83" s="178">
        <f>SUMIFS(表1_861218222426728894[活跃Coin],表1_861218222426728894[目标区服],表2_971319232527738995[[#This Row],[合区区服]],表1_861218222426728894[目标国家（映射）],表2_971319232527738995[[#This Row],[国家]])</f>
        <v>581020</v>
      </c>
      <c r="K183" s="178">
        <f>SUMIFS(表1_861218222426728894[共计补偿Coin],表1_861218222426728894[目标区服],表2_971319232527738995[[#This Row],[合区区服]],表1_861218222426728894[目标国家（映射）],表2_971319232527738995[[#This Row],[国家]])</f>
        <v>70000</v>
      </c>
      <c r="L183" s="178">
        <f>表2_971319232527738995[[#This Row],[活跃Coin]]+表2_971319232527738995[[#This Row],[共计补偿Coin]]</f>
        <v>651020</v>
      </c>
      <c r="M183" s="178">
        <f>SUMIFS(表1_861218222426728894[综合国力],表1_861218222426728894[目标区服],表2_971319232527738995[[#This Row],[合区区服]],表1_861218222426728894[目标国家（映射）],表2_971319232527738995[[#This Row],[国家]])</f>
        <v>17496</v>
      </c>
      <c r="N183" s="473">
        <f t="array" ref="N183">MAX((表1_861218222426728894[目标区服]=表2_971319232527738995[[#This Row],[合区区服]])*(表1_861218222426728894[目标国家（映射）]=表2_971319232527738995[[#This Row],[国家]])*表1_861218222426728894[单将最高战力])</f>
        <v>522360</v>
      </c>
      <c r="P183" s="51">
        <v>5162</v>
      </c>
      <c r="Q183" s="51">
        <v>42</v>
      </c>
    </row>
    <row r="184" ht="15" spans="1:17">
      <c r="A184" s="177" t="s">
        <v>201</v>
      </c>
      <c r="B184" s="180" t="s">
        <v>27</v>
      </c>
      <c r="C184" s="180">
        <f>COUNTIFS(表1_861218222426728894[目标区服],表2_971319232527738995[[#This Row],[合区区服]],表1_861218222426728894[目标国家（映射）],表2_971319232527738995[[#This Row],[国家]])</f>
        <v>2</v>
      </c>
      <c r="D184" s="180">
        <f>SUMIFS(表1_861218222426728894[活跃高战玩家数],表1_861218222426728894[目标区服],表2_971319232527738995[[#This Row],[合区区服]],表1_861218222426728894[目标国家（映射）],表2_971319232527738995[[#This Row],[国家]])</f>
        <v>6</v>
      </c>
      <c r="E184" s="180">
        <f>SUMIFS(表1_861218222426728894[活跃中坚玩家数],表1_861218222426728894[目标区服],表2_971319232527738995[[#This Row],[合区区服]],表1_861218222426728894[目标国家（映射）],表2_971319232527738995[[#This Row],[国家]])</f>
        <v>30</v>
      </c>
      <c r="F184" s="180">
        <f t="array" ref="F184">MAX((表1_861218222426728894[目标区服]=表2_971319232527738995[[#This Row],[合区区服]])*(表1_861218222426728894[目标国家（映射）]=表2_971319232527738995[[#This Row],[国家]])*表1_861218222426728894[活跃尖端战力])</f>
        <v>2836693</v>
      </c>
      <c r="G184" s="262">
        <f>SUMIFS(表1_861218222426728894[活跃总战力],表1_861218222426728894[目标区服],表2_971319232527738995[[#This Row],[合区区服]],表1_861218222426728894[目标国家（映射）],表2_971319232527738995[[#This Row],[国家]])</f>
        <v>26618359</v>
      </c>
      <c r="H184" s="180">
        <f>SUMIFS(表1_861218222426728894[活跃实际充值],表1_861218222426728894[目标区服],表2_971319232527738995[[#This Row],[合区区服]],表1_861218222426728894[目标国家（映射）],表2_971319232527738995[[#This Row],[国家]])</f>
        <v>105622</v>
      </c>
      <c r="I184" s="180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84" s="180">
        <f>SUMIFS(表1_861218222426728894[活跃Coin],表1_861218222426728894[目标区服],表2_971319232527738995[[#This Row],[合区区服]],表1_861218222426728894[目标国家（映射）],表2_971319232527738995[[#This Row],[国家]])</f>
        <v>559351</v>
      </c>
      <c r="K184" s="180">
        <f>SUMIFS(表1_861218222426728894[共计补偿Coin],表1_861218222426728894[目标区服],表2_971319232527738995[[#This Row],[合区区服]],表1_861218222426728894[目标国家（映射）],表2_971319232527738995[[#This Row],[国家]])</f>
        <v>36000</v>
      </c>
      <c r="L184" s="180">
        <f>表2_971319232527738995[[#This Row],[活跃Coin]]+表2_971319232527738995[[#This Row],[共计补偿Coin]]</f>
        <v>595351</v>
      </c>
      <c r="M184" s="180">
        <f>SUMIFS(表1_861218222426728894[综合国力],表1_861218222426728894[目标区服],表2_971319232527738995[[#This Row],[合区区服]],表1_861218222426728894[目标国家（映射）],表2_971319232527738995[[#This Row],[国家]])</f>
        <v>15393</v>
      </c>
      <c r="N184" s="474">
        <f t="array" ref="N184">MAX((表1_861218222426728894[目标区服]=表2_971319232527738995[[#This Row],[合区区服]])*(表1_861218222426728894[目标国家（映射）]=表2_971319232527738995[[#This Row],[国家]])*表1_861218222426728894[单将最高战力])</f>
        <v>1056442</v>
      </c>
      <c r="P184" s="51">
        <v>5163</v>
      </c>
      <c r="Q184" s="51">
        <v>42</v>
      </c>
    </row>
    <row r="185" ht="15" spans="1:17">
      <c r="A185" s="41" t="s">
        <v>202</v>
      </c>
      <c r="B185" s="41" t="s">
        <v>25</v>
      </c>
      <c r="C185" s="41">
        <f>COUNTIFS(表1_861218222426728894[目标区服],表2_971319232527738995[[#This Row],[合区区服]],表1_861218222426728894[目标国家（映射）],表2_971319232527738995[[#This Row],[国家]])</f>
        <v>2</v>
      </c>
      <c r="D185" s="41">
        <f>SUMIFS(表1_861218222426728894[活跃高战玩家数],表1_861218222426728894[目标区服],表2_971319232527738995[[#This Row],[合区区服]],表1_861218222426728894[目标国家（映射）],表2_971319232527738995[[#This Row],[国家]])</f>
        <v>5</v>
      </c>
      <c r="E185" s="41">
        <f>SUMIFS(表1_861218222426728894[活跃中坚玩家数],表1_861218222426728894[目标区服],表2_971319232527738995[[#This Row],[合区区服]],表1_861218222426728894[目标国家（映射）],表2_971319232527738995[[#This Row],[国家]])</f>
        <v>40</v>
      </c>
      <c r="F185" s="41">
        <f t="array" ref="F185">MAX((表1_861218222426728894[目标区服]=表2_971319232527738995[[#This Row],[合区区服]])*(表1_861218222426728894[目标国家（映射）]=表2_971319232527738995[[#This Row],[国家]])*表1_861218222426728894[活跃尖端战力])</f>
        <v>3019353</v>
      </c>
      <c r="G185" s="42">
        <f>SUMIFS(表1_861218222426728894[活跃总战力],表1_861218222426728894[目标区服],表2_971319232527738995[[#This Row],[合区区服]],表1_861218222426728894[目标国家（映射）],表2_971319232527738995[[#This Row],[国家]])</f>
        <v>32671850</v>
      </c>
      <c r="H185" s="41">
        <f>SUMIFS(表1_861218222426728894[活跃实际充值],表1_861218222426728894[目标区服],表2_971319232527738995[[#This Row],[合区区服]],表1_861218222426728894[目标国家（映射）],表2_971319232527738995[[#This Row],[国家]])</f>
        <v>194716</v>
      </c>
      <c r="I185" s="41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85" s="41">
        <f>SUMIFS(表1_861218222426728894[活跃Coin],表1_861218222426728894[目标区服],表2_971319232527738995[[#This Row],[合区区服]],表1_861218222426728894[目标国家（映射）],表2_971319232527738995[[#This Row],[国家]])</f>
        <v>855755</v>
      </c>
      <c r="K185" s="41">
        <f>SUMIFS(表1_861218222426728894[共计补偿Coin],表1_861218222426728894[目标区服],表2_971319232527738995[[#This Row],[合区区服]],表1_861218222426728894[目标国家（映射）],表2_971319232527738995[[#This Row],[国家]])</f>
        <v>45000</v>
      </c>
      <c r="L185" s="41">
        <f>表2_971319232527738995[[#This Row],[活跃Coin]]+表2_971319232527738995[[#This Row],[共计补偿Coin]]</f>
        <v>900755</v>
      </c>
      <c r="M185" s="41">
        <f>SUMIFS(表1_861218222426728894[综合国力],表1_861218222426728894[目标区服],表2_971319232527738995[[#This Row],[合区区服]],表1_861218222426728894[目标国家（映射）],表2_971319232527738995[[#This Row],[国家]])</f>
        <v>18953</v>
      </c>
      <c r="N185" s="41">
        <f t="array" ref="N185">MAX((表1_861218222426728894[目标区服]=表2_971319232527738995[[#This Row],[合区区服]])*(表1_861218222426728894[目标国家（映射）]=表2_971319232527738995[[#This Row],[国家]])*表1_861218222426728894[单将最高战力])</f>
        <v>1077224</v>
      </c>
      <c r="P185" s="51">
        <v>5164</v>
      </c>
      <c r="Q185" s="51">
        <v>42</v>
      </c>
    </row>
    <row r="186" ht="15" spans="1:17">
      <c r="A186" s="41" t="s">
        <v>202</v>
      </c>
      <c r="B186" s="41" t="s">
        <v>26</v>
      </c>
      <c r="C186" s="41">
        <f>COUNTIFS(表1_861218222426728894[目标区服],表2_971319232527738995[[#This Row],[合区区服]],表1_861218222426728894[目标国家（映射）],表2_971319232527738995[[#This Row],[国家]])</f>
        <v>2</v>
      </c>
      <c r="D186" s="41">
        <f>SUMIFS(表1_861218222426728894[活跃高战玩家数],表1_861218222426728894[目标区服],表2_971319232527738995[[#This Row],[合区区服]],表1_861218222426728894[目标国家（映射）],表2_971319232527738995[[#This Row],[国家]])</f>
        <v>8</v>
      </c>
      <c r="E186" s="41">
        <f>SUMIFS(表1_861218222426728894[活跃中坚玩家数],表1_861218222426728894[目标区服],表2_971319232527738995[[#This Row],[合区区服]],表1_861218222426728894[目标国家（映射）],表2_971319232527738995[[#This Row],[国家]])</f>
        <v>41</v>
      </c>
      <c r="F186" s="41">
        <f t="array" ref="F186">MAX((表1_861218222426728894[目标区服]=表2_971319232527738995[[#This Row],[合区区服]])*(表1_861218222426728894[目标国家（映射）]=表2_971319232527738995[[#This Row],[国家]])*表1_861218222426728894[活跃尖端战力])</f>
        <v>2188410</v>
      </c>
      <c r="G186" s="42">
        <f>SUMIFS(表1_861218222426728894[活跃总战力],表1_861218222426728894[目标区服],表2_971319232527738995[[#This Row],[合区区服]],表1_861218222426728894[目标国家（映射）],表2_971319232527738995[[#This Row],[国家]])</f>
        <v>35603493</v>
      </c>
      <c r="H186" s="41">
        <f>SUMIFS(表1_861218222426728894[活跃实际充值],表1_861218222426728894[目标区服],表2_971319232527738995[[#This Row],[合区区服]],表1_861218222426728894[目标国家（映射）],表2_971319232527738995[[#This Row],[国家]])</f>
        <v>56758</v>
      </c>
      <c r="I186" s="41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86" s="41">
        <f>SUMIFS(表1_861218222426728894[活跃Coin],表1_861218222426728894[目标区服],表2_971319232527738995[[#This Row],[合区区服]],表1_861218222426728894[目标国家（映射）],表2_971319232527738995[[#This Row],[国家]])</f>
        <v>618383</v>
      </c>
      <c r="K186" s="41">
        <f>SUMIFS(表1_861218222426728894[共计补偿Coin],表1_861218222426728894[目标区服],表2_971319232527738995[[#This Row],[合区区服]],表1_861218222426728894[目标国家（映射）],表2_971319232527738995[[#This Row],[国家]])</f>
        <v>49000</v>
      </c>
      <c r="L186" s="41">
        <f>表2_971319232527738995[[#This Row],[活跃Coin]]+表2_971319232527738995[[#This Row],[共计补偿Coin]]</f>
        <v>667383</v>
      </c>
      <c r="M186" s="41">
        <f>SUMIFS(表1_861218222426728894[综合国力],表1_861218222426728894[目标区服],表2_971319232527738995[[#This Row],[合区区服]],表1_861218222426728894[目标国家（映射）],表2_971319232527738995[[#This Row],[国家]])</f>
        <v>14331</v>
      </c>
      <c r="N186" s="41">
        <f t="array" ref="N186">MAX((表1_861218222426728894[目标区服]=表2_971319232527738995[[#This Row],[合区区服]])*(表1_861218222426728894[目标国家（映射）]=表2_971319232527738995[[#This Row],[国家]])*表1_861218222426728894[单将最高战力])</f>
        <v>673278</v>
      </c>
      <c r="P186" s="51">
        <v>5165</v>
      </c>
      <c r="Q186" s="51">
        <v>42</v>
      </c>
    </row>
    <row r="187" ht="15" spans="1:17">
      <c r="A187" s="41" t="s">
        <v>202</v>
      </c>
      <c r="B187" s="43" t="s">
        <v>27</v>
      </c>
      <c r="C187" s="43">
        <f>COUNTIFS(表1_861218222426728894[目标区服],表2_971319232527738995[[#This Row],[合区区服]],表1_861218222426728894[目标国家（映射）],表2_971319232527738995[[#This Row],[国家]])</f>
        <v>2</v>
      </c>
      <c r="D187" s="43">
        <f>SUMIFS(表1_861218222426728894[活跃高战玩家数],表1_861218222426728894[目标区服],表2_971319232527738995[[#This Row],[合区区服]],表1_861218222426728894[目标国家（映射）],表2_971319232527738995[[#This Row],[国家]])</f>
        <v>5</v>
      </c>
      <c r="E187" s="43">
        <f>SUMIFS(表1_861218222426728894[活跃中坚玩家数],表1_861218222426728894[目标区服],表2_971319232527738995[[#This Row],[合区区服]],表1_861218222426728894[目标国家（映射）],表2_971319232527738995[[#This Row],[国家]])</f>
        <v>30</v>
      </c>
      <c r="F187" s="43">
        <f t="array" ref="F187">MAX((表1_861218222426728894[目标区服]=表2_971319232527738995[[#This Row],[合区区服]])*(表1_861218222426728894[目标国家（映射）]=表2_971319232527738995[[#This Row],[国家]])*表1_861218222426728894[活跃尖端战力])</f>
        <v>1835994</v>
      </c>
      <c r="G187" s="44">
        <f>SUMIFS(表1_861218222426728894[活跃总战力],表1_861218222426728894[目标区服],表2_971319232527738995[[#This Row],[合区区服]],表1_861218222426728894[目标国家（映射）],表2_971319232527738995[[#This Row],[国家]])</f>
        <v>22946423</v>
      </c>
      <c r="H187" s="43">
        <f>SUMIFS(表1_861218222426728894[活跃实际充值],表1_861218222426728894[目标区服],表2_971319232527738995[[#This Row],[合区区服]],表1_861218222426728894[目标国家（映射）],表2_971319232527738995[[#This Row],[国家]])</f>
        <v>53274</v>
      </c>
      <c r="I187" s="43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87" s="43">
        <f>SUMIFS(表1_861218222426728894[活跃Coin],表1_861218222426728894[目标区服],表2_971319232527738995[[#This Row],[合区区服]],表1_861218222426728894[目标国家（映射）],表2_971319232527738995[[#This Row],[国家]])</f>
        <v>348646</v>
      </c>
      <c r="K187" s="43">
        <f>SUMIFS(表1_861218222426728894[共计补偿Coin],表1_861218222426728894[目标区服],表2_971319232527738995[[#This Row],[合区区服]],表1_861218222426728894[目标国家（映射）],表2_971319232527738995[[#This Row],[国家]])</f>
        <v>35000</v>
      </c>
      <c r="L187" s="43">
        <f>表2_971319232527738995[[#This Row],[活跃Coin]]+表2_971319232527738995[[#This Row],[共计补偿Coin]]</f>
        <v>383646</v>
      </c>
      <c r="M187" s="43">
        <f>SUMIFS(表1_861218222426728894[综合国力],表1_861218222426728894[目标区服],表2_971319232527738995[[#This Row],[合区区服]],表1_861218222426728894[目标国家（映射）],表2_971319232527738995[[#This Row],[国家]])</f>
        <v>9316</v>
      </c>
      <c r="N187" s="41">
        <f t="array" ref="N187">MAX((表1_861218222426728894[目标区服]=表2_971319232527738995[[#This Row],[合区区服]])*(表1_861218222426728894[目标国家（映射）]=表2_971319232527738995[[#This Row],[国家]])*表1_861218222426728894[单将最高战力])</f>
        <v>513478</v>
      </c>
      <c r="P187" s="51">
        <v>5166</v>
      </c>
      <c r="Q187" s="51">
        <v>42</v>
      </c>
    </row>
    <row r="188" ht="15" spans="1:17">
      <c r="A188" s="45" t="s">
        <v>203</v>
      </c>
      <c r="B188" s="46" t="s">
        <v>25</v>
      </c>
      <c r="C188" s="46">
        <f>COUNTIFS(表1_861218222426728894[目标区服],表2_971319232527738995[[#This Row],[合区区服]],表1_861218222426728894[目标国家（映射）],表2_971319232527738995[[#This Row],[国家]])</f>
        <v>2</v>
      </c>
      <c r="D188" s="46">
        <f>SUMIFS(表1_861218222426728894[活跃高战玩家数],表1_861218222426728894[目标区服],表2_971319232527738995[[#This Row],[合区区服]],表1_861218222426728894[目标国家（映射）],表2_971319232527738995[[#This Row],[国家]])</f>
        <v>4</v>
      </c>
      <c r="E188" s="46">
        <f>SUMIFS(表1_861218222426728894[活跃中坚玩家数],表1_861218222426728894[目标区服],表2_971319232527738995[[#This Row],[合区区服]],表1_861218222426728894[目标国家（映射）],表2_971319232527738995[[#This Row],[国家]])</f>
        <v>32</v>
      </c>
      <c r="F188" s="46">
        <f t="array" ref="F188">MAX((表1_861218222426728894[目标区服]=表2_971319232527738995[[#This Row],[合区区服]])*(表1_861218222426728894[目标国家（映射）]=表2_971319232527738995[[#This Row],[国家]])*表1_861218222426728894[活跃尖端战力])</f>
        <v>2851951</v>
      </c>
      <c r="G188" s="47">
        <f>SUMIFS(表1_861218222426728894[活跃总战力],表1_861218222426728894[目标区服],表2_971319232527738995[[#This Row],[合区区服]],表1_861218222426728894[目标国家（映射）],表2_971319232527738995[[#This Row],[国家]])</f>
        <v>26803109</v>
      </c>
      <c r="H188" s="46">
        <f>SUMIFS(表1_861218222426728894[活跃实际充值],表1_861218222426728894[目标区服],表2_971319232527738995[[#This Row],[合区区服]],表1_861218222426728894[目标国家（映射）],表2_971319232527738995[[#This Row],[国家]])</f>
        <v>157494</v>
      </c>
      <c r="I188" s="46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88" s="46">
        <f>SUMIFS(表1_861218222426728894[活跃Coin],表1_861218222426728894[目标区服],表2_971319232527738995[[#This Row],[合区区服]],表1_861218222426728894[目标国家（映射）],表2_971319232527738995[[#This Row],[国家]])</f>
        <v>300503</v>
      </c>
      <c r="K188" s="46">
        <f>SUMIFS(表1_861218222426728894[共计补偿Coin],表1_861218222426728894[目标区服],表2_971319232527738995[[#This Row],[合区区服]],表1_861218222426728894[目标国家（映射）],表2_971319232527738995[[#This Row],[国家]])</f>
        <v>36000</v>
      </c>
      <c r="L188" s="46">
        <f>表2_971319232527738995[[#This Row],[活跃Coin]]+表2_971319232527738995[[#This Row],[共计补偿Coin]]</f>
        <v>336503</v>
      </c>
      <c r="M188" s="46">
        <f>SUMIFS(表1_861218222426728894[综合国力],表1_861218222426728894[目标区服],表2_971319232527738995[[#This Row],[合区区服]],表1_861218222426728894[目标国家（映射）],表2_971319232527738995[[#This Row],[国家]])</f>
        <v>14265</v>
      </c>
      <c r="N188" s="46">
        <f t="array" ref="N188">MAX((表1_861218222426728894[目标区服]=表2_971319232527738995[[#This Row],[合区区服]])*(表1_861218222426728894[目标国家（映射）]=表2_971319232527738995[[#This Row],[国家]])*表1_861218222426728894[单将最高战力])</f>
        <v>829962</v>
      </c>
      <c r="P188" s="51">
        <v>5167</v>
      </c>
      <c r="Q188" s="51">
        <v>42</v>
      </c>
    </row>
    <row r="189" ht="15" spans="1:17">
      <c r="A189" s="45" t="s">
        <v>203</v>
      </c>
      <c r="B189" s="46" t="s">
        <v>26</v>
      </c>
      <c r="C189" s="46">
        <f>COUNTIFS(表1_861218222426728894[目标区服],表2_971319232527738995[[#This Row],[合区区服]],表1_861218222426728894[目标国家（映射）],表2_971319232527738995[[#This Row],[国家]])</f>
        <v>2</v>
      </c>
      <c r="D189" s="46">
        <f>SUMIFS(表1_861218222426728894[活跃高战玩家数],表1_861218222426728894[目标区服],表2_971319232527738995[[#This Row],[合区区服]],表1_861218222426728894[目标国家（映射）],表2_971319232527738995[[#This Row],[国家]])</f>
        <v>6</v>
      </c>
      <c r="E189" s="46">
        <f>SUMIFS(表1_861218222426728894[活跃中坚玩家数],表1_861218222426728894[目标区服],表2_971319232527738995[[#This Row],[合区区服]],表1_861218222426728894[目标国家（映射）],表2_971319232527738995[[#This Row],[国家]])</f>
        <v>45</v>
      </c>
      <c r="F189" s="46">
        <f t="array" ref="F189">MAX((表1_861218222426728894[目标区服]=表2_971319232527738995[[#This Row],[合区区服]])*(表1_861218222426728894[目标国家（映射）]=表2_971319232527738995[[#This Row],[国家]])*表1_861218222426728894[活跃尖端战力])</f>
        <v>2909118</v>
      </c>
      <c r="G189" s="47">
        <f>SUMIFS(表1_861218222426728894[活跃总战力],表1_861218222426728894[目标区服],表2_971319232527738995[[#This Row],[合区区服]],表1_861218222426728894[目标国家（映射）],表2_971319232527738995[[#This Row],[国家]])</f>
        <v>39036905</v>
      </c>
      <c r="H189" s="46">
        <f>SUMIFS(表1_861218222426728894[活跃实际充值],表1_861218222426728894[目标区服],表2_971319232527738995[[#This Row],[合区区服]],表1_861218222426728894[目标国家（映射）],表2_971319232527738995[[#This Row],[国家]])</f>
        <v>132742</v>
      </c>
      <c r="I189" s="46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89" s="46">
        <f>SUMIFS(表1_861218222426728894[活跃Coin],表1_861218222426728894[目标区服],表2_971319232527738995[[#This Row],[合区区服]],表1_861218222426728894[目标国家（映射）],表2_971319232527738995[[#This Row],[国家]])</f>
        <v>816577</v>
      </c>
      <c r="K189" s="46">
        <f>SUMIFS(表1_861218222426728894[共计补偿Coin],表1_861218222426728894[目标区服],表2_971319232527738995[[#This Row],[合区区服]],表1_861218222426728894[目标国家（映射）],表2_971319232527738995[[#This Row],[国家]])</f>
        <v>51000</v>
      </c>
      <c r="L189" s="46">
        <f>表2_971319232527738995[[#This Row],[活跃Coin]]+表2_971319232527738995[[#This Row],[共计补偿Coin]]</f>
        <v>867577</v>
      </c>
      <c r="M189" s="46">
        <f>SUMIFS(表1_861218222426728894[综合国力],表1_861218222426728894[目标区服],表2_971319232527738995[[#This Row],[合区区服]],表1_861218222426728894[目标国家（映射）],表2_971319232527738995[[#This Row],[国家]])</f>
        <v>17689</v>
      </c>
      <c r="N189" s="46">
        <f t="array" ref="N189">MAX((表1_861218222426728894[目标区服]=表2_971319232527738995[[#This Row],[合区区服]])*(表1_861218222426728894[目标国家（映射）]=表2_971319232527738995[[#This Row],[国家]])*表1_861218222426728894[单将最高战力])</f>
        <v>881008</v>
      </c>
      <c r="P189" s="51">
        <v>5168</v>
      </c>
      <c r="Q189" s="51">
        <v>42</v>
      </c>
    </row>
    <row r="190" ht="15" spans="1:17">
      <c r="A190" s="45" t="s">
        <v>203</v>
      </c>
      <c r="B190" s="48" t="s">
        <v>27</v>
      </c>
      <c r="C190" s="48">
        <f>COUNTIFS(表1_861218222426728894[目标区服],表2_971319232527738995[[#This Row],[合区区服]],表1_861218222426728894[目标国家（映射）],表2_971319232527738995[[#This Row],[国家]])</f>
        <v>2</v>
      </c>
      <c r="D190" s="48">
        <f>SUMIFS(表1_861218222426728894[活跃高战玩家数],表1_861218222426728894[目标区服],表2_971319232527738995[[#This Row],[合区区服]],表1_861218222426728894[目标国家（映射）],表2_971319232527738995[[#This Row],[国家]])</f>
        <v>10</v>
      </c>
      <c r="E190" s="48">
        <f>SUMIFS(表1_861218222426728894[活跃中坚玩家数],表1_861218222426728894[目标区服],表2_971319232527738995[[#This Row],[合区区服]],表1_861218222426728894[目标国家（映射）],表2_971319232527738995[[#This Row],[国家]])</f>
        <v>47</v>
      </c>
      <c r="F190" s="48">
        <f t="array" ref="F190">MAX((表1_861218222426728894[目标区服]=表2_971319232527738995[[#This Row],[合区区服]])*(表1_861218222426728894[目标国家（映射）]=表2_971319232527738995[[#This Row],[国家]])*表1_861218222426728894[活跃尖端战力])</f>
        <v>3034456</v>
      </c>
      <c r="G190" s="458">
        <f>SUMIFS(表1_861218222426728894[活跃总战力],表1_861218222426728894[目标区服],表2_971319232527738995[[#This Row],[合区区服]],表1_861218222426728894[目标国家（映射）],表2_971319232527738995[[#This Row],[国家]])</f>
        <v>45613922</v>
      </c>
      <c r="H190" s="48">
        <f>SUMIFS(表1_861218222426728894[活跃实际充值],表1_861218222426728894[目标区服],表2_971319232527738995[[#This Row],[合区区服]],表1_861218222426728894[目标国家（映射）],表2_971319232527738995[[#This Row],[国家]])</f>
        <v>154608</v>
      </c>
      <c r="I190" s="48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90" s="48">
        <f>SUMIFS(表1_861218222426728894[活跃Coin],表1_861218222426728894[目标区服],表2_971319232527738995[[#This Row],[合区区服]],表1_861218222426728894[目标国家（映射）],表2_971319232527738995[[#This Row],[国家]])</f>
        <v>1046276</v>
      </c>
      <c r="K190" s="48">
        <f>SUMIFS(表1_861218222426728894[共计补偿Coin],表1_861218222426728894[目标区服],表2_971319232527738995[[#This Row],[合区区服]],表1_861218222426728894[目标国家（映射）],表2_971319232527738995[[#This Row],[国家]])</f>
        <v>57000</v>
      </c>
      <c r="L190" s="48">
        <f>表2_971319232527738995[[#This Row],[活跃Coin]]+表2_971319232527738995[[#This Row],[共计补偿Coin]]</f>
        <v>1103276</v>
      </c>
      <c r="M190" s="48">
        <f>SUMIFS(表1_861218222426728894[综合国力],表1_861218222426728894[目标区服],表2_971319232527738995[[#This Row],[合区区服]],表1_861218222426728894[目标国家（映射）],表2_971319232527738995[[#This Row],[国家]])</f>
        <v>20419</v>
      </c>
      <c r="N190" s="46">
        <f t="array" ref="N190">MAX((表1_861218222426728894[目标区服]=表2_971319232527738995[[#This Row],[合区区服]])*(表1_861218222426728894[目标国家（映射）]=表2_971319232527738995[[#This Row],[国家]])*表1_861218222426728894[单将最高战力])</f>
        <v>910275</v>
      </c>
      <c r="P190" s="51">
        <v>5169</v>
      </c>
      <c r="Q190" s="51">
        <v>41</v>
      </c>
    </row>
    <row r="191" ht="15" spans="1:17">
      <c r="A191" s="308" t="s">
        <v>204</v>
      </c>
      <c r="B191" s="224" t="s">
        <v>25</v>
      </c>
      <c r="C191" s="224">
        <f>COUNTIFS(表1_861218222426728894[目标区服],表2_971319232527738995[[#This Row],[合区区服]],表1_861218222426728894[目标国家（映射）],表2_971319232527738995[[#This Row],[国家]])</f>
        <v>1</v>
      </c>
      <c r="D191" s="224">
        <f>SUMIFS(表1_861218222426728894[活跃高战玩家数],表1_861218222426728894[目标区服],表2_971319232527738995[[#This Row],[合区区服]],表1_861218222426728894[目标国家（映射）],表2_971319232527738995[[#This Row],[国家]])</f>
        <v>6</v>
      </c>
      <c r="E191" s="224">
        <f>SUMIFS(表1_861218222426728894[活跃中坚玩家数],表1_861218222426728894[目标区服],表2_971319232527738995[[#This Row],[合区区服]],表1_861218222426728894[目标国家（映射）],表2_971319232527738995[[#This Row],[国家]])</f>
        <v>27</v>
      </c>
      <c r="F191" s="224">
        <f t="array" ref="F191">MAX((表1_861218222426728894[目标区服]=表2_971319232527738995[[#This Row],[合区区服]])*(表1_861218222426728894[目标国家（映射）]=表2_971319232527738995[[#This Row],[国家]])*表1_861218222426728894[活跃尖端战力])</f>
        <v>2980299</v>
      </c>
      <c r="G191" s="225">
        <f>SUMIFS(表1_861218222426728894[活跃总战力],表1_861218222426728894[目标区服],表2_971319232527738995[[#This Row],[合区区服]],表1_861218222426728894[目标国家（映射）],表2_971319232527738995[[#This Row],[国家]])</f>
        <v>27120186</v>
      </c>
      <c r="H191" s="224">
        <f>SUMIFS(表1_861218222426728894[活跃实际充值],表1_861218222426728894[目标区服],表2_971319232527738995[[#This Row],[合区区服]],表1_861218222426728894[目标国家（映射）],表2_971319232527738995[[#This Row],[国家]])</f>
        <v>103228</v>
      </c>
      <c r="I191" s="224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91" s="224">
        <f>SUMIFS(表1_861218222426728894[活跃Coin],表1_861218222426728894[目标区服],表2_971319232527738995[[#This Row],[合区区服]],表1_861218222426728894[目标国家（映射）],表2_971319232527738995[[#This Row],[国家]])</f>
        <v>623559</v>
      </c>
      <c r="K191" s="224">
        <f>SUMIFS(表1_861218222426728894[共计补偿Coin],表1_861218222426728894[目标区服],表2_971319232527738995[[#This Row],[合区区服]],表1_861218222426728894[目标国家（映射）],表2_971319232527738995[[#This Row],[国家]])</f>
        <v>33000</v>
      </c>
      <c r="L191" s="224">
        <f>表2_971319232527738995[[#This Row],[活跃Coin]]+表2_971319232527738995[[#This Row],[共计补偿Coin]]</f>
        <v>656559</v>
      </c>
      <c r="M191" s="224">
        <f>SUMIFS(表1_861218222426728894[综合国力],表1_861218222426728894[目标区服],表2_971319232527738995[[#This Row],[合区区服]],表1_861218222426728894[目标国家（映射）],表2_971319232527738995[[#This Row],[国家]])</f>
        <v>13072</v>
      </c>
      <c r="N191" s="471">
        <f t="array" ref="N191">MAX((表1_861218222426728894[目标区服]=表2_971319232527738995[[#This Row],[合区区服]])*(表1_861218222426728894[目标国家（映射）]=表2_971319232527738995[[#This Row],[国家]])*表1_861218222426728894[单将最高战力])</f>
        <v>834962</v>
      </c>
      <c r="P191" s="51">
        <v>5170</v>
      </c>
      <c r="Q191" s="51">
        <v>41</v>
      </c>
    </row>
    <row r="192" ht="15" spans="1:17">
      <c r="A192" s="308" t="s">
        <v>204</v>
      </c>
      <c r="B192" s="224" t="s">
        <v>26</v>
      </c>
      <c r="C192" s="224">
        <f>COUNTIFS(表1_861218222426728894[目标区服],表2_971319232527738995[[#This Row],[合区区服]],表1_861218222426728894[目标国家（映射）],表2_971319232527738995[[#This Row],[国家]])</f>
        <v>3</v>
      </c>
      <c r="D192" s="224">
        <f>SUMIFS(表1_861218222426728894[活跃高战玩家数],表1_861218222426728894[目标区服],表2_971319232527738995[[#This Row],[合区区服]],表1_861218222426728894[目标国家（映射）],表2_971319232527738995[[#This Row],[国家]])</f>
        <v>4</v>
      </c>
      <c r="E192" s="224">
        <f>SUMIFS(表1_861218222426728894[活跃中坚玩家数],表1_861218222426728894[目标区服],表2_971319232527738995[[#This Row],[合区区服]],表1_861218222426728894[目标国家（映射）],表2_971319232527738995[[#This Row],[国家]])</f>
        <v>71</v>
      </c>
      <c r="F192" s="224">
        <f t="array" ref="F192">MAX((表1_861218222426728894[目标区服]=表2_971319232527738995[[#This Row],[合区区服]])*(表1_861218222426728894[目标国家（映射）]=表2_971319232527738995[[#This Row],[国家]])*表1_861218222426728894[活跃尖端战力])</f>
        <v>1727334</v>
      </c>
      <c r="G192" s="225">
        <f>SUMIFS(表1_861218222426728894[活跃总战力],表1_861218222426728894[目标区服],表2_971319232527738995[[#This Row],[合区区服]],表1_861218222426728894[目标国家（映射）],表2_971319232527738995[[#This Row],[国家]])</f>
        <v>45651028</v>
      </c>
      <c r="H192" s="224">
        <f>SUMIFS(表1_861218222426728894[活跃实际充值],表1_861218222426728894[目标区服],表2_971319232527738995[[#This Row],[合区区服]],表1_861218222426728894[目标国家（映射）],表2_971319232527738995[[#This Row],[国家]])</f>
        <v>80592</v>
      </c>
      <c r="I192" s="224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92" s="224">
        <f>SUMIFS(表1_861218222426728894[活跃Coin],表1_861218222426728894[目标区服],表2_971319232527738995[[#This Row],[合区区服]],表1_861218222426728894[目标国家（映射）],表2_971319232527738995[[#This Row],[国家]])</f>
        <v>784853</v>
      </c>
      <c r="K192" s="224">
        <f>SUMIFS(表1_861218222426728894[共计补偿Coin],表1_861218222426728894[目标区服],表2_971319232527738995[[#This Row],[合区区服]],表1_861218222426728894[目标国家（映射）],表2_971319232527738995[[#This Row],[国家]])</f>
        <v>102000</v>
      </c>
      <c r="L192" s="224">
        <f>表2_971319232527738995[[#This Row],[活跃Coin]]+表2_971319232527738995[[#This Row],[共计补偿Coin]]</f>
        <v>886853</v>
      </c>
      <c r="M192" s="224">
        <f>SUMIFS(表1_861218222426728894[综合国力],表1_861218222426728894[目标区服],表2_971319232527738995[[#This Row],[合区区服]],表1_861218222426728894[目标国家（映射）],表2_971319232527738995[[#This Row],[国家]])</f>
        <v>16813</v>
      </c>
      <c r="N192" s="471">
        <f t="array" ref="N192">MAX((表1_861218222426728894[目标区服]=表2_971319232527738995[[#This Row],[合区区服]])*(表1_861218222426728894[目标国家（映射）]=表2_971319232527738995[[#This Row],[国家]])*表1_861218222426728894[单将最高战力])</f>
        <v>585976</v>
      </c>
      <c r="P192" s="51">
        <v>5171</v>
      </c>
      <c r="Q192" s="51">
        <v>41</v>
      </c>
    </row>
    <row r="193" ht="15" spans="1:17">
      <c r="A193" s="308" t="s">
        <v>204</v>
      </c>
      <c r="B193" s="224" t="s">
        <v>27</v>
      </c>
      <c r="C193" s="224">
        <f>COUNTIFS(表1_861218222426728894[目标区服],表2_971319232527738995[[#This Row],[合区区服]],表1_861218222426728894[目标国家（映射）],表2_971319232527738995[[#This Row],[国家]])</f>
        <v>2</v>
      </c>
      <c r="D193" s="224">
        <f>SUMIFS(表1_861218222426728894[活跃高战玩家数],表1_861218222426728894[目标区服],表2_971319232527738995[[#This Row],[合区区服]],表1_861218222426728894[目标国家（映射）],表2_971319232527738995[[#This Row],[国家]])</f>
        <v>9</v>
      </c>
      <c r="E193" s="224">
        <f>SUMIFS(表1_861218222426728894[活跃中坚玩家数],表1_861218222426728894[目标区服],表2_971319232527738995[[#This Row],[合区区服]],表1_861218222426728894[目标国家（映射）],表2_971319232527738995[[#This Row],[国家]])</f>
        <v>35</v>
      </c>
      <c r="F193" s="224">
        <f t="array" ref="F193">MAX((表1_861218222426728894[目标区服]=表2_971319232527738995[[#This Row],[合区区服]])*(表1_861218222426728894[目标国家（映射）]=表2_971319232527738995[[#This Row],[国家]])*表1_861218222426728894[活跃尖端战力])</f>
        <v>2552405</v>
      </c>
      <c r="G193" s="225">
        <f>SUMIFS(表1_861218222426728894[活跃总战力],表1_861218222426728894[目标区服],表2_971319232527738995[[#This Row],[合区区服]],表1_861218222426728894[目标国家（映射）],表2_971319232527738995[[#This Row],[国家]])</f>
        <v>35095517</v>
      </c>
      <c r="H193" s="224">
        <f>SUMIFS(表1_861218222426728894[活跃实际充值],表1_861218222426728894[目标区服],表2_971319232527738995[[#This Row],[合区区服]],表1_861218222426728894[目标国家（映射）],表2_971319232527738995[[#This Row],[国家]])</f>
        <v>90860</v>
      </c>
      <c r="I193" s="224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93" s="224">
        <f>SUMIFS(表1_861218222426728894[活跃Coin],表1_861218222426728894[目标区服],表2_971319232527738995[[#This Row],[合区区服]],表1_861218222426728894[目标国家（映射）],表2_971319232527738995[[#This Row],[国家]])</f>
        <v>350128</v>
      </c>
      <c r="K193" s="224">
        <f>SUMIFS(表1_861218222426728894[共计补偿Coin],表1_861218222426728894[目标区服],表2_971319232527738995[[#This Row],[合区区服]],表1_861218222426728894[目标国家（映射）],表2_971319232527738995[[#This Row],[国家]])</f>
        <v>57500</v>
      </c>
      <c r="L193" s="224">
        <f>表2_971319232527738995[[#This Row],[活跃Coin]]+表2_971319232527738995[[#This Row],[共计补偿Coin]]</f>
        <v>407628</v>
      </c>
      <c r="M193" s="224">
        <f>SUMIFS(表1_861218222426728894[综合国力],表1_861218222426728894[目标区服],表2_971319232527738995[[#This Row],[合区区服]],表1_861218222426728894[目标国家（映射）],表2_971319232527738995[[#This Row],[国家]])</f>
        <v>14762</v>
      </c>
      <c r="N193" s="471">
        <f t="array" ref="N193">MAX((表1_861218222426728894[目标区服]=表2_971319232527738995[[#This Row],[合区区服]])*(表1_861218222426728894[目标国家（映射）]=表2_971319232527738995[[#This Row],[国家]])*表1_861218222426728894[单将最高战力])</f>
        <v>705637</v>
      </c>
      <c r="P193" s="51">
        <v>5172</v>
      </c>
      <c r="Q193" s="51">
        <v>41</v>
      </c>
    </row>
    <row r="194" ht="15" spans="1:17">
      <c r="A194" s="414" t="s">
        <v>205</v>
      </c>
      <c r="B194" s="455" t="s">
        <v>25</v>
      </c>
      <c r="C194" s="455">
        <f>COUNTIFS(表1_861218222426728894[目标区服],表2_971319232527738995[[#This Row],[合区区服]],表1_861218222426728894[目标国家（映射）],表2_971319232527738995[[#This Row],[国家]])</f>
        <v>3</v>
      </c>
      <c r="D194" s="455">
        <f>SUMIFS(表1_861218222426728894[活跃高战玩家数],表1_861218222426728894[目标区服],表2_971319232527738995[[#This Row],[合区区服]],表1_861218222426728894[目标国家（映射）],表2_971319232527738995[[#This Row],[国家]])</f>
        <v>8</v>
      </c>
      <c r="E194" s="455">
        <f>SUMIFS(表1_861218222426728894[活跃中坚玩家数],表1_861218222426728894[目标区服],表2_971319232527738995[[#This Row],[合区区服]],表1_861218222426728894[目标国家（映射）],表2_971319232527738995[[#This Row],[国家]])</f>
        <v>45</v>
      </c>
      <c r="F194" s="455">
        <f t="array" ref="F194">MAX((表1_861218222426728894[目标区服]=表2_971319232527738995[[#This Row],[合区区服]])*(表1_861218222426728894[目标国家（映射）]=表2_971319232527738995[[#This Row],[国家]])*表1_861218222426728894[活跃尖端战力])</f>
        <v>2018079</v>
      </c>
      <c r="G194" s="456">
        <f>SUMIFS(表1_861218222426728894[活跃总战力],表1_861218222426728894[目标区服],表2_971319232527738995[[#This Row],[合区区服]],表1_861218222426728894[目标国家（映射）],表2_971319232527738995[[#This Row],[国家]])</f>
        <v>34487250</v>
      </c>
      <c r="H194" s="455">
        <f>SUMIFS(表1_861218222426728894[活跃实际充值],表1_861218222426728894[目标区服],表2_971319232527738995[[#This Row],[合区区服]],表1_861218222426728894[目标国家（映射）],表2_971319232527738995[[#This Row],[国家]])</f>
        <v>86676</v>
      </c>
      <c r="I194" s="455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94" s="455">
        <f>SUMIFS(表1_861218222426728894[活跃Coin],表1_861218222426728894[目标区服],表2_971319232527738995[[#This Row],[合区区服]],表1_861218222426728894[目标国家（映射）],表2_971319232527738995[[#This Row],[国家]])</f>
        <v>397243</v>
      </c>
      <c r="K194" s="455">
        <f>SUMIFS(表1_861218222426728894[共计补偿Coin],表1_861218222426728894[目标区服],表2_971319232527738995[[#This Row],[合区区服]],表1_861218222426728894[目标国家（映射）],表2_971319232527738995[[#This Row],[国家]])</f>
        <v>53000</v>
      </c>
      <c r="L194" s="455">
        <f>表2_971319232527738995[[#This Row],[活跃Coin]]+表2_971319232527738995[[#This Row],[共计补偿Coin]]</f>
        <v>450243</v>
      </c>
      <c r="M194" s="455">
        <f>SUMIFS(表1_861218222426728894[综合国力],表1_861218222426728894[目标区服],表2_971319232527738995[[#This Row],[合区区服]],表1_861218222426728894[目标国家（映射）],表2_971319232527738995[[#This Row],[国家]])</f>
        <v>15505</v>
      </c>
      <c r="N194" s="472">
        <f t="array" ref="N194">MAX((表1_861218222426728894[目标区服]=表2_971319232527738995[[#This Row],[合区区服]])*(表1_861218222426728894[目标国家（映射）]=表2_971319232527738995[[#This Row],[国家]])*表1_861218222426728894[单将最高战力])</f>
        <v>838846</v>
      </c>
      <c r="P194" s="51">
        <v>5173</v>
      </c>
      <c r="Q194" s="51">
        <v>41</v>
      </c>
    </row>
    <row r="195" ht="15" spans="1:17">
      <c r="A195" s="414" t="s">
        <v>205</v>
      </c>
      <c r="B195" s="455" t="s">
        <v>26</v>
      </c>
      <c r="C195" s="455">
        <f>COUNTIFS(表1_861218222426728894[目标区服],表2_971319232527738995[[#This Row],[合区区服]],表1_861218222426728894[目标国家（映射）],表2_971319232527738995[[#This Row],[国家]])</f>
        <v>1</v>
      </c>
      <c r="D195" s="455">
        <f>SUMIFS(表1_861218222426728894[活跃高战玩家数],表1_861218222426728894[目标区服],表2_971319232527738995[[#This Row],[合区区服]],表1_861218222426728894[目标国家（映射）],表2_971319232527738995[[#This Row],[国家]])</f>
        <v>3</v>
      </c>
      <c r="E195" s="455">
        <f>SUMIFS(表1_861218222426728894[活跃中坚玩家数],表1_861218222426728894[目标区服],表2_971319232527738995[[#This Row],[合区区服]],表1_861218222426728894[目标国家（映射）],表2_971319232527738995[[#This Row],[国家]])</f>
        <v>26</v>
      </c>
      <c r="F195" s="455">
        <f t="array" ref="F195">MAX((表1_861218222426728894[目标区服]=表2_971319232527738995[[#This Row],[合区区服]])*(表1_861218222426728894[目标国家（映射）]=表2_971319232527738995[[#This Row],[国家]])*表1_861218222426728894[活跃尖端战力])</f>
        <v>2685231</v>
      </c>
      <c r="G195" s="456">
        <f>SUMIFS(表1_861218222426728894[活跃总战力],表1_861218222426728894[目标区服],表2_971319232527738995[[#This Row],[合区区服]],表1_861218222426728894[目标国家（映射）],表2_971319232527738995[[#This Row],[国家]])</f>
        <v>19502250</v>
      </c>
      <c r="H195" s="455">
        <f>SUMIFS(表1_861218222426728894[活跃实际充值],表1_861218222426728894[目标区服],表2_971319232527738995[[#This Row],[合区区服]],表1_861218222426728894[目标国家（映射）],表2_971319232527738995[[#This Row],[国家]])</f>
        <v>137818</v>
      </c>
      <c r="I195" s="455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95" s="455">
        <f>SUMIFS(表1_861218222426728894[活跃Coin],表1_861218222426728894[目标区服],表2_971319232527738995[[#This Row],[合区区服]],表1_861218222426728894[目标国家（映射）],表2_971319232527738995[[#This Row],[国家]])</f>
        <v>799283</v>
      </c>
      <c r="K195" s="455">
        <f>SUMIFS(表1_861218222426728894[共计补偿Coin],表1_861218222426728894[目标区服],表2_971319232527738995[[#This Row],[合区区服]],表1_861218222426728894[目标国家（映射）],表2_971319232527738995[[#This Row],[国家]])</f>
        <v>29000</v>
      </c>
      <c r="L195" s="455">
        <f>表2_971319232527738995[[#This Row],[活跃Coin]]+表2_971319232527738995[[#This Row],[共计补偿Coin]]</f>
        <v>828283</v>
      </c>
      <c r="M195" s="455">
        <f>SUMIFS(表1_861218222426728894[综合国力],表1_861218222426728894[目标区服],表2_971319232527738995[[#This Row],[合区区服]],表1_861218222426728894[目标国家（映射）],表2_971319232527738995[[#This Row],[国家]])</f>
        <v>12382</v>
      </c>
      <c r="N195" s="472">
        <f t="array" ref="N195">MAX((表1_861218222426728894[目标区服]=表2_971319232527738995[[#This Row],[合区区服]])*(表1_861218222426728894[目标国家（映射）]=表2_971319232527738995[[#This Row],[国家]])*表1_861218222426728894[单将最高战力])</f>
        <v>975338</v>
      </c>
      <c r="P195" s="51">
        <v>5174</v>
      </c>
      <c r="Q195" s="51">
        <v>41</v>
      </c>
    </row>
    <row r="196" ht="15" spans="1:17">
      <c r="A196" s="414" t="s">
        <v>205</v>
      </c>
      <c r="B196" s="457" t="s">
        <v>27</v>
      </c>
      <c r="C196" s="457">
        <f>COUNTIFS(表1_861218222426728894[目标区服],表2_971319232527738995[[#This Row],[合区区服]],表1_861218222426728894[目标国家（映射）],表2_971319232527738995[[#This Row],[国家]])</f>
        <v>2</v>
      </c>
      <c r="D196" s="457">
        <f>SUMIFS(表1_861218222426728894[活跃高战玩家数],表1_861218222426728894[目标区服],表2_971319232527738995[[#This Row],[合区区服]],表1_861218222426728894[目标国家（映射）],表2_971319232527738995[[#This Row],[国家]])</f>
        <v>9</v>
      </c>
      <c r="E196" s="457">
        <f>SUMIFS(表1_861218222426728894[活跃中坚玩家数],表1_861218222426728894[目标区服],表2_971319232527738995[[#This Row],[合区区服]],表1_861218222426728894[目标国家（映射）],表2_971319232527738995[[#This Row],[国家]])</f>
        <v>37</v>
      </c>
      <c r="F196" s="455">
        <f t="array" ref="F196">MAX((表1_861218222426728894[目标区服]=表2_971319232527738995[[#This Row],[合区区服]])*(表1_861218222426728894[目标国家（映射）]=表2_971319232527738995[[#This Row],[国家]])*表1_861218222426728894[活跃尖端战力])</f>
        <v>3201160</v>
      </c>
      <c r="G196" s="456">
        <f>SUMIFS(表1_861218222426728894[活跃总战力],表1_861218222426728894[目标区服],表2_971319232527738995[[#This Row],[合区区服]],表1_861218222426728894[目标国家（映射）],表2_971319232527738995[[#This Row],[国家]])</f>
        <v>33845598</v>
      </c>
      <c r="H196" s="455">
        <f>SUMIFS(表1_861218222426728894[活跃实际充值],表1_861218222426728894[目标区服],表2_971319232527738995[[#This Row],[合区区服]],表1_861218222426728894[目标国家（映射）],表2_971319232527738995[[#This Row],[国家]])</f>
        <v>83426</v>
      </c>
      <c r="I196" s="455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96" s="455">
        <f>SUMIFS(表1_861218222426728894[活跃Coin],表1_861218222426728894[目标区服],表2_971319232527738995[[#This Row],[合区区服]],表1_861218222426728894[目标国家（映射）],表2_971319232527738995[[#This Row],[国家]])</f>
        <v>842337</v>
      </c>
      <c r="K196" s="455">
        <f>SUMIFS(表1_861218222426728894[共计补偿Coin],表1_861218222426728894[目标区服],表2_971319232527738995[[#This Row],[合区区服]],表1_861218222426728894[目标国家（映射）],表2_971319232527738995[[#This Row],[国家]])</f>
        <v>46000</v>
      </c>
      <c r="L196" s="455">
        <f>表2_971319232527738995[[#This Row],[活跃Coin]]+表2_971319232527738995[[#This Row],[共计补偿Coin]]</f>
        <v>888337</v>
      </c>
      <c r="M196" s="455">
        <f>SUMIFS(表1_861218222426728894[综合国力],表1_861218222426728894[目标区服],表2_971319232527738995[[#This Row],[合区区服]],表1_861218222426728894[目标国家（映射）],表2_971319232527738995[[#This Row],[国家]])</f>
        <v>16018</v>
      </c>
      <c r="N196" s="472">
        <f t="array" ref="N196">MAX((表1_861218222426728894[目标区服]=表2_971319232527738995[[#This Row],[合区区服]])*(表1_861218222426728894[目标国家（映射）]=表2_971319232527738995[[#This Row],[国家]])*表1_861218222426728894[单将最高战力])</f>
        <v>1013568</v>
      </c>
      <c r="P196" s="51">
        <v>5175</v>
      </c>
      <c r="Q196" s="51">
        <v>41</v>
      </c>
    </row>
    <row r="197" ht="15" spans="1:14">
      <c r="A197" s="177" t="s">
        <v>206</v>
      </c>
      <c r="B197" s="178" t="s">
        <v>25</v>
      </c>
      <c r="C197" s="178">
        <f>COUNTIFS(表1_861218222426728894[目标区服],表2_971319232527738995[[#This Row],[合区区服]],表1_861218222426728894[目标国家（映射）],表2_971319232527738995[[#This Row],[国家]])</f>
        <v>4</v>
      </c>
      <c r="D197" s="178">
        <f>SUMIFS(表1_861218222426728894[活跃高战玩家数],表1_861218222426728894[目标区服],表2_971319232527738995[[#This Row],[合区区服]],表1_861218222426728894[目标国家（映射）],表2_971319232527738995[[#This Row],[国家]])</f>
        <v>13</v>
      </c>
      <c r="E197" s="178">
        <f>SUMIFS(表1_861218222426728894[活跃中坚玩家数],表1_861218222426728894[目标区服],表2_971319232527738995[[#This Row],[合区区服]],表1_861218222426728894[目标国家（映射）],表2_971319232527738995[[#This Row],[国家]])</f>
        <v>40</v>
      </c>
      <c r="F197" s="178">
        <f t="array" ref="F197">MAX((表1_861218222426728894[目标区服]=表2_971319232527738995[[#This Row],[合区区服]])*(表1_861218222426728894[目标国家（映射）]=表2_971319232527738995[[#This Row],[国家]])*表1_861218222426728894[活跃尖端战力])</f>
        <v>1661977</v>
      </c>
      <c r="G197" s="179">
        <f>SUMIFS(表1_861218222426728894[活跃总战力],表1_861218222426728894[目标区服],表2_971319232527738995[[#This Row],[合区区服]],表1_861218222426728894[目标国家（映射）],表2_971319232527738995[[#This Row],[国家]])</f>
        <v>34039373</v>
      </c>
      <c r="H197" s="178">
        <f>SUMIFS(表1_861218222426728894[活跃实际充值],表1_861218222426728894[目标区服],表2_971319232527738995[[#This Row],[合区区服]],表1_861218222426728894[目标国家（映射）],表2_971319232527738995[[#This Row],[国家]])</f>
        <v>67826</v>
      </c>
      <c r="I197" s="178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97" s="178">
        <f>SUMIFS(表1_861218222426728894[活跃Coin],表1_861218222426728894[目标区服],表2_971319232527738995[[#This Row],[合区区服]],表1_861218222426728894[目标国家（映射）],表2_971319232527738995[[#This Row],[国家]])</f>
        <v>606418</v>
      </c>
      <c r="K197" s="178">
        <f>SUMIFS(表1_861218222426728894[共计补偿Coin],表1_861218222426728894[目标区服],表2_971319232527738995[[#This Row],[合区区服]],表1_861218222426728894[目标国家（映射）],表2_971319232527738995[[#This Row],[国家]])</f>
        <v>53000</v>
      </c>
      <c r="L197" s="178">
        <f>表2_971319232527738995[[#This Row],[活跃Coin]]+表2_971319232527738995[[#This Row],[共计补偿Coin]]</f>
        <v>659418</v>
      </c>
      <c r="M197" s="178">
        <f>SUMIFS(表1_861218222426728894[综合国力],表1_861218222426728894[目标区服],表2_971319232527738995[[#This Row],[合区区服]],表1_861218222426728894[目标国家（映射）],表2_971319232527738995[[#This Row],[国家]])</f>
        <v>19186</v>
      </c>
      <c r="N197" s="473">
        <f t="array" ref="N197">MAX((表1_861218222426728894[目标区服]=表2_971319232527738995[[#This Row],[合区区服]])*(表1_861218222426728894[目标国家（映射）]=表2_971319232527738995[[#This Row],[国家]])*表1_861218222426728894[单将最高战力])</f>
        <v>620734</v>
      </c>
    </row>
    <row r="198" ht="15" spans="1:14">
      <c r="A198" s="177" t="s">
        <v>206</v>
      </c>
      <c r="B198" s="178" t="s">
        <v>26</v>
      </c>
      <c r="C198" s="178">
        <f>COUNTIFS(表1_861218222426728894[目标区服],表2_971319232527738995[[#This Row],[合区区服]],表1_861218222426728894[目标国家（映射）],表2_971319232527738995[[#This Row],[国家]])</f>
        <v>3</v>
      </c>
      <c r="D198" s="178">
        <f>SUMIFS(表1_861218222426728894[活跃高战玩家数],表1_861218222426728894[目标区服],表2_971319232527738995[[#This Row],[合区区服]],表1_861218222426728894[目标国家（映射）],表2_971319232527738995[[#This Row],[国家]])</f>
        <v>10</v>
      </c>
      <c r="E198" s="178">
        <f>SUMIFS(表1_861218222426728894[活跃中坚玩家数],表1_861218222426728894[目标区服],表2_971319232527738995[[#This Row],[合区区服]],表1_861218222426728894[目标国家（映射）],表2_971319232527738995[[#This Row],[国家]])</f>
        <v>63</v>
      </c>
      <c r="F198" s="178">
        <f t="array" ref="F198">MAX((表1_861218222426728894[目标区服]=表2_971319232527738995[[#This Row],[合区区服]])*(表1_861218222426728894[目标国家（映射）]=表2_971319232527738995[[#This Row],[国家]])*表1_861218222426728894[活跃尖端战力])</f>
        <v>2067006</v>
      </c>
      <c r="G198" s="179">
        <f>SUMIFS(表1_861218222426728894[活跃总战力],表1_861218222426728894[目标区服],表2_971319232527738995[[#This Row],[合区区服]],表1_861218222426728894[目标国家（映射）],表2_971319232527738995[[#This Row],[国家]])</f>
        <v>43596010</v>
      </c>
      <c r="H198" s="178">
        <f>SUMIFS(表1_861218222426728894[活跃实际充值],表1_861218222426728894[目标区服],表2_971319232527738995[[#This Row],[合区区服]],表1_861218222426728894[目标国家（映射）],表2_971319232527738995[[#This Row],[国家]])</f>
        <v>60838</v>
      </c>
      <c r="I198" s="178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98" s="178">
        <f>SUMIFS(表1_861218222426728894[活跃Coin],表1_861218222426728894[目标区服],表2_971319232527738995[[#This Row],[合区区服]],表1_861218222426728894[目标国家（映射）],表2_971319232527738995[[#This Row],[国家]])</f>
        <v>1063569</v>
      </c>
      <c r="K198" s="178">
        <f>SUMIFS(表1_861218222426728894[共计补偿Coin],表1_861218222426728894[目标区服],表2_971319232527738995[[#This Row],[合区区服]],表1_861218222426728894[目标国家（映射）],表2_971319232527738995[[#This Row],[国家]])</f>
        <v>73000</v>
      </c>
      <c r="L198" s="178">
        <f>表2_971319232527738995[[#This Row],[活跃Coin]]+表2_971319232527738995[[#This Row],[共计补偿Coin]]</f>
        <v>1136569</v>
      </c>
      <c r="M198" s="178">
        <f>SUMIFS(表1_861218222426728894[综合国力],表1_861218222426728894[目标区服],表2_971319232527738995[[#This Row],[合区区服]],表1_861218222426728894[目标国家（映射）],表2_971319232527738995[[#This Row],[国家]])</f>
        <v>18844</v>
      </c>
      <c r="N198" s="473">
        <f t="array" ref="N198">MAX((表1_861218222426728894[目标区服]=表2_971319232527738995[[#This Row],[合区区服]])*(表1_861218222426728894[目标国家（映射）]=表2_971319232527738995[[#This Row],[国家]])*表1_861218222426728894[单将最高战力])</f>
        <v>691451</v>
      </c>
    </row>
    <row r="199" ht="15" spans="1:14">
      <c r="A199" s="177" t="s">
        <v>206</v>
      </c>
      <c r="B199" s="180" t="s">
        <v>27</v>
      </c>
      <c r="C199" s="180">
        <f>COUNTIFS(表1_861218222426728894[目标区服],表2_971319232527738995[[#This Row],[合区区服]],表1_861218222426728894[目标国家（映射）],表2_971319232527738995[[#This Row],[国家]])</f>
        <v>2</v>
      </c>
      <c r="D199" s="180">
        <f>SUMIFS(表1_861218222426728894[活跃高战玩家数],表1_861218222426728894[目标区服],表2_971319232527738995[[#This Row],[合区区服]],表1_861218222426728894[目标国家（映射）],表2_971319232527738995[[#This Row],[国家]])</f>
        <v>5</v>
      </c>
      <c r="E199" s="180">
        <f>SUMIFS(表1_861218222426728894[活跃中坚玩家数],表1_861218222426728894[目标区服],表2_971319232527738995[[#This Row],[合区区服]],表1_861218222426728894[目标国家（映射）],表2_971319232527738995[[#This Row],[国家]])</f>
        <v>28</v>
      </c>
      <c r="F199" s="180">
        <f t="array" ref="F199">MAX((表1_861218222426728894[目标区服]=表2_971319232527738995[[#This Row],[合区区服]])*(表1_861218222426728894[目标国家（映射）]=表2_971319232527738995[[#This Row],[国家]])*表1_861218222426728894[活跃尖端战力])</f>
        <v>2159867</v>
      </c>
      <c r="G199" s="262">
        <f>SUMIFS(表1_861218222426728894[活跃总战力],表1_861218222426728894[目标区服],表2_971319232527738995[[#This Row],[合区区服]],表1_861218222426728894[目标国家（映射）],表2_971319232527738995[[#This Row],[国家]])</f>
        <v>17833524</v>
      </c>
      <c r="H199" s="180">
        <f>SUMIFS(表1_861218222426728894[活跃实际充值],表1_861218222426728894[目标区服],表2_971319232527738995[[#This Row],[合区区服]],表1_861218222426728894[目标国家（映射）],表2_971319232527738995[[#This Row],[国家]])</f>
        <v>83264</v>
      </c>
      <c r="I199" s="180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199" s="180">
        <f>SUMIFS(表1_861218222426728894[活跃Coin],表1_861218222426728894[目标区服],表2_971319232527738995[[#This Row],[合区区服]],表1_861218222426728894[目标国家（映射）],表2_971319232527738995[[#This Row],[国家]])</f>
        <v>797488</v>
      </c>
      <c r="K199" s="180">
        <f>SUMIFS(表1_861218222426728894[共计补偿Coin],表1_861218222426728894[目标区服],表2_971319232527738995[[#This Row],[合区区服]],表1_861218222426728894[目标国家（映射）],表2_971319232527738995[[#This Row],[国家]])</f>
        <v>33000</v>
      </c>
      <c r="L199" s="180">
        <f>表2_971319232527738995[[#This Row],[活跃Coin]]+表2_971319232527738995[[#This Row],[共计补偿Coin]]</f>
        <v>830488</v>
      </c>
      <c r="M199" s="180">
        <f>SUMIFS(表1_861218222426728894[综合国力],表1_861218222426728894[目标区服],表2_971319232527738995[[#This Row],[合区区服]],表1_861218222426728894[目标国家（映射）],表2_971319232527738995[[#This Row],[国家]])</f>
        <v>12262</v>
      </c>
      <c r="N199" s="474">
        <f t="array" ref="N199">MAX((表1_861218222426728894[目标区服]=表2_971319232527738995[[#This Row],[合区区服]])*(表1_861218222426728894[目标国家（映射）]=表2_971319232527738995[[#This Row],[国家]])*表1_861218222426728894[单将最高战力])</f>
        <v>900376</v>
      </c>
    </row>
    <row r="200" ht="15" spans="1:14">
      <c r="A200" s="41" t="s">
        <v>207</v>
      </c>
      <c r="B200" s="41" t="s">
        <v>25</v>
      </c>
      <c r="C200" s="41">
        <f>COUNTIFS(表1_861218222426728894[目标区服],表2_971319232527738995[[#This Row],[合区区服]],表1_861218222426728894[目标国家（映射）],表2_971319232527738995[[#This Row],[国家]])</f>
        <v>3</v>
      </c>
      <c r="D200" s="41">
        <f>SUMIFS(表1_861218222426728894[活跃高战玩家数],表1_861218222426728894[目标区服],表2_971319232527738995[[#This Row],[合区区服]],表1_861218222426728894[目标国家（映射）],表2_971319232527738995[[#This Row],[国家]])</f>
        <v>12</v>
      </c>
      <c r="E200" s="41">
        <f>SUMIFS(表1_861218222426728894[活跃中坚玩家数],表1_861218222426728894[目标区服],表2_971319232527738995[[#This Row],[合区区服]],表1_861218222426728894[目标国家（映射）],表2_971319232527738995[[#This Row],[国家]])</f>
        <v>45</v>
      </c>
      <c r="F200" s="41">
        <f t="array" ref="F200">MAX((表1_861218222426728894[目标区服]=表2_971319232527738995[[#This Row],[合区区服]])*(表1_861218222426728894[目标国家（映射）]=表2_971319232527738995[[#This Row],[国家]])*表1_861218222426728894[活跃尖端战力])</f>
        <v>2130385</v>
      </c>
      <c r="G200" s="42">
        <f>SUMIFS(表1_861218222426728894[活跃总战力],表1_861218222426728894[目标区服],表2_971319232527738995[[#This Row],[合区区服]],表1_861218222426728894[目标国家（映射）],表2_971319232527738995[[#This Row],[国家]])</f>
        <v>37541929</v>
      </c>
      <c r="H200" s="41">
        <f>SUMIFS(表1_861218222426728894[活跃实际充值],表1_861218222426728894[目标区服],表2_971319232527738995[[#This Row],[合区区服]],表1_861218222426728894[目标国家（映射）],表2_971319232527738995[[#This Row],[国家]])</f>
        <v>61058</v>
      </c>
      <c r="I200" s="41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200" s="41">
        <f>SUMIFS(表1_861218222426728894[活跃Coin],表1_861218222426728894[目标区服],表2_971319232527738995[[#This Row],[合区区服]],表1_861218222426728894[目标国家（映射）],表2_971319232527738995[[#This Row],[国家]])</f>
        <v>619066</v>
      </c>
      <c r="K200" s="41">
        <f>SUMIFS(表1_861218222426728894[共计补偿Coin],表1_861218222426728894[目标区服],表2_971319232527738995[[#This Row],[合区区服]],表1_861218222426728894[目标国家（映射）],表2_971319232527738995[[#This Row],[国家]])</f>
        <v>57000</v>
      </c>
      <c r="L200" s="41">
        <f>表2_971319232527738995[[#This Row],[活跃Coin]]+表2_971319232527738995[[#This Row],[共计补偿Coin]]</f>
        <v>676066</v>
      </c>
      <c r="M200" s="41">
        <f>SUMIFS(表1_861218222426728894[综合国力],表1_861218222426728894[目标区服],表2_971319232527738995[[#This Row],[合区区服]],表1_861218222426728894[目标国家（映射）],表2_971319232527738995[[#This Row],[国家]])</f>
        <v>17702</v>
      </c>
      <c r="N200" s="41">
        <f t="array" ref="N200">MAX((表1_861218222426728894[目标区服]=表2_971319232527738995[[#This Row],[合区区服]])*(表1_861218222426728894[目标国家（映射）]=表2_971319232527738995[[#This Row],[国家]])*表1_861218222426728894[单将最高战力])</f>
        <v>622068</v>
      </c>
    </row>
    <row r="201" ht="15" spans="1:14">
      <c r="A201" s="41" t="s">
        <v>207</v>
      </c>
      <c r="B201" s="213" t="s">
        <v>26</v>
      </c>
      <c r="C201" s="41">
        <f>COUNTIFS(表1_861218222426728894[目标区服],表2_971319232527738995[[#This Row],[合区区服]],表1_861218222426728894[目标国家（映射）],表2_971319232527738995[[#This Row],[国家]])</f>
        <v>3</v>
      </c>
      <c r="D201" s="41">
        <f>SUMIFS(表1_861218222426728894[活跃高战玩家数],表1_861218222426728894[目标区服],表2_971319232527738995[[#This Row],[合区区服]],表1_861218222426728894[目标国家（映射）],表2_971319232527738995[[#This Row],[国家]])</f>
        <v>12</v>
      </c>
      <c r="E201" s="41">
        <f>SUMIFS(表1_861218222426728894[活跃中坚玩家数],表1_861218222426728894[目标区服],表2_971319232527738995[[#This Row],[合区区服]],表1_861218222426728894[目标国家（映射）],表2_971319232527738995[[#This Row],[国家]])</f>
        <v>43</v>
      </c>
      <c r="F201" s="41">
        <f t="array" ref="F201">MAX((表1_861218222426728894[目标区服]=表2_971319232527738995[[#This Row],[合区区服]])*(表1_861218222426728894[目标国家（映射）]=表2_971319232527738995[[#This Row],[国家]])*表1_861218222426728894[活跃尖端战力])</f>
        <v>2069648</v>
      </c>
      <c r="G201" s="42">
        <f>SUMIFS(表1_861218222426728894[活跃总战力],表1_861218222426728894[目标区服],表2_971319232527738995[[#This Row],[合区区服]],表1_861218222426728894[目标国家（映射）],表2_971319232527738995[[#This Row],[国家]])</f>
        <v>36535140</v>
      </c>
      <c r="H201" s="41">
        <f>SUMIFS(表1_861218222426728894[活跃实际充值],表1_861218222426728894[目标区服],表2_971319232527738995[[#This Row],[合区区服]],表1_861218222426728894[目标国家（映射）],表2_971319232527738995[[#This Row],[国家]])</f>
        <v>80058</v>
      </c>
      <c r="I201" s="41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201" s="41">
        <f>SUMIFS(表1_861218222426728894[活跃Coin],表1_861218222426728894[目标区服],表2_971319232527738995[[#This Row],[合区区服]],表1_861218222426728894[目标国家（映射）],表2_971319232527738995[[#This Row],[国家]])</f>
        <v>625480</v>
      </c>
      <c r="K201" s="41">
        <f>SUMIFS(表1_861218222426728894[共计补偿Coin],表1_861218222426728894[目标区服],表2_971319232527738995[[#This Row],[合区区服]],表1_861218222426728894[目标国家（映射）],表2_971319232527738995[[#This Row],[国家]])</f>
        <v>55000</v>
      </c>
      <c r="L201" s="41">
        <f>表2_971319232527738995[[#This Row],[活跃Coin]]+表2_971319232527738995[[#This Row],[共计补偿Coin]]</f>
        <v>680480</v>
      </c>
      <c r="M201" s="41">
        <f>SUMIFS(表1_861218222426728894[综合国力],表1_861218222426728894[目标区服],表2_971319232527738995[[#This Row],[合区区服]],表1_861218222426728894[目标国家（映射）],表2_971319232527738995[[#This Row],[国家]])</f>
        <v>19388</v>
      </c>
      <c r="N201" s="41">
        <f t="array" ref="N201">MAX((表1_861218222426728894[目标区服]=表2_971319232527738995[[#This Row],[合区区服]])*(表1_861218222426728894[目标国家（映射）]=表2_971319232527738995[[#This Row],[国家]])*表1_861218222426728894[单将最高战力])</f>
        <v>623686</v>
      </c>
    </row>
    <row r="202" ht="15" spans="1:14">
      <c r="A202" s="41" t="s">
        <v>207</v>
      </c>
      <c r="B202" s="213" t="s">
        <v>27</v>
      </c>
      <c r="C202" s="41">
        <f>COUNTIFS(表1_861218222426728894[目标区服],表2_971319232527738995[[#This Row],[合区区服]],表1_861218222426728894[目标国家（映射）],表2_971319232527738995[[#This Row],[国家]])</f>
        <v>3</v>
      </c>
      <c r="D202" s="41">
        <f>SUMIFS(表1_861218222426728894[活跃高战玩家数],表1_861218222426728894[目标区服],表2_971319232527738995[[#This Row],[合区区服]],表1_861218222426728894[目标国家（映射）],表2_971319232527738995[[#This Row],[国家]])</f>
        <v>6</v>
      </c>
      <c r="E202" s="41">
        <f>SUMIFS(表1_861218222426728894[活跃中坚玩家数],表1_861218222426728894[目标区服],表2_971319232527738995[[#This Row],[合区区服]],表1_861218222426728894[目标国家（映射）],表2_971319232527738995[[#This Row],[国家]])</f>
        <v>40</v>
      </c>
      <c r="F202" s="41">
        <f t="array" ref="F202">MAX((表1_861218222426728894[目标区服]=表2_971319232527738995[[#This Row],[合区区服]])*(表1_861218222426728894[目标国家（映射）]=表2_971319232527738995[[#This Row],[国家]])*表1_861218222426728894[活跃尖端战力])</f>
        <v>1972836</v>
      </c>
      <c r="G202" s="42">
        <f>SUMIFS(表1_861218222426728894[活跃总战力],表1_861218222426728894[目标区服],表2_971319232527738995[[#This Row],[合区区服]],表1_861218222426728894[目标国家（映射）],表2_971319232527738995[[#This Row],[国家]])</f>
        <v>24936036</v>
      </c>
      <c r="H202" s="41">
        <f>SUMIFS(表1_861218222426728894[活跃实际充值],表1_861218222426728894[目标区服],表2_971319232527738995[[#This Row],[合区区服]],表1_861218222426728894[目标国家（映射）],表2_971319232527738995[[#This Row],[国家]])</f>
        <v>87122</v>
      </c>
      <c r="I202" s="41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202" s="41">
        <f>SUMIFS(表1_861218222426728894[活跃Coin],表1_861218222426728894[目标区服],表2_971319232527738995[[#This Row],[合区区服]],表1_861218222426728894[目标国家（映射）],表2_971319232527738995[[#This Row],[国家]])</f>
        <v>664597</v>
      </c>
      <c r="K202" s="41">
        <f>SUMIFS(表1_861218222426728894[共计补偿Coin],表1_861218222426728894[目标区服],表2_971319232527738995[[#This Row],[合区区服]],表1_861218222426728894[目标国家（映射）],表2_971319232527738995[[#This Row],[国家]])</f>
        <v>46000</v>
      </c>
      <c r="L202" s="41">
        <f>表2_971319232527738995[[#This Row],[活跃Coin]]+表2_971319232527738995[[#This Row],[共计补偿Coin]]</f>
        <v>710597</v>
      </c>
      <c r="M202" s="41">
        <f>SUMIFS(表1_861218222426728894[综合国力],表1_861218222426728894[目标区服],表2_971319232527738995[[#This Row],[合区区服]],表1_861218222426728894[目标国家（映射）],表2_971319232527738995[[#This Row],[国家]])</f>
        <v>14348</v>
      </c>
      <c r="N202" s="41">
        <f t="array" ref="N202">MAX((表1_861218222426728894[目标区服]=表2_971319232527738995[[#This Row],[合区区服]])*(表1_861218222426728894[目标国家（映射）]=表2_971319232527738995[[#This Row],[国家]])*表1_861218222426728894[单将最高战力])</f>
        <v>734241</v>
      </c>
    </row>
    <row r="203" ht="15" spans="1:14">
      <c r="A203" s="45" t="s">
        <v>208</v>
      </c>
      <c r="B203" s="46" t="s">
        <v>25</v>
      </c>
      <c r="C203" s="46">
        <f>COUNTIFS(表1_861218222426728894[目标区服],表2_971319232527738995[[#This Row],[合区区服]],表1_861218222426728894[目标国家（映射）],表2_971319232527738995[[#This Row],[国家]])</f>
        <v>3</v>
      </c>
      <c r="D203" s="46">
        <f>SUMIFS(表1_861218222426728894[活跃高战玩家数],表1_861218222426728894[目标区服],表2_971319232527738995[[#This Row],[合区区服]],表1_861218222426728894[目标国家（映射）],表2_971319232527738995[[#This Row],[国家]])</f>
        <v>9</v>
      </c>
      <c r="E203" s="46">
        <f>SUMIFS(表1_861218222426728894[活跃中坚玩家数],表1_861218222426728894[目标区服],表2_971319232527738995[[#This Row],[合区区服]],表1_861218222426728894[目标国家（映射）],表2_971319232527738995[[#This Row],[国家]])</f>
        <v>43</v>
      </c>
      <c r="F203" s="46">
        <f t="array" ref="F203">MAX((表1_861218222426728894[目标区服]=表2_971319232527738995[[#This Row],[合区区服]])*(表1_861218222426728894[目标国家（映射）]=表2_971319232527738995[[#This Row],[国家]])*表1_861218222426728894[活跃尖端战力])</f>
        <v>2379605</v>
      </c>
      <c r="G203" s="47">
        <f>SUMIFS(表1_861218222426728894[活跃总战力],表1_861218222426728894[目标区服],表2_971319232527738995[[#This Row],[合区区服]],表1_861218222426728894[目标国家（映射）],表2_971319232527738995[[#This Row],[国家]])</f>
        <v>31026968</v>
      </c>
      <c r="H203" s="46">
        <f>SUMIFS(表1_861218222426728894[活跃实际充值],表1_861218222426728894[目标区服],表2_971319232527738995[[#This Row],[合区区服]],表1_861218222426728894[目标国家（映射）],表2_971319232527738995[[#This Row],[国家]])</f>
        <v>84310</v>
      </c>
      <c r="I203" s="46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203" s="46">
        <f>SUMIFS(表1_861218222426728894[活跃Coin],表1_861218222426728894[目标区服],表2_971319232527738995[[#This Row],[合区区服]],表1_861218222426728894[目标国家（映射）],表2_971319232527738995[[#This Row],[国家]])</f>
        <v>840255</v>
      </c>
      <c r="K203" s="46">
        <f>SUMIFS(表1_861218222426728894[共计补偿Coin],表1_861218222426728894[目标区服],表2_971319232527738995[[#This Row],[合区区服]],表1_861218222426728894[目标国家（映射）],表2_971319232527738995[[#This Row],[国家]])</f>
        <v>61000</v>
      </c>
      <c r="L203" s="46">
        <f>表2_971319232527738995[[#This Row],[活跃Coin]]+表2_971319232527738995[[#This Row],[共计补偿Coin]]</f>
        <v>901255</v>
      </c>
      <c r="M203" s="46">
        <f>SUMIFS(表1_861218222426728894[综合国力],表1_861218222426728894[目标区服],表2_971319232527738995[[#This Row],[合区区服]],表1_861218222426728894[目标国家（映射）],表2_971319232527738995[[#This Row],[国家]])</f>
        <v>17313</v>
      </c>
      <c r="N203" s="46">
        <f t="array" ref="N203">MAX((表1_861218222426728894[目标区服]=表2_971319232527738995[[#This Row],[合区区服]])*(表1_861218222426728894[目标国家（映射）]=表2_971319232527738995[[#This Row],[国家]])*表1_861218222426728894[单将最高战力])</f>
        <v>785438</v>
      </c>
    </row>
    <row r="204" ht="15" spans="1:14">
      <c r="A204" s="45" t="s">
        <v>208</v>
      </c>
      <c r="B204" s="46" t="s">
        <v>26</v>
      </c>
      <c r="C204" s="46">
        <f>COUNTIFS(表1_861218222426728894[目标区服],表2_971319232527738995[[#This Row],[合区区服]],表1_861218222426728894[目标国家（映射）],表2_971319232527738995[[#This Row],[国家]])</f>
        <v>3</v>
      </c>
      <c r="D204" s="46">
        <f>SUMIFS(表1_861218222426728894[活跃高战玩家数],表1_861218222426728894[目标区服],表2_971319232527738995[[#This Row],[合区区服]],表1_861218222426728894[目标国家（映射）],表2_971319232527738995[[#This Row],[国家]])</f>
        <v>15</v>
      </c>
      <c r="E204" s="46">
        <f>SUMIFS(表1_861218222426728894[活跃中坚玩家数],表1_861218222426728894[目标区服],表2_971319232527738995[[#This Row],[合区区服]],表1_861218222426728894[目标国家（映射）],表2_971319232527738995[[#This Row],[国家]])</f>
        <v>51</v>
      </c>
      <c r="F204" s="46">
        <f t="array" ref="F204">MAX((表1_861218222426728894[目标区服]=表2_971319232527738995[[#This Row],[合区区服]])*(表1_861218222426728894[目标国家（映射）]=表2_971319232527738995[[#This Row],[国家]])*表1_861218222426728894[活跃尖端战力])</f>
        <v>2262472</v>
      </c>
      <c r="G204" s="47">
        <f>SUMIFS(表1_861218222426728894[活跃总战力],表1_861218222426728894[目标区服],表2_971319232527738995[[#This Row],[合区区服]],表1_861218222426728894[目标国家（映射）],表2_971319232527738995[[#This Row],[国家]])</f>
        <v>41907324</v>
      </c>
      <c r="H204" s="46">
        <f>SUMIFS(表1_861218222426728894[活跃实际充值],表1_861218222426728894[目标区服],表2_971319232527738995[[#This Row],[合区区服]],表1_861218222426728894[目标国家（映射）],表2_971319232527738995[[#This Row],[国家]])</f>
        <v>85956</v>
      </c>
      <c r="I204" s="46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204" s="46">
        <f>SUMIFS(表1_861218222426728894[活跃Coin],表1_861218222426728894[目标区服],表2_971319232527738995[[#This Row],[合区区服]],表1_861218222426728894[目标国家（映射）],表2_971319232527738995[[#This Row],[国家]])</f>
        <v>1022222</v>
      </c>
      <c r="K204" s="46">
        <f>SUMIFS(表1_861218222426728894[共计补偿Coin],表1_861218222426728894[目标区服],表2_971319232527738995[[#This Row],[合区区服]],表1_861218222426728894[目标国家（映射）],表2_971319232527738995[[#This Row],[国家]])</f>
        <v>99000</v>
      </c>
      <c r="L204" s="46">
        <f>表2_971319232527738995[[#This Row],[活跃Coin]]+表2_971319232527738995[[#This Row],[共计补偿Coin]]</f>
        <v>1121222</v>
      </c>
      <c r="M204" s="46">
        <f>SUMIFS(表1_861218222426728894[综合国力],表1_861218222426728894[目标区服],表2_971319232527738995[[#This Row],[合区区服]],表1_861218222426728894[目标国家（映射）],表2_971319232527738995[[#This Row],[国家]])</f>
        <v>21195</v>
      </c>
      <c r="N204" s="46">
        <f t="array" ref="N204">MAX((表1_861218222426728894[目标区服]=表2_971319232527738995[[#This Row],[合区区服]])*(表1_861218222426728894[目标国家（映射）]=表2_971319232527738995[[#This Row],[国家]])*表1_861218222426728894[单将最高战力])</f>
        <v>661597</v>
      </c>
    </row>
    <row r="205" ht="15" spans="1:14">
      <c r="A205" s="45" t="s">
        <v>208</v>
      </c>
      <c r="B205" s="498" t="s">
        <v>27</v>
      </c>
      <c r="C205" s="48">
        <f>COUNTIFS(表1_861218222426728894[目标区服],表2_971319232527738995[[#This Row],[合区区服]],表1_861218222426728894[目标国家（映射）],表2_971319232527738995[[#This Row],[国家]])</f>
        <v>3</v>
      </c>
      <c r="D205" s="48">
        <f>SUMIFS(表1_861218222426728894[活跃高战玩家数],表1_861218222426728894[目标区服],表2_971319232527738995[[#This Row],[合区区服]],表1_861218222426728894[目标国家（映射）],表2_971319232527738995[[#This Row],[国家]])</f>
        <v>6</v>
      </c>
      <c r="E205" s="48">
        <f>SUMIFS(表1_861218222426728894[活跃中坚玩家数],表1_861218222426728894[目标区服],表2_971319232527738995[[#This Row],[合区区服]],表1_861218222426728894[目标国家（映射）],表2_971319232527738995[[#This Row],[国家]])</f>
        <v>47</v>
      </c>
      <c r="F205" s="48">
        <f t="array" ref="F205">MAX((表1_861218222426728894[目标区服]=表2_971319232527738995[[#This Row],[合区区服]])*(表1_861218222426728894[目标国家（映射）]=表2_971319232527738995[[#This Row],[国家]])*表1_861218222426728894[活跃尖端战力])</f>
        <v>1994678</v>
      </c>
      <c r="G205" s="458">
        <f>SUMIFS(表1_861218222426728894[活跃总战力],表1_861218222426728894[目标区服],表2_971319232527738995[[#This Row],[合区区服]],表1_861218222426728894[目标国家（映射）],表2_971319232527738995[[#This Row],[国家]])</f>
        <v>29464325</v>
      </c>
      <c r="H205" s="48">
        <f>SUMIFS(表1_861218222426728894[活跃实际充值],表1_861218222426728894[目标区服],表2_971319232527738995[[#This Row],[合区区服]],表1_861218222426728894[目标国家（映射）],表2_971319232527738995[[#This Row],[国家]])</f>
        <v>46876</v>
      </c>
      <c r="I205" s="48">
        <f>SUMIFS(表1_861218222426728894[活跃虚拟充值],表1_861218222426728894[目标区服],表2_971319232527738995[[#This Row],[合区区服]],表1_861218222426728894[目标国家（映射）],表2_971319232527738995[[#This Row],[国家]])</f>
        <v>26240</v>
      </c>
      <c r="J205" s="48">
        <f>SUMIFS(表1_861218222426728894[活跃Coin],表1_861218222426728894[目标区服],表2_971319232527738995[[#This Row],[合区区服]],表1_861218222426728894[目标国家（映射）],表2_971319232527738995[[#This Row],[国家]])</f>
        <v>513163</v>
      </c>
      <c r="K205" s="48">
        <f>SUMIFS(表1_861218222426728894[共计补偿Coin],表1_861218222426728894[目标区服],表2_971319232527738995[[#This Row],[合区区服]],表1_861218222426728894[目标国家（映射）],表2_971319232527738995[[#This Row],[国家]])</f>
        <v>69500</v>
      </c>
      <c r="L205" s="48">
        <f>表2_971319232527738995[[#This Row],[活跃Coin]]+表2_971319232527738995[[#This Row],[共计补偿Coin]]</f>
        <v>582663</v>
      </c>
      <c r="M205" s="48">
        <f>SUMIFS(表1_861218222426728894[综合国力],表1_861218222426728894[目标区服],表2_971319232527738995[[#This Row],[合区区服]],表1_861218222426728894[目标国家（映射）],表2_971319232527738995[[#This Row],[国家]])</f>
        <v>13095</v>
      </c>
      <c r="N205" s="46">
        <f t="array" ref="N205">MAX((表1_861218222426728894[目标区服]=表2_971319232527738995[[#This Row],[合区区服]])*(表1_861218222426728894[目标国家（映射）]=表2_971319232527738995[[#This Row],[国家]])*表1_861218222426728894[单将最高战力])</f>
        <v>557514</v>
      </c>
    </row>
    <row r="206" ht="15" spans="1:14">
      <c r="A206" s="497" t="s">
        <v>209</v>
      </c>
      <c r="B206" s="85" t="s">
        <v>25</v>
      </c>
      <c r="C206" s="169">
        <f>COUNTIFS(表1_861218222426728894[目标区服],表2_971319232527738995[[#This Row],[合区区服]],表1_861218222426728894[目标国家（映射）],表2_971319232527738995[[#This Row],[国家]])</f>
        <v>4</v>
      </c>
      <c r="D206" s="169">
        <f>SUMIFS(表1_861218222426728894[活跃高战玩家数],表1_861218222426728894[目标区服],表2_971319232527738995[[#This Row],[合区区服]],表1_861218222426728894[目标国家（映射）],表2_971319232527738995[[#This Row],[国家]])</f>
        <v>13</v>
      </c>
      <c r="E206" s="169">
        <f>SUMIFS(表1_861218222426728894[活跃中坚玩家数],表1_861218222426728894[目标区服],表2_971319232527738995[[#This Row],[合区区服]],表1_861218222426728894[目标国家（映射）],表2_971319232527738995[[#This Row],[国家]])</f>
        <v>60</v>
      </c>
      <c r="F206" s="169">
        <f t="array" ref="F206">MAX((表1_861218222426728894[目标区服]=表2_971319232527738995[[#This Row],[合区区服]])*(表1_861218222426728894[目标国家（映射）]=表2_971319232527738995[[#This Row],[国家]])*表1_861218222426728894[活跃尖端战力])</f>
        <v>1961533</v>
      </c>
      <c r="G206" s="170">
        <f>SUMIFS(表1_861218222426728894[活跃总战力],表1_861218222426728894[目标区服],表2_971319232527738995[[#This Row],[合区区服]],表1_861218222426728894[目标国家（映射）],表2_971319232527738995[[#This Row],[国家]])</f>
        <v>43586961</v>
      </c>
      <c r="H206" s="169">
        <f>SUMIFS(表1_861218222426728894[活跃实际充值],表1_861218222426728894[目标区服],表2_971319232527738995[[#This Row],[合区区服]],表1_861218222426728894[目标国家（映射）],表2_971319232527738995[[#This Row],[国家]])</f>
        <v>91282</v>
      </c>
      <c r="I206" s="169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206" s="169">
        <f>SUMIFS(表1_861218222426728894[活跃Coin],表1_861218222426728894[目标区服],表2_971319232527738995[[#This Row],[合区区服]],表1_861218222426728894[目标国家（映射）],表2_971319232527738995[[#This Row],[国家]])</f>
        <v>991375</v>
      </c>
      <c r="K206" s="169">
        <f>SUMIFS(表1_861218222426728894[共计补偿Coin],表1_861218222426728894[目标区服],表2_971319232527738995[[#This Row],[合区区服]],表1_861218222426728894[目标国家（映射）],表2_971319232527738995[[#This Row],[国家]])</f>
        <v>73000</v>
      </c>
      <c r="L206" s="169">
        <f>表2_971319232527738995[[#This Row],[活跃Coin]]+表2_971319232527738995[[#This Row],[共计补偿Coin]]</f>
        <v>1064375</v>
      </c>
      <c r="M206" s="169">
        <f>SUMIFS(表1_861218222426728894[综合国力],表1_861218222426728894[目标区服],表2_971319232527738995[[#This Row],[合区区服]],表1_861218222426728894[目标国家（映射）],表2_971319232527738995[[#This Row],[国家]])</f>
        <v>20748</v>
      </c>
      <c r="N206" s="486">
        <f t="array" ref="N206">MAX((表1_861218222426728894[目标区服]=表2_971319232527738995[[#This Row],[合区区服]])*(表1_861218222426728894[目标国家（映射）]=表2_971319232527738995[[#This Row],[国家]])*表1_861218222426728894[单将最高战力])</f>
        <v>605155</v>
      </c>
    </row>
    <row r="207" ht="15" spans="1:14">
      <c r="A207" s="497" t="s">
        <v>209</v>
      </c>
      <c r="B207" s="85" t="s">
        <v>26</v>
      </c>
      <c r="C207" s="169">
        <f>COUNTIFS(表1_861218222426728894[目标区服],表2_971319232527738995[[#This Row],[合区区服]],表1_861218222426728894[目标国家（映射）],表2_971319232527738995[[#This Row],[国家]])</f>
        <v>3</v>
      </c>
      <c r="D207" s="169">
        <f>SUMIFS(表1_861218222426728894[活跃高战玩家数],表1_861218222426728894[目标区服],表2_971319232527738995[[#This Row],[合区区服]],表1_861218222426728894[目标国家（映射）],表2_971319232527738995[[#This Row],[国家]])</f>
        <v>7</v>
      </c>
      <c r="E207" s="169">
        <f>SUMIFS(表1_861218222426728894[活跃中坚玩家数],表1_861218222426728894[目标区服],表2_971319232527738995[[#This Row],[合区区服]],表1_861218222426728894[目标国家（映射）],表2_971319232527738995[[#This Row],[国家]])</f>
        <v>53</v>
      </c>
      <c r="F207" s="169">
        <f t="array" ref="F207">MAX((表1_861218222426728894[目标区服]=表2_971319232527738995[[#This Row],[合区区服]])*(表1_861218222426728894[目标国家（映射）]=表2_971319232527738995[[#This Row],[国家]])*表1_861218222426728894[活跃尖端战力])</f>
        <v>2417390</v>
      </c>
      <c r="G207" s="170">
        <f>SUMIFS(表1_861218222426728894[活跃总战力],表1_861218222426728894[目标区服],表2_971319232527738995[[#This Row],[合区区服]],表1_861218222426728894[目标国家（映射）],表2_971319232527738995[[#This Row],[国家]])</f>
        <v>37825381</v>
      </c>
      <c r="H207" s="169">
        <f>SUMIFS(表1_861218222426728894[活跃实际充值],表1_861218222426728894[目标区服],表2_971319232527738995[[#This Row],[合区区服]],表1_861218222426728894[目标国家（映射）],表2_971319232527738995[[#This Row],[国家]])</f>
        <v>81332</v>
      </c>
      <c r="I207" s="169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207" s="169">
        <f>SUMIFS(表1_861218222426728894[活跃Coin],表1_861218222426728894[目标区服],表2_971319232527738995[[#This Row],[合区区服]],表1_861218222426728894[目标国家（映射）],表2_971319232527738995[[#This Row],[国家]])</f>
        <v>1179345</v>
      </c>
      <c r="K207" s="169">
        <f>SUMIFS(表1_861218222426728894[共计补偿Coin],表1_861218222426728894[目标区服],表2_971319232527738995[[#This Row],[合区区服]],表1_861218222426728894[目标国家（映射）],表2_971319232527738995[[#This Row],[国家]])</f>
        <v>60000</v>
      </c>
      <c r="L207" s="169">
        <f>表2_971319232527738995[[#This Row],[活跃Coin]]+表2_971319232527738995[[#This Row],[共计补偿Coin]]</f>
        <v>1239345</v>
      </c>
      <c r="M207" s="169">
        <f>SUMIFS(表1_861218222426728894[综合国力],表1_861218222426728894[目标区服],表2_971319232527738995[[#This Row],[合区区服]],表1_861218222426728894[目标国家（映射）],表2_971319232527738995[[#This Row],[国家]])</f>
        <v>18056</v>
      </c>
      <c r="N207" s="486">
        <f t="array" ref="N207">MAX((表1_861218222426728894[目标区服]=表2_971319232527738995[[#This Row],[合区区服]])*(表1_861218222426728894[目标国家（映射）]=表2_971319232527738995[[#This Row],[国家]])*表1_861218222426728894[单将最高战力])</f>
        <v>702244</v>
      </c>
    </row>
    <row r="208" ht="15" spans="1:14">
      <c r="A208" s="497" t="s">
        <v>209</v>
      </c>
      <c r="B208" s="169" t="s">
        <v>27</v>
      </c>
      <c r="C208" s="169">
        <f>COUNTIFS(表1_861218222426728894[目标区服],表2_971319232527738995[[#This Row],[合区区服]],表1_861218222426728894[目标国家（映射）],表2_971319232527738995[[#This Row],[国家]])</f>
        <v>2</v>
      </c>
      <c r="D208" s="169">
        <f>SUMIFS(表1_861218222426728894[活跃高战玩家数],表1_861218222426728894[目标区服],表2_971319232527738995[[#This Row],[合区区服]],表1_861218222426728894[目标国家（映射）],表2_971319232527738995[[#This Row],[国家]])</f>
        <v>9</v>
      </c>
      <c r="E208" s="169">
        <f>SUMIFS(表1_861218222426728894[活跃中坚玩家数],表1_861218222426728894[目标区服],表2_971319232527738995[[#This Row],[合区区服]],表1_861218222426728894[目标国家（映射）],表2_971319232527738995[[#This Row],[国家]])</f>
        <v>41</v>
      </c>
      <c r="F208" s="169">
        <f t="array" ref="F208">MAX((表1_861218222426728894[目标区服]=表2_971319232527738995[[#This Row],[合区区服]])*(表1_861218222426728894[目标国家（映射）]=表2_971319232527738995[[#This Row],[国家]])*表1_861218222426728894[活跃尖端战力])</f>
        <v>2374771</v>
      </c>
      <c r="G208" s="170">
        <f>SUMIFS(表1_861218222426728894[活跃总战力],表1_861218222426728894[目标区服],表2_971319232527738995[[#This Row],[合区区服]],表1_861218222426728894[目标国家（映射）],表2_971319232527738995[[#This Row],[国家]])</f>
        <v>32917777</v>
      </c>
      <c r="H208" s="169">
        <f>SUMIFS(表1_861218222426728894[活跃实际充值],表1_861218222426728894[目标区服],表2_971319232527738995[[#This Row],[合区区服]],表1_861218222426728894[目标国家（映射）],表2_971319232527738995[[#This Row],[国家]])</f>
        <v>106830</v>
      </c>
      <c r="I208" s="169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208" s="169">
        <f>SUMIFS(表1_861218222426728894[活跃Coin],表1_861218222426728894[目标区服],表2_971319232527738995[[#This Row],[合区区服]],表1_861218222426728894[目标国家（映射）],表2_971319232527738995[[#This Row],[国家]])</f>
        <v>480729</v>
      </c>
      <c r="K208" s="169">
        <f>SUMIFS(表1_861218222426728894[共计补偿Coin],表1_861218222426728894[目标区服],表2_971319232527738995[[#This Row],[合区区服]],表1_861218222426728894[目标国家（映射）],表2_971319232527738995[[#This Row],[国家]])</f>
        <v>50000</v>
      </c>
      <c r="L208" s="169">
        <f>表2_971319232527738995[[#This Row],[活跃Coin]]+表2_971319232527738995[[#This Row],[共计补偿Coin]]</f>
        <v>530729</v>
      </c>
      <c r="M208" s="169">
        <f>SUMIFS(表1_861218222426728894[综合国力],表1_861218222426728894[目标区服],表2_971319232527738995[[#This Row],[合区区服]],表1_861218222426728894[目标国家（映射）],表2_971319232527738995[[#This Row],[国家]])</f>
        <v>16735</v>
      </c>
      <c r="N208" s="486">
        <f t="array" ref="N208">MAX((表1_861218222426728894[目标区服]=表2_971319232527738995[[#This Row],[合区区服]])*(表1_861218222426728894[目标国家（映射）]=表2_971319232527738995[[#This Row],[国家]])*表1_861218222426728894[单将最高战力])</f>
        <v>760866</v>
      </c>
    </row>
    <row r="209" ht="15" spans="1:14">
      <c r="A209" s="177" t="s">
        <v>210</v>
      </c>
      <c r="B209" s="178" t="s">
        <v>25</v>
      </c>
      <c r="C209" s="178">
        <f>COUNTIFS(表1_861218222426728894[目标区服],表2_971319232527738995[[#This Row],[合区区服]],表1_861218222426728894[目标国家（映射）],表2_971319232527738995[[#This Row],[国家]])</f>
        <v>2</v>
      </c>
      <c r="D209" s="178">
        <f>SUMIFS(表1_861218222426728894[活跃高战玩家数],表1_861218222426728894[目标区服],表2_971319232527738995[[#This Row],[合区区服]],表1_861218222426728894[目标国家（映射）],表2_971319232527738995[[#This Row],[国家]])</f>
        <v>6</v>
      </c>
      <c r="E209" s="178">
        <f>SUMIFS(表1_861218222426728894[活跃中坚玩家数],表1_861218222426728894[目标区服],表2_971319232527738995[[#This Row],[合区区服]],表1_861218222426728894[目标国家（映射）],表2_971319232527738995[[#This Row],[国家]])</f>
        <v>37</v>
      </c>
      <c r="F209" s="178">
        <f t="array" ref="F209">MAX((表1_861218222426728894[目标区服]=表2_971319232527738995[[#This Row],[合区区服]])*(表1_861218222426728894[目标国家（映射）]=表2_971319232527738995[[#This Row],[国家]])*表1_861218222426728894[活跃尖端战力])</f>
        <v>2290237</v>
      </c>
      <c r="G209" s="179">
        <f>SUMIFS(表1_861218222426728894[活跃总战力],表1_861218222426728894[目标区服],表2_971319232527738995[[#This Row],[合区区服]],表1_861218222426728894[目标国家（映射）],表2_971319232527738995[[#This Row],[国家]])</f>
        <v>27087906</v>
      </c>
      <c r="H209" s="178">
        <f>SUMIFS(表1_861218222426728894[活跃实际充值],表1_861218222426728894[目标区服],表2_971319232527738995[[#This Row],[合区区服]],表1_861218222426728894[目标国家（映射）],表2_971319232527738995[[#This Row],[国家]])</f>
        <v>75970</v>
      </c>
      <c r="I209" s="178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209" s="178">
        <f>SUMIFS(表1_861218222426728894[活跃Coin],表1_861218222426728894[目标区服],表2_971319232527738995[[#This Row],[合区区服]],表1_861218222426728894[目标国家（映射）],表2_971319232527738995[[#This Row],[国家]])</f>
        <v>774648</v>
      </c>
      <c r="K209" s="178">
        <f>SUMIFS(表1_861218222426728894[共计补偿Coin],表1_861218222426728894[目标区服],表2_971319232527738995[[#This Row],[合区区服]],表1_861218222426728894[目标国家（映射）],表2_971319232527738995[[#This Row],[国家]])</f>
        <v>43000</v>
      </c>
      <c r="L209" s="178">
        <f>表2_971319232527738995[[#This Row],[活跃Coin]]+表2_971319232527738995[[#This Row],[共计补偿Coin]]</f>
        <v>817648</v>
      </c>
      <c r="M209" s="178">
        <f>SUMIFS(表1_861218222426728894[综合国力],表1_861218222426728894[目标区服],表2_971319232527738995[[#This Row],[合区区服]],表1_861218222426728894[目标国家（映射）],表2_971319232527738995[[#This Row],[国家]])</f>
        <v>13427</v>
      </c>
      <c r="N209" s="473">
        <f t="array" ref="N209">MAX((表1_861218222426728894[目标区服]=表2_971319232527738995[[#This Row],[合区区服]])*(表1_861218222426728894[目标国家（映射）]=表2_971319232527738995[[#This Row],[国家]])*表1_861218222426728894[单将最高战力])</f>
        <v>613392</v>
      </c>
    </row>
    <row r="210" ht="15" spans="1:14">
      <c r="A210" s="177" t="s">
        <v>210</v>
      </c>
      <c r="B210" s="178" t="s">
        <v>26</v>
      </c>
      <c r="C210" s="178">
        <f>COUNTIFS(表1_861218222426728894[目标区服],表2_971319232527738995[[#This Row],[合区区服]],表1_861218222426728894[目标国家（映射）],表2_971319232527738995[[#This Row],[国家]])</f>
        <v>2</v>
      </c>
      <c r="D210" s="178">
        <f>SUMIFS(表1_861218222426728894[活跃高战玩家数],表1_861218222426728894[目标区服],表2_971319232527738995[[#This Row],[合区区服]],表1_861218222426728894[目标国家（映射）],表2_971319232527738995[[#This Row],[国家]])</f>
        <v>7</v>
      </c>
      <c r="E210" s="178">
        <f>SUMIFS(表1_861218222426728894[活跃中坚玩家数],表1_861218222426728894[目标区服],表2_971319232527738995[[#This Row],[合区区服]],表1_861218222426728894[目标国家（映射）],表2_971319232527738995[[#This Row],[国家]])</f>
        <v>36</v>
      </c>
      <c r="F210" s="178">
        <f t="array" ref="F210">MAX((表1_861218222426728894[目标区服]=表2_971319232527738995[[#This Row],[合区区服]])*(表1_861218222426728894[目标国家（映射）]=表2_971319232527738995[[#This Row],[国家]])*表1_861218222426728894[活跃尖端战力])</f>
        <v>2797203</v>
      </c>
      <c r="G210" s="179">
        <f>SUMIFS(表1_861218222426728894[活跃总战力],表1_861218222426728894[目标区服],表2_971319232527738995[[#This Row],[合区区服]],表1_861218222426728894[目标国家（映射）],表2_971319232527738995[[#This Row],[国家]])</f>
        <v>25788722</v>
      </c>
      <c r="H210" s="178">
        <f>SUMIFS(表1_861218222426728894[活跃实际充值],表1_861218222426728894[目标区服],表2_971319232527738995[[#This Row],[合区区服]],表1_861218222426728894[目标国家（映射）],表2_971319232527738995[[#This Row],[国家]])</f>
        <v>63518</v>
      </c>
      <c r="I210" s="178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210" s="178">
        <f>SUMIFS(表1_861218222426728894[活跃Coin],表1_861218222426728894[目标区服],表2_971319232527738995[[#This Row],[合区区服]],表1_861218222426728894[目标国家（映射）],表2_971319232527738995[[#This Row],[国家]])</f>
        <v>657786</v>
      </c>
      <c r="K210" s="178">
        <f>SUMIFS(表1_861218222426728894[共计补偿Coin],表1_861218222426728894[目标区服],表2_971319232527738995[[#This Row],[合区区服]],表1_861218222426728894[目标国家（映射）],表2_971319232527738995[[#This Row],[国家]])</f>
        <v>43000</v>
      </c>
      <c r="L210" s="178">
        <f>表2_971319232527738995[[#This Row],[活跃Coin]]+表2_971319232527738995[[#This Row],[共计补偿Coin]]</f>
        <v>700786</v>
      </c>
      <c r="M210" s="178">
        <f>SUMIFS(表1_861218222426728894[综合国力],表1_861218222426728894[目标区服],表2_971319232527738995[[#This Row],[合区区服]],表1_861218222426728894[目标国家（映射）],表2_971319232527738995[[#This Row],[国家]])</f>
        <v>13630</v>
      </c>
      <c r="N210" s="473">
        <f t="array" ref="N210">MAX((表1_861218222426728894[目标区服]=表2_971319232527738995[[#This Row],[合区区服]])*(表1_861218222426728894[目标国家（映射）]=表2_971319232527738995[[#This Row],[国家]])*表1_861218222426728894[单将最高战力])</f>
        <v>842020</v>
      </c>
    </row>
    <row r="211" ht="15" spans="1:14">
      <c r="A211" s="177" t="s">
        <v>210</v>
      </c>
      <c r="B211" s="180" t="s">
        <v>27</v>
      </c>
      <c r="C211" s="180">
        <f>COUNTIFS(表1_861218222426728894[目标区服],表2_971319232527738995[[#This Row],[合区区服]],表1_861218222426728894[目标国家（映射）],表2_971319232527738995[[#This Row],[国家]])</f>
        <v>2</v>
      </c>
      <c r="D211" s="180">
        <f>SUMIFS(表1_861218222426728894[活跃高战玩家数],表1_861218222426728894[目标区服],表2_971319232527738995[[#This Row],[合区区服]],表1_861218222426728894[目标国家（映射）],表2_971319232527738995[[#This Row],[国家]])</f>
        <v>5</v>
      </c>
      <c r="E211" s="180">
        <f>SUMIFS(表1_861218222426728894[活跃中坚玩家数],表1_861218222426728894[目标区服],表2_971319232527738995[[#This Row],[合区区服]],表1_861218222426728894[目标国家（映射）],表2_971319232527738995[[#This Row],[国家]])</f>
        <v>35</v>
      </c>
      <c r="F211" s="180">
        <f t="array" ref="F211">MAX((表1_861218222426728894[目标区服]=表2_971319232527738995[[#This Row],[合区区服]])*(表1_861218222426728894[目标国家（映射）]=表2_971319232527738995[[#This Row],[国家]])*表1_861218222426728894[活跃尖端战力])</f>
        <v>2741871</v>
      </c>
      <c r="G211" s="262">
        <f>SUMIFS(表1_861218222426728894[活跃总战力],表1_861218222426728894[目标区服],表2_971319232527738995[[#This Row],[合区区服]],表1_861218222426728894[目标国家（映射）],表2_971319232527738995[[#This Row],[国家]])</f>
        <v>25929964</v>
      </c>
      <c r="H211" s="180">
        <f>SUMIFS(表1_861218222426728894[活跃实际充值],表1_861218222426728894[目标区服],表2_971319232527738995[[#This Row],[合区区服]],表1_861218222426728894[目标国家（映射）],表2_971319232527738995[[#This Row],[国家]])</f>
        <v>67026</v>
      </c>
      <c r="I211" s="180">
        <f>SUMIFS(表1_861218222426728894[活跃虚拟充值],表1_861218222426728894[目标区服],表2_971319232527738995[[#This Row],[合区区服]],表1_861218222426728894[目标国家（映射）],表2_971319232527738995[[#This Row],[国家]])</f>
        <v>0</v>
      </c>
      <c r="J211" s="180">
        <f>SUMIFS(表1_861218222426728894[活跃Coin],表1_861218222426728894[目标区服],表2_971319232527738995[[#This Row],[合区区服]],表1_861218222426728894[目标国家（映射）],表2_971319232527738995[[#This Row],[国家]])</f>
        <v>494851</v>
      </c>
      <c r="K211" s="180">
        <f>SUMIFS(表1_861218222426728894[共计补偿Coin],表1_861218222426728894[目标区服],表2_971319232527738995[[#This Row],[合区区服]],表1_861218222426728894[目标国家（映射）],表2_971319232527738995[[#This Row],[国家]])</f>
        <v>40000</v>
      </c>
      <c r="L211" s="180">
        <f>表2_971319232527738995[[#This Row],[活跃Coin]]+表2_971319232527738995[[#This Row],[共计补偿Coin]]</f>
        <v>534851</v>
      </c>
      <c r="M211" s="180">
        <f>SUMIFS(表1_861218222426728894[综合国力],表1_861218222426728894[目标区服],表2_971319232527738995[[#This Row],[合区区服]],表1_861218222426728894[目标国家（映射）],表2_971319232527738995[[#This Row],[国家]])</f>
        <v>13384</v>
      </c>
      <c r="N211" s="474">
        <f t="array" ref="N211">MAX((表1_861218222426728894[目标区服]=表2_971319232527738995[[#This Row],[合区区服]])*(表1_861218222426728894[目标国家（映射）]=表2_971319232527738995[[#This Row],[国家]])*表1_861218222426728894[单将最高战力])</f>
        <v>845401</v>
      </c>
    </row>
    <row r="214" ht="27" spans="2:14">
      <c r="B214" s="49"/>
      <c r="C214" s="50" t="s">
        <v>9</v>
      </c>
      <c r="D214" s="50" t="s">
        <v>10</v>
      </c>
      <c r="E214" s="50" t="s">
        <v>11</v>
      </c>
      <c r="F214" s="50" t="s">
        <v>12</v>
      </c>
      <c r="G214" s="50" t="s">
        <v>13</v>
      </c>
      <c r="H214" s="50" t="s">
        <v>14</v>
      </c>
      <c r="I214" s="50" t="s">
        <v>15</v>
      </c>
      <c r="J214" s="50" t="s">
        <v>18</v>
      </c>
      <c r="K214" s="50" t="s">
        <v>19</v>
      </c>
      <c r="L214" s="50" t="s">
        <v>20</v>
      </c>
      <c r="M214" s="50" t="s">
        <v>21</v>
      </c>
      <c r="N214" s="50" t="s">
        <v>82</v>
      </c>
    </row>
    <row r="215" spans="1:14">
      <c r="A215">
        <v>5128</v>
      </c>
      <c r="B215" s="50" t="s">
        <v>25</v>
      </c>
      <c r="C215" s="50">
        <v>2</v>
      </c>
      <c r="D215" s="50">
        <v>74</v>
      </c>
      <c r="E215" s="50">
        <v>1</v>
      </c>
      <c r="F215" s="50">
        <v>23</v>
      </c>
      <c r="G215" s="50">
        <v>66716</v>
      </c>
      <c r="H215" s="50">
        <v>2134433</v>
      </c>
      <c r="I215" s="50">
        <v>17173796</v>
      </c>
      <c r="J215" s="50">
        <v>22378</v>
      </c>
      <c r="K215" s="50">
        <v>0</v>
      </c>
      <c r="L215" s="50">
        <v>249681</v>
      </c>
      <c r="M215" s="50">
        <v>5921</v>
      </c>
      <c r="N215" s="50">
        <v>712449</v>
      </c>
    </row>
    <row r="216" spans="2:14">
      <c r="B216" s="50" t="s">
        <v>26</v>
      </c>
      <c r="C216" s="50">
        <v>1</v>
      </c>
      <c r="D216" s="50">
        <v>110</v>
      </c>
      <c r="E216" s="50">
        <v>1</v>
      </c>
      <c r="F216" s="50">
        <v>13</v>
      </c>
      <c r="G216" s="50">
        <v>49772</v>
      </c>
      <c r="H216" s="50">
        <v>1859871</v>
      </c>
      <c r="I216" s="50">
        <v>11424314</v>
      </c>
      <c r="J216" s="50">
        <v>31018</v>
      </c>
      <c r="K216" s="50">
        <v>0</v>
      </c>
      <c r="L216" s="50">
        <v>118571</v>
      </c>
      <c r="M216" s="50">
        <v>5440</v>
      </c>
      <c r="N216" s="50">
        <v>700882</v>
      </c>
    </row>
    <row r="217" spans="2:14">
      <c r="B217" s="50" t="s">
        <v>27</v>
      </c>
      <c r="C217" s="50">
        <v>6</v>
      </c>
      <c r="D217" s="50">
        <v>211</v>
      </c>
      <c r="E217" s="50">
        <v>7</v>
      </c>
      <c r="F217" s="50">
        <v>25</v>
      </c>
      <c r="G217" s="50">
        <v>161969</v>
      </c>
      <c r="H217" s="50">
        <v>3083276</v>
      </c>
      <c r="I217" s="50">
        <v>34433391</v>
      </c>
      <c r="J217" s="50">
        <v>148420</v>
      </c>
      <c r="K217" s="50">
        <v>0</v>
      </c>
      <c r="L217" s="50">
        <v>497449</v>
      </c>
      <c r="M217" s="50">
        <v>14747</v>
      </c>
      <c r="N217" s="50">
        <v>796324</v>
      </c>
    </row>
    <row r="218" spans="1:14">
      <c r="A218">
        <v>5129</v>
      </c>
      <c r="B218" s="50" t="s">
        <v>25</v>
      </c>
      <c r="C218" s="50">
        <v>7</v>
      </c>
      <c r="D218" s="50">
        <v>265</v>
      </c>
      <c r="E218" s="50">
        <v>5</v>
      </c>
      <c r="F218" s="50">
        <v>27</v>
      </c>
      <c r="G218" s="50">
        <v>156351</v>
      </c>
      <c r="H218" s="50">
        <v>4040688</v>
      </c>
      <c r="I218" s="50">
        <v>30195937</v>
      </c>
      <c r="J218" s="50">
        <v>78926</v>
      </c>
      <c r="K218" s="50">
        <v>129140</v>
      </c>
      <c r="L218" s="50">
        <v>759710</v>
      </c>
      <c r="M218" s="50">
        <v>15231</v>
      </c>
      <c r="N218" s="50">
        <v>1319923</v>
      </c>
    </row>
    <row r="219" spans="2:14">
      <c r="B219" s="50" t="s">
        <v>26</v>
      </c>
      <c r="C219" s="50">
        <v>1</v>
      </c>
      <c r="D219" s="50">
        <v>79</v>
      </c>
      <c r="E219" s="50">
        <v>1</v>
      </c>
      <c r="F219" s="50">
        <v>17</v>
      </c>
      <c r="G219" s="50">
        <v>74741</v>
      </c>
      <c r="H219" s="50">
        <v>1783768</v>
      </c>
      <c r="I219" s="50">
        <v>12558159</v>
      </c>
      <c r="J219" s="50">
        <v>28188</v>
      </c>
      <c r="K219" s="50">
        <v>0</v>
      </c>
      <c r="L219" s="50">
        <v>80390</v>
      </c>
      <c r="M219" s="50">
        <v>5189</v>
      </c>
      <c r="N219" s="50">
        <v>602562</v>
      </c>
    </row>
    <row r="220" spans="2:14">
      <c r="B220" s="50" t="s">
        <v>27</v>
      </c>
      <c r="C220" s="50">
        <v>1</v>
      </c>
      <c r="D220" s="50">
        <v>51</v>
      </c>
      <c r="E220" s="50">
        <v>4</v>
      </c>
      <c r="F220" s="50">
        <v>4</v>
      </c>
      <c r="G220" s="50">
        <v>44941</v>
      </c>
      <c r="H220" s="50">
        <v>2834292</v>
      </c>
      <c r="I220" s="50">
        <v>9131233</v>
      </c>
      <c r="J220" s="50">
        <v>47780</v>
      </c>
      <c r="K220" s="50">
        <v>0</v>
      </c>
      <c r="L220" s="50">
        <v>107829</v>
      </c>
      <c r="M220" s="50">
        <v>6069</v>
      </c>
      <c r="N220" s="50">
        <v>797315</v>
      </c>
    </row>
    <row r="221" spans="1:14">
      <c r="A221">
        <v>5130</v>
      </c>
      <c r="B221" s="50" t="s">
        <v>25</v>
      </c>
      <c r="C221" s="50">
        <v>0</v>
      </c>
      <c r="D221" s="50">
        <v>67</v>
      </c>
      <c r="E221" s="50">
        <v>0</v>
      </c>
      <c r="F221" s="50">
        <v>24</v>
      </c>
      <c r="G221" s="50">
        <v>52042</v>
      </c>
      <c r="H221" s="50">
        <v>1475668</v>
      </c>
      <c r="I221" s="50">
        <v>13172514</v>
      </c>
      <c r="J221" s="50">
        <v>15032</v>
      </c>
      <c r="K221" s="50">
        <v>8616</v>
      </c>
      <c r="L221" s="50">
        <v>197959</v>
      </c>
      <c r="M221" s="50">
        <v>4359</v>
      </c>
      <c r="N221" s="50">
        <v>418783</v>
      </c>
    </row>
    <row r="222" spans="2:14">
      <c r="B222" s="50" t="s">
        <v>26</v>
      </c>
      <c r="C222" s="50">
        <v>7</v>
      </c>
      <c r="D222" s="50">
        <v>247</v>
      </c>
      <c r="E222" s="50">
        <v>6</v>
      </c>
      <c r="F222" s="50">
        <v>27</v>
      </c>
      <c r="G222" s="50">
        <v>177655</v>
      </c>
      <c r="H222" s="50">
        <v>2902725</v>
      </c>
      <c r="I222" s="50">
        <v>31868763</v>
      </c>
      <c r="J222" s="50">
        <v>82790</v>
      </c>
      <c r="K222" s="50">
        <v>0</v>
      </c>
      <c r="L222" s="50">
        <v>323995</v>
      </c>
      <c r="M222" s="50">
        <v>12793</v>
      </c>
      <c r="N222" s="50">
        <v>850929</v>
      </c>
    </row>
    <row r="223" spans="2:14">
      <c r="B223" s="50" t="s">
        <v>27</v>
      </c>
      <c r="C223" s="50">
        <v>2</v>
      </c>
      <c r="D223" s="50">
        <v>81</v>
      </c>
      <c r="E223" s="50">
        <v>4</v>
      </c>
      <c r="F223" s="50">
        <v>13</v>
      </c>
      <c r="G223" s="50">
        <v>75633</v>
      </c>
      <c r="H223" s="50">
        <v>1931412</v>
      </c>
      <c r="I223" s="50">
        <v>14451032</v>
      </c>
      <c r="J223" s="50">
        <v>132112</v>
      </c>
      <c r="K223" s="50">
        <v>0</v>
      </c>
      <c r="L223" s="50">
        <v>254223</v>
      </c>
      <c r="M223" s="50">
        <v>8855</v>
      </c>
      <c r="N223" s="50">
        <v>930025</v>
      </c>
    </row>
    <row r="224" spans="1:14">
      <c r="A224">
        <v>5131</v>
      </c>
      <c r="B224" s="50" t="s">
        <v>25</v>
      </c>
      <c r="C224" s="50">
        <v>1</v>
      </c>
      <c r="D224" s="50">
        <v>51</v>
      </c>
      <c r="E224" s="50">
        <v>0</v>
      </c>
      <c r="F224" s="50">
        <v>16</v>
      </c>
      <c r="G224" s="50">
        <v>38404</v>
      </c>
      <c r="H224" s="50">
        <v>1359207</v>
      </c>
      <c r="I224" s="50">
        <v>9170155</v>
      </c>
      <c r="J224" s="50">
        <v>7702</v>
      </c>
      <c r="K224" s="50">
        <v>0</v>
      </c>
      <c r="L224" s="50">
        <v>111384</v>
      </c>
      <c r="M224" s="50">
        <v>3364</v>
      </c>
      <c r="N224" s="50">
        <v>499321</v>
      </c>
    </row>
    <row r="225" spans="2:14">
      <c r="B225" s="50" t="s">
        <v>26</v>
      </c>
      <c r="C225" s="50">
        <v>5</v>
      </c>
      <c r="D225" s="50">
        <v>191</v>
      </c>
      <c r="E225" s="50">
        <v>5</v>
      </c>
      <c r="F225" s="50">
        <v>26</v>
      </c>
      <c r="G225" s="50">
        <v>131110</v>
      </c>
      <c r="H225" s="50">
        <v>2955982</v>
      </c>
      <c r="I225" s="50">
        <v>25979936</v>
      </c>
      <c r="J225" s="50">
        <v>73942</v>
      </c>
      <c r="K225" s="50">
        <v>0</v>
      </c>
      <c r="L225" s="50">
        <v>320311</v>
      </c>
      <c r="M225" s="50">
        <v>10997</v>
      </c>
      <c r="N225" s="50">
        <v>910422</v>
      </c>
    </row>
    <row r="226" spans="2:14">
      <c r="B226" s="50" t="s">
        <v>27</v>
      </c>
      <c r="C226" s="50">
        <v>3</v>
      </c>
      <c r="D226" s="50">
        <v>153</v>
      </c>
      <c r="E226" s="50">
        <v>5</v>
      </c>
      <c r="F226" s="50">
        <v>17</v>
      </c>
      <c r="G226" s="50">
        <v>123094</v>
      </c>
      <c r="H226" s="50">
        <v>3117468</v>
      </c>
      <c r="I226" s="50">
        <v>22170546</v>
      </c>
      <c r="J226" s="50">
        <v>44454</v>
      </c>
      <c r="K226" s="50">
        <v>0</v>
      </c>
      <c r="L226" s="50">
        <v>322422</v>
      </c>
      <c r="M226" s="50">
        <v>9274</v>
      </c>
      <c r="N226" s="50">
        <v>1008402</v>
      </c>
    </row>
    <row r="227" spans="1:14">
      <c r="A227">
        <v>5132</v>
      </c>
      <c r="B227" s="50" t="s">
        <v>25</v>
      </c>
      <c r="C227" s="50">
        <v>2</v>
      </c>
      <c r="D227" s="50">
        <v>96</v>
      </c>
      <c r="E227" s="50">
        <v>1</v>
      </c>
      <c r="F227" s="50">
        <v>24</v>
      </c>
      <c r="G227" s="50">
        <v>101087</v>
      </c>
      <c r="H227" s="50">
        <v>1705266</v>
      </c>
      <c r="I227" s="50">
        <v>17662041</v>
      </c>
      <c r="J227" s="50">
        <v>15270</v>
      </c>
      <c r="K227" s="50">
        <v>0</v>
      </c>
      <c r="L227" s="50">
        <v>186117</v>
      </c>
      <c r="M227" s="50">
        <v>5688</v>
      </c>
      <c r="N227" s="50">
        <v>526483</v>
      </c>
    </row>
    <row r="228" spans="2:14">
      <c r="B228" s="50" t="s">
        <v>26</v>
      </c>
      <c r="C228" s="50">
        <v>3</v>
      </c>
      <c r="D228" s="50">
        <v>148</v>
      </c>
      <c r="E228" s="50">
        <v>4</v>
      </c>
      <c r="F228" s="50">
        <v>16</v>
      </c>
      <c r="G228" s="50">
        <v>94033</v>
      </c>
      <c r="H228" s="50">
        <v>2004624</v>
      </c>
      <c r="I228" s="50">
        <v>16759897</v>
      </c>
      <c r="J228" s="50">
        <v>55928</v>
      </c>
      <c r="K228" s="50">
        <v>0</v>
      </c>
      <c r="L228" s="50">
        <v>119450</v>
      </c>
      <c r="M228" s="50">
        <v>7668</v>
      </c>
      <c r="N228" s="50">
        <v>551249</v>
      </c>
    </row>
    <row r="229" spans="2:14">
      <c r="B229" s="50" t="s">
        <v>27</v>
      </c>
      <c r="C229" s="50">
        <v>4</v>
      </c>
      <c r="D229" s="50">
        <v>151</v>
      </c>
      <c r="E229" s="50">
        <v>4</v>
      </c>
      <c r="F229" s="50">
        <v>17</v>
      </c>
      <c r="G229" s="50">
        <v>105447</v>
      </c>
      <c r="H229" s="50">
        <v>3051707</v>
      </c>
      <c r="I229" s="50">
        <v>20858207</v>
      </c>
      <c r="J229" s="50">
        <v>91642</v>
      </c>
      <c r="K229" s="50">
        <v>0</v>
      </c>
      <c r="L229" s="50">
        <v>151984</v>
      </c>
      <c r="M229" s="50">
        <v>10400</v>
      </c>
      <c r="N229" s="50">
        <v>838719</v>
      </c>
    </row>
    <row r="230" spans="1:14">
      <c r="A230">
        <v>5133</v>
      </c>
      <c r="B230" s="50" t="s">
        <v>25</v>
      </c>
      <c r="C230" s="50">
        <v>4</v>
      </c>
      <c r="D230" s="50">
        <v>114</v>
      </c>
      <c r="E230" s="50">
        <v>6</v>
      </c>
      <c r="F230" s="50">
        <v>22</v>
      </c>
      <c r="G230" s="50">
        <v>124257</v>
      </c>
      <c r="H230" s="50">
        <v>3216583</v>
      </c>
      <c r="I230" s="50">
        <v>28025465</v>
      </c>
      <c r="J230" s="50">
        <v>123410</v>
      </c>
      <c r="K230" s="50">
        <v>0</v>
      </c>
      <c r="L230" s="50">
        <v>515341</v>
      </c>
      <c r="M230" s="50">
        <v>12140</v>
      </c>
      <c r="N230" s="50">
        <v>987468</v>
      </c>
    </row>
    <row r="231" spans="2:14">
      <c r="B231" s="50" t="s">
        <v>26</v>
      </c>
      <c r="C231" s="50">
        <v>2</v>
      </c>
      <c r="D231" s="50">
        <v>115</v>
      </c>
      <c r="E231" s="50">
        <v>2</v>
      </c>
      <c r="F231" s="50">
        <v>29</v>
      </c>
      <c r="G231" s="50">
        <v>100603</v>
      </c>
      <c r="H231" s="50">
        <v>2881607</v>
      </c>
      <c r="I231" s="50">
        <v>24817265</v>
      </c>
      <c r="J231" s="50">
        <v>68412</v>
      </c>
      <c r="K231" s="50">
        <v>0</v>
      </c>
      <c r="L231" s="50">
        <v>472557</v>
      </c>
      <c r="M231" s="50">
        <v>9504</v>
      </c>
      <c r="N231" s="50">
        <v>946749</v>
      </c>
    </row>
    <row r="232" spans="2:14">
      <c r="B232" s="50" t="s">
        <v>27</v>
      </c>
      <c r="C232" s="50">
        <v>3</v>
      </c>
      <c r="D232" s="50">
        <v>166</v>
      </c>
      <c r="E232" s="50">
        <v>2</v>
      </c>
      <c r="F232" s="50">
        <v>20</v>
      </c>
      <c r="G232" s="50">
        <v>85569</v>
      </c>
      <c r="H232" s="50">
        <v>1914116</v>
      </c>
      <c r="I232" s="50">
        <v>18491120</v>
      </c>
      <c r="J232" s="50">
        <v>29052</v>
      </c>
      <c r="K232" s="50">
        <v>0</v>
      </c>
      <c r="L232" s="50">
        <v>177878</v>
      </c>
      <c r="M232" s="50">
        <v>7111</v>
      </c>
      <c r="N232" s="50">
        <v>538916</v>
      </c>
    </row>
    <row r="233" spans="1:14">
      <c r="A233">
        <v>5134</v>
      </c>
      <c r="B233" s="50" t="s">
        <v>25</v>
      </c>
      <c r="C233" s="50">
        <v>2</v>
      </c>
      <c r="D233" s="50">
        <v>73</v>
      </c>
      <c r="E233" s="50">
        <v>1</v>
      </c>
      <c r="F233" s="50">
        <v>22</v>
      </c>
      <c r="G233" s="50">
        <v>84604</v>
      </c>
      <c r="H233" s="50">
        <v>1553333</v>
      </c>
      <c r="I233" s="50">
        <v>13460855</v>
      </c>
      <c r="J233" s="50">
        <v>19344</v>
      </c>
      <c r="K233" s="50">
        <v>0</v>
      </c>
      <c r="L233" s="50">
        <v>188261</v>
      </c>
      <c r="M233" s="50">
        <v>4926</v>
      </c>
      <c r="N233" s="50">
        <v>459659</v>
      </c>
    </row>
    <row r="234" spans="2:14">
      <c r="B234" s="50" t="s">
        <v>26</v>
      </c>
      <c r="C234" s="50">
        <v>2</v>
      </c>
      <c r="D234" s="50">
        <v>109</v>
      </c>
      <c r="E234" s="50">
        <v>1</v>
      </c>
      <c r="F234" s="50">
        <v>22</v>
      </c>
      <c r="G234" s="50">
        <v>87528</v>
      </c>
      <c r="H234" s="50">
        <v>1409124</v>
      </c>
      <c r="I234" s="50">
        <v>13494661</v>
      </c>
      <c r="J234" s="50">
        <v>9948</v>
      </c>
      <c r="K234" s="50">
        <v>0</v>
      </c>
      <c r="L234" s="50">
        <v>132223</v>
      </c>
      <c r="M234" s="50">
        <v>4850</v>
      </c>
      <c r="N234" s="50">
        <v>427518</v>
      </c>
    </row>
    <row r="235" spans="2:14">
      <c r="B235" s="50" t="s">
        <v>27</v>
      </c>
      <c r="C235" s="50">
        <v>5</v>
      </c>
      <c r="D235" s="50">
        <v>213</v>
      </c>
      <c r="E235" s="50">
        <v>8</v>
      </c>
      <c r="F235" s="50">
        <v>12</v>
      </c>
      <c r="G235" s="50">
        <v>120013</v>
      </c>
      <c r="H235" s="50">
        <v>2792250</v>
      </c>
      <c r="I235" s="50">
        <v>20419859</v>
      </c>
      <c r="J235" s="50">
        <v>101142</v>
      </c>
      <c r="K235" s="50">
        <v>0</v>
      </c>
      <c r="L235" s="50">
        <v>548782</v>
      </c>
      <c r="M235" s="50">
        <v>11372</v>
      </c>
      <c r="N235" s="50">
        <v>778668</v>
      </c>
    </row>
    <row r="236" spans="1:14">
      <c r="A236">
        <v>5135</v>
      </c>
      <c r="B236" s="50" t="s">
        <v>25</v>
      </c>
      <c r="C236" s="50">
        <v>1</v>
      </c>
      <c r="D236" s="50">
        <v>70</v>
      </c>
      <c r="E236" s="50">
        <v>0</v>
      </c>
      <c r="F236" s="50">
        <v>18</v>
      </c>
      <c r="G236" s="50">
        <v>44816</v>
      </c>
      <c r="H236" s="50">
        <v>1101733</v>
      </c>
      <c r="I236" s="50">
        <v>10310017</v>
      </c>
      <c r="J236" s="50">
        <v>3840</v>
      </c>
      <c r="K236" s="50">
        <v>0</v>
      </c>
      <c r="L236" s="50">
        <v>68062</v>
      </c>
      <c r="M236" s="50">
        <v>3306</v>
      </c>
      <c r="N236" s="50">
        <v>478745</v>
      </c>
    </row>
    <row r="237" spans="2:14">
      <c r="B237" s="50" t="s">
        <v>26</v>
      </c>
      <c r="C237" s="50">
        <v>5</v>
      </c>
      <c r="D237" s="50">
        <v>206</v>
      </c>
      <c r="E237" s="50">
        <v>5</v>
      </c>
      <c r="F237" s="50">
        <v>32</v>
      </c>
      <c r="G237" s="50">
        <v>144549</v>
      </c>
      <c r="H237" s="50">
        <v>2898807</v>
      </c>
      <c r="I237" s="50">
        <v>27778014</v>
      </c>
      <c r="J237" s="50">
        <v>50276</v>
      </c>
      <c r="K237" s="50">
        <v>0</v>
      </c>
      <c r="L237" s="50">
        <v>400076</v>
      </c>
      <c r="M237" s="50">
        <v>10667</v>
      </c>
      <c r="N237" s="50">
        <v>992703</v>
      </c>
    </row>
    <row r="238" spans="2:14">
      <c r="B238" s="50" t="s">
        <v>27</v>
      </c>
      <c r="C238" s="50">
        <v>3</v>
      </c>
      <c r="D238" s="50">
        <v>119</v>
      </c>
      <c r="E238" s="50">
        <v>5</v>
      </c>
      <c r="F238" s="50">
        <v>22</v>
      </c>
      <c r="G238" s="50">
        <v>116186</v>
      </c>
      <c r="H238" s="50">
        <v>2617076</v>
      </c>
      <c r="I238" s="50">
        <v>21523980</v>
      </c>
      <c r="J238" s="50">
        <v>37552</v>
      </c>
      <c r="K238" s="50">
        <v>0</v>
      </c>
      <c r="L238" s="50">
        <v>337102</v>
      </c>
      <c r="M238" s="50">
        <v>8135</v>
      </c>
      <c r="N238" s="50">
        <v>886716</v>
      </c>
    </row>
    <row r="239" spans="1:14">
      <c r="A239">
        <v>5136</v>
      </c>
      <c r="B239" s="50" t="s">
        <v>25</v>
      </c>
      <c r="C239" s="50">
        <v>0</v>
      </c>
      <c r="D239" s="50">
        <v>63</v>
      </c>
      <c r="E239" s="50">
        <v>0</v>
      </c>
      <c r="F239" s="50">
        <v>11</v>
      </c>
      <c r="G239" s="50">
        <v>41875</v>
      </c>
      <c r="H239" s="50">
        <v>937954</v>
      </c>
      <c r="I239" s="50">
        <v>5428579</v>
      </c>
      <c r="J239" s="50">
        <v>1726</v>
      </c>
      <c r="K239" s="50">
        <v>0</v>
      </c>
      <c r="L239" s="50">
        <v>71541</v>
      </c>
      <c r="M239" s="50">
        <v>2407</v>
      </c>
      <c r="N239" s="50">
        <v>246300</v>
      </c>
    </row>
    <row r="240" spans="2:14">
      <c r="B240" s="50" t="s">
        <v>26</v>
      </c>
      <c r="C240" s="50">
        <v>2</v>
      </c>
      <c r="D240" s="50">
        <v>69</v>
      </c>
      <c r="E240" s="50">
        <v>0</v>
      </c>
      <c r="F240" s="50">
        <v>15</v>
      </c>
      <c r="G240" s="50">
        <v>52057</v>
      </c>
      <c r="H240" s="50">
        <v>943221</v>
      </c>
      <c r="I240" s="50">
        <v>7008183</v>
      </c>
      <c r="J240" s="50">
        <v>1104</v>
      </c>
      <c r="K240" s="50">
        <v>0</v>
      </c>
      <c r="L240" s="50">
        <v>188391</v>
      </c>
      <c r="M240" s="50">
        <v>2921</v>
      </c>
      <c r="N240" s="50">
        <v>269057</v>
      </c>
    </row>
    <row r="241" spans="2:14">
      <c r="B241" s="50" t="s">
        <v>27</v>
      </c>
      <c r="C241" s="50">
        <v>7</v>
      </c>
      <c r="D241" s="50">
        <v>263</v>
      </c>
      <c r="E241" s="50">
        <v>9</v>
      </c>
      <c r="F241" s="50">
        <v>14</v>
      </c>
      <c r="G241" s="50">
        <v>157055</v>
      </c>
      <c r="H241" s="50">
        <v>2252796</v>
      </c>
      <c r="I241" s="50">
        <v>22744439</v>
      </c>
      <c r="J241" s="50">
        <v>125036</v>
      </c>
      <c r="K241" s="50">
        <v>0</v>
      </c>
      <c r="L241" s="50">
        <v>1035732</v>
      </c>
      <c r="M241" s="50">
        <v>12911</v>
      </c>
      <c r="N241" s="50">
        <v>964879</v>
      </c>
    </row>
    <row r="242" spans="1:14">
      <c r="A242">
        <v>5137</v>
      </c>
      <c r="B242" s="50" t="s">
        <v>25</v>
      </c>
      <c r="C242" s="50">
        <v>1</v>
      </c>
      <c r="D242" s="50">
        <v>61</v>
      </c>
      <c r="E242" s="50">
        <v>0</v>
      </c>
      <c r="F242" s="50">
        <v>13</v>
      </c>
      <c r="G242" s="50">
        <v>33597</v>
      </c>
      <c r="H242" s="50">
        <v>1101173</v>
      </c>
      <c r="I242" s="50">
        <v>6283595</v>
      </c>
      <c r="J242" s="50">
        <v>4272</v>
      </c>
      <c r="K242" s="50">
        <v>0</v>
      </c>
      <c r="L242" s="50">
        <v>155050</v>
      </c>
      <c r="M242" s="50">
        <v>2813</v>
      </c>
      <c r="N242" s="50">
        <v>468810</v>
      </c>
    </row>
    <row r="243" spans="2:14">
      <c r="B243" s="50" t="s">
        <v>26</v>
      </c>
      <c r="C243" s="50">
        <v>4</v>
      </c>
      <c r="D243" s="50">
        <v>156</v>
      </c>
      <c r="E243" s="50">
        <v>6</v>
      </c>
      <c r="F243" s="50">
        <v>25</v>
      </c>
      <c r="G243" s="50">
        <v>142933</v>
      </c>
      <c r="H243" s="50">
        <v>1972199</v>
      </c>
      <c r="I243" s="50">
        <v>21631933</v>
      </c>
      <c r="J243" s="50">
        <v>11526</v>
      </c>
      <c r="K243" s="50">
        <v>0</v>
      </c>
      <c r="L243" s="50">
        <v>436798</v>
      </c>
      <c r="M243" s="50">
        <v>7374</v>
      </c>
      <c r="N243" s="50">
        <v>677759</v>
      </c>
    </row>
    <row r="244" spans="2:14">
      <c r="B244" s="50" t="s">
        <v>27</v>
      </c>
      <c r="C244" s="50">
        <v>4</v>
      </c>
      <c r="D244" s="50">
        <v>178</v>
      </c>
      <c r="E244" s="50">
        <v>4</v>
      </c>
      <c r="F244" s="50">
        <v>21</v>
      </c>
      <c r="G244" s="50">
        <v>120209</v>
      </c>
      <c r="H244" s="50">
        <v>1988132</v>
      </c>
      <c r="I244" s="50">
        <v>17916535</v>
      </c>
      <c r="J244" s="50">
        <v>18096</v>
      </c>
      <c r="K244" s="50">
        <v>0</v>
      </c>
      <c r="L244" s="50">
        <v>456105</v>
      </c>
      <c r="M244" s="50">
        <v>7331</v>
      </c>
      <c r="N244" s="50">
        <v>669899</v>
      </c>
    </row>
    <row r="245" spans="1:14">
      <c r="A245">
        <v>5138</v>
      </c>
      <c r="B245" s="50" t="s">
        <v>25</v>
      </c>
      <c r="C245" s="50">
        <v>4</v>
      </c>
      <c r="D245" s="50">
        <v>88</v>
      </c>
      <c r="E245" s="50">
        <v>2</v>
      </c>
      <c r="F245" s="50">
        <v>11</v>
      </c>
      <c r="G245" s="50">
        <v>50029</v>
      </c>
      <c r="H245" s="50">
        <v>1499260</v>
      </c>
      <c r="I245" s="50">
        <v>8642235</v>
      </c>
      <c r="J245" s="50">
        <v>18696</v>
      </c>
      <c r="K245" s="50">
        <v>0</v>
      </c>
      <c r="L245" s="50">
        <v>223292</v>
      </c>
      <c r="M245" s="50">
        <v>4566</v>
      </c>
      <c r="N245" s="50">
        <v>475433</v>
      </c>
    </row>
    <row r="246" spans="2:14">
      <c r="B246" s="50" t="s">
        <v>26</v>
      </c>
      <c r="C246" s="50">
        <v>3</v>
      </c>
      <c r="D246" s="50">
        <v>197</v>
      </c>
      <c r="E246" s="50">
        <v>4</v>
      </c>
      <c r="F246" s="50">
        <v>27</v>
      </c>
      <c r="G246" s="50">
        <v>145520</v>
      </c>
      <c r="H246" s="50">
        <v>1999623</v>
      </c>
      <c r="I246" s="50">
        <v>23178066</v>
      </c>
      <c r="J246" s="50">
        <v>20746</v>
      </c>
      <c r="K246" s="50">
        <v>0</v>
      </c>
      <c r="L246" s="50">
        <v>429742</v>
      </c>
      <c r="M246" s="50">
        <v>8152</v>
      </c>
      <c r="N246" s="50">
        <v>549310</v>
      </c>
    </row>
    <row r="247" spans="2:14">
      <c r="B247" s="50" t="s">
        <v>27</v>
      </c>
      <c r="C247" s="50">
        <v>2</v>
      </c>
      <c r="D247" s="50">
        <v>110</v>
      </c>
      <c r="E247" s="50">
        <v>4</v>
      </c>
      <c r="F247" s="50">
        <v>22</v>
      </c>
      <c r="G247" s="50">
        <v>103416</v>
      </c>
      <c r="H247" s="50">
        <v>1923455</v>
      </c>
      <c r="I247" s="50">
        <v>17676932</v>
      </c>
      <c r="J247" s="50">
        <v>28988</v>
      </c>
      <c r="K247" s="50">
        <v>0</v>
      </c>
      <c r="L247" s="50">
        <v>292709</v>
      </c>
      <c r="M247" s="50">
        <v>6524</v>
      </c>
      <c r="N247" s="50">
        <v>507131</v>
      </c>
    </row>
    <row r="248" spans="1:14">
      <c r="A248">
        <v>5139</v>
      </c>
      <c r="B248" s="50" t="s">
        <v>25</v>
      </c>
      <c r="C248" s="50">
        <v>3</v>
      </c>
      <c r="D248" s="50">
        <v>123</v>
      </c>
      <c r="E248" s="50">
        <v>4</v>
      </c>
      <c r="F248" s="50">
        <v>24</v>
      </c>
      <c r="G248" s="50">
        <v>141566</v>
      </c>
      <c r="H248" s="50">
        <v>2210403</v>
      </c>
      <c r="I248" s="50">
        <v>23908966</v>
      </c>
      <c r="J248" s="50">
        <v>26466</v>
      </c>
      <c r="K248" s="50">
        <v>0</v>
      </c>
      <c r="L248" s="50">
        <v>277029</v>
      </c>
      <c r="M248" s="50">
        <v>7771</v>
      </c>
      <c r="N248" s="50">
        <v>703250</v>
      </c>
    </row>
    <row r="249" spans="2:14">
      <c r="B249" s="50" t="s">
        <v>26</v>
      </c>
      <c r="C249" s="50">
        <v>2</v>
      </c>
      <c r="D249" s="50">
        <v>72</v>
      </c>
      <c r="E249" s="50">
        <v>1</v>
      </c>
      <c r="F249" s="50">
        <v>13</v>
      </c>
      <c r="G249" s="50">
        <v>53525</v>
      </c>
      <c r="H249" s="50">
        <v>1597209</v>
      </c>
      <c r="I249" s="50">
        <v>9387481</v>
      </c>
      <c r="J249" s="50">
        <v>22088</v>
      </c>
      <c r="K249" s="50">
        <v>0</v>
      </c>
      <c r="L249" s="50">
        <v>230716</v>
      </c>
      <c r="M249" s="50">
        <v>4501</v>
      </c>
      <c r="N249" s="50">
        <v>475572</v>
      </c>
    </row>
    <row r="250" spans="2:14">
      <c r="B250" s="50" t="s">
        <v>27</v>
      </c>
      <c r="C250" s="50">
        <v>4</v>
      </c>
      <c r="D250" s="50">
        <v>200</v>
      </c>
      <c r="E250" s="50">
        <v>5</v>
      </c>
      <c r="F250" s="50">
        <v>15</v>
      </c>
      <c r="G250" s="50">
        <v>92653</v>
      </c>
      <c r="H250" s="50">
        <v>3239521</v>
      </c>
      <c r="I250" s="50">
        <v>18388757</v>
      </c>
      <c r="J250" s="50">
        <v>83356</v>
      </c>
      <c r="K250" s="50">
        <v>0</v>
      </c>
      <c r="L250" s="50">
        <v>340523</v>
      </c>
      <c r="M250" s="50">
        <v>10612</v>
      </c>
      <c r="N250" s="50">
        <v>908354</v>
      </c>
    </row>
    <row r="251" spans="1:14">
      <c r="A251">
        <v>5140</v>
      </c>
      <c r="B251" s="50" t="s">
        <v>25</v>
      </c>
      <c r="C251" s="50">
        <v>4</v>
      </c>
      <c r="D251" s="50">
        <v>142</v>
      </c>
      <c r="E251" s="50">
        <v>5</v>
      </c>
      <c r="F251" s="50">
        <v>16</v>
      </c>
      <c r="G251" s="50">
        <v>112679</v>
      </c>
      <c r="H251" s="50">
        <v>2291096</v>
      </c>
      <c r="I251" s="50">
        <v>16933093</v>
      </c>
      <c r="J251" s="50">
        <v>37690</v>
      </c>
      <c r="K251" s="50">
        <v>0</v>
      </c>
      <c r="L251" s="50">
        <v>282007</v>
      </c>
      <c r="M251" s="50">
        <v>7639</v>
      </c>
      <c r="N251" s="50">
        <v>660585</v>
      </c>
    </row>
    <row r="252" spans="2:14">
      <c r="B252" s="50" t="s">
        <v>26</v>
      </c>
      <c r="C252" s="50">
        <v>5</v>
      </c>
      <c r="D252" s="50">
        <v>208</v>
      </c>
      <c r="E252" s="50">
        <v>5</v>
      </c>
      <c r="F252" s="50">
        <v>26</v>
      </c>
      <c r="G252" s="50">
        <v>126667</v>
      </c>
      <c r="H252" s="50">
        <v>2463333</v>
      </c>
      <c r="I252" s="50">
        <v>20835834</v>
      </c>
      <c r="J252" s="50">
        <v>31242</v>
      </c>
      <c r="K252" s="50">
        <v>0</v>
      </c>
      <c r="L252" s="50">
        <v>348465</v>
      </c>
      <c r="M252" s="50">
        <v>8871</v>
      </c>
      <c r="N252" s="50">
        <v>733344</v>
      </c>
    </row>
    <row r="253" spans="2:14">
      <c r="B253" s="50" t="s">
        <v>27</v>
      </c>
      <c r="C253" s="50">
        <v>0</v>
      </c>
      <c r="D253" s="50">
        <v>45</v>
      </c>
      <c r="E253" s="50">
        <v>0</v>
      </c>
      <c r="F253" s="50">
        <v>15</v>
      </c>
      <c r="G253" s="50">
        <v>54309</v>
      </c>
      <c r="H253" s="50">
        <v>1345092</v>
      </c>
      <c r="I253" s="50">
        <v>8198810</v>
      </c>
      <c r="J253" s="50">
        <v>13702</v>
      </c>
      <c r="K253" s="50">
        <v>0</v>
      </c>
      <c r="L253" s="50">
        <v>120394</v>
      </c>
      <c r="M253" s="50">
        <v>3357</v>
      </c>
      <c r="N253" s="50">
        <v>418863</v>
      </c>
    </row>
    <row r="254" spans="1:14">
      <c r="A254">
        <v>5141</v>
      </c>
      <c r="B254" s="50" t="s">
        <v>25</v>
      </c>
      <c r="C254" s="50">
        <v>6</v>
      </c>
      <c r="D254" s="50">
        <v>233</v>
      </c>
      <c r="E254" s="50">
        <v>6</v>
      </c>
      <c r="F254" s="50">
        <v>16</v>
      </c>
      <c r="G254" s="50">
        <v>125362</v>
      </c>
      <c r="H254" s="50">
        <v>2552259</v>
      </c>
      <c r="I254" s="50">
        <v>20605195</v>
      </c>
      <c r="J254" s="50">
        <v>98144</v>
      </c>
      <c r="K254" s="50">
        <v>0</v>
      </c>
      <c r="L254" s="50">
        <v>536788</v>
      </c>
      <c r="M254" s="50">
        <v>11382</v>
      </c>
      <c r="N254" s="50">
        <v>634166</v>
      </c>
    </row>
    <row r="255" spans="2:14">
      <c r="B255" s="50" t="s">
        <v>26</v>
      </c>
      <c r="C255" s="50">
        <v>1</v>
      </c>
      <c r="D255" s="50">
        <v>80</v>
      </c>
      <c r="E255" s="50">
        <v>1</v>
      </c>
      <c r="F255" s="50">
        <v>17</v>
      </c>
      <c r="G255" s="50">
        <v>72256</v>
      </c>
      <c r="H255" s="50">
        <v>1538921</v>
      </c>
      <c r="I255" s="50">
        <v>10578676</v>
      </c>
      <c r="J255" s="50">
        <v>21862</v>
      </c>
      <c r="K255" s="50">
        <v>0</v>
      </c>
      <c r="L255" s="50">
        <v>155663</v>
      </c>
      <c r="M255" s="50">
        <v>4591</v>
      </c>
      <c r="N255" s="50">
        <v>475759</v>
      </c>
    </row>
    <row r="256" spans="2:14">
      <c r="B256" s="50" t="s">
        <v>27</v>
      </c>
      <c r="C256" s="50">
        <v>2</v>
      </c>
      <c r="D256" s="50">
        <v>82</v>
      </c>
      <c r="E256" s="50">
        <v>3</v>
      </c>
      <c r="F256" s="50">
        <v>12</v>
      </c>
      <c r="G256" s="50">
        <v>84025</v>
      </c>
      <c r="H256" s="50">
        <v>1728379</v>
      </c>
      <c r="I256" s="50">
        <v>12124513</v>
      </c>
      <c r="J256" s="50">
        <v>11542</v>
      </c>
      <c r="K256" s="50">
        <v>0</v>
      </c>
      <c r="L256" s="50">
        <v>114608</v>
      </c>
      <c r="M256" s="50">
        <v>4784</v>
      </c>
      <c r="N256" s="50">
        <v>472713</v>
      </c>
    </row>
    <row r="257" spans="1:14">
      <c r="A257">
        <v>5142</v>
      </c>
      <c r="B257" s="50" t="s">
        <v>25</v>
      </c>
      <c r="C257" s="50">
        <v>3</v>
      </c>
      <c r="D257" s="50">
        <v>75</v>
      </c>
      <c r="E257" s="50">
        <v>4</v>
      </c>
      <c r="F257" s="50">
        <v>16</v>
      </c>
      <c r="G257" s="50">
        <v>90412</v>
      </c>
      <c r="H257" s="50">
        <v>2286301</v>
      </c>
      <c r="I257" s="50">
        <v>13995536</v>
      </c>
      <c r="J257" s="50">
        <v>60788</v>
      </c>
      <c r="K257" s="50">
        <v>0</v>
      </c>
      <c r="L257" s="50">
        <v>620483</v>
      </c>
      <c r="M257" s="50">
        <v>7321</v>
      </c>
      <c r="N257" s="50">
        <v>704016</v>
      </c>
    </row>
    <row r="258" spans="2:14">
      <c r="B258" s="50" t="s">
        <v>26</v>
      </c>
      <c r="C258" s="50">
        <v>2</v>
      </c>
      <c r="D258" s="50">
        <v>107</v>
      </c>
      <c r="E258" s="50">
        <v>0</v>
      </c>
      <c r="F258" s="50">
        <v>17</v>
      </c>
      <c r="G258" s="50">
        <v>74585</v>
      </c>
      <c r="H258" s="50">
        <v>1011935</v>
      </c>
      <c r="I258" s="50">
        <v>9365100</v>
      </c>
      <c r="J258" s="50">
        <v>14374</v>
      </c>
      <c r="K258" s="50">
        <v>0</v>
      </c>
      <c r="L258" s="50">
        <v>121919</v>
      </c>
      <c r="M258" s="50">
        <v>4083</v>
      </c>
      <c r="N258" s="50">
        <v>315148</v>
      </c>
    </row>
    <row r="259" spans="2:14">
      <c r="B259" s="50" t="s">
        <v>27</v>
      </c>
      <c r="C259" s="50">
        <v>4</v>
      </c>
      <c r="D259" s="50">
        <v>213</v>
      </c>
      <c r="E259" s="50">
        <v>6</v>
      </c>
      <c r="F259" s="50">
        <v>21</v>
      </c>
      <c r="G259" s="50">
        <v>130131</v>
      </c>
      <c r="H259" s="50">
        <v>2655976</v>
      </c>
      <c r="I259" s="50">
        <v>20601770</v>
      </c>
      <c r="J259" s="50">
        <v>90384</v>
      </c>
      <c r="K259" s="50">
        <v>0</v>
      </c>
      <c r="L259" s="50">
        <v>355542</v>
      </c>
      <c r="M259" s="50">
        <v>10786</v>
      </c>
      <c r="N259" s="50">
        <v>839613</v>
      </c>
    </row>
    <row r="260" spans="1:14">
      <c r="A260">
        <v>5143</v>
      </c>
      <c r="B260" s="50" t="s">
        <v>25</v>
      </c>
      <c r="C260" s="50">
        <v>2</v>
      </c>
      <c r="D260" s="50">
        <v>106</v>
      </c>
      <c r="E260" s="50">
        <v>2</v>
      </c>
      <c r="F260" s="50">
        <v>10</v>
      </c>
      <c r="G260" s="50">
        <v>56978</v>
      </c>
      <c r="H260" s="50">
        <v>1908764</v>
      </c>
      <c r="I260" s="50">
        <v>7911874</v>
      </c>
      <c r="J260" s="50">
        <v>13776</v>
      </c>
      <c r="K260" s="50">
        <v>0</v>
      </c>
      <c r="L260" s="50">
        <v>311255</v>
      </c>
      <c r="M260" s="50">
        <v>4813</v>
      </c>
      <c r="N260" s="50">
        <v>744871</v>
      </c>
    </row>
    <row r="261" spans="2:14">
      <c r="B261" s="50" t="s">
        <v>26</v>
      </c>
      <c r="C261" s="50">
        <v>3</v>
      </c>
      <c r="D261" s="50">
        <v>175</v>
      </c>
      <c r="E261" s="50">
        <v>4</v>
      </c>
      <c r="F261" s="50">
        <v>19</v>
      </c>
      <c r="G261" s="50">
        <v>110961</v>
      </c>
      <c r="H261" s="50">
        <v>2385899</v>
      </c>
      <c r="I261" s="50">
        <v>16961250</v>
      </c>
      <c r="J261" s="50">
        <v>55206</v>
      </c>
      <c r="K261" s="50">
        <v>0</v>
      </c>
      <c r="L261" s="50">
        <v>416088</v>
      </c>
      <c r="M261" s="50">
        <v>8551</v>
      </c>
      <c r="N261" s="50">
        <v>696188</v>
      </c>
    </row>
    <row r="262" spans="2:14">
      <c r="B262" s="50" t="s">
        <v>27</v>
      </c>
      <c r="C262" s="50">
        <v>4</v>
      </c>
      <c r="D262" s="50">
        <v>114</v>
      </c>
      <c r="E262" s="50">
        <v>4</v>
      </c>
      <c r="F262" s="50">
        <v>19</v>
      </c>
      <c r="G262" s="50">
        <v>113519</v>
      </c>
      <c r="H262" s="50">
        <v>2801286</v>
      </c>
      <c r="I262" s="50">
        <v>16920998</v>
      </c>
      <c r="J262" s="50">
        <v>65280</v>
      </c>
      <c r="K262" s="50">
        <v>0</v>
      </c>
      <c r="L262" s="50">
        <v>456399</v>
      </c>
      <c r="M262" s="50">
        <v>8787</v>
      </c>
      <c r="N262" s="50">
        <v>732761</v>
      </c>
    </row>
    <row r="263" spans="1:14">
      <c r="A263">
        <v>5144</v>
      </c>
      <c r="B263" s="50" t="s">
        <v>25</v>
      </c>
      <c r="C263" s="50">
        <v>2</v>
      </c>
      <c r="D263" s="50">
        <v>78</v>
      </c>
      <c r="E263" s="50">
        <v>1</v>
      </c>
      <c r="F263" s="50">
        <v>17</v>
      </c>
      <c r="G263" s="50">
        <v>88867</v>
      </c>
      <c r="H263" s="50">
        <v>1948589</v>
      </c>
      <c r="I263" s="50">
        <v>12265496</v>
      </c>
      <c r="J263" s="50">
        <v>47514</v>
      </c>
      <c r="K263" s="50">
        <v>0</v>
      </c>
      <c r="L263" s="50">
        <v>325388</v>
      </c>
      <c r="M263" s="50">
        <v>6187</v>
      </c>
      <c r="N263" s="50">
        <v>732703</v>
      </c>
    </row>
    <row r="264" spans="2:14">
      <c r="B264" s="50" t="s">
        <v>26</v>
      </c>
      <c r="C264" s="50">
        <v>3</v>
      </c>
      <c r="D264" s="50">
        <v>125</v>
      </c>
      <c r="E264" s="50">
        <v>3</v>
      </c>
      <c r="F264" s="50">
        <v>13</v>
      </c>
      <c r="G264" s="50">
        <v>69650</v>
      </c>
      <c r="H264" s="50">
        <v>2501480</v>
      </c>
      <c r="I264" s="50">
        <v>11083091</v>
      </c>
      <c r="J264" s="50">
        <v>48734</v>
      </c>
      <c r="K264" s="50">
        <v>0</v>
      </c>
      <c r="L264" s="50">
        <v>492578</v>
      </c>
      <c r="M264" s="50">
        <v>7216</v>
      </c>
      <c r="N264" s="50">
        <v>794804</v>
      </c>
    </row>
    <row r="265" spans="2:14">
      <c r="B265" s="50" t="s">
        <v>27</v>
      </c>
      <c r="C265" s="50">
        <v>4</v>
      </c>
      <c r="D265" s="50">
        <v>192</v>
      </c>
      <c r="E265" s="50">
        <v>6</v>
      </c>
      <c r="F265" s="50">
        <v>20</v>
      </c>
      <c r="G265" s="50">
        <v>135186</v>
      </c>
      <c r="H265" s="50">
        <v>2951533</v>
      </c>
      <c r="I265" s="50">
        <v>21659493</v>
      </c>
      <c r="J265" s="50">
        <v>83782</v>
      </c>
      <c r="K265" s="50">
        <v>0</v>
      </c>
      <c r="L265" s="50">
        <v>639871</v>
      </c>
      <c r="M265" s="50">
        <v>10946</v>
      </c>
      <c r="N265" s="50">
        <v>696306</v>
      </c>
    </row>
    <row r="266" spans="1:14">
      <c r="A266">
        <v>5145</v>
      </c>
      <c r="B266" s="50" t="s">
        <v>25</v>
      </c>
      <c r="C266" s="50">
        <v>0</v>
      </c>
      <c r="D266" s="50">
        <v>13</v>
      </c>
      <c r="E266" s="50">
        <v>0</v>
      </c>
      <c r="F266" s="50">
        <v>12</v>
      </c>
      <c r="G266" s="50">
        <v>44255</v>
      </c>
      <c r="H266" s="50">
        <v>1026357</v>
      </c>
      <c r="I266" s="50">
        <v>6280150</v>
      </c>
      <c r="J266" s="50">
        <v>7368</v>
      </c>
      <c r="K266" s="50">
        <v>0</v>
      </c>
      <c r="L266" s="50">
        <v>60909</v>
      </c>
      <c r="M266" s="50">
        <v>2257</v>
      </c>
      <c r="N266" s="50">
        <v>305556</v>
      </c>
    </row>
    <row r="267" spans="2:14">
      <c r="B267" s="50" t="s">
        <v>26</v>
      </c>
      <c r="C267" s="50">
        <v>2</v>
      </c>
      <c r="D267" s="50">
        <v>97</v>
      </c>
      <c r="E267" s="50">
        <v>3</v>
      </c>
      <c r="F267" s="50">
        <v>19</v>
      </c>
      <c r="G267" s="50">
        <v>98504</v>
      </c>
      <c r="H267" s="50">
        <v>2531486</v>
      </c>
      <c r="I267" s="50">
        <v>16215832</v>
      </c>
      <c r="J267" s="50">
        <v>76092</v>
      </c>
      <c r="K267" s="50">
        <v>0</v>
      </c>
      <c r="L267" s="50">
        <v>204951</v>
      </c>
      <c r="M267" s="50">
        <v>8200</v>
      </c>
      <c r="N267" s="50">
        <v>814689</v>
      </c>
    </row>
    <row r="268" spans="2:14">
      <c r="B268" s="50" t="s">
        <v>27</v>
      </c>
      <c r="C268" s="50">
        <v>7</v>
      </c>
      <c r="D268" s="50">
        <v>285</v>
      </c>
      <c r="E268" s="50">
        <v>7</v>
      </c>
      <c r="F268" s="50">
        <v>22</v>
      </c>
      <c r="G268" s="50">
        <v>162052</v>
      </c>
      <c r="H268" s="50">
        <v>2630840</v>
      </c>
      <c r="I268" s="50">
        <v>25462605</v>
      </c>
      <c r="J268" s="50">
        <v>90732</v>
      </c>
      <c r="K268" s="50">
        <v>0</v>
      </c>
      <c r="L268" s="50">
        <v>707034</v>
      </c>
      <c r="M268" s="50">
        <v>12612</v>
      </c>
      <c r="N268" s="50">
        <v>984969</v>
      </c>
    </row>
    <row r="269" spans="1:14">
      <c r="A269">
        <v>5146</v>
      </c>
      <c r="B269" s="50" t="s">
        <v>25</v>
      </c>
      <c r="C269" s="50">
        <v>0</v>
      </c>
      <c r="D269" s="50">
        <v>70</v>
      </c>
      <c r="E269" s="50">
        <v>0</v>
      </c>
      <c r="F269" s="50">
        <v>10</v>
      </c>
      <c r="G269" s="50">
        <v>35199</v>
      </c>
      <c r="H269" s="50">
        <v>1059208</v>
      </c>
      <c r="I269" s="50">
        <v>5269511</v>
      </c>
      <c r="J269" s="50">
        <v>23456</v>
      </c>
      <c r="K269" s="50">
        <v>0</v>
      </c>
      <c r="L269" s="50">
        <v>83604</v>
      </c>
      <c r="M269" s="50">
        <v>3207</v>
      </c>
      <c r="N269" s="50">
        <v>298531</v>
      </c>
    </row>
    <row r="270" spans="2:14">
      <c r="B270" s="50" t="s">
        <v>26</v>
      </c>
      <c r="C270" s="50">
        <v>3</v>
      </c>
      <c r="D270" s="50">
        <v>179</v>
      </c>
      <c r="E270" s="50">
        <v>5</v>
      </c>
      <c r="F270" s="50">
        <v>20</v>
      </c>
      <c r="G270" s="50">
        <v>124398</v>
      </c>
      <c r="H270" s="50">
        <v>2283115</v>
      </c>
      <c r="I270" s="50">
        <v>18806994</v>
      </c>
      <c r="J270" s="50">
        <v>41466</v>
      </c>
      <c r="K270" s="50">
        <v>0</v>
      </c>
      <c r="L270" s="50">
        <v>315288</v>
      </c>
      <c r="M270" s="50">
        <v>8277</v>
      </c>
      <c r="N270" s="50">
        <v>720908</v>
      </c>
    </row>
    <row r="271" spans="2:14">
      <c r="B271" s="50" t="s">
        <v>27</v>
      </c>
      <c r="C271" s="50">
        <v>6</v>
      </c>
      <c r="D271" s="50">
        <v>146</v>
      </c>
      <c r="E271" s="50">
        <v>4</v>
      </c>
      <c r="F271" s="50">
        <v>20</v>
      </c>
      <c r="G271" s="50">
        <v>102392</v>
      </c>
      <c r="H271" s="50">
        <v>2431551</v>
      </c>
      <c r="I271" s="50">
        <v>16540384</v>
      </c>
      <c r="J271" s="50">
        <v>38000</v>
      </c>
      <c r="K271" s="50">
        <v>0</v>
      </c>
      <c r="L271" s="50">
        <v>310580</v>
      </c>
      <c r="M271" s="50">
        <v>7952</v>
      </c>
      <c r="N271" s="50">
        <v>660592</v>
      </c>
    </row>
    <row r="272" spans="1:14">
      <c r="A272">
        <v>5147</v>
      </c>
      <c r="B272" s="50" t="s">
        <v>25</v>
      </c>
      <c r="C272" s="50">
        <v>5</v>
      </c>
      <c r="D272" s="50">
        <v>200</v>
      </c>
      <c r="E272" s="50">
        <v>7</v>
      </c>
      <c r="F272" s="50">
        <v>19</v>
      </c>
      <c r="G272" s="50">
        <v>126159</v>
      </c>
      <c r="H272" s="50">
        <v>1684065</v>
      </c>
      <c r="I272" s="50">
        <v>16679466</v>
      </c>
      <c r="J272" s="50">
        <v>24456</v>
      </c>
      <c r="K272" s="50">
        <v>0</v>
      </c>
      <c r="L272" s="50">
        <v>295723</v>
      </c>
      <c r="M272" s="50">
        <v>7364</v>
      </c>
      <c r="N272" s="50">
        <v>574134</v>
      </c>
    </row>
    <row r="273" spans="2:14">
      <c r="B273" s="50" t="s">
        <v>26</v>
      </c>
      <c r="C273" s="50">
        <v>2</v>
      </c>
      <c r="D273" s="50">
        <v>117</v>
      </c>
      <c r="E273" s="50">
        <v>0</v>
      </c>
      <c r="F273" s="50">
        <v>14</v>
      </c>
      <c r="G273" s="50">
        <v>64687</v>
      </c>
      <c r="H273" s="50">
        <v>1015880</v>
      </c>
      <c r="I273" s="50">
        <v>7564787</v>
      </c>
      <c r="J273" s="50">
        <v>3120</v>
      </c>
      <c r="K273" s="50">
        <v>0</v>
      </c>
      <c r="L273" s="50">
        <v>79885</v>
      </c>
      <c r="M273" s="50">
        <v>3599</v>
      </c>
      <c r="N273" s="50">
        <v>339218</v>
      </c>
    </row>
    <row r="274" spans="2:14">
      <c r="B274" s="50" t="s">
        <v>27</v>
      </c>
      <c r="C274" s="50">
        <v>2</v>
      </c>
      <c r="D274" s="50">
        <v>78</v>
      </c>
      <c r="E274" s="50">
        <v>2</v>
      </c>
      <c r="F274" s="50">
        <v>13</v>
      </c>
      <c r="G274" s="50">
        <v>54888</v>
      </c>
      <c r="H274" s="50">
        <v>1025236</v>
      </c>
      <c r="I274" s="50">
        <v>7368841</v>
      </c>
      <c r="J274" s="50">
        <v>2992</v>
      </c>
      <c r="K274" s="50">
        <v>0</v>
      </c>
      <c r="L274" s="50">
        <v>102485</v>
      </c>
      <c r="M274" s="50">
        <v>3157</v>
      </c>
      <c r="N274" s="50">
        <v>302154</v>
      </c>
    </row>
    <row r="275" spans="1:14">
      <c r="A275">
        <v>5148</v>
      </c>
      <c r="B275" s="50" t="s">
        <v>25</v>
      </c>
      <c r="C275" s="50">
        <v>0</v>
      </c>
      <c r="D275" s="50">
        <v>40</v>
      </c>
      <c r="E275" s="50">
        <v>0</v>
      </c>
      <c r="F275" s="50">
        <v>17</v>
      </c>
      <c r="G275" s="50">
        <v>47312</v>
      </c>
      <c r="H275" s="50">
        <v>1211243</v>
      </c>
      <c r="I275" s="50">
        <v>7824315</v>
      </c>
      <c r="J275" s="50">
        <v>2488</v>
      </c>
      <c r="K275" s="50">
        <v>0</v>
      </c>
      <c r="L275" s="50">
        <v>95985</v>
      </c>
      <c r="M275" s="50">
        <v>2752</v>
      </c>
      <c r="N275" s="50">
        <v>397966</v>
      </c>
    </row>
    <row r="276" spans="2:14">
      <c r="B276" s="50" t="s">
        <v>26</v>
      </c>
      <c r="C276" s="50">
        <v>6</v>
      </c>
      <c r="D276" s="50">
        <v>203</v>
      </c>
      <c r="E276" s="50">
        <v>7</v>
      </c>
      <c r="F276" s="50">
        <v>29</v>
      </c>
      <c r="G276" s="50">
        <v>190976</v>
      </c>
      <c r="H276" s="50">
        <v>2391901</v>
      </c>
      <c r="I276" s="50">
        <v>27748871</v>
      </c>
      <c r="J276" s="50">
        <v>65082</v>
      </c>
      <c r="K276" s="50">
        <v>0</v>
      </c>
      <c r="L276" s="50">
        <v>393854</v>
      </c>
      <c r="M276" s="50">
        <v>10901</v>
      </c>
      <c r="N276" s="50">
        <v>721726</v>
      </c>
    </row>
    <row r="277" spans="2:14">
      <c r="B277" s="50" t="s">
        <v>27</v>
      </c>
      <c r="C277" s="50">
        <v>3</v>
      </c>
      <c r="D277" s="50">
        <v>152</v>
      </c>
      <c r="E277" s="50">
        <v>2</v>
      </c>
      <c r="F277" s="50">
        <v>14</v>
      </c>
      <c r="G277" s="50">
        <v>55441</v>
      </c>
      <c r="H277" s="50">
        <v>1411439</v>
      </c>
      <c r="I277" s="50">
        <v>8776437</v>
      </c>
      <c r="J277" s="50">
        <v>6312</v>
      </c>
      <c r="K277" s="50">
        <v>0</v>
      </c>
      <c r="L277" s="50">
        <v>90176</v>
      </c>
      <c r="M277" s="50">
        <v>4620</v>
      </c>
      <c r="N277" s="50">
        <v>428757</v>
      </c>
    </row>
    <row r="278" spans="1:14">
      <c r="A278">
        <v>5149</v>
      </c>
      <c r="B278" s="50" t="s">
        <v>25</v>
      </c>
      <c r="C278" s="50">
        <v>4</v>
      </c>
      <c r="D278" s="50">
        <v>227</v>
      </c>
      <c r="E278" s="50">
        <v>6</v>
      </c>
      <c r="F278" s="50">
        <v>20</v>
      </c>
      <c r="G278" s="50">
        <v>134603</v>
      </c>
      <c r="H278" s="50">
        <v>1955286</v>
      </c>
      <c r="I278" s="50">
        <v>19022662</v>
      </c>
      <c r="J278" s="50">
        <v>19166</v>
      </c>
      <c r="K278" s="50">
        <v>0</v>
      </c>
      <c r="L278" s="50">
        <v>222199</v>
      </c>
      <c r="M278" s="50">
        <v>7886</v>
      </c>
      <c r="N278" s="50">
        <v>562603</v>
      </c>
    </row>
    <row r="279" spans="2:14">
      <c r="B279" s="50" t="s">
        <v>26</v>
      </c>
      <c r="C279" s="50">
        <v>2</v>
      </c>
      <c r="D279" s="50">
        <v>76</v>
      </c>
      <c r="E279" s="50">
        <v>1</v>
      </c>
      <c r="F279" s="50">
        <v>11</v>
      </c>
      <c r="G279" s="50">
        <v>53177</v>
      </c>
      <c r="H279" s="50">
        <v>1355250</v>
      </c>
      <c r="I279" s="50">
        <v>6986566</v>
      </c>
      <c r="J279" s="50">
        <v>4938</v>
      </c>
      <c r="K279" s="50">
        <v>0</v>
      </c>
      <c r="L279" s="50">
        <v>66207</v>
      </c>
      <c r="M279" s="50">
        <v>3461</v>
      </c>
      <c r="N279" s="50">
        <v>442487</v>
      </c>
    </row>
    <row r="280" spans="2:14">
      <c r="B280" s="50" t="s">
        <v>27</v>
      </c>
      <c r="C280" s="50">
        <v>3</v>
      </c>
      <c r="D280" s="50">
        <v>92</v>
      </c>
      <c r="E280" s="50">
        <v>2</v>
      </c>
      <c r="F280" s="50">
        <v>8</v>
      </c>
      <c r="G280" s="50">
        <v>55308</v>
      </c>
      <c r="H280" s="50">
        <v>1334914</v>
      </c>
      <c r="I280" s="50">
        <v>7103584</v>
      </c>
      <c r="J280" s="50">
        <v>14284</v>
      </c>
      <c r="K280" s="50">
        <v>0</v>
      </c>
      <c r="L280" s="50">
        <v>96551</v>
      </c>
      <c r="M280" s="50">
        <v>4018</v>
      </c>
      <c r="N280" s="50">
        <v>448138</v>
      </c>
    </row>
    <row r="281" spans="1:14">
      <c r="A281">
        <v>5150</v>
      </c>
      <c r="B281" s="50" t="s">
        <v>25</v>
      </c>
      <c r="C281" s="50">
        <v>3</v>
      </c>
      <c r="D281" s="50">
        <v>93</v>
      </c>
      <c r="E281" s="50">
        <v>4</v>
      </c>
      <c r="F281" s="50">
        <v>12</v>
      </c>
      <c r="G281" s="50">
        <v>74571</v>
      </c>
      <c r="H281" s="50">
        <v>1585944</v>
      </c>
      <c r="I281" s="50">
        <v>9796347</v>
      </c>
      <c r="J281" s="50">
        <v>19192</v>
      </c>
      <c r="K281" s="50">
        <v>0</v>
      </c>
      <c r="L281" s="50">
        <v>274238</v>
      </c>
      <c r="M281" s="50">
        <v>4881</v>
      </c>
      <c r="N281" s="50">
        <v>478485</v>
      </c>
    </row>
    <row r="282" spans="2:14">
      <c r="B282" s="50" t="s">
        <v>26</v>
      </c>
      <c r="C282" s="50">
        <v>2</v>
      </c>
      <c r="D282" s="50">
        <v>92</v>
      </c>
      <c r="E282" s="50">
        <v>1</v>
      </c>
      <c r="F282" s="50">
        <v>17</v>
      </c>
      <c r="G282" s="50">
        <v>69743</v>
      </c>
      <c r="H282" s="50">
        <v>1146642</v>
      </c>
      <c r="I282" s="50">
        <v>9131725</v>
      </c>
      <c r="J282" s="50">
        <v>14008</v>
      </c>
      <c r="K282" s="50">
        <v>0</v>
      </c>
      <c r="L282" s="50">
        <v>288069</v>
      </c>
      <c r="M282" s="50">
        <v>4092</v>
      </c>
      <c r="N282" s="50">
        <v>425601</v>
      </c>
    </row>
    <row r="283" spans="2:14">
      <c r="B283" s="50" t="s">
        <v>27</v>
      </c>
      <c r="C283" s="50">
        <v>4</v>
      </c>
      <c r="D283" s="50">
        <v>210</v>
      </c>
      <c r="E283" s="50">
        <v>5</v>
      </c>
      <c r="F283" s="50">
        <v>19</v>
      </c>
      <c r="G283" s="50">
        <v>143256</v>
      </c>
      <c r="H283" s="50">
        <v>1741264</v>
      </c>
      <c r="I283" s="50">
        <v>17936855</v>
      </c>
      <c r="J283" s="50">
        <v>15894</v>
      </c>
      <c r="K283" s="50">
        <v>0</v>
      </c>
      <c r="L283" s="50">
        <v>312873</v>
      </c>
      <c r="M283" s="50">
        <v>7384</v>
      </c>
      <c r="N283" s="50">
        <v>519013</v>
      </c>
    </row>
    <row r="284" spans="1:14">
      <c r="A284">
        <v>5151</v>
      </c>
      <c r="B284" s="50" t="s">
        <v>25</v>
      </c>
      <c r="C284" s="50">
        <v>4</v>
      </c>
      <c r="D284" s="50">
        <v>198</v>
      </c>
      <c r="E284" s="50">
        <v>6</v>
      </c>
      <c r="F284" s="50">
        <v>18</v>
      </c>
      <c r="G284" s="50">
        <v>130340</v>
      </c>
      <c r="H284" s="50">
        <v>1802254</v>
      </c>
      <c r="I284" s="50">
        <v>17065970</v>
      </c>
      <c r="J284" s="50">
        <v>32972</v>
      </c>
      <c r="K284" s="50">
        <v>0</v>
      </c>
      <c r="L284" s="50">
        <v>280428</v>
      </c>
      <c r="M284" s="50">
        <v>7669</v>
      </c>
      <c r="N284" s="50">
        <v>523685</v>
      </c>
    </row>
    <row r="285" spans="2:14">
      <c r="B285" s="50" t="s">
        <v>26</v>
      </c>
      <c r="C285" s="50">
        <v>3</v>
      </c>
      <c r="D285" s="50">
        <v>120</v>
      </c>
      <c r="E285" s="50">
        <v>4</v>
      </c>
      <c r="F285" s="50">
        <v>16</v>
      </c>
      <c r="G285" s="50">
        <v>99303</v>
      </c>
      <c r="H285" s="50">
        <v>1829363</v>
      </c>
      <c r="I285" s="50">
        <v>13731693</v>
      </c>
      <c r="J285" s="50">
        <v>23662</v>
      </c>
      <c r="K285" s="50">
        <v>0</v>
      </c>
      <c r="L285" s="50">
        <v>154834</v>
      </c>
      <c r="M285" s="50">
        <v>5986</v>
      </c>
      <c r="N285" s="50">
        <v>522360</v>
      </c>
    </row>
    <row r="286" spans="2:14">
      <c r="B286" s="50" t="s">
        <v>27</v>
      </c>
      <c r="C286" s="50">
        <v>2</v>
      </c>
      <c r="D286" s="50">
        <v>77</v>
      </c>
      <c r="E286" s="50">
        <v>0</v>
      </c>
      <c r="F286" s="50">
        <v>14</v>
      </c>
      <c r="G286" s="50">
        <v>49240</v>
      </c>
      <c r="H286" s="50">
        <v>921841</v>
      </c>
      <c r="I286" s="50">
        <v>6368884</v>
      </c>
      <c r="J286" s="50">
        <v>3640</v>
      </c>
      <c r="K286" s="50">
        <v>0</v>
      </c>
      <c r="L286" s="50">
        <v>92941</v>
      </c>
      <c r="M286" s="50">
        <v>2930</v>
      </c>
      <c r="N286" s="50">
        <v>258357</v>
      </c>
    </row>
    <row r="287" spans="1:14">
      <c r="A287">
        <v>5152</v>
      </c>
      <c r="B287" s="50" t="s">
        <v>25</v>
      </c>
      <c r="C287" s="50">
        <v>1</v>
      </c>
      <c r="D287" s="50">
        <v>53</v>
      </c>
      <c r="E287" s="50">
        <v>0</v>
      </c>
      <c r="F287" s="50">
        <v>8</v>
      </c>
      <c r="G287" s="50">
        <v>29049</v>
      </c>
      <c r="H287" s="50">
        <v>871814</v>
      </c>
      <c r="I287" s="50">
        <v>3860178</v>
      </c>
      <c r="J287" s="50">
        <v>6746</v>
      </c>
      <c r="K287" s="50">
        <v>0</v>
      </c>
      <c r="L287" s="50">
        <v>56069</v>
      </c>
      <c r="M287" s="50">
        <v>2263</v>
      </c>
      <c r="N287" s="50">
        <v>242359</v>
      </c>
    </row>
    <row r="288" spans="2:14">
      <c r="B288" s="50" t="s">
        <v>26</v>
      </c>
      <c r="C288" s="50">
        <v>0</v>
      </c>
      <c r="D288" s="50">
        <v>62</v>
      </c>
      <c r="E288" s="50">
        <v>3</v>
      </c>
      <c r="F288" s="50">
        <v>16</v>
      </c>
      <c r="G288" s="50">
        <v>77735</v>
      </c>
      <c r="H288" s="50">
        <v>1382694</v>
      </c>
      <c r="I288" s="50">
        <v>10412156</v>
      </c>
      <c r="J288" s="50">
        <v>12628</v>
      </c>
      <c r="K288" s="50">
        <v>0</v>
      </c>
      <c r="L288" s="50">
        <v>141674</v>
      </c>
      <c r="M288" s="50">
        <v>3882</v>
      </c>
      <c r="N288" s="50">
        <v>477320</v>
      </c>
    </row>
    <row r="289" spans="2:14">
      <c r="B289" s="50" t="s">
        <v>27</v>
      </c>
      <c r="C289" s="50">
        <v>8</v>
      </c>
      <c r="D289" s="50">
        <v>280</v>
      </c>
      <c r="E289" s="50">
        <v>6</v>
      </c>
      <c r="F289" s="50">
        <v>16</v>
      </c>
      <c r="G289" s="50">
        <v>141810</v>
      </c>
      <c r="H289" s="50">
        <v>2836693</v>
      </c>
      <c r="I289" s="50">
        <v>20249475</v>
      </c>
      <c r="J289" s="50">
        <v>101982</v>
      </c>
      <c r="K289" s="50">
        <v>0</v>
      </c>
      <c r="L289" s="50">
        <v>466410</v>
      </c>
      <c r="M289" s="50">
        <v>12463</v>
      </c>
      <c r="N289" s="50">
        <v>1056442</v>
      </c>
    </row>
    <row r="290" spans="1:14">
      <c r="A290">
        <v>5153</v>
      </c>
      <c r="B290" s="50" t="s">
        <v>25</v>
      </c>
      <c r="C290" s="50">
        <v>3</v>
      </c>
      <c r="D290" s="50">
        <v>111</v>
      </c>
      <c r="E290" s="50">
        <v>4</v>
      </c>
      <c r="F290" s="50">
        <v>12</v>
      </c>
      <c r="G290" s="50">
        <v>80569</v>
      </c>
      <c r="H290" s="50">
        <v>1796733</v>
      </c>
      <c r="I290" s="50">
        <v>11024264</v>
      </c>
      <c r="J290" s="50">
        <v>19242</v>
      </c>
      <c r="K290" s="50">
        <v>0</v>
      </c>
      <c r="L290" s="50">
        <v>142299</v>
      </c>
      <c r="M290" s="50">
        <v>5360</v>
      </c>
      <c r="N290" s="50">
        <v>447518</v>
      </c>
    </row>
    <row r="291" spans="2:14">
      <c r="B291" s="50" t="s">
        <v>26</v>
      </c>
      <c r="C291" s="50">
        <v>3</v>
      </c>
      <c r="D291" s="50">
        <v>152</v>
      </c>
      <c r="E291" s="50">
        <v>2</v>
      </c>
      <c r="F291" s="50">
        <v>21</v>
      </c>
      <c r="G291" s="50">
        <v>100297</v>
      </c>
      <c r="H291" s="50">
        <v>1349667</v>
      </c>
      <c r="I291" s="50">
        <v>13167585</v>
      </c>
      <c r="J291" s="50">
        <v>8772</v>
      </c>
      <c r="K291" s="50">
        <v>0</v>
      </c>
      <c r="L291" s="50">
        <v>228443</v>
      </c>
      <c r="M291" s="50">
        <v>5365</v>
      </c>
      <c r="N291" s="50">
        <v>402802</v>
      </c>
    </row>
    <row r="292" spans="2:14">
      <c r="B292" s="50" t="s">
        <v>27</v>
      </c>
      <c r="C292" s="50">
        <v>3</v>
      </c>
      <c r="D292" s="50">
        <v>132</v>
      </c>
      <c r="E292" s="50">
        <v>4</v>
      </c>
      <c r="F292" s="50">
        <v>21</v>
      </c>
      <c r="G292" s="50">
        <v>112586</v>
      </c>
      <c r="H292" s="50">
        <v>1891250</v>
      </c>
      <c r="I292" s="50">
        <v>15596024</v>
      </c>
      <c r="J292" s="50">
        <v>19962</v>
      </c>
      <c r="K292" s="50">
        <v>0</v>
      </c>
      <c r="L292" s="50">
        <v>427188</v>
      </c>
      <c r="M292" s="50">
        <v>6446</v>
      </c>
      <c r="N292" s="50">
        <v>568928</v>
      </c>
    </row>
    <row r="293" spans="1:14">
      <c r="A293">
        <v>5154</v>
      </c>
      <c r="B293" s="50" t="s">
        <v>25</v>
      </c>
      <c r="C293" s="50">
        <v>9</v>
      </c>
      <c r="D293" s="50">
        <v>302</v>
      </c>
      <c r="E293" s="50">
        <v>5</v>
      </c>
      <c r="F293" s="50">
        <v>18</v>
      </c>
      <c r="G293" s="50">
        <v>120285</v>
      </c>
      <c r="H293" s="50">
        <v>3019353</v>
      </c>
      <c r="I293" s="50">
        <v>21077140</v>
      </c>
      <c r="J293" s="50">
        <v>191214</v>
      </c>
      <c r="K293" s="50">
        <v>0</v>
      </c>
      <c r="L293" s="50">
        <v>706360</v>
      </c>
      <c r="M293" s="50">
        <v>15738</v>
      </c>
      <c r="N293" s="50">
        <v>1077224</v>
      </c>
    </row>
    <row r="294" spans="2:14">
      <c r="B294" s="50" t="s">
        <v>26</v>
      </c>
      <c r="C294" s="50">
        <v>0</v>
      </c>
      <c r="D294" s="50">
        <v>57</v>
      </c>
      <c r="E294" s="50">
        <v>2</v>
      </c>
      <c r="F294" s="50">
        <v>16</v>
      </c>
      <c r="G294" s="50">
        <v>82551</v>
      </c>
      <c r="H294" s="50">
        <v>1382810</v>
      </c>
      <c r="I294" s="50">
        <v>11656698</v>
      </c>
      <c r="J294" s="50">
        <v>22190</v>
      </c>
      <c r="K294" s="50">
        <v>0</v>
      </c>
      <c r="L294" s="50">
        <v>153273</v>
      </c>
      <c r="M294" s="50">
        <v>4273</v>
      </c>
      <c r="N294" s="50">
        <v>419998</v>
      </c>
    </row>
    <row r="295" spans="2:14">
      <c r="B295" s="50" t="s">
        <v>27</v>
      </c>
      <c r="C295" s="50">
        <v>0</v>
      </c>
      <c r="D295" s="50">
        <v>36</v>
      </c>
      <c r="E295" s="50">
        <v>1</v>
      </c>
      <c r="F295" s="50">
        <v>14</v>
      </c>
      <c r="G295" s="50">
        <v>47441</v>
      </c>
      <c r="H295" s="50">
        <v>1329552</v>
      </c>
      <c r="I295" s="50">
        <v>8018982</v>
      </c>
      <c r="J295" s="50">
        <v>16874</v>
      </c>
      <c r="K295" s="50">
        <v>0</v>
      </c>
      <c r="L295" s="50">
        <v>139633</v>
      </c>
      <c r="M295" s="50">
        <v>3304</v>
      </c>
      <c r="N295" s="50">
        <v>447661</v>
      </c>
    </row>
    <row r="296" spans="1:14">
      <c r="A296">
        <v>5155</v>
      </c>
      <c r="B296" s="50" t="s">
        <v>25</v>
      </c>
      <c r="C296" s="50">
        <v>0</v>
      </c>
      <c r="D296" s="50">
        <v>41</v>
      </c>
      <c r="E296" s="50">
        <v>0</v>
      </c>
      <c r="F296" s="50">
        <v>22</v>
      </c>
      <c r="G296" s="50">
        <v>61420</v>
      </c>
      <c r="H296" s="50">
        <v>1158809</v>
      </c>
      <c r="I296" s="50">
        <v>11594710</v>
      </c>
      <c r="J296" s="50">
        <v>3502</v>
      </c>
      <c r="K296" s="50">
        <v>0</v>
      </c>
      <c r="L296" s="50">
        <v>149395</v>
      </c>
      <c r="M296" s="50">
        <v>3215</v>
      </c>
      <c r="N296" s="50">
        <v>341675</v>
      </c>
    </row>
    <row r="297" spans="2:14">
      <c r="B297" s="50" t="s">
        <v>26</v>
      </c>
      <c r="C297" s="50">
        <v>7</v>
      </c>
      <c r="D297" s="50">
        <v>273</v>
      </c>
      <c r="E297" s="50">
        <v>6</v>
      </c>
      <c r="F297" s="50">
        <v>25</v>
      </c>
      <c r="G297" s="50">
        <v>155250</v>
      </c>
      <c r="H297" s="50">
        <v>2188410</v>
      </c>
      <c r="I297" s="50">
        <v>23946795</v>
      </c>
      <c r="J297" s="50">
        <v>34568</v>
      </c>
      <c r="K297" s="50">
        <v>0</v>
      </c>
      <c r="L297" s="50">
        <v>465110</v>
      </c>
      <c r="M297" s="50">
        <v>10058</v>
      </c>
      <c r="N297" s="50">
        <v>673278</v>
      </c>
    </row>
    <row r="298" spans="2:14">
      <c r="B298" s="50" t="s">
        <v>27</v>
      </c>
      <c r="C298" s="50">
        <v>2</v>
      </c>
      <c r="D298" s="50">
        <v>81</v>
      </c>
      <c r="E298" s="50">
        <v>4</v>
      </c>
      <c r="F298" s="50">
        <v>16</v>
      </c>
      <c r="G298" s="50">
        <v>95425</v>
      </c>
      <c r="H298" s="50">
        <v>1835994</v>
      </c>
      <c r="I298" s="50">
        <v>14927441</v>
      </c>
      <c r="J298" s="50">
        <v>36400</v>
      </c>
      <c r="K298" s="50">
        <v>0</v>
      </c>
      <c r="L298" s="50">
        <v>209013</v>
      </c>
      <c r="M298" s="50">
        <v>6012</v>
      </c>
      <c r="N298" s="50">
        <v>513478</v>
      </c>
    </row>
    <row r="299" spans="1:14">
      <c r="A299">
        <v>5156</v>
      </c>
      <c r="B299" s="50" t="s">
        <v>25</v>
      </c>
      <c r="C299" s="50">
        <v>0</v>
      </c>
      <c r="D299" s="50">
        <v>12</v>
      </c>
      <c r="E299" s="50">
        <v>3</v>
      </c>
      <c r="F299" s="50">
        <v>8</v>
      </c>
      <c r="G299" s="50">
        <v>50081</v>
      </c>
      <c r="H299" s="50">
        <v>2851951</v>
      </c>
      <c r="I299" s="50">
        <v>10961571</v>
      </c>
      <c r="J299" s="50">
        <v>142408</v>
      </c>
      <c r="K299" s="50">
        <v>0</v>
      </c>
      <c r="L299" s="50">
        <v>168804</v>
      </c>
      <c r="M299" s="50">
        <v>8675</v>
      </c>
      <c r="N299" s="50">
        <v>829962</v>
      </c>
    </row>
    <row r="300" spans="2:14">
      <c r="B300" s="50" t="s">
        <v>26</v>
      </c>
      <c r="C300" s="50">
        <v>6</v>
      </c>
      <c r="D300" s="50">
        <v>239</v>
      </c>
      <c r="E300" s="50">
        <v>4</v>
      </c>
      <c r="F300" s="50">
        <v>27</v>
      </c>
      <c r="G300" s="50">
        <v>125766</v>
      </c>
      <c r="H300" s="50">
        <v>2909118</v>
      </c>
      <c r="I300" s="50">
        <v>25925338</v>
      </c>
      <c r="J300" s="50">
        <v>93138</v>
      </c>
      <c r="K300" s="50">
        <v>0</v>
      </c>
      <c r="L300" s="50">
        <v>591055</v>
      </c>
      <c r="M300" s="50">
        <v>12210</v>
      </c>
      <c r="N300" s="50">
        <v>881008</v>
      </c>
    </row>
    <row r="301" spans="2:14">
      <c r="B301" s="50" t="s">
        <v>27</v>
      </c>
      <c r="C301" s="50">
        <v>3</v>
      </c>
      <c r="D301" s="50">
        <v>144</v>
      </c>
      <c r="E301" s="50">
        <v>3</v>
      </c>
      <c r="F301" s="50">
        <v>24</v>
      </c>
      <c r="G301" s="50">
        <v>97079</v>
      </c>
      <c r="H301" s="50">
        <v>1985389</v>
      </c>
      <c r="I301" s="50">
        <v>19714014</v>
      </c>
      <c r="J301" s="50">
        <v>38298</v>
      </c>
      <c r="K301" s="50">
        <v>0</v>
      </c>
      <c r="L301" s="50">
        <v>342655</v>
      </c>
      <c r="M301" s="50">
        <v>7502</v>
      </c>
      <c r="N301" s="50">
        <v>609588</v>
      </c>
    </row>
    <row r="302" spans="1:14">
      <c r="A302">
        <v>5157</v>
      </c>
      <c r="B302" s="50" t="s">
        <v>25</v>
      </c>
      <c r="C302" s="50">
        <v>3</v>
      </c>
      <c r="D302" s="50">
        <v>117</v>
      </c>
      <c r="E302" s="50">
        <v>1</v>
      </c>
      <c r="F302" s="50">
        <v>24</v>
      </c>
      <c r="G302" s="50">
        <v>94207</v>
      </c>
      <c r="H302" s="50">
        <v>1546719</v>
      </c>
      <c r="I302" s="50">
        <v>15841538</v>
      </c>
      <c r="J302" s="50">
        <v>15086</v>
      </c>
      <c r="K302" s="50">
        <v>0</v>
      </c>
      <c r="L302" s="50">
        <v>131699</v>
      </c>
      <c r="M302" s="50">
        <v>5590</v>
      </c>
      <c r="N302" s="50">
        <v>489133</v>
      </c>
    </row>
    <row r="303" spans="2:14">
      <c r="B303" s="50" t="s">
        <v>26</v>
      </c>
      <c r="C303" s="50">
        <v>0</v>
      </c>
      <c r="D303" s="50">
        <v>64</v>
      </c>
      <c r="E303" s="50">
        <v>2</v>
      </c>
      <c r="F303" s="50">
        <v>18</v>
      </c>
      <c r="G303" s="50">
        <v>78524</v>
      </c>
      <c r="H303" s="50">
        <v>1834434</v>
      </c>
      <c r="I303" s="50">
        <v>13111567</v>
      </c>
      <c r="J303" s="50">
        <v>39604</v>
      </c>
      <c r="K303" s="50">
        <v>0</v>
      </c>
      <c r="L303" s="50">
        <v>225522</v>
      </c>
      <c r="M303" s="50">
        <v>5479</v>
      </c>
      <c r="N303" s="50">
        <v>564871</v>
      </c>
    </row>
    <row r="304" spans="2:14">
      <c r="B304" s="50" t="s">
        <v>27</v>
      </c>
      <c r="C304" s="50">
        <v>6</v>
      </c>
      <c r="D304" s="50">
        <v>214</v>
      </c>
      <c r="E304" s="50">
        <v>7</v>
      </c>
      <c r="F304" s="50">
        <v>23</v>
      </c>
      <c r="G304" s="50">
        <v>142442</v>
      </c>
      <c r="H304" s="50">
        <v>3034456</v>
      </c>
      <c r="I304" s="50">
        <v>25899908</v>
      </c>
      <c r="J304" s="50">
        <v>116310</v>
      </c>
      <c r="K304" s="50">
        <v>0</v>
      </c>
      <c r="L304" s="50">
        <v>703621</v>
      </c>
      <c r="M304" s="50">
        <v>12917</v>
      </c>
      <c r="N304" s="50">
        <v>910275</v>
      </c>
    </row>
    <row r="305" spans="1:14">
      <c r="A305">
        <v>5158</v>
      </c>
      <c r="B305" s="50" t="s">
        <v>25</v>
      </c>
      <c r="C305" s="50">
        <v>7</v>
      </c>
      <c r="D305" s="50">
        <v>254</v>
      </c>
      <c r="E305" s="50">
        <v>6</v>
      </c>
      <c r="F305" s="50">
        <v>27</v>
      </c>
      <c r="G305" s="50">
        <v>146215</v>
      </c>
      <c r="H305" s="50">
        <v>2980299</v>
      </c>
      <c r="I305" s="50">
        <v>27120186</v>
      </c>
      <c r="J305" s="50">
        <v>103228</v>
      </c>
      <c r="K305" s="50">
        <v>0</v>
      </c>
      <c r="L305" s="50">
        <v>623559</v>
      </c>
      <c r="M305" s="50">
        <v>13072</v>
      </c>
      <c r="N305" s="50">
        <v>834962</v>
      </c>
    </row>
    <row r="306" spans="2:14">
      <c r="B306" s="50" t="s">
        <v>26</v>
      </c>
      <c r="C306" s="50">
        <v>1</v>
      </c>
      <c r="D306" s="50">
        <v>63</v>
      </c>
      <c r="E306" s="50">
        <v>1</v>
      </c>
      <c r="F306" s="50">
        <v>20</v>
      </c>
      <c r="G306" s="50">
        <v>84529</v>
      </c>
      <c r="H306" s="50">
        <v>1727334</v>
      </c>
      <c r="I306" s="50">
        <v>14678405</v>
      </c>
      <c r="J306" s="50">
        <v>29928</v>
      </c>
      <c r="K306" s="50">
        <v>0</v>
      </c>
      <c r="L306" s="50">
        <v>139554</v>
      </c>
      <c r="M306" s="50">
        <v>5315</v>
      </c>
      <c r="N306" s="50">
        <v>585976</v>
      </c>
    </row>
    <row r="307" spans="2:14">
      <c r="B307" s="50" t="s">
        <v>27</v>
      </c>
      <c r="C307" s="50">
        <v>1</v>
      </c>
      <c r="D307" s="50">
        <v>78</v>
      </c>
      <c r="E307" s="50">
        <v>2</v>
      </c>
      <c r="F307" s="50">
        <v>15</v>
      </c>
      <c r="G307" s="50">
        <v>62306</v>
      </c>
      <c r="H307" s="50">
        <v>1725847</v>
      </c>
      <c r="I307" s="50">
        <v>11805367</v>
      </c>
      <c r="J307" s="50">
        <v>49186</v>
      </c>
      <c r="K307" s="50">
        <v>0</v>
      </c>
      <c r="L307" s="50">
        <v>110617</v>
      </c>
      <c r="M307" s="50">
        <v>5628</v>
      </c>
      <c r="N307" s="50">
        <v>522104</v>
      </c>
    </row>
    <row r="308" spans="1:14">
      <c r="A308">
        <v>5159</v>
      </c>
      <c r="B308" s="50" t="s">
        <v>25</v>
      </c>
      <c r="C308" s="50">
        <v>4</v>
      </c>
      <c r="D308" s="50">
        <v>176</v>
      </c>
      <c r="E308" s="50">
        <v>7</v>
      </c>
      <c r="F308" s="50">
        <v>20</v>
      </c>
      <c r="G308" s="50">
        <v>144537</v>
      </c>
      <c r="H308" s="50">
        <v>2552405</v>
      </c>
      <c r="I308" s="50">
        <v>23290150</v>
      </c>
      <c r="J308" s="50">
        <v>41674</v>
      </c>
      <c r="K308" s="50">
        <v>0</v>
      </c>
      <c r="L308" s="50">
        <v>239511</v>
      </c>
      <c r="M308" s="50">
        <v>9134</v>
      </c>
      <c r="N308" s="50">
        <v>705637</v>
      </c>
    </row>
    <row r="309" spans="2:14">
      <c r="B309" s="50" t="s">
        <v>26</v>
      </c>
      <c r="C309" s="50">
        <v>3</v>
      </c>
      <c r="D309" s="50">
        <v>134</v>
      </c>
      <c r="E309" s="50">
        <v>1</v>
      </c>
      <c r="F309" s="50">
        <v>32</v>
      </c>
      <c r="G309" s="50">
        <v>97230</v>
      </c>
      <c r="H309" s="50">
        <v>1454882</v>
      </c>
      <c r="I309" s="50">
        <v>17980069</v>
      </c>
      <c r="J309" s="50">
        <v>33488</v>
      </c>
      <c r="K309" s="50">
        <v>0</v>
      </c>
      <c r="L309" s="50">
        <v>481292</v>
      </c>
      <c r="M309" s="50">
        <v>6624</v>
      </c>
      <c r="N309" s="50">
        <v>520018</v>
      </c>
    </row>
    <row r="310" spans="2:14">
      <c r="B310" s="50" t="s">
        <v>27</v>
      </c>
      <c r="C310" s="50">
        <v>2</v>
      </c>
      <c r="D310" s="50">
        <v>85</v>
      </c>
      <c r="E310" s="50">
        <v>2</v>
      </c>
      <c r="F310" s="50">
        <v>19</v>
      </c>
      <c r="G310" s="50">
        <v>77057</v>
      </c>
      <c r="H310" s="50">
        <v>1542468</v>
      </c>
      <c r="I310" s="50">
        <v>12992554</v>
      </c>
      <c r="J310" s="50">
        <v>17176</v>
      </c>
      <c r="K310" s="50">
        <v>0</v>
      </c>
      <c r="L310" s="50">
        <v>164007</v>
      </c>
      <c r="M310" s="50">
        <v>4874</v>
      </c>
      <c r="N310" s="50">
        <v>456236</v>
      </c>
    </row>
    <row r="311" spans="1:14">
      <c r="A311">
        <v>5160</v>
      </c>
      <c r="B311" s="50" t="s">
        <v>25</v>
      </c>
      <c r="C311" s="50">
        <v>0</v>
      </c>
      <c r="D311" s="50">
        <v>45</v>
      </c>
      <c r="E311" s="50">
        <v>1</v>
      </c>
      <c r="F311" s="50">
        <v>10</v>
      </c>
      <c r="G311" s="50">
        <v>45839</v>
      </c>
      <c r="H311" s="50">
        <v>2018079</v>
      </c>
      <c r="I311" s="50">
        <v>7770747</v>
      </c>
      <c r="J311" s="50">
        <v>35626</v>
      </c>
      <c r="K311" s="50">
        <v>0</v>
      </c>
      <c r="L311" s="50">
        <v>80123</v>
      </c>
      <c r="M311" s="50">
        <v>4583</v>
      </c>
      <c r="N311" s="50">
        <v>838846</v>
      </c>
    </row>
    <row r="312" spans="2:14">
      <c r="B312" s="50" t="s">
        <v>26</v>
      </c>
      <c r="C312" s="50">
        <v>0</v>
      </c>
      <c r="D312" s="50">
        <v>49</v>
      </c>
      <c r="E312" s="50">
        <v>0</v>
      </c>
      <c r="F312" s="50">
        <v>18</v>
      </c>
      <c r="G312" s="50">
        <v>56958</v>
      </c>
      <c r="H312" s="50">
        <v>991209</v>
      </c>
      <c r="I312" s="50">
        <v>8527494</v>
      </c>
      <c r="J312" s="50">
        <v>4744</v>
      </c>
      <c r="K312" s="50">
        <v>0</v>
      </c>
      <c r="L312" s="50">
        <v>84641</v>
      </c>
      <c r="M312" s="50">
        <v>2803</v>
      </c>
      <c r="N312" s="50">
        <v>281498</v>
      </c>
    </row>
    <row r="313" spans="2:14">
      <c r="B313" s="50" t="s">
        <v>27</v>
      </c>
      <c r="C313" s="50">
        <v>9</v>
      </c>
      <c r="D313" s="50">
        <v>301</v>
      </c>
      <c r="E313" s="50">
        <v>9</v>
      </c>
      <c r="F313" s="50">
        <v>19</v>
      </c>
      <c r="G313" s="50">
        <v>166682</v>
      </c>
      <c r="H313" s="50">
        <v>3201160</v>
      </c>
      <c r="I313" s="50">
        <v>25318104</v>
      </c>
      <c r="J313" s="50">
        <v>78682</v>
      </c>
      <c r="K313" s="50">
        <v>0</v>
      </c>
      <c r="L313" s="50">
        <v>757696</v>
      </c>
      <c r="M313" s="50">
        <v>13215</v>
      </c>
      <c r="N313" s="50">
        <v>1013568</v>
      </c>
    </row>
    <row r="314" spans="1:14">
      <c r="A314">
        <v>5161</v>
      </c>
      <c r="B314" s="50" t="s">
        <v>25</v>
      </c>
      <c r="C314" s="50">
        <v>1</v>
      </c>
      <c r="D314" s="50">
        <v>77</v>
      </c>
      <c r="E314" s="50">
        <v>4</v>
      </c>
      <c r="F314" s="50">
        <v>16</v>
      </c>
      <c r="G314" s="50">
        <v>81575</v>
      </c>
      <c r="H314" s="50">
        <v>1661106</v>
      </c>
      <c r="I314" s="50">
        <v>11902020</v>
      </c>
      <c r="J314" s="50">
        <v>13494</v>
      </c>
      <c r="K314" s="50">
        <v>0</v>
      </c>
      <c r="L314" s="50">
        <v>145580</v>
      </c>
      <c r="M314" s="50">
        <v>4606</v>
      </c>
      <c r="N314" s="50">
        <v>511802</v>
      </c>
    </row>
    <row r="315" spans="2:14">
      <c r="B315" s="50" t="s">
        <v>26</v>
      </c>
      <c r="C315" s="50">
        <v>5</v>
      </c>
      <c r="D315" s="50">
        <v>213</v>
      </c>
      <c r="E315" s="50">
        <v>3</v>
      </c>
      <c r="F315" s="50">
        <v>26</v>
      </c>
      <c r="G315" s="50">
        <v>116613</v>
      </c>
      <c r="H315" s="50">
        <v>2685231</v>
      </c>
      <c r="I315" s="50">
        <v>19502250</v>
      </c>
      <c r="J315" s="50">
        <v>137818</v>
      </c>
      <c r="K315" s="50">
        <v>0</v>
      </c>
      <c r="L315" s="50">
        <v>799283</v>
      </c>
      <c r="M315" s="50">
        <v>12382</v>
      </c>
      <c r="N315" s="50">
        <v>975338</v>
      </c>
    </row>
    <row r="316" spans="2:14">
      <c r="B316" s="50" t="s">
        <v>27</v>
      </c>
      <c r="C316" s="50">
        <v>3</v>
      </c>
      <c r="D316" s="50">
        <v>105</v>
      </c>
      <c r="E316" s="50">
        <v>3</v>
      </c>
      <c r="F316" s="50">
        <v>19</v>
      </c>
      <c r="G316" s="50">
        <v>102040</v>
      </c>
      <c r="H316" s="50">
        <v>1762466</v>
      </c>
      <c r="I316" s="50">
        <v>14814483</v>
      </c>
      <c r="J316" s="50">
        <v>37556</v>
      </c>
      <c r="K316" s="50">
        <v>0</v>
      </c>
      <c r="L316" s="50">
        <v>171540</v>
      </c>
      <c r="M316" s="50">
        <v>6316</v>
      </c>
      <c r="N316" s="50">
        <v>484307</v>
      </c>
    </row>
    <row r="317" spans="1:14">
      <c r="A317">
        <v>5162</v>
      </c>
      <c r="B317" s="50" t="s">
        <v>25</v>
      </c>
      <c r="C317" s="50">
        <v>2</v>
      </c>
      <c r="D317" s="50">
        <v>88</v>
      </c>
      <c r="E317" s="50">
        <v>3</v>
      </c>
      <c r="F317" s="50">
        <v>14</v>
      </c>
      <c r="G317" s="50">
        <v>88579</v>
      </c>
      <c r="H317" s="50">
        <v>1661977</v>
      </c>
      <c r="I317" s="50">
        <v>11908553</v>
      </c>
      <c r="J317" s="50">
        <v>14904</v>
      </c>
      <c r="K317" s="50">
        <v>0</v>
      </c>
      <c r="L317" s="50">
        <v>170134</v>
      </c>
      <c r="M317" s="50">
        <v>4907</v>
      </c>
      <c r="N317" s="50">
        <v>614015</v>
      </c>
    </row>
    <row r="318" spans="2:14">
      <c r="B318" s="50" t="s">
        <v>26</v>
      </c>
      <c r="C318" s="50">
        <v>3</v>
      </c>
      <c r="D318" s="50">
        <v>132</v>
      </c>
      <c r="E318" s="50">
        <v>3</v>
      </c>
      <c r="F318" s="50">
        <v>24</v>
      </c>
      <c r="G318" s="50">
        <v>103849</v>
      </c>
      <c r="H318" s="50">
        <v>2067006</v>
      </c>
      <c r="I318" s="50">
        <v>16617904</v>
      </c>
      <c r="J318" s="50">
        <v>37584</v>
      </c>
      <c r="K318" s="50">
        <v>0</v>
      </c>
      <c r="L318" s="50">
        <v>622893</v>
      </c>
      <c r="M318" s="50">
        <v>7307</v>
      </c>
      <c r="N318" s="50">
        <v>691451</v>
      </c>
    </row>
    <row r="319" spans="2:14">
      <c r="B319" s="50" t="s">
        <v>27</v>
      </c>
      <c r="C319" s="50">
        <v>4</v>
      </c>
      <c r="D319" s="50">
        <v>175</v>
      </c>
      <c r="E319" s="50">
        <v>4</v>
      </c>
      <c r="F319" s="50">
        <v>23</v>
      </c>
      <c r="G319" s="50">
        <v>112568</v>
      </c>
      <c r="H319" s="50">
        <v>1948503</v>
      </c>
      <c r="I319" s="50">
        <v>16998903</v>
      </c>
      <c r="J319" s="50">
        <v>12730</v>
      </c>
      <c r="K319" s="50">
        <v>0</v>
      </c>
      <c r="L319" s="50">
        <v>301302</v>
      </c>
      <c r="M319" s="50">
        <v>6893</v>
      </c>
      <c r="N319" s="50">
        <v>517813</v>
      </c>
    </row>
    <row r="320" spans="1:14">
      <c r="A320">
        <v>5163</v>
      </c>
      <c r="B320" s="50" t="s">
        <v>25</v>
      </c>
      <c r="C320" s="50">
        <v>6</v>
      </c>
      <c r="D320" s="50">
        <v>263</v>
      </c>
      <c r="E320" s="50">
        <v>5</v>
      </c>
      <c r="F320" s="50">
        <v>13</v>
      </c>
      <c r="G320" s="50">
        <v>112410</v>
      </c>
      <c r="H320" s="50">
        <v>1564436</v>
      </c>
      <c r="I320" s="50">
        <v>11294668</v>
      </c>
      <c r="J320" s="50">
        <v>9940</v>
      </c>
      <c r="K320" s="50">
        <v>0</v>
      </c>
      <c r="L320" s="50">
        <v>172183</v>
      </c>
      <c r="M320" s="50">
        <v>6870</v>
      </c>
      <c r="N320" s="50">
        <v>503638</v>
      </c>
    </row>
    <row r="321" spans="2:14">
      <c r="B321" s="50" t="s">
        <v>26</v>
      </c>
      <c r="C321" s="50">
        <v>1</v>
      </c>
      <c r="D321" s="50">
        <v>57</v>
      </c>
      <c r="E321" s="50">
        <v>3</v>
      </c>
      <c r="F321" s="50">
        <v>16</v>
      </c>
      <c r="G321" s="50">
        <v>94269</v>
      </c>
      <c r="H321" s="50">
        <v>1153168</v>
      </c>
      <c r="I321" s="50">
        <v>8476262</v>
      </c>
      <c r="J321" s="50">
        <v>2164</v>
      </c>
      <c r="K321" s="50">
        <v>0</v>
      </c>
      <c r="L321" s="50">
        <v>95602</v>
      </c>
      <c r="M321" s="50">
        <v>3254</v>
      </c>
      <c r="N321" s="50">
        <v>388129</v>
      </c>
    </row>
    <row r="322" spans="2:14">
      <c r="B322" s="50" t="s">
        <v>27</v>
      </c>
      <c r="C322" s="50">
        <v>2</v>
      </c>
      <c r="D322" s="50">
        <v>75</v>
      </c>
      <c r="E322" s="50">
        <v>1</v>
      </c>
      <c r="F322" s="50">
        <v>4</v>
      </c>
      <c r="G322" s="50">
        <v>26258</v>
      </c>
      <c r="H322" s="50">
        <v>915957</v>
      </c>
      <c r="I322" s="50">
        <v>2655244</v>
      </c>
      <c r="J322" s="50">
        <v>9242</v>
      </c>
      <c r="K322" s="50">
        <v>0</v>
      </c>
      <c r="L322" s="50">
        <v>76051</v>
      </c>
      <c r="M322" s="50">
        <v>2578</v>
      </c>
      <c r="N322" s="50">
        <v>257485</v>
      </c>
    </row>
    <row r="323" spans="1:14">
      <c r="A323">
        <v>5164</v>
      </c>
      <c r="B323" s="50" t="s">
        <v>25</v>
      </c>
      <c r="C323" s="50">
        <v>2</v>
      </c>
      <c r="D323" s="50">
        <v>73</v>
      </c>
      <c r="E323" s="50">
        <v>4</v>
      </c>
      <c r="F323" s="50">
        <v>9</v>
      </c>
      <c r="G323" s="50">
        <v>74871</v>
      </c>
      <c r="H323" s="50">
        <v>1603324</v>
      </c>
      <c r="I323" s="50">
        <v>8180908</v>
      </c>
      <c r="J323" s="50">
        <v>33740</v>
      </c>
      <c r="K323" s="50">
        <v>0</v>
      </c>
      <c r="L323" s="50">
        <v>188050</v>
      </c>
      <c r="M323" s="50">
        <v>4831</v>
      </c>
      <c r="N323" s="50">
        <v>620734</v>
      </c>
    </row>
    <row r="324" spans="2:14">
      <c r="B324" s="50" t="s">
        <v>26</v>
      </c>
      <c r="C324" s="50">
        <v>2</v>
      </c>
      <c r="D324" s="50">
        <v>97</v>
      </c>
      <c r="E324" s="50">
        <v>3</v>
      </c>
      <c r="F324" s="50">
        <v>16</v>
      </c>
      <c r="G324" s="50">
        <v>105588</v>
      </c>
      <c r="H324" s="50">
        <v>1562905</v>
      </c>
      <c r="I324" s="50">
        <v>9979203</v>
      </c>
      <c r="J324" s="50">
        <v>10524</v>
      </c>
      <c r="K324" s="50">
        <v>0</v>
      </c>
      <c r="L324" s="50">
        <v>139374</v>
      </c>
      <c r="M324" s="50">
        <v>4644</v>
      </c>
      <c r="N324" s="50">
        <v>522910</v>
      </c>
    </row>
    <row r="325" spans="2:14">
      <c r="B325" s="50" t="s">
        <v>27</v>
      </c>
      <c r="C325" s="50">
        <v>5</v>
      </c>
      <c r="D325" s="50">
        <v>225</v>
      </c>
      <c r="E325" s="50">
        <v>2</v>
      </c>
      <c r="F325" s="50">
        <v>12</v>
      </c>
      <c r="G325" s="50">
        <v>75852</v>
      </c>
      <c r="H325" s="50">
        <v>2159867</v>
      </c>
      <c r="I325" s="50">
        <v>9357262</v>
      </c>
      <c r="J325" s="50">
        <v>81100</v>
      </c>
      <c r="K325" s="50">
        <v>0</v>
      </c>
      <c r="L325" s="50">
        <v>701886</v>
      </c>
      <c r="M325" s="50">
        <v>9008</v>
      </c>
      <c r="N325" s="50">
        <v>900376</v>
      </c>
    </row>
    <row r="326" spans="1:14">
      <c r="A326">
        <v>5165</v>
      </c>
      <c r="B326" s="50" t="s">
        <v>25</v>
      </c>
      <c r="C326" s="50">
        <v>6</v>
      </c>
      <c r="D326" s="50">
        <v>215</v>
      </c>
      <c r="E326" s="50">
        <v>7</v>
      </c>
      <c r="F326" s="50">
        <v>18</v>
      </c>
      <c r="G326" s="50">
        <v>144983</v>
      </c>
      <c r="H326" s="50">
        <v>2130385</v>
      </c>
      <c r="I326" s="50">
        <v>19393126</v>
      </c>
      <c r="J326" s="50">
        <v>27924</v>
      </c>
      <c r="K326" s="50">
        <v>0</v>
      </c>
      <c r="L326" s="50">
        <v>363445</v>
      </c>
      <c r="M326" s="50">
        <v>8564</v>
      </c>
      <c r="N326" s="50">
        <v>622068</v>
      </c>
    </row>
    <row r="327" spans="2:14">
      <c r="B327" s="50" t="s">
        <v>26</v>
      </c>
      <c r="C327" s="50">
        <v>0</v>
      </c>
      <c r="D327" s="50">
        <v>69</v>
      </c>
      <c r="E327" s="50">
        <v>2</v>
      </c>
      <c r="F327" s="50">
        <v>11</v>
      </c>
      <c r="G327" s="50">
        <v>72377</v>
      </c>
      <c r="H327" s="50">
        <v>1709899</v>
      </c>
      <c r="I327" s="50">
        <v>9612420</v>
      </c>
      <c r="J327" s="50">
        <v>33680</v>
      </c>
      <c r="K327" s="50">
        <v>0</v>
      </c>
      <c r="L327" s="50">
        <v>157163</v>
      </c>
      <c r="M327" s="50">
        <v>4812</v>
      </c>
      <c r="N327" s="50">
        <v>582016</v>
      </c>
    </row>
    <row r="328" spans="2:14">
      <c r="B328" s="50" t="s">
        <v>27</v>
      </c>
      <c r="C328" s="50">
        <v>3</v>
      </c>
      <c r="D328" s="50">
        <v>111</v>
      </c>
      <c r="E328" s="50">
        <v>1</v>
      </c>
      <c r="F328" s="50">
        <v>12</v>
      </c>
      <c r="G328" s="50">
        <v>62881</v>
      </c>
      <c r="H328" s="50">
        <v>1972836</v>
      </c>
      <c r="I328" s="50">
        <v>9372225</v>
      </c>
      <c r="J328" s="50">
        <v>66230</v>
      </c>
      <c r="K328" s="50">
        <v>0</v>
      </c>
      <c r="L328" s="50">
        <v>300266</v>
      </c>
      <c r="M328" s="50">
        <v>6771</v>
      </c>
      <c r="N328" s="50">
        <v>734241</v>
      </c>
    </row>
    <row r="329" spans="1:14">
      <c r="A329">
        <v>5166</v>
      </c>
      <c r="B329" s="50" t="s">
        <v>25</v>
      </c>
      <c r="C329" s="50">
        <v>3</v>
      </c>
      <c r="D329" s="50">
        <v>115</v>
      </c>
      <c r="E329" s="50">
        <v>3</v>
      </c>
      <c r="F329" s="50">
        <v>14</v>
      </c>
      <c r="G329" s="50">
        <v>86511</v>
      </c>
      <c r="H329" s="50">
        <v>1605094</v>
      </c>
      <c r="I329" s="50">
        <v>10107574</v>
      </c>
      <c r="J329" s="50">
        <v>22968</v>
      </c>
      <c r="K329" s="50">
        <v>0</v>
      </c>
      <c r="L329" s="50">
        <v>137998</v>
      </c>
      <c r="M329" s="50">
        <v>5256</v>
      </c>
      <c r="N329" s="50">
        <v>493304</v>
      </c>
    </row>
    <row r="330" spans="2:14">
      <c r="B330" s="50" t="s">
        <v>26</v>
      </c>
      <c r="C330" s="50">
        <v>4</v>
      </c>
      <c r="D330" s="50">
        <v>196</v>
      </c>
      <c r="E330" s="50">
        <v>5</v>
      </c>
      <c r="F330" s="50">
        <v>17</v>
      </c>
      <c r="G330" s="50">
        <v>121468</v>
      </c>
      <c r="H330" s="50">
        <v>1827409</v>
      </c>
      <c r="I330" s="50">
        <v>14549974</v>
      </c>
      <c r="J330" s="50">
        <v>30312</v>
      </c>
      <c r="K330" s="50">
        <v>0</v>
      </c>
      <c r="L330" s="50">
        <v>339658</v>
      </c>
      <c r="M330" s="50">
        <v>7328</v>
      </c>
      <c r="N330" s="50">
        <v>477792</v>
      </c>
    </row>
    <row r="331" spans="2:14">
      <c r="B331" s="50" t="s">
        <v>27</v>
      </c>
      <c r="C331" s="50">
        <v>2</v>
      </c>
      <c r="D331" s="50">
        <v>84</v>
      </c>
      <c r="E331" s="50">
        <v>2</v>
      </c>
      <c r="F331" s="50">
        <v>13</v>
      </c>
      <c r="G331" s="50">
        <v>72714</v>
      </c>
      <c r="H331" s="50">
        <v>1311373</v>
      </c>
      <c r="I331" s="50">
        <v>8041229</v>
      </c>
      <c r="J331" s="50">
        <v>10166</v>
      </c>
      <c r="K331" s="50">
        <v>0</v>
      </c>
      <c r="L331" s="50">
        <v>117623</v>
      </c>
      <c r="M331" s="50">
        <v>3882</v>
      </c>
      <c r="N331" s="50">
        <v>376158</v>
      </c>
    </row>
    <row r="332" spans="1:14">
      <c r="A332">
        <v>5167</v>
      </c>
      <c r="B332" s="50" t="s">
        <v>25</v>
      </c>
      <c r="C332" s="50">
        <v>0</v>
      </c>
      <c r="D332" s="50">
        <v>32</v>
      </c>
      <c r="E332" s="50">
        <v>0</v>
      </c>
      <c r="F332" s="50">
        <v>13</v>
      </c>
      <c r="G332" s="50">
        <v>42251</v>
      </c>
      <c r="H332" s="50">
        <v>593107</v>
      </c>
      <c r="I332" s="50">
        <v>3914690</v>
      </c>
      <c r="J332" s="50">
        <v>970</v>
      </c>
      <c r="K332" s="50">
        <v>0</v>
      </c>
      <c r="L332" s="50">
        <v>51892</v>
      </c>
      <c r="M332" s="50">
        <v>1570</v>
      </c>
      <c r="N332" s="50">
        <v>156514</v>
      </c>
    </row>
    <row r="333" spans="2:14">
      <c r="B333" s="50" t="s">
        <v>26</v>
      </c>
      <c r="C333" s="50">
        <v>6</v>
      </c>
      <c r="D333" s="50">
        <v>222</v>
      </c>
      <c r="E333" s="50">
        <v>5</v>
      </c>
      <c r="F333" s="50">
        <v>15</v>
      </c>
      <c r="G333" s="50">
        <v>115056</v>
      </c>
      <c r="H333" s="50">
        <v>2069648</v>
      </c>
      <c r="I333" s="50">
        <v>12372746</v>
      </c>
      <c r="J333" s="50">
        <v>16066</v>
      </c>
      <c r="K333" s="50">
        <v>0</v>
      </c>
      <c r="L333" s="50">
        <v>128659</v>
      </c>
      <c r="M333" s="50">
        <v>7248</v>
      </c>
      <c r="N333" s="50">
        <v>623686</v>
      </c>
    </row>
    <row r="334" spans="2:14">
      <c r="B334" s="50" t="s">
        <v>27</v>
      </c>
      <c r="C334" s="50">
        <v>3</v>
      </c>
      <c r="D334" s="50">
        <v>141</v>
      </c>
      <c r="E334" s="50">
        <v>5</v>
      </c>
      <c r="F334" s="50">
        <v>15</v>
      </c>
      <c r="G334" s="50">
        <v>106810</v>
      </c>
      <c r="H334" s="50">
        <v>1845056</v>
      </c>
      <c r="I334" s="50">
        <v>11649121</v>
      </c>
      <c r="J334" s="50">
        <v>19922</v>
      </c>
      <c r="K334" s="50">
        <v>0</v>
      </c>
      <c r="L334" s="50">
        <v>312439</v>
      </c>
      <c r="M334" s="50">
        <v>6007</v>
      </c>
      <c r="N334" s="50">
        <v>600572</v>
      </c>
    </row>
    <row r="335" spans="1:14">
      <c r="A335">
        <v>5168</v>
      </c>
      <c r="B335" s="50" t="s">
        <v>25</v>
      </c>
      <c r="C335" s="50">
        <v>5</v>
      </c>
      <c r="D335" s="50">
        <v>225</v>
      </c>
      <c r="E335" s="50">
        <v>3</v>
      </c>
      <c r="F335" s="50">
        <v>16</v>
      </c>
      <c r="G335" s="50">
        <v>91633</v>
      </c>
      <c r="H335" s="50">
        <v>2379605</v>
      </c>
      <c r="I335" s="50">
        <v>12717827</v>
      </c>
      <c r="J335" s="50">
        <v>71740</v>
      </c>
      <c r="K335" s="50">
        <v>0</v>
      </c>
      <c r="L335" s="50">
        <v>519676</v>
      </c>
      <c r="M335" s="50">
        <v>9271</v>
      </c>
      <c r="N335" s="50">
        <v>785438</v>
      </c>
    </row>
    <row r="336" spans="2:14">
      <c r="B336" s="50" t="s">
        <v>26</v>
      </c>
      <c r="C336" s="50">
        <v>3</v>
      </c>
      <c r="D336" s="50">
        <v>129</v>
      </c>
      <c r="E336" s="50">
        <v>4</v>
      </c>
      <c r="F336" s="50">
        <v>16</v>
      </c>
      <c r="G336" s="50">
        <v>119324</v>
      </c>
      <c r="H336" s="50">
        <v>1994678</v>
      </c>
      <c r="I336" s="50">
        <v>14527250</v>
      </c>
      <c r="J336" s="50">
        <v>25506</v>
      </c>
      <c r="K336" s="50">
        <v>26240</v>
      </c>
      <c r="L336" s="50">
        <v>261533</v>
      </c>
      <c r="M336" s="50">
        <v>6792</v>
      </c>
      <c r="N336" s="50">
        <v>557514</v>
      </c>
    </row>
    <row r="337" spans="2:14">
      <c r="B337" s="50" t="s">
        <v>27</v>
      </c>
      <c r="C337" s="50">
        <v>1</v>
      </c>
      <c r="D337" s="50">
        <v>41</v>
      </c>
      <c r="E337" s="50">
        <v>3</v>
      </c>
      <c r="F337" s="50">
        <v>12</v>
      </c>
      <c r="G337" s="50">
        <v>66159</v>
      </c>
      <c r="H337" s="50">
        <v>1510326</v>
      </c>
      <c r="I337" s="50">
        <v>7622386</v>
      </c>
      <c r="J337" s="50">
        <v>7162</v>
      </c>
      <c r="K337" s="50">
        <v>0</v>
      </c>
      <c r="L337" s="50">
        <v>130640</v>
      </c>
      <c r="M337" s="50">
        <v>3393</v>
      </c>
      <c r="N337" s="50">
        <v>458423</v>
      </c>
    </row>
    <row r="338" spans="1:14">
      <c r="A338">
        <v>5169</v>
      </c>
      <c r="B338" s="50" t="s">
        <v>25</v>
      </c>
      <c r="C338" s="50">
        <v>9</v>
      </c>
      <c r="D338" s="50">
        <v>342</v>
      </c>
      <c r="E338" s="50">
        <v>7</v>
      </c>
      <c r="F338" s="50">
        <v>23</v>
      </c>
      <c r="G338" s="50">
        <v>173165</v>
      </c>
      <c r="H338" s="50">
        <v>2262472</v>
      </c>
      <c r="I338" s="50">
        <v>20159336</v>
      </c>
      <c r="J338" s="50">
        <v>35426</v>
      </c>
      <c r="K338" s="50">
        <v>0</v>
      </c>
      <c r="L338" s="50">
        <v>587317</v>
      </c>
      <c r="M338" s="50">
        <v>10820</v>
      </c>
      <c r="N338" s="50">
        <v>661597</v>
      </c>
    </row>
    <row r="339" spans="2:14">
      <c r="B339" s="50" t="s">
        <v>26</v>
      </c>
      <c r="C339" s="50">
        <v>0</v>
      </c>
      <c r="D339" s="50">
        <v>29</v>
      </c>
      <c r="E339" s="50">
        <v>1</v>
      </c>
      <c r="F339" s="50">
        <v>13</v>
      </c>
      <c r="G339" s="50">
        <v>53847</v>
      </c>
      <c r="H339" s="50">
        <v>925158</v>
      </c>
      <c r="I339" s="50">
        <v>5632536</v>
      </c>
      <c r="J339" s="50">
        <v>12244</v>
      </c>
      <c r="K339" s="50">
        <v>0</v>
      </c>
      <c r="L339" s="50">
        <v>52569</v>
      </c>
      <c r="M339" s="50">
        <v>2441</v>
      </c>
      <c r="N339" s="50">
        <v>325576</v>
      </c>
    </row>
    <row r="340" spans="2:14">
      <c r="B340" s="50" t="s">
        <v>27</v>
      </c>
      <c r="C340" s="50">
        <v>0</v>
      </c>
      <c r="D340" s="50">
        <v>24</v>
      </c>
      <c r="E340" s="50">
        <v>2</v>
      </c>
      <c r="F340" s="50">
        <v>4</v>
      </c>
      <c r="G340" s="50">
        <v>31184</v>
      </c>
      <c r="H340" s="50">
        <v>1073921</v>
      </c>
      <c r="I340" s="50">
        <v>3170411</v>
      </c>
      <c r="J340" s="50">
        <v>5058</v>
      </c>
      <c r="K340" s="50">
        <v>0</v>
      </c>
      <c r="L340" s="50">
        <v>84165</v>
      </c>
      <c r="M340" s="50">
        <v>1980</v>
      </c>
      <c r="N340" s="50">
        <v>291230</v>
      </c>
    </row>
    <row r="341" spans="1:14">
      <c r="A341">
        <v>5170</v>
      </c>
      <c r="B341" s="50" t="s">
        <v>25</v>
      </c>
      <c r="C341" s="50">
        <v>3</v>
      </c>
      <c r="D341" s="50">
        <v>118</v>
      </c>
      <c r="E341" s="50">
        <v>3</v>
      </c>
      <c r="F341" s="50">
        <v>15</v>
      </c>
      <c r="G341" s="50">
        <v>85948</v>
      </c>
      <c r="H341" s="50">
        <v>1414095</v>
      </c>
      <c r="I341" s="50">
        <v>10686755</v>
      </c>
      <c r="J341" s="50">
        <v>5408</v>
      </c>
      <c r="K341" s="50">
        <v>0</v>
      </c>
      <c r="L341" s="50">
        <v>189939</v>
      </c>
      <c r="M341" s="50">
        <v>4649</v>
      </c>
      <c r="N341" s="50">
        <v>391119</v>
      </c>
    </row>
    <row r="342" spans="2:14">
      <c r="B342" s="50" t="s">
        <v>26</v>
      </c>
      <c r="C342" s="50">
        <v>4</v>
      </c>
      <c r="D342" s="50">
        <v>187</v>
      </c>
      <c r="E342" s="50">
        <v>6</v>
      </c>
      <c r="F342" s="50">
        <v>24</v>
      </c>
      <c r="G342" s="50">
        <v>141907</v>
      </c>
      <c r="H342" s="50">
        <v>2018424</v>
      </c>
      <c r="I342" s="50">
        <v>18577577</v>
      </c>
      <c r="J342" s="50">
        <v>45472</v>
      </c>
      <c r="K342" s="50">
        <v>0</v>
      </c>
      <c r="L342" s="50">
        <v>350740</v>
      </c>
      <c r="M342" s="50">
        <v>8395</v>
      </c>
      <c r="N342" s="50">
        <v>593368</v>
      </c>
    </row>
    <row r="343" spans="2:14">
      <c r="B343" s="50" t="s">
        <v>27</v>
      </c>
      <c r="C343" s="50">
        <v>2</v>
      </c>
      <c r="D343" s="50">
        <v>90</v>
      </c>
      <c r="E343" s="50">
        <v>1</v>
      </c>
      <c r="F343" s="50">
        <v>18</v>
      </c>
      <c r="G343" s="50">
        <v>75020</v>
      </c>
      <c r="H343" s="50">
        <v>1083303</v>
      </c>
      <c r="I343" s="50">
        <v>9304539</v>
      </c>
      <c r="J343" s="50">
        <v>9126</v>
      </c>
      <c r="K343" s="50">
        <v>0</v>
      </c>
      <c r="L343" s="50">
        <v>199061</v>
      </c>
      <c r="M343" s="50">
        <v>3862</v>
      </c>
      <c r="N343" s="50">
        <v>312358</v>
      </c>
    </row>
    <row r="344" spans="1:14">
      <c r="A344">
        <v>5171</v>
      </c>
      <c r="B344" s="50" t="s">
        <v>25</v>
      </c>
      <c r="C344" s="50">
        <v>0</v>
      </c>
      <c r="D344" s="50">
        <v>30</v>
      </c>
      <c r="E344" s="50">
        <v>3</v>
      </c>
      <c r="F344" s="50">
        <v>11</v>
      </c>
      <c r="G344" s="50">
        <v>60756</v>
      </c>
      <c r="H344" s="50">
        <v>1695094</v>
      </c>
      <c r="I344" s="50">
        <v>8741428</v>
      </c>
      <c r="J344" s="50">
        <v>19832</v>
      </c>
      <c r="K344" s="50">
        <v>0</v>
      </c>
      <c r="L344" s="50">
        <v>116404</v>
      </c>
      <c r="M344" s="50">
        <v>3826</v>
      </c>
      <c r="N344" s="50">
        <v>482546</v>
      </c>
    </row>
    <row r="345" spans="2:14">
      <c r="B345" s="50" t="s">
        <v>26</v>
      </c>
      <c r="C345" s="50">
        <v>9</v>
      </c>
      <c r="D345" s="50">
        <v>338</v>
      </c>
      <c r="E345" s="50">
        <v>6</v>
      </c>
      <c r="F345" s="50">
        <v>22</v>
      </c>
      <c r="G345" s="50">
        <v>170728</v>
      </c>
      <c r="H345" s="50">
        <v>2417390</v>
      </c>
      <c r="I345" s="50">
        <v>23457620</v>
      </c>
      <c r="J345" s="50">
        <v>60500</v>
      </c>
      <c r="K345" s="50">
        <v>0</v>
      </c>
      <c r="L345" s="50">
        <v>855255</v>
      </c>
      <c r="M345" s="50">
        <v>12139</v>
      </c>
      <c r="N345" s="50">
        <v>702244</v>
      </c>
    </row>
    <row r="346" spans="2:14">
      <c r="B346" s="50" t="s">
        <v>27</v>
      </c>
      <c r="C346" s="50">
        <v>0</v>
      </c>
      <c r="D346" s="50">
        <v>27</v>
      </c>
      <c r="E346" s="50">
        <v>1</v>
      </c>
      <c r="F346" s="50">
        <v>9</v>
      </c>
      <c r="G346" s="50">
        <v>25166</v>
      </c>
      <c r="H346" s="50">
        <v>1087149</v>
      </c>
      <c r="I346" s="50">
        <v>4151987</v>
      </c>
      <c r="J346" s="50">
        <v>9926</v>
      </c>
      <c r="K346" s="50">
        <v>0</v>
      </c>
      <c r="L346" s="50">
        <v>100547</v>
      </c>
      <c r="M346" s="50">
        <v>2246</v>
      </c>
      <c r="N346" s="50">
        <v>375754</v>
      </c>
    </row>
    <row r="347" spans="1:14">
      <c r="A347">
        <v>5172</v>
      </c>
      <c r="B347" s="50" t="s">
        <v>25</v>
      </c>
      <c r="C347" s="50">
        <v>2</v>
      </c>
      <c r="D347" s="50">
        <v>74</v>
      </c>
      <c r="E347" s="50">
        <v>4</v>
      </c>
      <c r="F347" s="50">
        <v>15</v>
      </c>
      <c r="G347" s="50">
        <v>94847</v>
      </c>
      <c r="H347" s="50">
        <v>1612461</v>
      </c>
      <c r="I347" s="50">
        <v>11757845</v>
      </c>
      <c r="J347" s="50">
        <v>16890</v>
      </c>
      <c r="K347" s="50">
        <v>0</v>
      </c>
      <c r="L347" s="50">
        <v>218057</v>
      </c>
      <c r="M347" s="50">
        <v>4818</v>
      </c>
      <c r="N347" s="50">
        <v>501103</v>
      </c>
    </row>
    <row r="348" spans="2:14">
      <c r="B348" s="50" t="s">
        <v>26</v>
      </c>
      <c r="C348" s="50">
        <v>0</v>
      </c>
      <c r="D348" s="50">
        <v>84</v>
      </c>
      <c r="E348" s="50">
        <v>0</v>
      </c>
      <c r="F348" s="50">
        <v>22</v>
      </c>
      <c r="G348" s="50">
        <v>80263</v>
      </c>
      <c r="H348" s="50">
        <v>969976</v>
      </c>
      <c r="I348" s="50">
        <v>10215774</v>
      </c>
      <c r="J348" s="50">
        <v>10906</v>
      </c>
      <c r="K348" s="50">
        <v>0</v>
      </c>
      <c r="L348" s="50">
        <v>223543</v>
      </c>
      <c r="M348" s="50">
        <v>3671</v>
      </c>
      <c r="N348" s="50">
        <v>305802</v>
      </c>
    </row>
    <row r="349" spans="2:14">
      <c r="B349" s="50" t="s">
        <v>27</v>
      </c>
      <c r="C349" s="50">
        <v>7</v>
      </c>
      <c r="D349" s="50">
        <v>237</v>
      </c>
      <c r="E349" s="50">
        <v>5</v>
      </c>
      <c r="F349" s="50">
        <v>18</v>
      </c>
      <c r="G349" s="50">
        <v>105277</v>
      </c>
      <c r="H349" s="50">
        <v>1961533</v>
      </c>
      <c r="I349" s="50">
        <v>14917285</v>
      </c>
      <c r="J349" s="50">
        <v>51032</v>
      </c>
      <c r="K349" s="50">
        <v>0</v>
      </c>
      <c r="L349" s="50">
        <v>528922</v>
      </c>
      <c r="M349" s="50">
        <v>8845</v>
      </c>
      <c r="N349" s="50">
        <v>605155</v>
      </c>
    </row>
    <row r="350" spans="1:14">
      <c r="A350">
        <v>5173</v>
      </c>
      <c r="B350" s="50" t="s">
        <v>25</v>
      </c>
      <c r="C350" s="50">
        <v>3</v>
      </c>
      <c r="D350" s="50">
        <v>123</v>
      </c>
      <c r="E350" s="50">
        <v>3</v>
      </c>
      <c r="F350" s="50">
        <v>19</v>
      </c>
      <c r="G350" s="50">
        <v>83933</v>
      </c>
      <c r="H350" s="50">
        <v>2374771</v>
      </c>
      <c r="I350" s="50">
        <v>12596475</v>
      </c>
      <c r="J350" s="50">
        <v>36106</v>
      </c>
      <c r="K350" s="50">
        <v>0</v>
      </c>
      <c r="L350" s="50">
        <v>179799</v>
      </c>
      <c r="M350" s="50">
        <v>6757</v>
      </c>
      <c r="N350" s="50">
        <v>616968</v>
      </c>
    </row>
    <row r="351" spans="2:14">
      <c r="B351" s="50" t="s">
        <v>26</v>
      </c>
      <c r="C351" s="50">
        <v>5</v>
      </c>
      <c r="D351" s="50">
        <v>210</v>
      </c>
      <c r="E351" s="50">
        <v>6</v>
      </c>
      <c r="F351" s="50">
        <v>22</v>
      </c>
      <c r="G351" s="50">
        <v>152375</v>
      </c>
      <c r="H351" s="50">
        <v>2312456</v>
      </c>
      <c r="I351" s="50">
        <v>20321302</v>
      </c>
      <c r="J351" s="50">
        <v>70724</v>
      </c>
      <c r="K351" s="50">
        <v>0</v>
      </c>
      <c r="L351" s="50">
        <v>300930</v>
      </c>
      <c r="M351" s="50">
        <v>9978</v>
      </c>
      <c r="N351" s="50">
        <v>760866</v>
      </c>
    </row>
    <row r="352" spans="2:14">
      <c r="B352" s="50" t="s">
        <v>27</v>
      </c>
      <c r="C352" s="50">
        <v>1</v>
      </c>
      <c r="D352" s="50">
        <v>62</v>
      </c>
      <c r="E352" s="50">
        <v>1</v>
      </c>
      <c r="F352" s="50">
        <v>16</v>
      </c>
      <c r="G352" s="50">
        <v>61782</v>
      </c>
      <c r="H352" s="50">
        <v>1243967</v>
      </c>
      <c r="I352" s="50">
        <v>8170403</v>
      </c>
      <c r="J352" s="50">
        <v>3528</v>
      </c>
      <c r="K352" s="50">
        <v>0</v>
      </c>
      <c r="L352" s="50">
        <v>127992</v>
      </c>
      <c r="M352" s="50">
        <v>3259</v>
      </c>
      <c r="N352" s="50">
        <v>412448</v>
      </c>
    </row>
    <row r="353" spans="1:14">
      <c r="A353">
        <v>5174</v>
      </c>
      <c r="B353" s="50" t="s">
        <v>25</v>
      </c>
      <c r="C353" s="50">
        <v>4</v>
      </c>
      <c r="D353" s="50">
        <v>119</v>
      </c>
      <c r="E353" s="50">
        <v>4</v>
      </c>
      <c r="F353" s="50">
        <v>20</v>
      </c>
      <c r="G353" s="50">
        <v>107832</v>
      </c>
      <c r="H353" s="50">
        <v>2290237</v>
      </c>
      <c r="I353" s="50">
        <v>16138394</v>
      </c>
      <c r="J353" s="50">
        <v>44460</v>
      </c>
      <c r="K353" s="50">
        <v>0</v>
      </c>
      <c r="L353" s="50">
        <v>589259</v>
      </c>
      <c r="M353" s="50">
        <v>7661</v>
      </c>
      <c r="N353" s="50">
        <v>613392</v>
      </c>
    </row>
    <row r="354" spans="2:14">
      <c r="B354" s="50" t="s">
        <v>26</v>
      </c>
      <c r="C354" s="50">
        <v>2</v>
      </c>
      <c r="D354" s="50">
        <v>113</v>
      </c>
      <c r="E354" s="50">
        <v>2</v>
      </c>
      <c r="F354" s="50">
        <v>17</v>
      </c>
      <c r="G354" s="50">
        <v>75987</v>
      </c>
      <c r="H354" s="50">
        <v>1923883</v>
      </c>
      <c r="I354" s="50">
        <v>10949512</v>
      </c>
      <c r="J354" s="50">
        <v>31510</v>
      </c>
      <c r="K354" s="50">
        <v>0</v>
      </c>
      <c r="L354" s="50">
        <v>185389</v>
      </c>
      <c r="M354" s="50">
        <v>5766</v>
      </c>
      <c r="N354" s="50">
        <v>593374</v>
      </c>
    </row>
    <row r="355" spans="2:14">
      <c r="B355" s="50" t="s">
        <v>27</v>
      </c>
      <c r="C355" s="50">
        <v>3</v>
      </c>
      <c r="D355" s="50">
        <v>163</v>
      </c>
      <c r="E355" s="50">
        <v>3</v>
      </c>
      <c r="F355" s="50">
        <v>13</v>
      </c>
      <c r="G355" s="50">
        <v>91732</v>
      </c>
      <c r="H355" s="50">
        <v>2741871</v>
      </c>
      <c r="I355" s="50">
        <v>14503958</v>
      </c>
      <c r="J355" s="50">
        <v>60516</v>
      </c>
      <c r="K355" s="50">
        <v>0</v>
      </c>
      <c r="L355" s="50">
        <v>308810</v>
      </c>
      <c r="M355" s="50">
        <v>8550</v>
      </c>
      <c r="N355" s="50">
        <v>845401</v>
      </c>
    </row>
    <row r="356" spans="1:14">
      <c r="A356">
        <v>5175</v>
      </c>
      <c r="B356" s="50" t="s">
        <v>25</v>
      </c>
      <c r="C356" s="50">
        <v>2</v>
      </c>
      <c r="D356" s="50">
        <v>56</v>
      </c>
      <c r="E356" s="50">
        <v>2</v>
      </c>
      <c r="F356" s="50">
        <v>15</v>
      </c>
      <c r="G356" s="50">
        <v>62592</v>
      </c>
      <c r="H356" s="50">
        <v>1547833</v>
      </c>
      <c r="I356" s="50">
        <v>8539582</v>
      </c>
      <c r="J356" s="50">
        <v>15736</v>
      </c>
      <c r="K356" s="50">
        <v>0</v>
      </c>
      <c r="L356" s="50">
        <v>200791</v>
      </c>
      <c r="M356" s="50">
        <v>4047</v>
      </c>
      <c r="N356" s="50">
        <v>468090</v>
      </c>
    </row>
    <row r="357" spans="2:14">
      <c r="B357" s="50" t="s">
        <v>26</v>
      </c>
      <c r="C357" s="50">
        <v>4</v>
      </c>
      <c r="D357" s="50">
        <v>237</v>
      </c>
      <c r="E357" s="50">
        <v>5</v>
      </c>
      <c r="F357" s="50">
        <v>21</v>
      </c>
      <c r="G357" s="50">
        <v>125912</v>
      </c>
      <c r="H357" s="50">
        <v>2797203</v>
      </c>
      <c r="I357" s="50">
        <v>17249140</v>
      </c>
      <c r="J357" s="50">
        <v>47782</v>
      </c>
      <c r="K357" s="50">
        <v>0</v>
      </c>
      <c r="L357" s="50">
        <v>456995</v>
      </c>
      <c r="M357" s="50">
        <v>9583</v>
      </c>
      <c r="N357" s="50">
        <v>842020</v>
      </c>
    </row>
    <row r="358" spans="2:14">
      <c r="B358" s="50" t="s">
        <v>27</v>
      </c>
      <c r="C358" s="50">
        <v>3</v>
      </c>
      <c r="D358" s="50">
        <v>102</v>
      </c>
      <c r="E358" s="50">
        <v>2</v>
      </c>
      <c r="F358" s="50">
        <v>22</v>
      </c>
      <c r="G358" s="50">
        <v>89388</v>
      </c>
      <c r="H358" s="50">
        <v>1636661</v>
      </c>
      <c r="I358" s="50">
        <v>11426006</v>
      </c>
      <c r="J358" s="50">
        <v>6510</v>
      </c>
      <c r="K358" s="50">
        <v>0</v>
      </c>
      <c r="L358" s="50">
        <v>186041</v>
      </c>
      <c r="M358" s="50">
        <v>4834</v>
      </c>
      <c r="N358" s="50">
        <v>576737</v>
      </c>
    </row>
  </sheetData>
  <conditionalFormatting sqref="F149:F151">
    <cfRule type="dataBar" priority="1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{3ce368f4-8b78-4d43-8551-c3c4e13b2824}</x14:id>
        </ext>
      </extLst>
    </cfRule>
  </conditionalFormatting>
  <conditionalFormatting sqref="F152:F154">
    <cfRule type="dataBar" priority="10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{676bc007-78f7-40f4-8a6e-930c048d607a}</x14:id>
        </ext>
      </extLst>
    </cfRule>
  </conditionalFormatting>
  <conditionalFormatting sqref="F155:F157">
    <cfRule type="dataBar" priority="9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{d06ed67d-857e-42be-8452-723724cb2fb0}</x14:id>
        </ext>
      </extLst>
    </cfRule>
  </conditionalFormatting>
  <conditionalFormatting sqref="F158:F160">
    <cfRule type="dataBar" priority="8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{0115c597-61ea-4d80-ab65-3b0ad5247c6a}</x14:id>
        </ext>
      </extLst>
    </cfRule>
  </conditionalFormatting>
  <conditionalFormatting sqref="F161:F163">
    <cfRule type="dataBar" priority="8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{0ef7ad16-bd01-428b-bf31-31c00c4e78cf}</x14:id>
        </ext>
      </extLst>
    </cfRule>
  </conditionalFormatting>
  <conditionalFormatting sqref="F164:F166">
    <cfRule type="dataBar" priority="8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{2fa3ba1e-f419-44ee-9b57-92c518fcd6b9}</x14:id>
        </ext>
      </extLst>
    </cfRule>
  </conditionalFormatting>
  <conditionalFormatting sqref="F167:F169">
    <cfRule type="dataBar" priority="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{e3ed4440-8aa7-4436-9c0a-9ffd66d5dbc1}</x14:id>
        </ext>
      </extLst>
    </cfRule>
  </conditionalFormatting>
  <conditionalFormatting sqref="F170:F172">
    <cfRule type="dataBar" priority="7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{38217cd0-9b52-46b3-9fc7-02808da0192e}</x14:id>
        </ext>
      </extLst>
    </cfRule>
  </conditionalFormatting>
  <conditionalFormatting sqref="F173:F175">
    <cfRule type="dataBar" priority="7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{152ea61e-ebc1-443c-9f00-679abba772a8}</x14:id>
        </ext>
      </extLst>
    </cfRule>
  </conditionalFormatting>
  <conditionalFormatting sqref="F176:F178">
    <cfRule type="dataBar" priority="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{d2f2074d-73f7-4739-bbcf-9cfdc521e4e4}</x14:id>
        </ext>
      </extLst>
    </cfRule>
  </conditionalFormatting>
  <conditionalFormatting sqref="F179:F181">
    <cfRule type="dataBar" priority="7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{a9ff3e2d-8100-4338-86aa-8909a50d9652}</x14:id>
        </ext>
      </extLst>
    </cfRule>
  </conditionalFormatting>
  <conditionalFormatting sqref="F182:F184">
    <cfRule type="dataBar" priority="7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{ec5b471b-e115-48b7-ad90-d163abdba94f}</x14:id>
        </ext>
      </extLst>
    </cfRule>
  </conditionalFormatting>
  <conditionalFormatting sqref="F185:F187">
    <cfRule type="dataBar" priority="5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{e08db116-ef59-44b4-ba68-bb8f803701f9}</x14:id>
        </ext>
      </extLst>
    </cfRule>
  </conditionalFormatting>
  <conditionalFormatting sqref="F188:F190">
    <cfRule type="dataBar" priority="5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{972eb3e7-1ea5-4834-9f4d-2dd4b558df11}</x14:id>
        </ext>
      </extLst>
    </cfRule>
  </conditionalFormatting>
  <conditionalFormatting sqref="F191:F193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{5e447130-f6be-4740-b883-c7764696f03d}</x14:id>
        </ext>
      </extLst>
    </cfRule>
  </conditionalFormatting>
  <conditionalFormatting sqref="F194:F196">
    <cfRule type="dataBar" priority="4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{4a78c77e-a0bd-4a71-896a-66e9120cbc64}</x14:id>
        </ext>
      </extLst>
    </cfRule>
  </conditionalFormatting>
  <conditionalFormatting sqref="F197:F199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{6873f8ad-c026-4e8f-b6e4-37ffcf567cc3}</x14:id>
        </ext>
      </extLst>
    </cfRule>
  </conditionalFormatting>
  <conditionalFormatting sqref="F200:F202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{54781781-7b05-41fb-9ab8-f88937baff55}</x14:id>
        </ext>
      </extLst>
    </cfRule>
  </conditionalFormatting>
  <conditionalFormatting sqref="F203:F205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{31dcfb98-dc06-4a07-85fc-e39f111bcda8}</x14:id>
        </ext>
      </extLst>
    </cfRule>
  </conditionalFormatting>
  <conditionalFormatting sqref="F206:F208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{5569c99d-5288-45f2-88af-a50382fb9bc8}</x14:id>
        </ext>
      </extLst>
    </cfRule>
  </conditionalFormatting>
  <conditionalFormatting sqref="F209:F21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{5f23c501-be67-42e7-a98e-9ff4cf01d133}</x14:id>
        </ext>
      </extLst>
    </cfRule>
  </conditionalFormatting>
  <conditionalFormatting sqref="G149:G151">
    <cfRule type="dataBar" priority="10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{c615eb69-e0c1-4bf9-801a-b9503160d9e3}</x14:id>
        </ext>
      </extLst>
    </cfRule>
  </conditionalFormatting>
  <conditionalFormatting sqref="G152:G154">
    <cfRule type="dataBar" priority="10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{f939d4b7-2b51-4248-bdaa-78d52098c48a}</x14:id>
        </ext>
      </extLst>
    </cfRule>
  </conditionalFormatting>
  <conditionalFormatting sqref="G155:G157">
    <cfRule type="dataBar" priority="9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{a0fe550d-f0ff-4052-99b5-a4316e89d303}</x14:id>
        </ext>
      </extLst>
    </cfRule>
  </conditionalFormatting>
  <conditionalFormatting sqref="G158:G160">
    <cfRule type="dataBar" priority="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{e17bff7a-20fd-4317-acda-53e96863cbb3}</x14:id>
        </ext>
      </extLst>
    </cfRule>
  </conditionalFormatting>
  <conditionalFormatting sqref="G161:G163">
    <cfRule type="dataBar" priority="8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{072a0872-b76f-4ba6-990a-4cea584e71ff}</x14:id>
        </ext>
      </extLst>
    </cfRule>
  </conditionalFormatting>
  <conditionalFormatting sqref="G164:G166">
    <cfRule type="dataBar" priority="8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{94fa3180-f2b7-4e72-9b70-e78ef58893e0}</x14:id>
        </ext>
      </extLst>
    </cfRule>
  </conditionalFormatting>
  <conditionalFormatting sqref="G167:G169">
    <cfRule type="dataBar" priority="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{cf807b3c-5428-449e-8bd9-e21a22d2f84d}</x14:id>
        </ext>
      </extLst>
    </cfRule>
  </conditionalFormatting>
  <conditionalFormatting sqref="G170:G172">
    <cfRule type="dataBar" priority="8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{e1cba98b-656a-459d-9707-6f31cc144faf}</x14:id>
        </ext>
      </extLst>
    </cfRule>
  </conditionalFormatting>
  <conditionalFormatting sqref="G173:G175">
    <cfRule type="dataBar" priority="7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{d70364bc-d9bd-4843-951e-6cf770c3a967}</x14:id>
        </ext>
      </extLst>
    </cfRule>
  </conditionalFormatting>
  <conditionalFormatting sqref="G176:G178">
    <cfRule type="dataBar" priority="7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{292a6422-03d6-4c67-aa2f-e49dc9b0a9df}</x14:id>
        </ext>
      </extLst>
    </cfRule>
  </conditionalFormatting>
  <conditionalFormatting sqref="G179:G181">
    <cfRule type="dataBar" priority="7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{9a1f3e83-77cf-4434-9a1e-c77e52486a0a}</x14:id>
        </ext>
      </extLst>
    </cfRule>
  </conditionalFormatting>
  <conditionalFormatting sqref="G182:G184">
    <cfRule type="dataBar" priority="7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{5ae590bd-69da-4f02-9fd2-86233704070c}</x14:id>
        </ext>
      </extLst>
    </cfRule>
  </conditionalFormatting>
  <conditionalFormatting sqref="G185:G187">
    <cfRule type="dataBar" priority="6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{8a5e8c30-763b-47a4-aa0d-a3d9d756cddb}</x14:id>
        </ext>
      </extLst>
    </cfRule>
  </conditionalFormatting>
  <conditionalFormatting sqref="G188:G190">
    <cfRule type="dataBar" priority="5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{08113b89-9575-4146-a6c6-11728a507719}</x14:id>
        </ext>
      </extLst>
    </cfRule>
  </conditionalFormatting>
  <conditionalFormatting sqref="G191:G193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{4e6a0c1f-9292-4f10-adb8-a598e7769727}</x14:id>
        </ext>
      </extLst>
    </cfRule>
  </conditionalFormatting>
  <conditionalFormatting sqref="G194:G196">
    <cfRule type="dataBar" priority="4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{8f428f7e-418d-49ac-a3e1-45124f9950d0}</x14:id>
        </ext>
      </extLst>
    </cfRule>
  </conditionalFormatting>
  <conditionalFormatting sqref="G197:G199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{711a1036-9746-40d3-a70d-5713fb6b1889}</x14:id>
        </ext>
      </extLst>
    </cfRule>
  </conditionalFormatting>
  <conditionalFormatting sqref="G200:G202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{6752916c-436c-446c-bde5-87ed1f0738ea}</x14:id>
        </ext>
      </extLst>
    </cfRule>
  </conditionalFormatting>
  <conditionalFormatting sqref="G203:G205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{b8ba9144-3e44-4d01-8b61-834d647c4ea1}</x14:id>
        </ext>
      </extLst>
    </cfRule>
  </conditionalFormatting>
  <conditionalFormatting sqref="G206:G20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{4d564012-7b82-4704-9685-810fa9cd63c7}</x14:id>
        </ext>
      </extLst>
    </cfRule>
  </conditionalFormatting>
  <conditionalFormatting sqref="G209:G211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{a05123a8-4723-471c-9e8e-edcfda95ed44}</x14:id>
        </ext>
      </extLst>
    </cfRule>
  </conditionalFormatting>
  <conditionalFormatting sqref="N149:N166">
    <cfRule type="dataBar" priority="9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{19a8e4e5-b942-48b0-ba2f-c161fcbadc18}</x14:id>
        </ext>
      </extLst>
    </cfRule>
  </conditionalFormatting>
  <conditionalFormatting sqref="N158:N166">
    <cfRule type="dataBar" priority="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{3d499841-6606-480d-89b2-656affc90145}</x14:id>
        </ext>
      </extLst>
    </cfRule>
  </conditionalFormatting>
  <conditionalFormatting sqref="N167:N184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{19390437-a70b-44a4-a918-1e79814b6f52}</x14:id>
        </ext>
      </extLst>
    </cfRule>
  </conditionalFormatting>
  <conditionalFormatting sqref="N176:N184">
    <cfRule type="dataBar" priority="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{4080ca06-3299-42d5-a3ac-02d6e425f0c9}</x14:id>
        </ext>
      </extLst>
    </cfRule>
  </conditionalFormatting>
  <conditionalFormatting sqref="N185:N190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{6b3ea9ad-d429-44c0-88a4-78a50dc42379}</x14:id>
        </ext>
      </extLst>
    </cfRule>
  </conditionalFormatting>
  <conditionalFormatting sqref="N191:N196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{82811399-02d0-4296-b3b8-89d94bce7977}</x14:id>
        </ext>
      </extLst>
    </cfRule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{fc8e4944-d605-4fb4-81ac-9f0525fa8bd5}</x14:id>
        </ext>
      </extLst>
    </cfRule>
  </conditionalFormatting>
  <conditionalFormatting sqref="N197:N199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{7ef20aad-4743-4c52-934e-8b6a37ec59bf}</x14:id>
        </ext>
      </extLst>
    </cfRule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{ed5a7ae5-f73d-4cfb-b25e-19060ef9a08c}</x14:id>
        </ext>
      </extLst>
    </cfRule>
  </conditionalFormatting>
  <conditionalFormatting sqref="N200:N202">
    <cfRule type="dataBar" priority="1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{0f6d5135-85cf-4306-9e30-4269dd95ee5d}</x14:id>
        </ext>
      </extLst>
    </cfRule>
  </conditionalFormatting>
  <conditionalFormatting sqref="N203:N205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{869f85dd-b253-47d6-b9ab-510eb491bf09}</x14:id>
        </ext>
      </extLst>
    </cfRule>
  </conditionalFormatting>
  <conditionalFormatting sqref="N206:N208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{2fb56541-0a61-4ff1-9774-93d2d4ba8f49}</x14:id>
        </ext>
      </extLst>
    </cfRule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{14972b0e-61fd-45bd-a5b6-b06fd26be072}</x14:id>
        </ext>
      </extLst>
    </cfRule>
  </conditionalFormatting>
  <conditionalFormatting sqref="N209:N21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{0cead41e-0643-4444-beaf-d9e0c6c50fdb}</x14:id>
        </ext>
      </extLst>
    </cfRule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{5fc05a06-8dbd-4986-9785-1bcd5b686daa}</x14:id>
        </ext>
      </extLst>
    </cfRule>
  </conditionalFormatting>
  <conditionalFormatting sqref="O2:O19">
    <cfRule type="dataBar" priority="1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{35099986-089d-464c-8d15-0d0e188807ed}</x14:id>
        </ext>
      </extLst>
    </cfRule>
  </conditionalFormatting>
  <conditionalFormatting sqref="O20:O37">
    <cfRule type="dataBar" priority="9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{b0220d71-d1b2-4766-93d6-15d4f232a14e}</x14:id>
        </ext>
      </extLst>
    </cfRule>
  </conditionalFormatting>
  <conditionalFormatting sqref="P2:P19">
    <cfRule type="dataBar" priority="10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{76e78f02-cdc6-4657-b360-c4ab28f206ba}</x14:id>
        </ext>
      </extLst>
    </cfRule>
  </conditionalFormatting>
  <conditionalFormatting sqref="P20:P37">
    <cfRule type="dataBar" priority="9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{110809e5-0467-4856-a853-dd35b366e6c9}</x14:id>
        </ext>
      </extLst>
    </cfRule>
  </conditionalFormatting>
  <conditionalFormatting sqref="P149:P196">
    <cfRule type="cellIs" dxfId="37" priority="90" operator="equal">
      <formula>$S$149</formula>
    </cfRule>
  </conditionalFormatting>
  <conditionalFormatting sqref="Q2:Q37">
    <cfRule type="cellIs" dxfId="38" priority="97" operator="equal">
      <formula>配置!$D$4</formula>
    </cfRule>
    <cfRule type="cellIs" dxfId="39" priority="98" operator="equal">
      <formula>配置!$D$3</formula>
    </cfRule>
    <cfRule type="cellIs" dxfId="37" priority="99" operator="equal">
      <formula>配置!$D$2</formula>
    </cfRule>
  </conditionalFormatting>
  <conditionalFormatting sqref="Q38:Q145">
    <cfRule type="cellIs" dxfId="38" priority="37" operator="equal">
      <formula>配置!$D$4</formula>
    </cfRule>
    <cfRule type="cellIs" dxfId="39" priority="38" operator="equal">
      <formula>配置!$D$3</formula>
    </cfRule>
    <cfRule type="cellIs" dxfId="37" priority="39" operator="equal">
      <formula>配置!$D$2</formula>
    </cfRule>
  </conditionalFormatting>
  <conditionalFormatting sqref="R149:R170">
    <cfRule type="cellIs" dxfId="37" priority="91" operator="equal">
      <formula>$S$149</formula>
    </cfRule>
  </conditionalFormatting>
  <conditionalFormatting sqref="O146:O147 Q1:R1 Q2 Q4:Q5 Q7:Q8 Q10:Q11 Q13:Q14 Q16:Q17 Q19:Q20 Q22:Q37">
    <cfRule type="cellIs" dxfId="37" priority="107" operator="equal">
      <formula>配置!$D$2</formula>
    </cfRule>
  </conditionalFormatting>
  <conditionalFormatting sqref="Q2 Q4:Q5 Q7:Q8 Q10:Q11 Q13:Q14 Q16:Q17 Q19:Q20 Q22:Q37">
    <cfRule type="cellIs" dxfId="38" priority="106" operator="equal">
      <formula>配置!$D$4</formula>
    </cfRule>
  </conditionalFormatting>
  <conditionalFormatting sqref="O38:O55 O74:O91 O110:O127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{4016f347-54fb-4e51-9309-06b278203ce2}</x14:id>
        </ext>
      </extLst>
    </cfRule>
  </conditionalFormatting>
  <conditionalFormatting sqref="P38:P55 P74:P91 P110:P127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{127b7d9d-23bd-44eb-b26b-fff2ea6b7b46}</x14:id>
        </ext>
      </extLst>
    </cfRule>
  </conditionalFormatting>
  <conditionalFormatting sqref="Q38 Q40:Q41 Q76:Q77 Q43:Q44 Q79:Q80 Q46:Q47 Q49:Q50 Q52:Q53 Q55:Q56 Q58:Q74 Q82:Q145">
    <cfRule type="cellIs" dxfId="38" priority="42" operator="equal">
      <formula>配置!$D$4</formula>
    </cfRule>
    <cfRule type="cellIs" dxfId="37" priority="43" operator="equal">
      <formula>配置!$D$2</formula>
    </cfRule>
  </conditionalFormatting>
  <conditionalFormatting sqref="O56:O73 O92:O109 O128:O145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{7d3fd266-14fe-484a-b44f-b33fd510f610}</x14:id>
        </ext>
      </extLst>
    </cfRule>
  </conditionalFormatting>
  <conditionalFormatting sqref="P56:P73 P92:P109 P128:P145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{93bde35a-0419-40ce-a38b-3775e51769e3}</x14:id>
        </ext>
      </extLst>
    </cfRule>
  </conditionalFormatting>
  <dataValidations count="1">
    <dataValidation type="list" allowBlank="1" showInputMessage="1" showErrorMessage="1" sqref="Q2:Q145">
      <formula1>配置!$D$2:$D$4</formula1>
    </dataValidation>
  </dataValidations>
  <pageMargins left="0.7" right="0.7" top="0.75" bottom="0.75" header="0.3" footer="0.3"/>
  <pageSetup paperSize="9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ce368f4-8b78-4d43-8551-c3c4e13b28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F149:F151</xm:sqref>
        </x14:conditionalFormatting>
        <x14:conditionalFormatting xmlns:xm="http://schemas.microsoft.com/office/excel/2006/main">
          <x14:cfRule type="dataBar" id="{676bc007-78f7-40f4-8a6e-930c048d60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F152:F154</xm:sqref>
        </x14:conditionalFormatting>
        <x14:conditionalFormatting xmlns:xm="http://schemas.microsoft.com/office/excel/2006/main">
          <x14:cfRule type="dataBar" id="{d06ed67d-857e-42be-8452-723724cb2f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F155:F157</xm:sqref>
        </x14:conditionalFormatting>
        <x14:conditionalFormatting xmlns:xm="http://schemas.microsoft.com/office/excel/2006/main">
          <x14:cfRule type="dataBar" id="{0115c597-61ea-4d80-ab65-3b0ad5247c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F158:F160</xm:sqref>
        </x14:conditionalFormatting>
        <x14:conditionalFormatting xmlns:xm="http://schemas.microsoft.com/office/excel/2006/main">
          <x14:cfRule type="dataBar" id="{0ef7ad16-bd01-428b-bf31-31c00c4e78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F161:F163</xm:sqref>
        </x14:conditionalFormatting>
        <x14:conditionalFormatting xmlns:xm="http://schemas.microsoft.com/office/excel/2006/main">
          <x14:cfRule type="dataBar" id="{2fa3ba1e-f419-44ee-9b57-92c518fcd6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F164:F166</xm:sqref>
        </x14:conditionalFormatting>
        <x14:conditionalFormatting xmlns:xm="http://schemas.microsoft.com/office/excel/2006/main">
          <x14:cfRule type="dataBar" id="{e3ed4440-8aa7-4436-9c0a-9ffd66d5db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F167:F169</xm:sqref>
        </x14:conditionalFormatting>
        <x14:conditionalFormatting xmlns:xm="http://schemas.microsoft.com/office/excel/2006/main">
          <x14:cfRule type="dataBar" id="{38217cd0-9b52-46b3-9fc7-02808da019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F170:F172</xm:sqref>
        </x14:conditionalFormatting>
        <x14:conditionalFormatting xmlns:xm="http://schemas.microsoft.com/office/excel/2006/main">
          <x14:cfRule type="dataBar" id="{152ea61e-ebc1-443c-9f00-679abba772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F173:F175</xm:sqref>
        </x14:conditionalFormatting>
        <x14:conditionalFormatting xmlns:xm="http://schemas.microsoft.com/office/excel/2006/main">
          <x14:cfRule type="dataBar" id="{d2f2074d-73f7-4739-bbcf-9cfdc521e4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F176:F178</xm:sqref>
        </x14:conditionalFormatting>
        <x14:conditionalFormatting xmlns:xm="http://schemas.microsoft.com/office/excel/2006/main">
          <x14:cfRule type="dataBar" id="{a9ff3e2d-8100-4338-86aa-8909a50d96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F179:F181</xm:sqref>
        </x14:conditionalFormatting>
        <x14:conditionalFormatting xmlns:xm="http://schemas.microsoft.com/office/excel/2006/main">
          <x14:cfRule type="dataBar" id="{ec5b471b-e115-48b7-ad90-d163abdba9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F182:F184</xm:sqref>
        </x14:conditionalFormatting>
        <x14:conditionalFormatting xmlns:xm="http://schemas.microsoft.com/office/excel/2006/main">
          <x14:cfRule type="dataBar" id="{e08db116-ef59-44b4-ba68-bb8f803701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F185:F187</xm:sqref>
        </x14:conditionalFormatting>
        <x14:conditionalFormatting xmlns:xm="http://schemas.microsoft.com/office/excel/2006/main">
          <x14:cfRule type="dataBar" id="{972eb3e7-1ea5-4834-9f4d-2dd4b558df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F188:F190</xm:sqref>
        </x14:conditionalFormatting>
        <x14:conditionalFormatting xmlns:xm="http://schemas.microsoft.com/office/excel/2006/main">
          <x14:cfRule type="dataBar" id="{5e447130-f6be-4740-b883-c7764696f0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F191:F193</xm:sqref>
        </x14:conditionalFormatting>
        <x14:conditionalFormatting xmlns:xm="http://schemas.microsoft.com/office/excel/2006/main">
          <x14:cfRule type="dataBar" id="{4a78c77e-a0bd-4a71-896a-66e9120cbc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F194:F196</xm:sqref>
        </x14:conditionalFormatting>
        <x14:conditionalFormatting xmlns:xm="http://schemas.microsoft.com/office/excel/2006/main">
          <x14:cfRule type="dataBar" id="{6873f8ad-c026-4e8f-b6e4-37ffcf567c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F197:F199</xm:sqref>
        </x14:conditionalFormatting>
        <x14:conditionalFormatting xmlns:xm="http://schemas.microsoft.com/office/excel/2006/main">
          <x14:cfRule type="dataBar" id="{54781781-7b05-41fb-9ab8-f88937baff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F200:F202</xm:sqref>
        </x14:conditionalFormatting>
        <x14:conditionalFormatting xmlns:xm="http://schemas.microsoft.com/office/excel/2006/main">
          <x14:cfRule type="dataBar" id="{31dcfb98-dc06-4a07-85fc-e39f111bcd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F203:F205</xm:sqref>
        </x14:conditionalFormatting>
        <x14:conditionalFormatting xmlns:xm="http://schemas.microsoft.com/office/excel/2006/main">
          <x14:cfRule type="dataBar" id="{5569c99d-5288-45f2-88af-a50382fb9b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F206:F208</xm:sqref>
        </x14:conditionalFormatting>
        <x14:conditionalFormatting xmlns:xm="http://schemas.microsoft.com/office/excel/2006/main">
          <x14:cfRule type="dataBar" id="{5f23c501-be67-42e7-a98e-9ff4cf01d1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F209:F211</xm:sqref>
        </x14:conditionalFormatting>
        <x14:conditionalFormatting xmlns:xm="http://schemas.microsoft.com/office/excel/2006/main">
          <x14:cfRule type="dataBar" id="{c615eb69-e0c1-4bf9-801a-b9503160d9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G149:G151</xm:sqref>
        </x14:conditionalFormatting>
        <x14:conditionalFormatting xmlns:xm="http://schemas.microsoft.com/office/excel/2006/main">
          <x14:cfRule type="dataBar" id="{f939d4b7-2b51-4248-bdaa-78d52098c4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G152:G154</xm:sqref>
        </x14:conditionalFormatting>
        <x14:conditionalFormatting xmlns:xm="http://schemas.microsoft.com/office/excel/2006/main">
          <x14:cfRule type="dataBar" id="{a0fe550d-f0ff-4052-99b5-a4316e89d3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G155:G157</xm:sqref>
        </x14:conditionalFormatting>
        <x14:conditionalFormatting xmlns:xm="http://schemas.microsoft.com/office/excel/2006/main">
          <x14:cfRule type="dataBar" id="{e17bff7a-20fd-4317-acda-53e96863cb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G158:G160</xm:sqref>
        </x14:conditionalFormatting>
        <x14:conditionalFormatting xmlns:xm="http://schemas.microsoft.com/office/excel/2006/main">
          <x14:cfRule type="dataBar" id="{072a0872-b76f-4ba6-990a-4cea584e71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G161:G163</xm:sqref>
        </x14:conditionalFormatting>
        <x14:conditionalFormatting xmlns:xm="http://schemas.microsoft.com/office/excel/2006/main">
          <x14:cfRule type="dataBar" id="{94fa3180-f2b7-4e72-9b70-e78ef58893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G164:G166</xm:sqref>
        </x14:conditionalFormatting>
        <x14:conditionalFormatting xmlns:xm="http://schemas.microsoft.com/office/excel/2006/main">
          <x14:cfRule type="dataBar" id="{cf807b3c-5428-449e-8bd9-e21a22d2f8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G167:G169</xm:sqref>
        </x14:conditionalFormatting>
        <x14:conditionalFormatting xmlns:xm="http://schemas.microsoft.com/office/excel/2006/main">
          <x14:cfRule type="dataBar" id="{e1cba98b-656a-459d-9707-6f31cc144f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G170:G172</xm:sqref>
        </x14:conditionalFormatting>
        <x14:conditionalFormatting xmlns:xm="http://schemas.microsoft.com/office/excel/2006/main">
          <x14:cfRule type="dataBar" id="{d70364bc-d9bd-4843-951e-6cf770c3a9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G173:G175</xm:sqref>
        </x14:conditionalFormatting>
        <x14:conditionalFormatting xmlns:xm="http://schemas.microsoft.com/office/excel/2006/main">
          <x14:cfRule type="dataBar" id="{292a6422-03d6-4c67-aa2f-e49dc9b0a9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G176:G178</xm:sqref>
        </x14:conditionalFormatting>
        <x14:conditionalFormatting xmlns:xm="http://schemas.microsoft.com/office/excel/2006/main">
          <x14:cfRule type="dataBar" id="{9a1f3e83-77cf-4434-9a1e-c77e52486a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G179:G181</xm:sqref>
        </x14:conditionalFormatting>
        <x14:conditionalFormatting xmlns:xm="http://schemas.microsoft.com/office/excel/2006/main">
          <x14:cfRule type="dataBar" id="{5ae590bd-69da-4f02-9fd2-8623370407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G182:G184</xm:sqref>
        </x14:conditionalFormatting>
        <x14:conditionalFormatting xmlns:xm="http://schemas.microsoft.com/office/excel/2006/main">
          <x14:cfRule type="dataBar" id="{8a5e8c30-763b-47a4-aa0d-a3d9d756cd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G185:G187</xm:sqref>
        </x14:conditionalFormatting>
        <x14:conditionalFormatting xmlns:xm="http://schemas.microsoft.com/office/excel/2006/main">
          <x14:cfRule type="dataBar" id="{08113b89-9575-4146-a6c6-11728a5077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G188:G190</xm:sqref>
        </x14:conditionalFormatting>
        <x14:conditionalFormatting xmlns:xm="http://schemas.microsoft.com/office/excel/2006/main">
          <x14:cfRule type="dataBar" id="{4e6a0c1f-9292-4f10-adb8-a598e77697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G191:G193</xm:sqref>
        </x14:conditionalFormatting>
        <x14:conditionalFormatting xmlns:xm="http://schemas.microsoft.com/office/excel/2006/main">
          <x14:cfRule type="dataBar" id="{8f428f7e-418d-49ac-a3e1-45124f9950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G194:G196</xm:sqref>
        </x14:conditionalFormatting>
        <x14:conditionalFormatting xmlns:xm="http://schemas.microsoft.com/office/excel/2006/main">
          <x14:cfRule type="dataBar" id="{711a1036-9746-40d3-a70d-5713fb6b18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G197:G199</xm:sqref>
        </x14:conditionalFormatting>
        <x14:conditionalFormatting xmlns:xm="http://schemas.microsoft.com/office/excel/2006/main">
          <x14:cfRule type="dataBar" id="{6752916c-436c-446c-bde5-87ed1f0738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G200:G202</xm:sqref>
        </x14:conditionalFormatting>
        <x14:conditionalFormatting xmlns:xm="http://schemas.microsoft.com/office/excel/2006/main">
          <x14:cfRule type="dataBar" id="{b8ba9144-3e44-4d01-8b61-834d647c4e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G203:G205</xm:sqref>
        </x14:conditionalFormatting>
        <x14:conditionalFormatting xmlns:xm="http://schemas.microsoft.com/office/excel/2006/main">
          <x14:cfRule type="dataBar" id="{4d564012-7b82-4704-9685-810fa9cd63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G206:G208</xm:sqref>
        </x14:conditionalFormatting>
        <x14:conditionalFormatting xmlns:xm="http://schemas.microsoft.com/office/excel/2006/main">
          <x14:cfRule type="dataBar" id="{a05123a8-4723-471c-9e8e-edcfda95ed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G209:G211</xm:sqref>
        </x14:conditionalFormatting>
        <x14:conditionalFormatting xmlns:xm="http://schemas.microsoft.com/office/excel/2006/main">
          <x14:cfRule type="dataBar" id="{19a8e4e5-b942-48b0-ba2f-c161fcbadc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N149:N166</xm:sqref>
        </x14:conditionalFormatting>
        <x14:conditionalFormatting xmlns:xm="http://schemas.microsoft.com/office/excel/2006/main">
          <x14:cfRule type="dataBar" id="{3d499841-6606-480d-89b2-656affc901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N158:N166</xm:sqref>
        </x14:conditionalFormatting>
        <x14:conditionalFormatting xmlns:xm="http://schemas.microsoft.com/office/excel/2006/main">
          <x14:cfRule type="dataBar" id="{19390437-a70b-44a4-a918-1e79814b6f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N167:N184</xm:sqref>
        </x14:conditionalFormatting>
        <x14:conditionalFormatting xmlns:xm="http://schemas.microsoft.com/office/excel/2006/main">
          <x14:cfRule type="dataBar" id="{4080ca06-3299-42d5-a3ac-02d6e425f0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N176:N184</xm:sqref>
        </x14:conditionalFormatting>
        <x14:conditionalFormatting xmlns:xm="http://schemas.microsoft.com/office/excel/2006/main">
          <x14:cfRule type="dataBar" id="{6b3ea9ad-d429-44c0-88a4-78a50dc423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N185:N190</xm:sqref>
        </x14:conditionalFormatting>
        <x14:conditionalFormatting xmlns:xm="http://schemas.microsoft.com/office/excel/2006/main">
          <x14:cfRule type="dataBar" id="{82811399-02d0-4296-b3b8-89d94bce79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c8e4944-d605-4fb4-81ac-9f0525fa8b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N191:N196</xm:sqref>
        </x14:conditionalFormatting>
        <x14:conditionalFormatting xmlns:xm="http://schemas.microsoft.com/office/excel/2006/main">
          <x14:cfRule type="dataBar" id="{7ef20aad-4743-4c52-934e-8b6a37ec59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d5a7ae5-f73d-4cfb-b25e-19060ef9a0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N197:N199</xm:sqref>
        </x14:conditionalFormatting>
        <x14:conditionalFormatting xmlns:xm="http://schemas.microsoft.com/office/excel/2006/main">
          <x14:cfRule type="dataBar" id="{0f6d5135-85cf-4306-9e30-4269dd95ee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N200:N202</xm:sqref>
        </x14:conditionalFormatting>
        <x14:conditionalFormatting xmlns:xm="http://schemas.microsoft.com/office/excel/2006/main">
          <x14:cfRule type="dataBar" id="{869f85dd-b253-47d6-b9ab-510eb491bf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N203:N205</xm:sqref>
        </x14:conditionalFormatting>
        <x14:conditionalFormatting xmlns:xm="http://schemas.microsoft.com/office/excel/2006/main">
          <x14:cfRule type="dataBar" id="{2fb56541-0a61-4ff1-9774-93d2d4ba8f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4972b0e-61fd-45bd-a5b6-b06fd26be0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N206:N208</xm:sqref>
        </x14:conditionalFormatting>
        <x14:conditionalFormatting xmlns:xm="http://schemas.microsoft.com/office/excel/2006/main">
          <x14:cfRule type="dataBar" id="{0cead41e-0643-4444-beaf-d9e0c6c50f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fc05a06-8dbd-4986-9785-1bcd5b686d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N209:N211</xm:sqref>
        </x14:conditionalFormatting>
        <x14:conditionalFormatting xmlns:xm="http://schemas.microsoft.com/office/excel/2006/main">
          <x14:cfRule type="dataBar" id="{35099986-089d-464c-8d15-0d0e188807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b0220d71-d1b2-4766-93d6-15d4f232a1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O20:O37</xm:sqref>
        </x14:conditionalFormatting>
        <x14:conditionalFormatting xmlns:xm="http://schemas.microsoft.com/office/excel/2006/main">
          <x14:cfRule type="dataBar" id="{76e78f02-cdc6-4657-b360-c4ab28f206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110809e5-0467-4856-a853-dd35b366e6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P20:P37</xm:sqref>
        </x14:conditionalFormatting>
        <x14:conditionalFormatting xmlns:xm="http://schemas.microsoft.com/office/excel/2006/main">
          <x14:cfRule type="dataBar" id="{4016f347-54fb-4e51-9309-06b278203c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O38:O55 O74:O91 O110:O127</xm:sqref>
        </x14:conditionalFormatting>
        <x14:conditionalFormatting xmlns:xm="http://schemas.microsoft.com/office/excel/2006/main">
          <x14:cfRule type="dataBar" id="{127b7d9d-23bd-44eb-b26b-fff2ea6b7b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P38:P55 P74:P91 P110:P127</xm:sqref>
        </x14:conditionalFormatting>
        <x14:conditionalFormatting xmlns:xm="http://schemas.microsoft.com/office/excel/2006/main">
          <x14:cfRule type="dataBar" id="{7d3fd266-14fe-484a-b44f-b33fd510f6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O56:O73 O92:O109 O128:O145</xm:sqref>
        </x14:conditionalFormatting>
        <x14:conditionalFormatting xmlns:xm="http://schemas.microsoft.com/office/excel/2006/main">
          <x14:cfRule type="dataBar" id="{93bde35a-0419-40ce-a38b-3775e51769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P56:P73 P92:P109 P128:P145</xm:sqref>
        </x14:conditionalFormatting>
      </x14:conditionalFormatting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06"/>
  <sheetViews>
    <sheetView topLeftCell="A34" workbookViewId="0">
      <selection activeCell="E71" sqref="E71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customHeight="1" spans="1:25">
      <c r="A2" s="371">
        <v>7020</v>
      </c>
      <c r="B2" s="371">
        <f>VLOOKUP(表1_8612182224267296[[#This Row],[区服]],$P$44:$Q$57,2,FALSE)</f>
        <v>49</v>
      </c>
      <c r="C2" s="372" t="s">
        <v>211</v>
      </c>
      <c r="D2" s="373" t="str">
        <f>表1_8612182224267296[[#This Row],[目标国家]]</f>
        <v>魏</v>
      </c>
      <c r="E2" s="374">
        <f>(VLOOKUP(表1_8612182224267296[[#This Row],[目标区服]],$R$44:$S$49,2,FALSE)-表1_8612182224267296[[#This Row],[开服天数]])*配置!$B$1</f>
        <v>1000</v>
      </c>
      <c r="F2" s="374">
        <f>表1_8612182224267296[[#This Row],[补偿Coin]]*(表1_8612182224267296[[#This Row],[活跃高战玩家数]]+表1_8612182224267296[[#This Row],[活跃中坚玩家数]])</f>
        <v>15000</v>
      </c>
      <c r="G2" s="374">
        <f>(VLOOKUP(表1_8612182224267296[[#This Row],[目标区服]],$R$44:$S$49,2,FALSE)-表1_8612182224267296[[#This Row],[开服天数]])*配置!$B$2</f>
        <v>10</v>
      </c>
      <c r="H2" s="376" t="s">
        <v>25</v>
      </c>
      <c r="I2" s="376">
        <f>IF(表1_8612182224267296[[#This Row],[原国家]]="魏",0,IF(表1_8612182224267296[[#This Row],[原国家]]="蜀",1,2))</f>
        <v>0</v>
      </c>
      <c r="J2" s="380">
        <v>0</v>
      </c>
      <c r="K2" s="380">
        <v>24</v>
      </c>
      <c r="L2" s="380">
        <v>0</v>
      </c>
      <c r="M2" s="380">
        <v>15</v>
      </c>
      <c r="N2" s="380">
        <v>45996</v>
      </c>
      <c r="O2" s="380">
        <v>1062464</v>
      </c>
      <c r="P2" s="381">
        <v>7952396</v>
      </c>
      <c r="Q2" s="493" t="s">
        <v>25</v>
      </c>
      <c r="R2" s="376">
        <f>IF(表1_8612182224267296[[#This Row],[目标国家]]="魏",0,IF(表1_8612182224267296[[#This Row],[目标国家]]="蜀",1,2))</f>
        <v>0</v>
      </c>
      <c r="S2" s="380">
        <v>1618</v>
      </c>
      <c r="T2" s="380">
        <v>0</v>
      </c>
      <c r="U2" s="380">
        <v>131105</v>
      </c>
      <c r="V2" s="380">
        <v>2441</v>
      </c>
      <c r="W2" s="374">
        <v>343285</v>
      </c>
      <c r="X2" s="387" t="str">
        <f>"{"&amp;"'coin':"&amp;表1_8612182224267296[[#This Row],[补偿Coin]]&amp;",'"&amp;配置!$A$2&amp;"':"&amp;表1_8612182224267296[[#This Row],[补偿辎重]]&amp;"},"</f>
        <v>{'coin':1000,'item036':10},</v>
      </c>
      <c r="Y2" s="388" t="str">
        <f>"      '"&amp;表1_8612182224267296[[#This Row],[区服]]&amp;"':{"</f>
        <v>      '7020':{</v>
      </c>
    </row>
    <row r="3" s="354" customFormat="1" customHeight="1" spans="1:25">
      <c r="A3" s="371">
        <v>7020</v>
      </c>
      <c r="B3" s="371">
        <f>VLOOKUP(表1_8612182224267296[[#This Row],[区服]],$P$44:$Q$57,2,FALSE)</f>
        <v>49</v>
      </c>
      <c r="C3" s="372" t="s">
        <v>211</v>
      </c>
      <c r="D3" s="376" t="str">
        <f>表1_8612182224267296[[#This Row],[目标国家]]</f>
        <v>蜀</v>
      </c>
      <c r="E3" s="380">
        <f>(VLOOKUP(表1_8612182224267296[[#This Row],[目标区服]],$R$44:$S$49,2,FALSE)-表1_8612182224267296[[#This Row],[开服天数]])*配置!$B$1</f>
        <v>1000</v>
      </c>
      <c r="F3" s="380">
        <f>表1_8612182224267296[[#This Row],[补偿Coin]]*(表1_8612182224267296[[#This Row],[活跃高战玩家数]]+表1_8612182224267296[[#This Row],[活跃中坚玩家数]])</f>
        <v>33000</v>
      </c>
      <c r="G3" s="380">
        <f>(VLOOKUP(表1_8612182224267296[[#This Row],[目标区服]],$R$44:$S$49,2,FALSE)-表1_8612182224267296[[#This Row],[开服天数]])*配置!$B$2</f>
        <v>10</v>
      </c>
      <c r="H3" s="376" t="s">
        <v>26</v>
      </c>
      <c r="I3" s="376">
        <f>IF(表1_8612182224267296[[#This Row],[原国家]]="魏",0,IF(表1_8612182224267296[[#This Row],[原国家]]="蜀",1,2))</f>
        <v>1</v>
      </c>
      <c r="J3" s="380">
        <v>9</v>
      </c>
      <c r="K3" s="380">
        <v>342</v>
      </c>
      <c r="L3" s="380">
        <v>9</v>
      </c>
      <c r="M3" s="380">
        <v>24</v>
      </c>
      <c r="N3" s="380">
        <v>198738</v>
      </c>
      <c r="O3" s="380">
        <v>2729006</v>
      </c>
      <c r="P3" s="381">
        <v>31061975</v>
      </c>
      <c r="Q3" s="493" t="s">
        <v>26</v>
      </c>
      <c r="R3" s="376">
        <f>IF(表1_8612182224267296[[#This Row],[目标国家]]="魏",0,IF(表1_8612182224267296[[#This Row],[目标国家]]="蜀",1,2))</f>
        <v>1</v>
      </c>
      <c r="S3" s="380">
        <v>124112</v>
      </c>
      <c r="T3" s="380">
        <v>0</v>
      </c>
      <c r="U3" s="380">
        <v>958829</v>
      </c>
      <c r="V3" s="380">
        <v>15351</v>
      </c>
      <c r="W3" s="374">
        <v>939609</v>
      </c>
      <c r="X3" s="387" t="str">
        <f>"{"&amp;"'coin':"&amp;表1_8612182224267296[[#This Row],[补偿Coin]]&amp;",'"&amp;配置!$A$2&amp;"':"&amp;表1_8612182224267296[[#This Row],[补偿辎重]]&amp;"},"</f>
        <v>{'coin':1000,'item036':10},</v>
      </c>
      <c r="Y3" s="388" t="str">
        <f>"            'to_zone':'"&amp;表1_8612182224267296[[#This Row],[目标区服]]&amp;"',
            'reward':"&amp;表1_8612182224267296[[#This Row],[辅助导出]]&amp;"
            'country':["&amp;R2&amp;","&amp;R3&amp;","&amp;R4&amp;"],"</f>
        <v>            'to_zone':'h1_710',
            'reward':{'coin':1000,'item036':10},
            'country':[0,1,1],</v>
      </c>
    </row>
    <row r="4" s="354" customFormat="1" customHeight="1" spans="1:25">
      <c r="A4" s="371">
        <v>7020</v>
      </c>
      <c r="B4" s="371">
        <f>VLOOKUP(表1_8612182224267296[[#This Row],[区服]],$P$44:$Q$57,2,FALSE)</f>
        <v>49</v>
      </c>
      <c r="C4" s="372" t="s">
        <v>211</v>
      </c>
      <c r="D4" s="376" t="str">
        <f>表1_8612182224267296[[#This Row],[目标国家]]</f>
        <v>蜀</v>
      </c>
      <c r="E4" s="380">
        <f>(VLOOKUP(表1_8612182224267296[[#This Row],[目标区服]],$R$44:$S$49,2,FALSE)-表1_8612182224267296[[#This Row],[开服天数]])*配置!$B$1</f>
        <v>1000</v>
      </c>
      <c r="F4" s="380">
        <f>表1_8612182224267296[[#This Row],[补偿Coin]]*(表1_8612182224267296[[#This Row],[活跃高战玩家数]]+表1_8612182224267296[[#This Row],[活跃中坚玩家数]])</f>
        <v>9000</v>
      </c>
      <c r="G4" s="380">
        <f>(VLOOKUP(表1_8612182224267296[[#This Row],[目标区服]],$R$44:$S$49,2,FALSE)-表1_8612182224267296[[#This Row],[开服天数]])*配置!$B$2</f>
        <v>10</v>
      </c>
      <c r="H4" s="376" t="s">
        <v>27</v>
      </c>
      <c r="I4" s="376">
        <f>IF(表1_8612182224267296[[#This Row],[原国家]]="魏",0,IF(表1_8612182224267296[[#This Row],[原国家]]="蜀",1,2))</f>
        <v>2</v>
      </c>
      <c r="J4" s="380">
        <v>0</v>
      </c>
      <c r="K4" s="380">
        <v>29</v>
      </c>
      <c r="L4" s="380">
        <v>1</v>
      </c>
      <c r="M4" s="380">
        <v>8</v>
      </c>
      <c r="N4" s="380">
        <v>26958</v>
      </c>
      <c r="O4" s="380">
        <v>1104678</v>
      </c>
      <c r="P4" s="381">
        <v>4692111</v>
      </c>
      <c r="Q4" s="493" t="s">
        <v>26</v>
      </c>
      <c r="R4" s="376">
        <f>IF(表1_8612182224267296[[#This Row],[目标国家]]="魏",0,IF(表1_8612182224267296[[#This Row],[目标国家]]="蜀",1,2))</f>
        <v>1</v>
      </c>
      <c r="S4" s="380">
        <v>2918</v>
      </c>
      <c r="T4" s="380">
        <v>0</v>
      </c>
      <c r="U4" s="380">
        <v>85226</v>
      </c>
      <c r="V4" s="380">
        <v>2128</v>
      </c>
      <c r="W4" s="374">
        <v>289370</v>
      </c>
      <c r="X4" s="387" t="str">
        <f>"{"&amp;"'coin':"&amp;表1_8612182224267296[[#This Row],[补偿Coin]]&amp;",'"&amp;配置!$A$2&amp;"':"&amp;表1_8612182224267296[[#This Row],[补偿辎重]]&amp;"},"</f>
        <v>{'coin':1000,'item036':10},</v>
      </c>
      <c r="Y4" s="388" t="str">
        <f>"      },"</f>
        <v>      },</v>
      </c>
    </row>
    <row r="5" s="354" customFormat="1" customHeight="1" spans="1:25">
      <c r="A5" s="375">
        <v>7021</v>
      </c>
      <c r="B5" s="371">
        <f>VLOOKUP(表1_8612182224267296[[#This Row],[区服]],$P$44:$Q$57,2,FALSE)</f>
        <v>48</v>
      </c>
      <c r="C5" s="372" t="s">
        <v>211</v>
      </c>
      <c r="D5" s="376" t="str">
        <f>表1_8612182224267296[[#This Row],[目标国家]]</f>
        <v>吴</v>
      </c>
      <c r="E5" s="380">
        <f>(VLOOKUP(表1_8612182224267296[[#This Row],[目标区服]],$R$44:$S$49,2,FALSE)-表1_8612182224267296[[#This Row],[开服天数]])*配置!$B$1</f>
        <v>1500</v>
      </c>
      <c r="F5" s="380">
        <f>表1_8612182224267296[[#This Row],[补偿Coin]]*(表1_8612182224267296[[#This Row],[活跃高战玩家数]]+表1_8612182224267296[[#This Row],[活跃中坚玩家数]])</f>
        <v>28500</v>
      </c>
      <c r="G5" s="380">
        <f>(VLOOKUP(表1_8612182224267296[[#This Row],[目标区服]],$R$44:$S$49,2,FALSE)-表1_8612182224267296[[#This Row],[开服天数]])*配置!$B$2</f>
        <v>15</v>
      </c>
      <c r="H5" s="376" t="s">
        <v>25</v>
      </c>
      <c r="I5" s="376">
        <f>IF(表1_8612182224267296[[#This Row],[原国家]]="魏",0,IF(表1_8612182224267296[[#This Row],[原国家]]="蜀",1,2))</f>
        <v>0</v>
      </c>
      <c r="J5" s="380">
        <v>1</v>
      </c>
      <c r="K5" s="380">
        <v>45</v>
      </c>
      <c r="L5" s="380">
        <v>2</v>
      </c>
      <c r="M5" s="380">
        <v>17</v>
      </c>
      <c r="N5" s="380">
        <v>77846</v>
      </c>
      <c r="O5" s="380">
        <v>1486018</v>
      </c>
      <c r="P5" s="381">
        <v>11301990</v>
      </c>
      <c r="Q5" s="493" t="s">
        <v>27</v>
      </c>
      <c r="R5" s="376">
        <f>IF(表1_8612182224267296[[#This Row],[目标国家]]="魏",0,IF(表1_8612182224267296[[#This Row],[目标国家]]="蜀",1,2))</f>
        <v>2</v>
      </c>
      <c r="S5" s="380">
        <v>6566</v>
      </c>
      <c r="T5" s="380">
        <v>0</v>
      </c>
      <c r="U5" s="380">
        <v>118314</v>
      </c>
      <c r="V5" s="380">
        <v>3811</v>
      </c>
      <c r="W5" s="374">
        <v>381928</v>
      </c>
      <c r="X5" s="387" t="str">
        <f>"{"&amp;"'coin':"&amp;表1_8612182224267296[[#This Row],[补偿Coin]]&amp;",'"&amp;配置!$A$2&amp;"':"&amp;表1_8612182224267296[[#This Row],[补偿辎重]]&amp;"},"</f>
        <v>{'coin':1500,'item036':15},</v>
      </c>
      <c r="Y5" s="388" t="str">
        <f>"      '"&amp;表1_8612182224267296[[#This Row],[区服]]&amp;"':{"</f>
        <v>      '7021':{</v>
      </c>
    </row>
    <row r="6" s="354" customFormat="1" customHeight="1" spans="1:25">
      <c r="A6" s="375">
        <v>7021</v>
      </c>
      <c r="B6" s="371">
        <f>VLOOKUP(表1_8612182224267296[[#This Row],[区服]],$P$44:$Q$57,2,FALSE)</f>
        <v>48</v>
      </c>
      <c r="C6" s="372" t="s">
        <v>211</v>
      </c>
      <c r="D6" s="376" t="str">
        <f>表1_8612182224267296[[#This Row],[目标国家]]</f>
        <v>蜀</v>
      </c>
      <c r="E6" s="380">
        <f>(VLOOKUP(表1_8612182224267296[[#This Row],[目标区服]],$R$44:$S$49,2,FALSE)-表1_8612182224267296[[#This Row],[开服天数]])*配置!$B$1</f>
        <v>1500</v>
      </c>
      <c r="F6" s="380">
        <f>表1_8612182224267296[[#This Row],[补偿Coin]]*(表1_8612182224267296[[#This Row],[活跃高战玩家数]]+表1_8612182224267296[[#This Row],[活跃中坚玩家数]])</f>
        <v>10500</v>
      </c>
      <c r="G6" s="380">
        <f>(VLOOKUP(表1_8612182224267296[[#This Row],[目标区服]],$R$44:$S$49,2,FALSE)-表1_8612182224267296[[#This Row],[开服天数]])*配置!$B$2</f>
        <v>15</v>
      </c>
      <c r="H6" s="376" t="s">
        <v>26</v>
      </c>
      <c r="I6" s="376">
        <f>IF(表1_8612182224267296[[#This Row],[原国家]]="魏",0,IF(表1_8612182224267296[[#This Row],[原国家]]="蜀",1,2))</f>
        <v>1</v>
      </c>
      <c r="J6" s="380">
        <v>0</v>
      </c>
      <c r="K6" s="380">
        <v>25</v>
      </c>
      <c r="L6" s="380">
        <v>0</v>
      </c>
      <c r="M6" s="380">
        <v>7</v>
      </c>
      <c r="N6" s="380">
        <v>17131</v>
      </c>
      <c r="O6" s="380">
        <v>617867</v>
      </c>
      <c r="P6" s="381">
        <v>2891119</v>
      </c>
      <c r="Q6" s="493" t="s">
        <v>26</v>
      </c>
      <c r="R6" s="376">
        <f>IF(表1_8612182224267296[[#This Row],[目标国家]]="魏",0,IF(表1_8612182224267296[[#This Row],[目标国家]]="蜀",1,2))</f>
        <v>1</v>
      </c>
      <c r="S6" s="380">
        <v>648</v>
      </c>
      <c r="T6" s="380">
        <v>0</v>
      </c>
      <c r="U6" s="380">
        <v>35597</v>
      </c>
      <c r="V6" s="380">
        <v>1279</v>
      </c>
      <c r="W6" s="374">
        <v>165377</v>
      </c>
      <c r="X6" s="387" t="str">
        <f>"{"&amp;"'coin':"&amp;表1_8612182224267296[[#This Row],[补偿Coin]]&amp;",'"&amp;配置!$A$2&amp;"':"&amp;表1_8612182224267296[[#This Row],[补偿辎重]]&amp;"},"</f>
        <v>{'coin':1500,'item036':15},</v>
      </c>
      <c r="Y6" s="388" t="str">
        <f>"            'to_zone':'"&amp;表1_8612182224267296[[#This Row],[目标区服]]&amp;"',
            'reward':"&amp;表1_8612182224267296[[#This Row],[辅助导出]]&amp;"
            'country':["&amp;R5&amp;","&amp;R6&amp;","&amp;R7&amp;"],"</f>
        <v>            'to_zone':'h1_710',
            'reward':{'coin':1500,'item036':15},
            'country':[2,1,2],</v>
      </c>
    </row>
    <row r="7" s="354" customFormat="1" customHeight="1" spans="1:25">
      <c r="A7" s="375">
        <v>7021</v>
      </c>
      <c r="B7" s="371">
        <f>VLOOKUP(表1_8612182224267296[[#This Row],[区服]],$P$44:$Q$57,2,FALSE)</f>
        <v>48</v>
      </c>
      <c r="C7" s="372" t="s">
        <v>211</v>
      </c>
      <c r="D7" s="376" t="str">
        <f>表1_8612182224267296[[#This Row],[目标国家]]</f>
        <v>吴</v>
      </c>
      <c r="E7" s="380">
        <f>(VLOOKUP(表1_8612182224267296[[#This Row],[目标区服]],$R$44:$S$49,2,FALSE)-表1_8612182224267296[[#This Row],[开服天数]])*配置!$B$1</f>
        <v>1500</v>
      </c>
      <c r="F7" s="380">
        <f>表1_8612182224267296[[#This Row],[补偿Coin]]*(表1_8612182224267296[[#This Row],[活跃高战玩家数]]+表1_8612182224267296[[#This Row],[活跃中坚玩家数]])</f>
        <v>48000</v>
      </c>
      <c r="G7" s="380">
        <f>(VLOOKUP(表1_8612182224267296[[#This Row],[目标区服]],$R$44:$S$49,2,FALSE)-表1_8612182224267296[[#This Row],[开服天数]])*配置!$B$2</f>
        <v>15</v>
      </c>
      <c r="H7" s="376" t="s">
        <v>27</v>
      </c>
      <c r="I7" s="376">
        <f>IF(表1_8612182224267296[[#This Row],[原国家]]="魏",0,IF(表1_8612182224267296[[#This Row],[原国家]]="蜀",1,2))</f>
        <v>2</v>
      </c>
      <c r="J7" s="380">
        <v>8</v>
      </c>
      <c r="K7" s="380">
        <v>325</v>
      </c>
      <c r="L7" s="380">
        <v>8</v>
      </c>
      <c r="M7" s="380">
        <v>24</v>
      </c>
      <c r="N7" s="380">
        <v>179958</v>
      </c>
      <c r="O7" s="380">
        <v>2561910</v>
      </c>
      <c r="P7" s="381">
        <v>27038752</v>
      </c>
      <c r="Q7" s="493" t="s">
        <v>27</v>
      </c>
      <c r="R7" s="376">
        <f>IF(表1_8612182224267296[[#This Row],[目标国家]]="魏",0,IF(表1_8612182224267296[[#This Row],[目标国家]]="蜀",1,2))</f>
        <v>2</v>
      </c>
      <c r="S7" s="380">
        <v>70482</v>
      </c>
      <c r="T7" s="380">
        <v>0</v>
      </c>
      <c r="U7" s="380">
        <v>354713</v>
      </c>
      <c r="V7" s="380">
        <v>12507</v>
      </c>
      <c r="W7" s="374">
        <v>790832</v>
      </c>
      <c r="X7" s="387" t="str">
        <f>"{"&amp;"'coin':"&amp;表1_8612182224267296[[#This Row],[补偿Coin]]&amp;",'"&amp;配置!$A$2&amp;"':"&amp;表1_8612182224267296[[#This Row],[补偿辎重]]&amp;"},"</f>
        <v>{'coin':1500,'item036':15},</v>
      </c>
      <c r="Y7" s="388" t="str">
        <f t="shared" ref="Y7" si="0">"      },"</f>
        <v>      },</v>
      </c>
    </row>
    <row r="8" s="354" customFormat="1" customHeight="1" spans="1:25">
      <c r="A8" s="375">
        <v>7022</v>
      </c>
      <c r="B8" s="371">
        <f>VLOOKUP(表1_8612182224267296[[#This Row],[区服]],$P$44:$Q$57,2,FALSE)</f>
        <v>47</v>
      </c>
      <c r="C8" s="372" t="s">
        <v>211</v>
      </c>
      <c r="D8" s="376" t="str">
        <f>表1_8612182224267296[[#This Row],[目标国家]]</f>
        <v>魏</v>
      </c>
      <c r="E8" s="380">
        <f>(VLOOKUP(表1_8612182224267296[[#This Row],[目标区服]],$R$44:$S$49,2,FALSE)-表1_8612182224267296[[#This Row],[开服天数]])*配置!$B$1</f>
        <v>2000</v>
      </c>
      <c r="F8" s="380">
        <f>表1_8612182224267296[[#This Row],[补偿Coin]]*(表1_8612182224267296[[#This Row],[活跃高战玩家数]]+表1_8612182224267296[[#This Row],[活跃中坚玩家数]])</f>
        <v>30000</v>
      </c>
      <c r="G8" s="490">
        <f>(VLOOKUP(表1_8612182224267296[[#This Row],[目标区服]],$R$44:$S$49,2,FALSE)-表1_8612182224267296[[#This Row],[开服天数]])*配置!$B$2</f>
        <v>20</v>
      </c>
      <c r="H8" s="376" t="s">
        <v>25</v>
      </c>
      <c r="I8" s="491">
        <f>IF(表1_8612182224267296[[#This Row],[原国家]]="魏",0,IF(表1_8612182224267296[[#This Row],[原国家]]="蜀",1,2))</f>
        <v>0</v>
      </c>
      <c r="J8" s="380">
        <v>0</v>
      </c>
      <c r="K8" s="380">
        <v>47</v>
      </c>
      <c r="L8" s="380">
        <v>0</v>
      </c>
      <c r="M8" s="380">
        <v>15</v>
      </c>
      <c r="N8" s="380">
        <v>45436</v>
      </c>
      <c r="O8" s="492">
        <v>1315844</v>
      </c>
      <c r="P8" s="381">
        <v>8824788</v>
      </c>
      <c r="Q8" s="493" t="s">
        <v>25</v>
      </c>
      <c r="R8" s="376">
        <f>IF(表1_8612182224267296[[#This Row],[目标国家]]="魏",0,IF(表1_8612182224267296[[#This Row],[目标国家]]="蜀",1,2))</f>
        <v>0</v>
      </c>
      <c r="S8" s="380">
        <v>7084</v>
      </c>
      <c r="T8" s="380">
        <v>0</v>
      </c>
      <c r="U8" s="380">
        <v>88430</v>
      </c>
      <c r="V8" s="380">
        <v>3152</v>
      </c>
      <c r="W8" s="380">
        <v>425558</v>
      </c>
      <c r="X8" s="494" t="str">
        <f>"{"&amp;"'coin':"&amp;表1_8612182224267296[[#This Row],[补偿Coin]]&amp;",'"&amp;配置!$A$2&amp;"':"&amp;表1_8612182224267296[[#This Row],[补偿辎重]]&amp;"},"</f>
        <v>{'coin':2000,'item036':20},</v>
      </c>
      <c r="Y8" s="494" t="str">
        <f>"      '"&amp;表1_8612182224267296[[#This Row],[区服]]&amp;"':{"</f>
        <v>      '7022':{</v>
      </c>
    </row>
    <row r="9" s="354" customFormat="1" customHeight="1" spans="1:25">
      <c r="A9" s="375">
        <v>7022</v>
      </c>
      <c r="B9" s="371">
        <f>VLOOKUP(表1_8612182224267296[[#This Row],[区服]],$P$44:$Q$57,2,FALSE)</f>
        <v>47</v>
      </c>
      <c r="C9" s="372" t="s">
        <v>211</v>
      </c>
      <c r="D9" s="376" t="str">
        <f>表1_8612182224267296[[#This Row],[目标国家]]</f>
        <v>魏</v>
      </c>
      <c r="E9" s="380">
        <f>(VLOOKUP(表1_8612182224267296[[#This Row],[目标区服]],$R$44:$S$49,2,FALSE)-表1_8612182224267296[[#This Row],[开服天数]])*配置!$B$1</f>
        <v>2000</v>
      </c>
      <c r="F9" s="380">
        <f>表1_8612182224267296[[#This Row],[补偿Coin]]*(表1_8612182224267296[[#This Row],[活跃高战玩家数]]+表1_8612182224267296[[#This Row],[活跃中坚玩家数]])</f>
        <v>52000</v>
      </c>
      <c r="G9" s="490">
        <f>(VLOOKUP(表1_8612182224267296[[#This Row],[目标区服]],$R$44:$S$49,2,FALSE)-表1_8612182224267296[[#This Row],[开服天数]])*配置!$B$2</f>
        <v>20</v>
      </c>
      <c r="H9" s="376" t="s">
        <v>26</v>
      </c>
      <c r="I9" s="491">
        <f>IF(表1_8612182224267296[[#This Row],[原国家]]="魏",0,IF(表1_8612182224267296[[#This Row],[原国家]]="蜀",1,2))</f>
        <v>1</v>
      </c>
      <c r="J9" s="380">
        <v>6</v>
      </c>
      <c r="K9" s="380">
        <v>216</v>
      </c>
      <c r="L9" s="380">
        <v>7</v>
      </c>
      <c r="M9" s="380">
        <v>19</v>
      </c>
      <c r="N9" s="380">
        <v>134185</v>
      </c>
      <c r="O9" s="492">
        <v>3090813</v>
      </c>
      <c r="P9" s="381">
        <v>26043653</v>
      </c>
      <c r="Q9" s="493" t="s">
        <v>25</v>
      </c>
      <c r="R9" s="376">
        <f>IF(表1_8612182224267296[[#This Row],[目标国家]]="魏",0,IF(表1_8612182224267296[[#This Row],[目标国家]]="蜀",1,2))</f>
        <v>0</v>
      </c>
      <c r="S9" s="380">
        <v>134272</v>
      </c>
      <c r="T9" s="380">
        <v>0</v>
      </c>
      <c r="U9" s="380">
        <v>366595</v>
      </c>
      <c r="V9" s="380">
        <v>13337</v>
      </c>
      <c r="W9" s="380">
        <v>903456</v>
      </c>
      <c r="X9" s="494" t="str">
        <f>"{"&amp;"'coin':"&amp;表1_8612182224267296[[#This Row],[补偿Coin]]&amp;",'"&amp;配置!$A$2&amp;"':"&amp;表1_8612182224267296[[#This Row],[补偿辎重]]&amp;"},"</f>
        <v>{'coin':2000,'item036':20},</v>
      </c>
      <c r="Y9" s="494" t="str">
        <f>"            'to_zone':'"&amp;表1_8612182224267296[[#This Row],[目标区服]]&amp;"',
            'reward':"&amp;表1_8612182224267296[[#This Row],[辅助导出]]&amp;"
            'country':["&amp;R8&amp;","&amp;R9&amp;","&amp;R10&amp;"],"</f>
        <v>            'to_zone':'h1_710',
            'reward':{'coin':2000,'item036':20},
            'country':[0,0,2],</v>
      </c>
    </row>
    <row r="10" s="354" customFormat="1" customHeight="1" spans="1:25">
      <c r="A10" s="375">
        <v>7022</v>
      </c>
      <c r="B10" s="371">
        <f>VLOOKUP(表1_8612182224267296[[#This Row],[区服]],$P$44:$Q$57,2,FALSE)</f>
        <v>47</v>
      </c>
      <c r="C10" s="372" t="s">
        <v>211</v>
      </c>
      <c r="D10" s="376" t="str">
        <f>表1_8612182224267296[[#This Row],[目标国家]]</f>
        <v>吴</v>
      </c>
      <c r="E10" s="380">
        <f>(VLOOKUP(表1_8612182224267296[[#This Row],[目标区服]],$R$44:$S$49,2,FALSE)-表1_8612182224267296[[#This Row],[开服天数]])*配置!$B$1</f>
        <v>2000</v>
      </c>
      <c r="F10" s="380">
        <f>表1_8612182224267296[[#This Row],[补偿Coin]]*(表1_8612182224267296[[#This Row],[活跃高战玩家数]]+表1_8612182224267296[[#This Row],[活跃中坚玩家数]])</f>
        <v>48000</v>
      </c>
      <c r="G10" s="490">
        <f>(VLOOKUP(表1_8612182224267296[[#This Row],[目标区服]],$R$44:$S$49,2,FALSE)-表1_8612182224267296[[#This Row],[开服天数]])*配置!$B$2</f>
        <v>20</v>
      </c>
      <c r="H10" s="376" t="s">
        <v>27</v>
      </c>
      <c r="I10" s="491">
        <f>IF(表1_8612182224267296[[#This Row],[原国家]]="魏",0,IF(表1_8612182224267296[[#This Row],[原国家]]="蜀",1,2))</f>
        <v>2</v>
      </c>
      <c r="J10" s="380">
        <v>3</v>
      </c>
      <c r="K10" s="380">
        <v>132</v>
      </c>
      <c r="L10" s="380">
        <v>3</v>
      </c>
      <c r="M10" s="380">
        <v>21</v>
      </c>
      <c r="N10" s="380">
        <v>115200</v>
      </c>
      <c r="O10" s="492">
        <v>2440694</v>
      </c>
      <c r="P10" s="381">
        <v>20039986</v>
      </c>
      <c r="Q10" s="493" t="s">
        <v>27</v>
      </c>
      <c r="R10" s="376">
        <f>IF(表1_8612182224267296[[#This Row],[目标国家]]="魏",0,IF(表1_8612182224267296[[#This Row],[目标国家]]="蜀",1,2))</f>
        <v>2</v>
      </c>
      <c r="S10" s="380">
        <v>37040</v>
      </c>
      <c r="T10" s="380">
        <v>0</v>
      </c>
      <c r="U10" s="380">
        <v>105515</v>
      </c>
      <c r="V10" s="380">
        <v>7804</v>
      </c>
      <c r="W10" s="380">
        <v>651441</v>
      </c>
      <c r="X10" s="494" t="str">
        <f>"{"&amp;"'coin':"&amp;表1_8612182224267296[[#This Row],[补偿Coin]]&amp;",'"&amp;配置!$A$2&amp;"':"&amp;表1_8612182224267296[[#This Row],[补偿辎重]]&amp;"},"</f>
        <v>{'coin':2000,'item036':20},</v>
      </c>
      <c r="Y10" s="494" t="str">
        <f>"      },"</f>
        <v>      },</v>
      </c>
    </row>
    <row r="11" s="354" customFormat="1" customHeight="1" spans="1:25">
      <c r="A11" s="259">
        <v>7023</v>
      </c>
      <c r="B11" s="210">
        <f>VLOOKUP(表1_8612182224267296[[#This Row],[区服]],$P$44:$Q$57,2,FALSE)</f>
        <v>46</v>
      </c>
      <c r="C11" s="296" t="s">
        <v>212</v>
      </c>
      <c r="D11" s="212" t="str">
        <f>表1_8612182224267296[[#This Row],[目标国家]]</f>
        <v>魏</v>
      </c>
      <c r="E11" s="213">
        <f>(VLOOKUP(表1_8612182224267296[[#This Row],[目标区服]],$R$44:$S$49,2,FALSE)-表1_8612182224267296[[#This Row],[开服天数]])*配置!$B$1</f>
        <v>1000</v>
      </c>
      <c r="F11" s="213">
        <f>表1_8612182224267296[[#This Row],[补偿Coin]]*(表1_8612182224267296[[#This Row],[活跃高战玩家数]]+表1_8612182224267296[[#This Row],[活跃中坚玩家数]])</f>
        <v>29000</v>
      </c>
      <c r="G11" s="260">
        <f>(VLOOKUP(表1_8612182224267296[[#This Row],[目标区服]],$R$44:$S$49,2,FALSE)-表1_8612182224267296[[#This Row],[开服天数]])*配置!$B$2</f>
        <v>10</v>
      </c>
      <c r="H11" s="212" t="s">
        <v>25</v>
      </c>
      <c r="I11" s="268">
        <f>IF(表1_8612182224267296[[#This Row],[原国家]]="魏",0,IF(表1_8612182224267296[[#This Row],[原国家]]="蜀",1,2))</f>
        <v>0</v>
      </c>
      <c r="J11" s="213">
        <v>6</v>
      </c>
      <c r="K11" s="213">
        <v>253</v>
      </c>
      <c r="L11" s="213">
        <v>7</v>
      </c>
      <c r="M11" s="213">
        <v>22</v>
      </c>
      <c r="N11" s="213">
        <v>158217</v>
      </c>
      <c r="O11" s="419">
        <v>3063156</v>
      </c>
      <c r="P11" s="420">
        <v>26785257</v>
      </c>
      <c r="Q11" s="243" t="s">
        <v>25</v>
      </c>
      <c r="R11" s="212">
        <f>IF(表1_8612182224267296[[#This Row],[目标国家]]="魏",0,IF(表1_8612182224267296[[#This Row],[目标国家]]="蜀",1,2))</f>
        <v>0</v>
      </c>
      <c r="S11" s="213">
        <v>116640</v>
      </c>
      <c r="T11" s="213">
        <v>0</v>
      </c>
      <c r="U11" s="213">
        <v>366549</v>
      </c>
      <c r="V11" s="213">
        <v>13345</v>
      </c>
      <c r="W11" s="213">
        <v>866458</v>
      </c>
      <c r="X11" s="278" t="str">
        <f>"{"&amp;"'coin':"&amp;表1_8612182224267296[[#This Row],[补偿Coin]]&amp;",'"&amp;配置!$A$2&amp;"':"&amp;表1_8612182224267296[[#This Row],[补偿辎重]]&amp;"},"</f>
        <v>{'coin':1000,'item036':10},</v>
      </c>
      <c r="Y11" s="278" t="str">
        <f>"      '"&amp;表1_8612182224267296[[#This Row],[区服]]&amp;"':{"</f>
        <v>      '7023':{</v>
      </c>
    </row>
    <row r="12" s="354" customFormat="1" customHeight="1" spans="1:25">
      <c r="A12" s="259">
        <v>7023</v>
      </c>
      <c r="B12" s="210">
        <f>VLOOKUP(表1_8612182224267296[[#This Row],[区服]],$P$44:$Q$57,2,FALSE)</f>
        <v>46</v>
      </c>
      <c r="C12" s="296" t="s">
        <v>212</v>
      </c>
      <c r="D12" s="212" t="str">
        <f>表1_8612182224267296[[#This Row],[目标国家]]</f>
        <v>吴</v>
      </c>
      <c r="E12" s="213">
        <f>(VLOOKUP(表1_8612182224267296[[#This Row],[目标区服]],$R$44:$S$49,2,FALSE)-表1_8612182224267296[[#This Row],[开服天数]])*配置!$B$1</f>
        <v>1000</v>
      </c>
      <c r="F12" s="213">
        <f>表1_8612182224267296[[#This Row],[补偿Coin]]*(表1_8612182224267296[[#This Row],[活跃高战玩家数]]+表1_8612182224267296[[#This Row],[活跃中坚玩家数]])</f>
        <v>19000</v>
      </c>
      <c r="G12" s="260">
        <f>(VLOOKUP(表1_8612182224267296[[#This Row],[目标区服]],$R$44:$S$49,2,FALSE)-表1_8612182224267296[[#This Row],[开服天数]])*配置!$B$2</f>
        <v>10</v>
      </c>
      <c r="H12" s="212" t="s">
        <v>26</v>
      </c>
      <c r="I12" s="268">
        <f>IF(表1_8612182224267296[[#This Row],[原国家]]="魏",0,IF(表1_8612182224267296[[#This Row],[原国家]]="蜀",1,2))</f>
        <v>1</v>
      </c>
      <c r="J12" s="213">
        <v>1</v>
      </c>
      <c r="K12" s="213">
        <v>65</v>
      </c>
      <c r="L12" s="213">
        <v>2</v>
      </c>
      <c r="M12" s="213">
        <v>17</v>
      </c>
      <c r="N12" s="213">
        <v>69221</v>
      </c>
      <c r="O12" s="419">
        <v>1993771</v>
      </c>
      <c r="P12" s="420">
        <v>11870419</v>
      </c>
      <c r="Q12" s="243" t="s">
        <v>27</v>
      </c>
      <c r="R12" s="212">
        <f>IF(表1_8612182224267296[[#This Row],[目标国家]]="魏",0,IF(表1_8612182224267296[[#This Row],[目标国家]]="蜀",1,2))</f>
        <v>2</v>
      </c>
      <c r="S12" s="213">
        <v>11536</v>
      </c>
      <c r="T12" s="213">
        <v>0</v>
      </c>
      <c r="U12" s="213">
        <v>82348</v>
      </c>
      <c r="V12" s="213">
        <v>4664</v>
      </c>
      <c r="W12" s="213">
        <v>658802</v>
      </c>
      <c r="X12" s="278" t="str">
        <f>"{"&amp;"'coin':"&amp;表1_8612182224267296[[#This Row],[补偿Coin]]&amp;",'"&amp;配置!$A$2&amp;"':"&amp;表1_8612182224267296[[#This Row],[补偿辎重]]&amp;"},"</f>
        <v>{'coin':1000,'item036':10},</v>
      </c>
      <c r="Y12" s="278" t="str">
        <f>"            'to_zone':'"&amp;表1_8612182224267296[[#This Row],[目标区服]]&amp;"',
            'reward':"&amp;表1_8612182224267296[[#This Row],[辅助导出]]&amp;"
            'country':["&amp;R11&amp;","&amp;R12&amp;","&amp;R13&amp;"],"</f>
        <v>            'to_zone':'h1_711',
            'reward':{'coin':1000,'item036':10},
            'country':[0,2,2],</v>
      </c>
    </row>
    <row r="13" s="354" customFormat="1" customHeight="1" spans="1:25">
      <c r="A13" s="259">
        <v>7023</v>
      </c>
      <c r="B13" s="210">
        <f>VLOOKUP(表1_8612182224267296[[#This Row],[区服]],$P$44:$Q$57,2,FALSE)</f>
        <v>46</v>
      </c>
      <c r="C13" s="296" t="s">
        <v>212</v>
      </c>
      <c r="D13" s="212" t="str">
        <f>表1_8612182224267296[[#This Row],[目标国家]]</f>
        <v>吴</v>
      </c>
      <c r="E13" s="213">
        <f>(VLOOKUP(表1_8612182224267296[[#This Row],[目标区服]],$R$44:$S$49,2,FALSE)-表1_8612182224267296[[#This Row],[开服天数]])*配置!$B$1</f>
        <v>1000</v>
      </c>
      <c r="F13" s="213">
        <f>表1_8612182224267296[[#This Row],[补偿Coin]]*(表1_8612182224267296[[#This Row],[活跃高战玩家数]]+表1_8612182224267296[[#This Row],[活跃中坚玩家数]])</f>
        <v>11000</v>
      </c>
      <c r="G13" s="260">
        <f>(VLOOKUP(表1_8612182224267296[[#This Row],[目标区服]],$R$44:$S$49,2,FALSE)-表1_8612182224267296[[#This Row],[开服天数]])*配置!$B$2</f>
        <v>10</v>
      </c>
      <c r="H13" s="212" t="s">
        <v>27</v>
      </c>
      <c r="I13" s="268">
        <f>IF(表1_8612182224267296[[#This Row],[原国家]]="魏",0,IF(表1_8612182224267296[[#This Row],[原国家]]="蜀",1,2))</f>
        <v>2</v>
      </c>
      <c r="J13" s="213">
        <v>2</v>
      </c>
      <c r="K13" s="213">
        <v>77</v>
      </c>
      <c r="L13" s="213">
        <v>1</v>
      </c>
      <c r="M13" s="213">
        <v>10</v>
      </c>
      <c r="N13" s="213">
        <v>36317</v>
      </c>
      <c r="O13" s="419">
        <v>1193682</v>
      </c>
      <c r="P13" s="420">
        <v>6126010</v>
      </c>
      <c r="Q13" s="243" t="s">
        <v>27</v>
      </c>
      <c r="R13" s="212">
        <f>IF(表1_8612182224267296[[#This Row],[目标国家]]="魏",0,IF(表1_8612182224267296[[#This Row],[目标国家]]="蜀",1,2))</f>
        <v>2</v>
      </c>
      <c r="S13" s="213">
        <v>6770</v>
      </c>
      <c r="T13" s="213">
        <v>0</v>
      </c>
      <c r="U13" s="213">
        <v>74254</v>
      </c>
      <c r="V13" s="213">
        <v>3198</v>
      </c>
      <c r="W13" s="213">
        <v>382219</v>
      </c>
      <c r="X13" s="278" t="str">
        <f>"{"&amp;"'coin':"&amp;表1_8612182224267296[[#This Row],[补偿Coin]]&amp;",'"&amp;配置!$A$2&amp;"':"&amp;表1_8612182224267296[[#This Row],[补偿辎重]]&amp;"},"</f>
        <v>{'coin':1000,'item036':10},</v>
      </c>
      <c r="Y13" s="278" t="str">
        <f t="shared" ref="Y13" si="1">"      },"</f>
        <v>      },</v>
      </c>
    </row>
    <row r="14" customHeight="1" spans="1:25">
      <c r="A14" s="210">
        <v>7024</v>
      </c>
      <c r="B14" s="210">
        <f>VLOOKUP(表1_8612182224267296[[#This Row],[区服]],$P$44:$Q$57,2,FALSE)</f>
        <v>45</v>
      </c>
      <c r="C14" s="296" t="s">
        <v>212</v>
      </c>
      <c r="D14" s="212" t="str">
        <f>表1_8612182224267296[[#This Row],[目标国家]]</f>
        <v>蜀</v>
      </c>
      <c r="E14" s="213">
        <f>(VLOOKUP(表1_8612182224267296[[#This Row],[目标区服]],$R$44:$S$49,2,FALSE)-表1_8612182224267296[[#This Row],[开服天数]])*配置!$B$1</f>
        <v>1500</v>
      </c>
      <c r="F14" s="213">
        <f>表1_8612182224267296[[#This Row],[补偿Coin]]*(表1_8612182224267296[[#This Row],[活跃高战玩家数]]+表1_8612182224267296[[#This Row],[活跃中坚玩家数]])</f>
        <v>30000</v>
      </c>
      <c r="G14" s="213">
        <f>(VLOOKUP(表1_8612182224267296[[#This Row],[目标区服]],$R$44:$S$49,2,FALSE)-表1_8612182224267296[[#This Row],[开服天数]])*配置!$B$2</f>
        <v>15</v>
      </c>
      <c r="H14" s="212" t="s">
        <v>25</v>
      </c>
      <c r="I14" s="212">
        <f>IF(表1_8612182224267296[[#This Row],[原国家]]="魏",0,IF(表1_8612182224267296[[#This Row],[原国家]]="蜀",1,2))</f>
        <v>0</v>
      </c>
      <c r="J14" s="213">
        <v>3</v>
      </c>
      <c r="K14" s="213">
        <v>98</v>
      </c>
      <c r="L14" s="213">
        <v>4</v>
      </c>
      <c r="M14" s="213">
        <v>16</v>
      </c>
      <c r="N14" s="213">
        <v>95235</v>
      </c>
      <c r="O14" s="213">
        <v>1538570</v>
      </c>
      <c r="P14" s="420">
        <v>13475465</v>
      </c>
      <c r="Q14" s="243" t="s">
        <v>26</v>
      </c>
      <c r="R14" s="212">
        <f>IF(表1_8612182224267296[[#This Row],[目标国家]]="魏",0,IF(表1_8612182224267296[[#This Row],[目标国家]]="蜀",1,2))</f>
        <v>1</v>
      </c>
      <c r="S14" s="213">
        <v>18696</v>
      </c>
      <c r="T14" s="213">
        <v>0</v>
      </c>
      <c r="U14" s="213">
        <v>380285</v>
      </c>
      <c r="V14" s="213">
        <v>5393</v>
      </c>
      <c r="W14" s="68">
        <v>427394</v>
      </c>
      <c r="X14" s="245" t="str">
        <f>"{"&amp;"'coin':"&amp;表1_8612182224267296[[#This Row],[补偿Coin]]&amp;",'"&amp;配置!$A$2&amp;"':"&amp;表1_8612182224267296[[#This Row],[补偿辎重]]&amp;"},"</f>
        <v>{'coin':1500,'item036':15},</v>
      </c>
      <c r="Y14" s="254" t="str">
        <f>"      '"&amp;表1_8612182224267296[[#This Row],[区服]]&amp;"':{"</f>
        <v>      '7024':{</v>
      </c>
    </row>
    <row r="15" customHeight="1" spans="1:25">
      <c r="A15" s="210">
        <v>7024</v>
      </c>
      <c r="B15" s="210">
        <f>VLOOKUP(表1_8612182224267296[[#This Row],[区服]],$P$44:$Q$57,2,FALSE)</f>
        <v>45</v>
      </c>
      <c r="C15" s="296" t="s">
        <v>212</v>
      </c>
      <c r="D15" s="212" t="str">
        <f>表1_8612182224267296[[#This Row],[目标国家]]</f>
        <v>蜀</v>
      </c>
      <c r="E15" s="213">
        <f>(VLOOKUP(表1_8612182224267296[[#This Row],[目标区服]],$R$44:$S$49,2,FALSE)-表1_8612182224267296[[#This Row],[开服天数]])*配置!$B$1</f>
        <v>1500</v>
      </c>
      <c r="F15" s="213">
        <f>表1_8612182224267296[[#This Row],[补偿Coin]]*(表1_8612182224267296[[#This Row],[活跃高战玩家数]]+表1_8612182224267296[[#This Row],[活跃中坚玩家数]])</f>
        <v>45000</v>
      </c>
      <c r="G15" s="213">
        <f>(VLOOKUP(表1_8612182224267296[[#This Row],[目标区服]],$R$44:$S$49,2,FALSE)-表1_8612182224267296[[#This Row],[开服天数]])*配置!$B$2</f>
        <v>15</v>
      </c>
      <c r="H15" s="212" t="s">
        <v>26</v>
      </c>
      <c r="I15" s="212">
        <f>IF(表1_8612182224267296[[#This Row],[原国家]]="魏",0,IF(表1_8612182224267296[[#This Row],[原国家]]="蜀",1,2))</f>
        <v>1</v>
      </c>
      <c r="J15" s="213">
        <v>4</v>
      </c>
      <c r="K15" s="213">
        <v>216</v>
      </c>
      <c r="L15" s="213">
        <v>4</v>
      </c>
      <c r="M15" s="213">
        <v>26</v>
      </c>
      <c r="N15" s="213">
        <v>126659</v>
      </c>
      <c r="O15" s="213">
        <v>1935577</v>
      </c>
      <c r="P15" s="420">
        <v>19593725</v>
      </c>
      <c r="Q15" s="243" t="s">
        <v>26</v>
      </c>
      <c r="R15" s="212">
        <f>IF(表1_8612182224267296[[#This Row],[目标国家]]="魏",0,IF(表1_8612182224267296[[#This Row],[目标国家]]="蜀",1,2))</f>
        <v>1</v>
      </c>
      <c r="S15" s="213">
        <v>46182</v>
      </c>
      <c r="T15" s="213">
        <v>0</v>
      </c>
      <c r="U15" s="213">
        <v>326683</v>
      </c>
      <c r="V15" s="213">
        <v>8637</v>
      </c>
      <c r="W15" s="68">
        <v>547310</v>
      </c>
      <c r="X15" s="245" t="str">
        <f>"{"&amp;"'coin':"&amp;表1_8612182224267296[[#This Row],[补偿Coin]]&amp;",'"&amp;配置!$A$2&amp;"':"&amp;表1_8612182224267296[[#This Row],[补偿辎重]]&amp;"},"</f>
        <v>{'coin':1500,'item036':15},</v>
      </c>
      <c r="Y15" s="254" t="str">
        <f>"            'to_zone':'"&amp;表1_8612182224267296[[#This Row],[目标区服]]&amp;"',
            'reward':"&amp;表1_8612182224267296[[#This Row],[辅助导出]]&amp;"
            'country':["&amp;R14&amp;","&amp;R15&amp;","&amp;R16&amp;"],"</f>
        <v>            'to_zone':'h1_711',
            'reward':{'coin':1500,'item036':15},
            'country':[1,1,2],</v>
      </c>
    </row>
    <row r="16" customHeight="1" spans="1:25">
      <c r="A16" s="210">
        <v>7024</v>
      </c>
      <c r="B16" s="210">
        <f>VLOOKUP(表1_8612182224267296[[#This Row],[区服]],$P$44:$Q$57,2,FALSE)</f>
        <v>45</v>
      </c>
      <c r="C16" s="296" t="s">
        <v>212</v>
      </c>
      <c r="D16" s="212" t="str">
        <f>表1_8612182224267296[[#This Row],[目标国家]]</f>
        <v>吴</v>
      </c>
      <c r="E16" s="213">
        <f>(VLOOKUP(表1_8612182224267296[[#This Row],[目标区服]],$R$44:$S$49,2,FALSE)-表1_8612182224267296[[#This Row],[开服天数]])*配置!$B$1</f>
        <v>1500</v>
      </c>
      <c r="F16" s="213">
        <f>表1_8612182224267296[[#This Row],[补偿Coin]]*(表1_8612182224267296[[#This Row],[活跃高战玩家数]]+表1_8612182224267296[[#This Row],[活跃中坚玩家数]])</f>
        <v>30000</v>
      </c>
      <c r="G16" s="213">
        <f>(VLOOKUP(表1_8612182224267296[[#This Row],[目标区服]],$R$44:$S$49,2,FALSE)-表1_8612182224267296[[#This Row],[开服天数]])*配置!$B$2</f>
        <v>15</v>
      </c>
      <c r="H16" s="212" t="s">
        <v>27</v>
      </c>
      <c r="I16" s="212">
        <f>IF(表1_8612182224267296[[#This Row],[原国家]]="魏",0,IF(表1_8612182224267296[[#This Row],[原国家]]="蜀",1,2))</f>
        <v>2</v>
      </c>
      <c r="J16" s="213">
        <v>2</v>
      </c>
      <c r="K16" s="213">
        <v>80</v>
      </c>
      <c r="L16" s="213">
        <v>2</v>
      </c>
      <c r="M16" s="213">
        <v>18</v>
      </c>
      <c r="N16" s="213">
        <v>69527</v>
      </c>
      <c r="O16" s="213">
        <v>1433061</v>
      </c>
      <c r="P16" s="420">
        <v>11190204</v>
      </c>
      <c r="Q16" s="243" t="s">
        <v>27</v>
      </c>
      <c r="R16" s="212">
        <f>IF(表1_8612182224267296[[#This Row],[目标国家]]="魏",0,IF(表1_8612182224267296[[#This Row],[目标国家]]="蜀",1,2))</f>
        <v>2</v>
      </c>
      <c r="S16" s="213">
        <v>12744</v>
      </c>
      <c r="T16" s="213">
        <v>0</v>
      </c>
      <c r="U16" s="213">
        <v>103037</v>
      </c>
      <c r="V16" s="213">
        <v>4333</v>
      </c>
      <c r="W16" s="68">
        <v>445670</v>
      </c>
      <c r="X16" s="245" t="str">
        <f>"{"&amp;"'coin':"&amp;表1_8612182224267296[[#This Row],[补偿Coin]]&amp;",'"&amp;配置!$A$2&amp;"':"&amp;表1_8612182224267296[[#This Row],[补偿辎重]]&amp;"},"</f>
        <v>{'coin':1500,'item036':15},</v>
      </c>
      <c r="Y16" s="254" t="str">
        <f t="shared" ref="Y16" si="2">"      },"</f>
        <v>      },</v>
      </c>
    </row>
    <row r="17" customHeight="1" spans="1:25">
      <c r="A17" s="17">
        <v>7025</v>
      </c>
      <c r="B17" s="17">
        <f>VLOOKUP(表1_8612182224267296[[#This Row],[区服]],$P$44:$Q$57,2,FALSE)</f>
        <v>45</v>
      </c>
      <c r="C17" s="18" t="s">
        <v>213</v>
      </c>
      <c r="D17" s="19" t="str">
        <f>表1_8612182224267296[[#This Row],[目标国家]]</f>
        <v>吴</v>
      </c>
      <c r="E17" s="20">
        <f>(VLOOKUP(表1_8612182224267296[[#This Row],[目标区服]],$R$44:$S$49,2,FALSE)-表1_8612182224267296[[#This Row],[开服天数]])*配置!$B$1</f>
        <v>1000</v>
      </c>
      <c r="F17" s="20">
        <f>表1_8612182224267296[[#This Row],[补偿Coin]]*(表1_8612182224267296[[#This Row],[活跃高战玩家数]]+表1_8612182224267296[[#This Row],[活跃中坚玩家数]])</f>
        <v>19000</v>
      </c>
      <c r="G17" s="20">
        <f>(VLOOKUP(表1_8612182224267296[[#This Row],[目标区服]],$R$44:$S$49,2,FALSE)-表1_8612182224267296[[#This Row],[开服天数]])*配置!$B$2</f>
        <v>10</v>
      </c>
      <c r="H17" s="19" t="s">
        <v>25</v>
      </c>
      <c r="I17" s="19">
        <f>IF(表1_8612182224267296[[#This Row],[原国家]]="魏",0,IF(表1_8612182224267296[[#This Row],[原国家]]="蜀",1,2))</f>
        <v>0</v>
      </c>
      <c r="J17" s="20">
        <v>3</v>
      </c>
      <c r="K17" s="20">
        <v>141</v>
      </c>
      <c r="L17" s="20">
        <v>2</v>
      </c>
      <c r="M17" s="20">
        <v>17</v>
      </c>
      <c r="N17" s="20">
        <v>84048</v>
      </c>
      <c r="O17" s="20">
        <v>2223492</v>
      </c>
      <c r="P17" s="26">
        <v>14141308</v>
      </c>
      <c r="Q17" s="31" t="s">
        <v>27</v>
      </c>
      <c r="R17" s="19">
        <f>IF(表1_8612182224267296[[#This Row],[目标国家]]="魏",0,IF(表1_8612182224267296[[#This Row],[目标国家]]="蜀",1,2))</f>
        <v>2</v>
      </c>
      <c r="S17" s="20">
        <v>58436</v>
      </c>
      <c r="T17" s="20">
        <v>0</v>
      </c>
      <c r="U17" s="20">
        <v>233180</v>
      </c>
      <c r="V17" s="20">
        <v>7637</v>
      </c>
      <c r="W17" s="32">
        <v>744983</v>
      </c>
      <c r="X17" s="33" t="str">
        <f>"{"&amp;"'coin':"&amp;表1_8612182224267296[[#This Row],[补偿Coin]]&amp;",'"&amp;配置!$A$2&amp;"':"&amp;表1_8612182224267296[[#This Row],[补偿辎重]]&amp;"},"</f>
        <v>{'coin':1000,'item036':10},</v>
      </c>
      <c r="Y17" s="34" t="str">
        <f>"      '"&amp;表1_8612182224267296[[#This Row],[区服]]&amp;"':{"</f>
        <v>      '7025':{</v>
      </c>
    </row>
    <row r="18" customHeight="1" spans="1:25">
      <c r="A18" s="17">
        <v>7025</v>
      </c>
      <c r="B18" s="17">
        <f>VLOOKUP(表1_8612182224267296[[#This Row],[区服]],$P$44:$Q$57,2,FALSE)</f>
        <v>45</v>
      </c>
      <c r="C18" s="18" t="s">
        <v>213</v>
      </c>
      <c r="D18" s="19" t="str">
        <f>表1_8612182224267296[[#This Row],[目标国家]]</f>
        <v>蜀</v>
      </c>
      <c r="E18" s="20">
        <f>(VLOOKUP(表1_8612182224267296[[#This Row],[目标区服]],$R$44:$S$49,2,FALSE)-表1_8612182224267296[[#This Row],[开服天数]])*配置!$B$1</f>
        <v>1000</v>
      </c>
      <c r="F18" s="20">
        <f>表1_8612182224267296[[#This Row],[补偿Coin]]*(表1_8612182224267296[[#This Row],[活跃高战玩家数]]+表1_8612182224267296[[#This Row],[活跃中坚玩家数]])</f>
        <v>36000</v>
      </c>
      <c r="G18" s="20">
        <f>(VLOOKUP(表1_8612182224267296[[#This Row],[目标区服]],$R$44:$S$49,2,FALSE)-表1_8612182224267296[[#This Row],[开服天数]])*配置!$B$2</f>
        <v>10</v>
      </c>
      <c r="H18" s="19" t="s">
        <v>26</v>
      </c>
      <c r="I18" s="19">
        <f>IF(表1_8612182224267296[[#This Row],[原国家]]="魏",0,IF(表1_8612182224267296[[#This Row],[原国家]]="蜀",1,2))</f>
        <v>1</v>
      </c>
      <c r="J18" s="20">
        <v>6</v>
      </c>
      <c r="K18" s="20">
        <v>211</v>
      </c>
      <c r="L18" s="20">
        <v>6</v>
      </c>
      <c r="M18" s="20">
        <v>30</v>
      </c>
      <c r="N18" s="20">
        <v>151258</v>
      </c>
      <c r="O18" s="20">
        <v>3216105</v>
      </c>
      <c r="P18" s="26">
        <v>27792181</v>
      </c>
      <c r="Q18" s="31" t="s">
        <v>26</v>
      </c>
      <c r="R18" s="19">
        <f>IF(表1_8612182224267296[[#This Row],[目标国家]]="魏",0,IF(表1_8612182224267296[[#This Row],[目标国家]]="蜀",1,2))</f>
        <v>1</v>
      </c>
      <c r="S18" s="20">
        <v>176746</v>
      </c>
      <c r="T18" s="20">
        <v>0</v>
      </c>
      <c r="U18" s="20">
        <v>535330</v>
      </c>
      <c r="V18" s="20">
        <v>15031</v>
      </c>
      <c r="W18" s="32">
        <v>807505</v>
      </c>
      <c r="X18" s="33" t="str">
        <f>"{"&amp;"'coin':"&amp;表1_8612182224267296[[#This Row],[补偿Coin]]&amp;",'"&amp;配置!$A$2&amp;"':"&amp;表1_8612182224267296[[#This Row],[补偿辎重]]&amp;"},"</f>
        <v>{'coin':1000,'item036':10},</v>
      </c>
      <c r="Y18" s="34" t="str">
        <f>"            'to_zone':'"&amp;表1_8612182224267296[[#This Row],[目标区服]]&amp;"',
            'reward':"&amp;表1_8612182224267296[[#This Row],[辅助导出]]&amp;"
            'country':["&amp;R17&amp;","&amp;R18&amp;","&amp;R19&amp;"],"</f>
        <v>            'to_zone':'h1_712',
            'reward':{'coin':1000,'item036':10},
            'country':[2,1,2],</v>
      </c>
    </row>
    <row r="19" customHeight="1" spans="1:25">
      <c r="A19" s="17">
        <v>7025</v>
      </c>
      <c r="B19" s="17">
        <f>VLOOKUP(表1_8612182224267296[[#This Row],[区服]],$P$44:$Q$57,2,FALSE)</f>
        <v>45</v>
      </c>
      <c r="C19" s="18" t="s">
        <v>213</v>
      </c>
      <c r="D19" s="19" t="str">
        <f>表1_8612182224267296[[#This Row],[目标国家]]</f>
        <v>吴</v>
      </c>
      <c r="E19" s="20">
        <f>(VLOOKUP(表1_8612182224267296[[#This Row],[目标区服]],$R$44:$S$49,2,FALSE)-表1_8612182224267296[[#This Row],[开服天数]])*配置!$B$1</f>
        <v>1000</v>
      </c>
      <c r="F19" s="20">
        <f>表1_8612182224267296[[#This Row],[补偿Coin]]*(表1_8612182224267296[[#This Row],[活跃高战玩家数]]+表1_8612182224267296[[#This Row],[活跃中坚玩家数]])</f>
        <v>9000</v>
      </c>
      <c r="G19" s="20">
        <f>(VLOOKUP(表1_8612182224267296[[#This Row],[目标区服]],$R$44:$S$49,2,FALSE)-表1_8612182224267296[[#This Row],[开服天数]])*配置!$B$2</f>
        <v>10</v>
      </c>
      <c r="H19" s="19" t="s">
        <v>27</v>
      </c>
      <c r="I19" s="19">
        <f>IF(表1_8612182224267296[[#This Row],[原国家]]="魏",0,IF(表1_8612182224267296[[#This Row],[原国家]]="蜀",1,2))</f>
        <v>2</v>
      </c>
      <c r="J19" s="20">
        <v>0</v>
      </c>
      <c r="K19" s="20">
        <v>43</v>
      </c>
      <c r="L19" s="20">
        <v>2</v>
      </c>
      <c r="M19" s="20">
        <v>7</v>
      </c>
      <c r="N19" s="20">
        <v>34860</v>
      </c>
      <c r="O19" s="20">
        <v>1902112</v>
      </c>
      <c r="P19" s="26">
        <v>6853891</v>
      </c>
      <c r="Q19" s="31" t="s">
        <v>27</v>
      </c>
      <c r="R19" s="19">
        <f>IF(表1_8612182224267296[[#This Row],[目标国家]]="魏",0,IF(表1_8612182224267296[[#This Row],[目标国家]]="蜀",1,2))</f>
        <v>2</v>
      </c>
      <c r="S19" s="20">
        <v>12874</v>
      </c>
      <c r="T19" s="20">
        <v>66524</v>
      </c>
      <c r="U19" s="20">
        <v>341998</v>
      </c>
      <c r="V19" s="20">
        <v>4414</v>
      </c>
      <c r="W19" s="32">
        <v>690397</v>
      </c>
      <c r="X19" s="33" t="str">
        <f>"{"&amp;"'coin':"&amp;表1_8612182224267296[[#This Row],[补偿Coin]]&amp;",'"&amp;配置!$A$2&amp;"':"&amp;表1_8612182224267296[[#This Row],[补偿辎重]]&amp;"},"</f>
        <v>{'coin':1000,'item036':10},</v>
      </c>
      <c r="Y19" s="34" t="str">
        <f t="shared" ref="Y19" si="3">"      },"</f>
        <v>      },</v>
      </c>
    </row>
    <row r="20" customHeight="1" spans="1:25">
      <c r="A20" s="17">
        <v>7026</v>
      </c>
      <c r="B20" s="17">
        <f>VLOOKUP(表1_8612182224267296[[#This Row],[区服]],$P$44:$Q$57,2,FALSE)</f>
        <v>44</v>
      </c>
      <c r="C20" s="18" t="s">
        <v>213</v>
      </c>
      <c r="D20" s="19" t="str">
        <f>表1_8612182224267296[[#This Row],[目标国家]]</f>
        <v>魏</v>
      </c>
      <c r="E20" s="20">
        <f>(VLOOKUP(表1_8612182224267296[[#This Row],[目标区服]],$R$44:$S$49,2,FALSE)-表1_8612182224267296[[#This Row],[开服天数]])*配置!$B$1</f>
        <v>1500</v>
      </c>
      <c r="F20" s="20">
        <f>表1_8612182224267296[[#This Row],[补偿Coin]]*(表1_8612182224267296[[#This Row],[活跃高战玩家数]]+表1_8612182224267296[[#This Row],[活跃中坚玩家数]])</f>
        <v>34500</v>
      </c>
      <c r="G20" s="20">
        <f>(VLOOKUP(表1_8612182224267296[[#This Row],[目标区服]],$R$44:$S$49,2,FALSE)-表1_8612182224267296[[#This Row],[开服天数]])*配置!$B$2</f>
        <v>15</v>
      </c>
      <c r="H20" s="19" t="s">
        <v>25</v>
      </c>
      <c r="I20" s="19">
        <f>IF(表1_8612182224267296[[#This Row],[原国家]]="魏",0,IF(表1_8612182224267296[[#This Row],[原国家]]="蜀",1,2))</f>
        <v>0</v>
      </c>
      <c r="J20" s="20">
        <v>4</v>
      </c>
      <c r="K20" s="20">
        <v>200</v>
      </c>
      <c r="L20" s="20">
        <v>3</v>
      </c>
      <c r="M20" s="20">
        <v>20</v>
      </c>
      <c r="N20" s="20">
        <v>116601</v>
      </c>
      <c r="O20" s="20">
        <v>2041246</v>
      </c>
      <c r="P20" s="26">
        <v>17661768</v>
      </c>
      <c r="Q20" s="31" t="s">
        <v>25</v>
      </c>
      <c r="R20" s="19">
        <f>IF(表1_8612182224267296[[#This Row],[目标国家]]="魏",0,IF(表1_8612182224267296[[#This Row],[目标国家]]="蜀",1,2))</f>
        <v>0</v>
      </c>
      <c r="S20" s="20">
        <v>91178</v>
      </c>
      <c r="T20" s="20">
        <v>0</v>
      </c>
      <c r="U20" s="20">
        <v>530744</v>
      </c>
      <c r="V20" s="20">
        <v>9791</v>
      </c>
      <c r="W20" s="32">
        <v>739731</v>
      </c>
      <c r="X20" s="33" t="str">
        <f>"{"&amp;"'coin':"&amp;表1_8612182224267296[[#This Row],[补偿Coin]]&amp;",'"&amp;配置!$A$2&amp;"':"&amp;表1_8612182224267296[[#This Row],[补偿辎重]]&amp;"},"</f>
        <v>{'coin':1500,'item036':15},</v>
      </c>
      <c r="Y20" s="34" t="str">
        <f>"      '"&amp;表1_8612182224267296[[#This Row],[区服]]&amp;"':{"</f>
        <v>      '7026':{</v>
      </c>
    </row>
    <row r="21" customHeight="1" spans="1:25">
      <c r="A21" s="17">
        <v>7026</v>
      </c>
      <c r="B21" s="17">
        <f>VLOOKUP(表1_8612182224267296[[#This Row],[区服]],$P$44:$Q$57,2,FALSE)</f>
        <v>44</v>
      </c>
      <c r="C21" s="18" t="s">
        <v>213</v>
      </c>
      <c r="D21" s="19" t="str">
        <f>表1_8612182224267296[[#This Row],[目标国家]]</f>
        <v>魏</v>
      </c>
      <c r="E21" s="20">
        <f>(VLOOKUP(表1_8612182224267296[[#This Row],[目标区服]],$R$44:$S$49,2,FALSE)-表1_8612182224267296[[#This Row],[开服天数]])*配置!$B$1</f>
        <v>1500</v>
      </c>
      <c r="F21" s="20">
        <f>表1_8612182224267296[[#This Row],[补偿Coin]]*(表1_8612182224267296[[#This Row],[活跃高战玩家数]]+表1_8612182224267296[[#This Row],[活跃中坚玩家数]])</f>
        <v>37500</v>
      </c>
      <c r="G21" s="20">
        <f>(VLOOKUP(表1_8612182224267296[[#This Row],[目标区服]],$R$44:$S$49,2,FALSE)-表1_8612182224267296[[#This Row],[开服天数]])*配置!$B$2</f>
        <v>15</v>
      </c>
      <c r="H21" s="19" t="s">
        <v>26</v>
      </c>
      <c r="I21" s="19">
        <f>IF(表1_8612182224267296[[#This Row],[原国家]]="魏",0,IF(表1_8612182224267296[[#This Row],[原国家]]="蜀",1,2))</f>
        <v>1</v>
      </c>
      <c r="J21" s="20">
        <v>3</v>
      </c>
      <c r="K21" s="20">
        <v>108</v>
      </c>
      <c r="L21" s="20">
        <v>5</v>
      </c>
      <c r="M21" s="20">
        <v>20</v>
      </c>
      <c r="N21" s="20">
        <v>109117</v>
      </c>
      <c r="O21" s="20">
        <v>1881676</v>
      </c>
      <c r="P21" s="26">
        <v>17370623</v>
      </c>
      <c r="Q21" s="31" t="s">
        <v>25</v>
      </c>
      <c r="R21" s="19">
        <f>IF(表1_8612182224267296[[#This Row],[目标国家]]="魏",0,IF(表1_8612182224267296[[#This Row],[目标国家]]="蜀",1,2))</f>
        <v>0</v>
      </c>
      <c r="S21" s="20">
        <v>64608</v>
      </c>
      <c r="T21" s="20">
        <v>0</v>
      </c>
      <c r="U21" s="20">
        <v>247684</v>
      </c>
      <c r="V21" s="20">
        <v>7606</v>
      </c>
      <c r="W21" s="32">
        <v>477443</v>
      </c>
      <c r="X21" s="33" t="str">
        <f>"{"&amp;"'coin':"&amp;表1_8612182224267296[[#This Row],[补偿Coin]]&amp;",'"&amp;配置!$A$2&amp;"':"&amp;表1_8612182224267296[[#This Row],[补偿辎重]]&amp;"},"</f>
        <v>{'coin':1500,'item036':15},</v>
      </c>
      <c r="Y21" s="34" t="str">
        <f>"            'to_zone':'"&amp;表1_8612182224267296[[#This Row],[目标区服]]&amp;"',
            'reward':"&amp;表1_8612182224267296[[#This Row],[辅助导出]]&amp;"
            'country':["&amp;R20&amp;","&amp;R21&amp;","&amp;R22&amp;"],"</f>
        <v>            'to_zone':'h1_712',
            'reward':{'coin':1500,'item036':15},
            'country':[0,0,2],</v>
      </c>
    </row>
    <row r="22" customHeight="1" spans="1:25">
      <c r="A22" s="17">
        <v>7026</v>
      </c>
      <c r="B22" s="17">
        <f>VLOOKUP(表1_8612182224267296[[#This Row],[区服]],$P$44:$Q$57,2,FALSE)</f>
        <v>44</v>
      </c>
      <c r="C22" s="18" t="s">
        <v>213</v>
      </c>
      <c r="D22" s="19" t="str">
        <f>表1_8612182224267296[[#This Row],[目标国家]]</f>
        <v>吴</v>
      </c>
      <c r="E22" s="20">
        <f>(VLOOKUP(表1_8612182224267296[[#This Row],[目标区服]],$R$44:$S$49,2,FALSE)-表1_8612182224267296[[#This Row],[开服天数]])*配置!$B$1</f>
        <v>1500</v>
      </c>
      <c r="F22" s="20">
        <f>表1_8612182224267296[[#This Row],[补偿Coin]]*(表1_8612182224267296[[#This Row],[活跃高战玩家数]]+表1_8612182224267296[[#This Row],[活跃中坚玩家数]])</f>
        <v>19500</v>
      </c>
      <c r="G22" s="20">
        <f>(VLOOKUP(表1_8612182224267296[[#This Row],[目标区服]],$R$44:$S$49,2,FALSE)-表1_8612182224267296[[#This Row],[开服天数]])*配置!$B$2</f>
        <v>15</v>
      </c>
      <c r="H22" s="19" t="s">
        <v>27</v>
      </c>
      <c r="I22" s="19">
        <f>IF(表1_8612182224267296[[#This Row],[原国家]]="魏",0,IF(表1_8612182224267296[[#This Row],[原国家]]="蜀",1,2))</f>
        <v>2</v>
      </c>
      <c r="J22" s="20">
        <v>2</v>
      </c>
      <c r="K22" s="20">
        <v>87</v>
      </c>
      <c r="L22" s="20">
        <v>2</v>
      </c>
      <c r="M22" s="20">
        <v>11</v>
      </c>
      <c r="N22" s="20">
        <v>47003</v>
      </c>
      <c r="O22" s="20">
        <v>1547089</v>
      </c>
      <c r="P22" s="26">
        <v>8427445</v>
      </c>
      <c r="Q22" s="31" t="s">
        <v>27</v>
      </c>
      <c r="R22" s="19">
        <f>IF(表1_8612182224267296[[#This Row],[目标国家]]="魏",0,IF(表1_8612182224267296[[#This Row],[目标国家]]="蜀",1,2))</f>
        <v>2</v>
      </c>
      <c r="S22" s="20">
        <v>31156</v>
      </c>
      <c r="T22" s="20">
        <v>0</v>
      </c>
      <c r="U22" s="20">
        <v>104216</v>
      </c>
      <c r="V22" s="20">
        <v>4681</v>
      </c>
      <c r="W22" s="32">
        <v>616965</v>
      </c>
      <c r="X22" s="33" t="str">
        <f>"{"&amp;"'coin':"&amp;表1_8612182224267296[[#This Row],[补偿Coin]]&amp;",'"&amp;配置!$A$2&amp;"':"&amp;表1_8612182224267296[[#This Row],[补偿辎重]]&amp;"},"</f>
        <v>{'coin':1500,'item036':15},</v>
      </c>
      <c r="Y22" s="34" t="str">
        <f t="shared" ref="Y22" si="4">"      },"</f>
        <v>      },</v>
      </c>
    </row>
    <row r="23" customHeight="1" spans="1:25">
      <c r="A23" s="367">
        <v>7027</v>
      </c>
      <c r="B23" s="214">
        <f>VLOOKUP(表1_8612182224267296[[#This Row],[区服]],$P$44:$Q$57,2,FALSE)</f>
        <v>44</v>
      </c>
      <c r="C23" s="293" t="s">
        <v>214</v>
      </c>
      <c r="D23" s="216" t="str">
        <f>表1_8612182224267296[[#This Row],[目标国家]]</f>
        <v>魏</v>
      </c>
      <c r="E23" s="217">
        <f>(VLOOKUP(表1_8612182224267296[[#This Row],[目标区服]],$R$44:$S$49,2,FALSE)-表1_8612182224267296[[#This Row],[开服天数]])*配置!$B$1</f>
        <v>1000</v>
      </c>
      <c r="F23" s="217">
        <f>表1_8612182224267296[[#This Row],[补偿Coin]]*(表1_8612182224267296[[#This Row],[活跃高战玩家数]]+表1_8612182224267296[[#This Row],[活跃中坚玩家数]])</f>
        <v>25000</v>
      </c>
      <c r="G23" s="217">
        <f>(VLOOKUP(表1_8612182224267296[[#This Row],[目标区服]],$R$44:$S$49,2,FALSE)-表1_8612182224267296[[#This Row],[开服天数]])*配置!$B$2</f>
        <v>10</v>
      </c>
      <c r="H23" s="216" t="s">
        <v>25</v>
      </c>
      <c r="I23" s="216">
        <f>IF(表1_8612182224267296[[#This Row],[原国家]]="魏",0,IF(表1_8612182224267296[[#This Row],[原国家]]="蜀",1,2))</f>
        <v>0</v>
      </c>
      <c r="J23" s="217">
        <v>2</v>
      </c>
      <c r="K23" s="217">
        <v>77</v>
      </c>
      <c r="L23" s="217">
        <v>3</v>
      </c>
      <c r="M23" s="217">
        <v>22</v>
      </c>
      <c r="N23" s="217">
        <v>94377</v>
      </c>
      <c r="O23" s="378">
        <v>2205812</v>
      </c>
      <c r="P23" s="334">
        <v>15010363</v>
      </c>
      <c r="Q23" s="247" t="s">
        <v>25</v>
      </c>
      <c r="R23" s="216">
        <f>IF(表1_8612182224267296[[#This Row],[目标国家]]="魏",0,IF(表1_8612182224267296[[#This Row],[目标国家]]="蜀",1,2))</f>
        <v>0</v>
      </c>
      <c r="S23" s="217">
        <v>37158</v>
      </c>
      <c r="T23" s="217">
        <v>0</v>
      </c>
      <c r="U23" s="217">
        <v>369343</v>
      </c>
      <c r="V23" s="217">
        <v>6448</v>
      </c>
      <c r="W23" s="488">
        <v>775540</v>
      </c>
      <c r="X23" s="382" t="str">
        <f>"{"&amp;"'coin':"&amp;表1_8612182224267296[[#This Row],[补偿Coin]]&amp;",'"&amp;配置!$A$2&amp;"':"&amp;表1_8612182224267296[[#This Row],[补偿辎重]]&amp;"},"</f>
        <v>{'coin':1000,'item036':10},</v>
      </c>
      <c r="Y23" s="251" t="str">
        <f>"      '"&amp;表1_8612182224267296[[#This Row],[区服]]&amp;"':{"</f>
        <v>      '7027':{</v>
      </c>
    </row>
    <row r="24" customHeight="1" spans="1:25">
      <c r="A24" s="367">
        <v>7027</v>
      </c>
      <c r="B24" s="214">
        <f>VLOOKUP(表1_8612182224267296[[#This Row],[区服]],$P$44:$Q$57,2,FALSE)</f>
        <v>44</v>
      </c>
      <c r="C24" s="293" t="s">
        <v>214</v>
      </c>
      <c r="D24" s="216" t="str">
        <f>表1_8612182224267296[[#This Row],[目标国家]]</f>
        <v>蜀</v>
      </c>
      <c r="E24" s="217">
        <f>(VLOOKUP(表1_8612182224267296[[#This Row],[目标区服]],$R$44:$S$49,2,FALSE)-表1_8612182224267296[[#This Row],[开服天数]])*配置!$B$1</f>
        <v>1000</v>
      </c>
      <c r="F24" s="217">
        <f>表1_8612182224267296[[#This Row],[补偿Coin]]*(表1_8612182224267296[[#This Row],[活跃高战玩家数]]+表1_8612182224267296[[#This Row],[活跃中坚玩家数]])</f>
        <v>25000</v>
      </c>
      <c r="G24" s="217">
        <f>(VLOOKUP(表1_8612182224267296[[#This Row],[目标区服]],$R$44:$S$49,2,FALSE)-表1_8612182224267296[[#This Row],[开服天数]])*配置!$B$2</f>
        <v>10</v>
      </c>
      <c r="H24" s="216" t="s">
        <v>26</v>
      </c>
      <c r="I24" s="216">
        <f>IF(表1_8612182224267296[[#This Row],[原国家]]="魏",0,IF(表1_8612182224267296[[#This Row],[原国家]]="蜀",1,2))</f>
        <v>1</v>
      </c>
      <c r="J24" s="217">
        <v>5</v>
      </c>
      <c r="K24" s="217">
        <v>241</v>
      </c>
      <c r="L24" s="217">
        <v>5</v>
      </c>
      <c r="M24" s="217">
        <v>20</v>
      </c>
      <c r="N24" s="217">
        <v>131643</v>
      </c>
      <c r="O24" s="378">
        <v>3201867</v>
      </c>
      <c r="P24" s="334">
        <v>20811740</v>
      </c>
      <c r="Q24" s="247" t="s">
        <v>26</v>
      </c>
      <c r="R24" s="216">
        <f>IF(表1_8612182224267296[[#This Row],[目标国家]]="魏",0,IF(表1_8612182224267296[[#This Row],[目标国家]]="蜀",1,2))</f>
        <v>1</v>
      </c>
      <c r="S24" s="217">
        <v>133928</v>
      </c>
      <c r="T24" s="217">
        <v>0</v>
      </c>
      <c r="U24" s="217">
        <v>633788</v>
      </c>
      <c r="V24" s="217">
        <v>13185</v>
      </c>
      <c r="W24" s="488">
        <v>911706</v>
      </c>
      <c r="X24" s="382" t="str">
        <f>"{"&amp;"'coin':"&amp;表1_8612182224267296[[#This Row],[补偿Coin]]&amp;",'"&amp;配置!$A$2&amp;"':"&amp;表1_8612182224267296[[#This Row],[补偿辎重]]&amp;"},"</f>
        <v>{'coin':1000,'item036':10},</v>
      </c>
      <c r="Y24" s="251" t="str">
        <f>"            'to_zone':'"&amp;表1_8612182224267296[[#This Row],[目标区服]]&amp;"',
            'reward':"&amp;表1_8612182224267296[[#This Row],[辅助导出]]&amp;"
            'country':["&amp;R23&amp;","&amp;R24&amp;","&amp;R25&amp;"],"</f>
        <v>            'to_zone':'h1_713',
            'reward':{'coin':1000,'item036':10},
            'country':[0,1,0],</v>
      </c>
    </row>
    <row r="25" customHeight="1" spans="1:25">
      <c r="A25" s="367">
        <v>7027</v>
      </c>
      <c r="B25" s="214">
        <f>VLOOKUP(表1_8612182224267296[[#This Row],[区服]],$P$44:$Q$57,2,FALSE)</f>
        <v>44</v>
      </c>
      <c r="C25" s="293" t="s">
        <v>214</v>
      </c>
      <c r="D25" s="216" t="str">
        <f>表1_8612182224267296[[#This Row],[目标国家]]</f>
        <v>魏</v>
      </c>
      <c r="E25" s="217">
        <f>(VLOOKUP(表1_8612182224267296[[#This Row],[目标区服]],$R$44:$S$49,2,FALSE)-表1_8612182224267296[[#This Row],[开服天数]])*配置!$B$1</f>
        <v>1000</v>
      </c>
      <c r="F25" s="217">
        <f>表1_8612182224267296[[#This Row],[补偿Coin]]*(表1_8612182224267296[[#This Row],[活跃高战玩家数]]+表1_8612182224267296[[#This Row],[活跃中坚玩家数]])</f>
        <v>9000</v>
      </c>
      <c r="G25" s="217">
        <f>(VLOOKUP(表1_8612182224267296[[#This Row],[目标区服]],$R$44:$S$49,2,FALSE)-表1_8612182224267296[[#This Row],[开服天数]])*配置!$B$2</f>
        <v>10</v>
      </c>
      <c r="H25" s="216" t="s">
        <v>27</v>
      </c>
      <c r="I25" s="216">
        <f>IF(表1_8612182224267296[[#This Row],[原国家]]="魏",0,IF(表1_8612182224267296[[#This Row],[原国家]]="蜀",1,2))</f>
        <v>2</v>
      </c>
      <c r="J25" s="217">
        <v>2</v>
      </c>
      <c r="K25" s="217">
        <v>77</v>
      </c>
      <c r="L25" s="217">
        <v>1</v>
      </c>
      <c r="M25" s="217">
        <v>8</v>
      </c>
      <c r="N25" s="217">
        <v>24681</v>
      </c>
      <c r="O25" s="378">
        <v>834660</v>
      </c>
      <c r="P25" s="334">
        <v>3941638</v>
      </c>
      <c r="Q25" s="247" t="s">
        <v>25</v>
      </c>
      <c r="R25" s="216">
        <f>IF(表1_8612182224267296[[#This Row],[目标国家]]="魏",0,IF(表1_8612182224267296[[#This Row],[目标国家]]="蜀",1,2))</f>
        <v>0</v>
      </c>
      <c r="S25" s="217">
        <v>1660</v>
      </c>
      <c r="T25" s="217">
        <v>0</v>
      </c>
      <c r="U25" s="217">
        <v>87113</v>
      </c>
      <c r="V25" s="217">
        <v>2415</v>
      </c>
      <c r="W25" s="488">
        <v>247859</v>
      </c>
      <c r="X25" s="382" t="str">
        <f>"{"&amp;"'coin':"&amp;表1_8612182224267296[[#This Row],[补偿Coin]]&amp;",'"&amp;配置!$A$2&amp;"':"&amp;表1_8612182224267296[[#This Row],[补偿辎重]]&amp;"},"</f>
        <v>{'coin':1000,'item036':10},</v>
      </c>
      <c r="Y25" s="251" t="str">
        <f t="shared" ref="Y25:Y40" si="5">"      },"</f>
        <v>      },</v>
      </c>
    </row>
    <row r="26" customHeight="1" spans="1:25">
      <c r="A26" s="367">
        <v>7028</v>
      </c>
      <c r="B26" s="214">
        <f>VLOOKUP(表1_8612182224267296[[#This Row],[区服]],$P$44:$Q$57,2,FALSE)</f>
        <v>43</v>
      </c>
      <c r="C26" s="293" t="s">
        <v>214</v>
      </c>
      <c r="D26" s="216" t="str">
        <f>表1_8612182224267296[[#This Row],[目标国家]]</f>
        <v>魏</v>
      </c>
      <c r="E26" s="217">
        <f>(VLOOKUP(表1_8612182224267296[[#This Row],[目标区服]],$R$44:$S$49,2,FALSE)-表1_8612182224267296[[#This Row],[开服天数]])*配置!$B$1</f>
        <v>1500</v>
      </c>
      <c r="F26" s="217">
        <f>表1_8612182224267296[[#This Row],[补偿Coin]]*(表1_8612182224267296[[#This Row],[活跃高战玩家数]]+表1_8612182224267296[[#This Row],[活跃中坚玩家数]])</f>
        <v>21000</v>
      </c>
      <c r="G26" s="217">
        <f>(VLOOKUP(表1_8612182224267296[[#This Row],[目标区服]],$R$44:$S$49,2,FALSE)-表1_8612182224267296[[#This Row],[开服天数]])*配置!$B$2</f>
        <v>15</v>
      </c>
      <c r="H26" s="216" t="s">
        <v>25</v>
      </c>
      <c r="I26" s="216">
        <f>IF(表1_8612182224267296[[#This Row],[原国家]]="魏",0,IF(表1_8612182224267296[[#This Row],[原国家]]="蜀",1,2))</f>
        <v>0</v>
      </c>
      <c r="J26" s="217">
        <v>0</v>
      </c>
      <c r="K26" s="217">
        <v>71</v>
      </c>
      <c r="L26" s="217">
        <v>1</v>
      </c>
      <c r="M26" s="217">
        <v>13</v>
      </c>
      <c r="N26" s="217">
        <v>39957</v>
      </c>
      <c r="O26" s="378">
        <v>1178854</v>
      </c>
      <c r="P26" s="334">
        <v>7189082</v>
      </c>
      <c r="Q26" s="247" t="s">
        <v>25</v>
      </c>
      <c r="R26" s="216">
        <f>IF(表1_8612182224267296[[#This Row],[目标国家]]="魏",0,IF(表1_8612182224267296[[#This Row],[目标国家]]="蜀",1,2))</f>
        <v>0</v>
      </c>
      <c r="S26" s="217">
        <v>9426</v>
      </c>
      <c r="T26" s="217">
        <v>0</v>
      </c>
      <c r="U26" s="217">
        <v>88286</v>
      </c>
      <c r="V26" s="217">
        <v>3134</v>
      </c>
      <c r="W26" s="488">
        <v>358170</v>
      </c>
      <c r="X26" s="382" t="str">
        <f>"{"&amp;"'coin':"&amp;表1_8612182224267296[[#This Row],[补偿Coin]]&amp;",'"&amp;配置!$A$2&amp;"':"&amp;表1_8612182224267296[[#This Row],[补偿辎重]]&amp;"},"</f>
        <v>{'coin':1500,'item036':15},</v>
      </c>
      <c r="Y26" s="251" t="str">
        <f>"      '"&amp;表1_8612182224267296[[#This Row],[区服]]&amp;"':{"</f>
        <v>      '7028':{</v>
      </c>
    </row>
    <row r="27" customHeight="1" spans="1:25">
      <c r="A27" s="367">
        <v>7028</v>
      </c>
      <c r="B27" s="214">
        <f>VLOOKUP(表1_8612182224267296[[#This Row],[区服]],$P$44:$Q$57,2,FALSE)</f>
        <v>43</v>
      </c>
      <c r="C27" s="293" t="s">
        <v>214</v>
      </c>
      <c r="D27" s="216" t="str">
        <f>表1_8612182224267296[[#This Row],[目标国家]]</f>
        <v>吴</v>
      </c>
      <c r="E27" s="217">
        <f>(VLOOKUP(表1_8612182224267296[[#This Row],[目标区服]],$R$44:$S$49,2,FALSE)-表1_8612182224267296[[#This Row],[开服天数]])*配置!$B$1</f>
        <v>1500</v>
      </c>
      <c r="F27" s="217">
        <f>表1_8612182224267296[[#This Row],[补偿Coin]]*(表1_8612182224267296[[#This Row],[活跃高战玩家数]]+表1_8612182224267296[[#This Row],[活跃中坚玩家数]])</f>
        <v>57000</v>
      </c>
      <c r="G27" s="217">
        <f>(VLOOKUP(表1_8612182224267296[[#This Row],[目标区服]],$R$44:$S$49,2,FALSE)-表1_8612182224267296[[#This Row],[开服天数]])*配置!$B$2</f>
        <v>15</v>
      </c>
      <c r="H27" s="216" t="s">
        <v>26</v>
      </c>
      <c r="I27" s="216">
        <f>IF(表1_8612182224267296[[#This Row],[原国家]]="魏",0,IF(表1_8612182224267296[[#This Row],[原国家]]="蜀",1,2))</f>
        <v>1</v>
      </c>
      <c r="J27" s="217">
        <v>7</v>
      </c>
      <c r="K27" s="217">
        <v>259</v>
      </c>
      <c r="L27" s="217">
        <v>6</v>
      </c>
      <c r="M27" s="217">
        <v>32</v>
      </c>
      <c r="N27" s="217">
        <v>198413</v>
      </c>
      <c r="O27" s="378">
        <v>2464923</v>
      </c>
      <c r="P27" s="334">
        <v>30614160</v>
      </c>
      <c r="Q27" s="247" t="s">
        <v>27</v>
      </c>
      <c r="R27" s="216">
        <f>IF(表1_8612182224267296[[#This Row],[目标国家]]="魏",0,IF(表1_8612182224267296[[#This Row],[目标国家]]="蜀",1,2))</f>
        <v>2</v>
      </c>
      <c r="S27" s="217">
        <v>84400</v>
      </c>
      <c r="T27" s="217">
        <v>0</v>
      </c>
      <c r="U27" s="217">
        <v>362771</v>
      </c>
      <c r="V27" s="217">
        <v>12521</v>
      </c>
      <c r="W27" s="488">
        <v>798526</v>
      </c>
      <c r="X27" s="382" t="str">
        <f>"{"&amp;"'coin':"&amp;表1_8612182224267296[[#This Row],[补偿Coin]]&amp;",'"&amp;配置!$A$2&amp;"':"&amp;表1_8612182224267296[[#This Row],[补偿辎重]]&amp;"},"</f>
        <v>{'coin':1500,'item036':15},</v>
      </c>
      <c r="Y27" s="251" t="str">
        <f>"            'to_zone':'"&amp;表1_8612182224267296[[#This Row],[目标区服]]&amp;"',
            'reward':"&amp;表1_8612182224267296[[#This Row],[辅助导出]]&amp;"
            'country':["&amp;R26&amp;","&amp;R27&amp;","&amp;R28&amp;"],"</f>
        <v>            'to_zone':'h1_713',
            'reward':{'coin':1500,'item036':15},
            'country':[0,2,2],</v>
      </c>
    </row>
    <row r="28" customHeight="1" spans="1:25">
      <c r="A28" s="367">
        <v>7028</v>
      </c>
      <c r="B28" s="214">
        <f>VLOOKUP(表1_8612182224267296[[#This Row],[区服]],$P$44:$Q$57,2,FALSE)</f>
        <v>43</v>
      </c>
      <c r="C28" s="293" t="s">
        <v>214</v>
      </c>
      <c r="D28" s="216" t="str">
        <f>表1_8612182224267296[[#This Row],[目标国家]]</f>
        <v>吴</v>
      </c>
      <c r="E28" s="217">
        <f>(VLOOKUP(表1_8612182224267296[[#This Row],[目标区服]],$R$44:$S$49,2,FALSE)-表1_8612182224267296[[#This Row],[开服天数]])*配置!$B$1</f>
        <v>1500</v>
      </c>
      <c r="F28" s="217">
        <f>表1_8612182224267296[[#This Row],[补偿Coin]]*(表1_8612182224267296[[#This Row],[活跃高战玩家数]]+表1_8612182224267296[[#This Row],[活跃中坚玩家数]])</f>
        <v>13500</v>
      </c>
      <c r="G28" s="217">
        <f>(VLOOKUP(表1_8612182224267296[[#This Row],[目标区服]],$R$44:$S$49,2,FALSE)-表1_8612182224267296[[#This Row],[开服天数]])*配置!$B$2</f>
        <v>15</v>
      </c>
      <c r="H28" s="216" t="s">
        <v>27</v>
      </c>
      <c r="I28" s="216">
        <f>IF(表1_8612182224267296[[#This Row],[原国家]]="魏",0,IF(表1_8612182224267296[[#This Row],[原国家]]="蜀",1,2))</f>
        <v>2</v>
      </c>
      <c r="J28" s="217">
        <v>2</v>
      </c>
      <c r="K28" s="217">
        <v>65</v>
      </c>
      <c r="L28" s="217">
        <v>1</v>
      </c>
      <c r="M28" s="217">
        <v>8</v>
      </c>
      <c r="N28" s="217">
        <v>27572</v>
      </c>
      <c r="O28" s="378">
        <v>1172530</v>
      </c>
      <c r="P28" s="334">
        <v>4880709</v>
      </c>
      <c r="Q28" s="247" t="s">
        <v>27</v>
      </c>
      <c r="R28" s="216">
        <f>IF(表1_8612182224267296[[#This Row],[目标国家]]="魏",0,IF(表1_8612182224267296[[#This Row],[目标国家]]="蜀",1,2))</f>
        <v>2</v>
      </c>
      <c r="S28" s="217">
        <v>3554</v>
      </c>
      <c r="T28" s="217">
        <v>0</v>
      </c>
      <c r="U28" s="217">
        <v>76158</v>
      </c>
      <c r="V28" s="217">
        <v>2793</v>
      </c>
      <c r="W28" s="488">
        <v>426441</v>
      </c>
      <c r="X28" s="382" t="str">
        <f>"{"&amp;"'coin':"&amp;表1_8612182224267296[[#This Row],[补偿Coin]]&amp;",'"&amp;配置!$A$2&amp;"':"&amp;表1_8612182224267296[[#This Row],[补偿辎重]]&amp;"},"</f>
        <v>{'coin':1500,'item036':15},</v>
      </c>
      <c r="Y28" s="251" t="str">
        <f t="shared" si="5"/>
        <v>      },</v>
      </c>
    </row>
    <row r="29" customHeight="1" spans="1:25">
      <c r="A29" s="314">
        <v>7029</v>
      </c>
      <c r="B29" s="91">
        <f>VLOOKUP(表1_8612182224267296[[#This Row],[区服]],$P$44:$Q$57,2,FALSE)</f>
        <v>42</v>
      </c>
      <c r="C29" s="92" t="s">
        <v>215</v>
      </c>
      <c r="D29" s="93" t="str">
        <f>表1_8612182224267296[[#This Row],[目标国家]]</f>
        <v>蜀</v>
      </c>
      <c r="E29" s="95">
        <f>(VLOOKUP(表1_8612182224267296[[#This Row],[目标区服]],$R$44:$S$49,2,FALSE)-表1_8612182224267296[[#This Row],[开服天数]])*配置!$B$1</f>
        <v>1000</v>
      </c>
      <c r="F29" s="95">
        <f>表1_8612182224267296[[#This Row],[补偿Coin]]*(表1_8612182224267296[[#This Row],[活跃高战玩家数]]+表1_8612182224267296[[#This Row],[活跃中坚玩家数]])</f>
        <v>19000</v>
      </c>
      <c r="G29" s="95">
        <f>(VLOOKUP(表1_8612182224267296[[#This Row],[目标区服]],$R$44:$S$49,2,FALSE)-表1_8612182224267296[[#This Row],[开服天数]])*配置!$B$2</f>
        <v>10</v>
      </c>
      <c r="H29" s="93" t="s">
        <v>25</v>
      </c>
      <c r="I29" s="93">
        <f>IF(表1_8612182224267296[[#This Row],[原国家]]="魏",0,IF(表1_8612182224267296[[#This Row],[原国家]]="蜀",1,2))</f>
        <v>0</v>
      </c>
      <c r="J29" s="95">
        <v>2</v>
      </c>
      <c r="K29" s="95">
        <v>89</v>
      </c>
      <c r="L29" s="95">
        <v>1</v>
      </c>
      <c r="M29" s="95">
        <v>18</v>
      </c>
      <c r="N29" s="95">
        <v>69744</v>
      </c>
      <c r="O29" s="424">
        <v>1382713</v>
      </c>
      <c r="P29" s="326">
        <v>10701174</v>
      </c>
      <c r="Q29" s="137" t="s">
        <v>26</v>
      </c>
      <c r="R29" s="93">
        <f>IF(表1_8612182224267296[[#This Row],[目标国家]]="魏",0,IF(表1_8612182224267296[[#This Row],[目标国家]]="蜀",1,2))</f>
        <v>1</v>
      </c>
      <c r="S29" s="95">
        <v>9410</v>
      </c>
      <c r="T29" s="95">
        <v>0</v>
      </c>
      <c r="U29" s="95">
        <v>190235</v>
      </c>
      <c r="V29" s="95">
        <v>4268</v>
      </c>
      <c r="W29" s="495">
        <v>428937</v>
      </c>
      <c r="X29" s="433" t="str">
        <f>"{"&amp;"'coin':"&amp;表1_8612182224267296[[#This Row],[补偿Coin]]&amp;",'"&amp;配置!$A$2&amp;"':"&amp;表1_8612182224267296[[#This Row],[补偿辎重]]&amp;"},"</f>
        <v>{'coin':1000,'item036':10},</v>
      </c>
      <c r="Y29" s="138" t="str">
        <f>"      '"&amp;表1_8612182224267296[[#This Row],[区服]]&amp;"':{"</f>
        <v>      '7029':{</v>
      </c>
    </row>
    <row r="30" customHeight="1" spans="1:25">
      <c r="A30" s="314">
        <v>7029</v>
      </c>
      <c r="B30" s="91">
        <f>VLOOKUP(表1_8612182224267296[[#This Row],[区服]],$P$44:$Q$57,2,FALSE)</f>
        <v>42</v>
      </c>
      <c r="C30" s="92" t="s">
        <v>215</v>
      </c>
      <c r="D30" s="93" t="str">
        <f>表1_8612182224267296[[#This Row],[目标国家]]</f>
        <v>吴</v>
      </c>
      <c r="E30" s="95">
        <f>(VLOOKUP(表1_8612182224267296[[#This Row],[目标区服]],$R$44:$S$49,2,FALSE)-表1_8612182224267296[[#This Row],[开服天数]])*配置!$B$1</f>
        <v>1000</v>
      </c>
      <c r="F30" s="95">
        <f>表1_8612182224267296[[#This Row],[补偿Coin]]*(表1_8612182224267296[[#This Row],[活跃高战玩家数]]+表1_8612182224267296[[#This Row],[活跃中坚玩家数]])</f>
        <v>20000</v>
      </c>
      <c r="G30" s="95">
        <f>(VLOOKUP(表1_8612182224267296[[#This Row],[目标区服]],$R$44:$S$49,2,FALSE)-表1_8612182224267296[[#This Row],[开服天数]])*配置!$B$2</f>
        <v>10</v>
      </c>
      <c r="H30" s="93" t="s">
        <v>26</v>
      </c>
      <c r="I30" s="93">
        <f>IF(表1_8612182224267296[[#This Row],[原国家]]="魏",0,IF(表1_8612182224267296[[#This Row],[原国家]]="蜀",1,2))</f>
        <v>1</v>
      </c>
      <c r="J30" s="95">
        <v>3</v>
      </c>
      <c r="K30" s="95">
        <v>162</v>
      </c>
      <c r="L30" s="95">
        <v>4</v>
      </c>
      <c r="M30" s="95">
        <v>16</v>
      </c>
      <c r="N30" s="95">
        <v>102375</v>
      </c>
      <c r="O30" s="424">
        <v>1582207</v>
      </c>
      <c r="P30" s="326">
        <v>14331520</v>
      </c>
      <c r="Q30" s="137" t="s">
        <v>27</v>
      </c>
      <c r="R30" s="93">
        <f>IF(表1_8612182224267296[[#This Row],[目标国家]]="魏",0,IF(表1_8612182224267296[[#This Row],[目标国家]]="蜀",1,2))</f>
        <v>2</v>
      </c>
      <c r="S30" s="95">
        <v>20270</v>
      </c>
      <c r="T30" s="95">
        <v>0</v>
      </c>
      <c r="U30" s="95">
        <v>60073</v>
      </c>
      <c r="V30" s="95">
        <v>6085</v>
      </c>
      <c r="W30" s="495">
        <v>471414</v>
      </c>
      <c r="X30" s="433" t="str">
        <f>"{"&amp;"'coin':"&amp;表1_8612182224267296[[#This Row],[补偿Coin]]&amp;",'"&amp;配置!$A$2&amp;"':"&amp;表1_8612182224267296[[#This Row],[补偿辎重]]&amp;"},"</f>
        <v>{'coin':1000,'item036':10},</v>
      </c>
      <c r="Y30" s="138" t="str">
        <f>"            'to_zone':'"&amp;表1_8612182224267296[[#This Row],[目标区服]]&amp;"',
            'reward':"&amp;表1_8612182224267296[[#This Row],[辅助导出]]&amp;"
            'country':["&amp;R29&amp;","&amp;R30&amp;","&amp;R31&amp;"],"</f>
        <v>            'to_zone':'h1_714',
            'reward':{'coin':1000,'item036':10},
            'country':[1,2,0],</v>
      </c>
    </row>
    <row r="31" customHeight="1" spans="1:25">
      <c r="A31" s="314">
        <v>7029</v>
      </c>
      <c r="B31" s="91">
        <f>VLOOKUP(表1_8612182224267296[[#This Row],[区服]],$P$44:$Q$57,2,FALSE)</f>
        <v>42</v>
      </c>
      <c r="C31" s="92" t="s">
        <v>215</v>
      </c>
      <c r="D31" s="93" t="str">
        <f>表1_8612182224267296[[#This Row],[目标国家]]</f>
        <v>魏</v>
      </c>
      <c r="E31" s="95">
        <f>(VLOOKUP(表1_8612182224267296[[#This Row],[目标区服]],$R$44:$S$49,2,FALSE)-表1_8612182224267296[[#This Row],[开服天数]])*配置!$B$1</f>
        <v>1000</v>
      </c>
      <c r="F31" s="95">
        <f>表1_8612182224267296[[#This Row],[补偿Coin]]*(表1_8612182224267296[[#This Row],[活跃高战玩家数]]+表1_8612182224267296[[#This Row],[活跃中坚玩家数]])</f>
        <v>33000</v>
      </c>
      <c r="G31" s="95">
        <f>(VLOOKUP(表1_8612182224267296[[#This Row],[目标区服]],$R$44:$S$49,2,FALSE)-表1_8612182224267296[[#This Row],[开服天数]])*配置!$B$2</f>
        <v>10</v>
      </c>
      <c r="H31" s="93" t="s">
        <v>27</v>
      </c>
      <c r="I31" s="93">
        <f>IF(表1_8612182224267296[[#This Row],[原国家]]="魏",0,IF(表1_8612182224267296[[#This Row],[原国家]]="蜀",1,2))</f>
        <v>2</v>
      </c>
      <c r="J31" s="95">
        <v>4</v>
      </c>
      <c r="K31" s="95">
        <v>144</v>
      </c>
      <c r="L31" s="95">
        <v>5</v>
      </c>
      <c r="M31" s="95">
        <v>28</v>
      </c>
      <c r="N31" s="95">
        <v>143746</v>
      </c>
      <c r="O31" s="424">
        <v>1828540</v>
      </c>
      <c r="P31" s="326">
        <v>21912969</v>
      </c>
      <c r="Q31" s="137" t="s">
        <v>25</v>
      </c>
      <c r="R31" s="93">
        <f>IF(表1_8612182224267296[[#This Row],[目标国家]]="魏",0,IF(表1_8612182224267296[[#This Row],[目标国家]]="蜀",1,2))</f>
        <v>0</v>
      </c>
      <c r="S31" s="95">
        <v>29794</v>
      </c>
      <c r="T31" s="95">
        <v>0</v>
      </c>
      <c r="U31" s="95">
        <v>263519</v>
      </c>
      <c r="V31" s="95">
        <v>7604</v>
      </c>
      <c r="W31" s="495">
        <v>551610</v>
      </c>
      <c r="X31" s="433" t="str">
        <f>"{"&amp;"'coin':"&amp;表1_8612182224267296[[#This Row],[补偿Coin]]&amp;",'"&amp;配置!$A$2&amp;"':"&amp;表1_8612182224267296[[#This Row],[补偿辎重]]&amp;"},"</f>
        <v>{'coin':1000,'item036':10},</v>
      </c>
      <c r="Y31" s="138" t="str">
        <f t="shared" si="5"/>
        <v>      },</v>
      </c>
    </row>
    <row r="32" customHeight="1" spans="1:25">
      <c r="A32" s="314">
        <v>7030</v>
      </c>
      <c r="B32" s="91">
        <f>VLOOKUP(表1_8612182224267296[[#This Row],[区服]],$P$44:$Q$57,2,FALSE)</f>
        <v>41</v>
      </c>
      <c r="C32" s="92" t="s">
        <v>215</v>
      </c>
      <c r="D32" s="93" t="str">
        <f>表1_8612182224267296[[#This Row],[目标国家]]</f>
        <v>魏</v>
      </c>
      <c r="E32" s="95">
        <f>(VLOOKUP(表1_8612182224267296[[#This Row],[目标区服]],$R$44:$S$49,2,FALSE)-表1_8612182224267296[[#This Row],[开服天数]])*配置!$B$1</f>
        <v>1500</v>
      </c>
      <c r="F32" s="95">
        <f>表1_8612182224267296[[#This Row],[补偿Coin]]*(表1_8612182224267296[[#This Row],[活跃高战玩家数]]+表1_8612182224267296[[#This Row],[活跃中坚玩家数]])</f>
        <v>28500</v>
      </c>
      <c r="G32" s="95">
        <f>(VLOOKUP(表1_8612182224267296[[#This Row],[目标区服]],$R$44:$S$49,2,FALSE)-表1_8612182224267296[[#This Row],[开服天数]])*配置!$B$2</f>
        <v>15</v>
      </c>
      <c r="H32" s="93" t="s">
        <v>25</v>
      </c>
      <c r="I32" s="93">
        <f>IF(表1_8612182224267296[[#This Row],[原国家]]="魏",0,IF(表1_8612182224267296[[#This Row],[原国家]]="蜀",1,2))</f>
        <v>0</v>
      </c>
      <c r="J32" s="95">
        <v>2</v>
      </c>
      <c r="K32" s="95">
        <v>75</v>
      </c>
      <c r="L32" s="95">
        <v>1</v>
      </c>
      <c r="M32" s="95">
        <v>18</v>
      </c>
      <c r="N32" s="95">
        <v>58000</v>
      </c>
      <c r="O32" s="424">
        <v>1159557</v>
      </c>
      <c r="P32" s="326">
        <v>8605141</v>
      </c>
      <c r="Q32" s="137" t="s">
        <v>25</v>
      </c>
      <c r="R32" s="93">
        <f>IF(表1_8612182224267296[[#This Row],[目标国家]]="魏",0,IF(表1_8612182224267296[[#This Row],[目标国家]]="蜀",1,2))</f>
        <v>0</v>
      </c>
      <c r="S32" s="95">
        <v>1756</v>
      </c>
      <c r="T32" s="95">
        <v>0</v>
      </c>
      <c r="U32" s="95">
        <v>115884</v>
      </c>
      <c r="V32" s="95">
        <v>3370</v>
      </c>
      <c r="W32" s="495">
        <v>331425</v>
      </c>
      <c r="X32" s="433" t="str">
        <f>"{"&amp;"'coin':"&amp;表1_8612182224267296[[#This Row],[补偿Coin]]&amp;",'"&amp;配置!$A$2&amp;"':"&amp;表1_8612182224267296[[#This Row],[补偿辎重]]&amp;"},"</f>
        <v>{'coin':1500,'item036':15},</v>
      </c>
      <c r="Y32" s="138" t="str">
        <f>"      '"&amp;表1_8612182224267296[[#This Row],[区服]]&amp;"':{"</f>
        <v>      '7030':{</v>
      </c>
    </row>
    <row r="33" customHeight="1" spans="1:25">
      <c r="A33" s="314">
        <v>7030</v>
      </c>
      <c r="B33" s="91">
        <f>VLOOKUP(表1_8612182224267296[[#This Row],[区服]],$P$44:$Q$57,2,FALSE)</f>
        <v>41</v>
      </c>
      <c r="C33" s="92" t="s">
        <v>215</v>
      </c>
      <c r="D33" s="93" t="str">
        <f>表1_8612182224267296[[#This Row],[目标国家]]</f>
        <v>蜀</v>
      </c>
      <c r="E33" s="95">
        <f>(VLOOKUP(表1_8612182224267296[[#This Row],[目标区服]],$R$44:$S$49,2,FALSE)-表1_8612182224267296[[#This Row],[开服天数]])*配置!$B$1</f>
        <v>1500</v>
      </c>
      <c r="F33" s="95">
        <f>表1_8612182224267296[[#This Row],[补偿Coin]]*(表1_8612182224267296[[#This Row],[活跃高战玩家数]]+表1_8612182224267296[[#This Row],[活跃中坚玩家数]])</f>
        <v>30000</v>
      </c>
      <c r="G33" s="95">
        <f>(VLOOKUP(表1_8612182224267296[[#This Row],[目标区服]],$R$44:$S$49,2,FALSE)-表1_8612182224267296[[#This Row],[开服天数]])*配置!$B$2</f>
        <v>15</v>
      </c>
      <c r="H33" s="93" t="s">
        <v>26</v>
      </c>
      <c r="I33" s="93">
        <f>IF(表1_8612182224267296[[#This Row],[原国家]]="魏",0,IF(表1_8612182224267296[[#This Row],[原国家]]="蜀",1,2))</f>
        <v>1</v>
      </c>
      <c r="J33" s="95">
        <v>2</v>
      </c>
      <c r="K33" s="95">
        <v>93</v>
      </c>
      <c r="L33" s="95">
        <v>2</v>
      </c>
      <c r="M33" s="95">
        <v>18</v>
      </c>
      <c r="N33" s="95">
        <v>81380</v>
      </c>
      <c r="O33" s="424">
        <v>1698792</v>
      </c>
      <c r="P33" s="326">
        <v>11954862</v>
      </c>
      <c r="Q33" s="137" t="s">
        <v>26</v>
      </c>
      <c r="R33" s="93">
        <f>IF(表1_8612182224267296[[#This Row],[目标国家]]="魏",0,IF(表1_8612182224267296[[#This Row],[目标国家]]="蜀",1,2))</f>
        <v>1</v>
      </c>
      <c r="S33" s="95">
        <v>47292</v>
      </c>
      <c r="T33" s="95">
        <v>0</v>
      </c>
      <c r="U33" s="95">
        <v>186443</v>
      </c>
      <c r="V33" s="95">
        <v>5943</v>
      </c>
      <c r="W33" s="495">
        <v>591322</v>
      </c>
      <c r="X33" s="433" t="str">
        <f>"{"&amp;"'coin':"&amp;表1_8612182224267296[[#This Row],[补偿Coin]]&amp;",'"&amp;配置!$A$2&amp;"':"&amp;表1_8612182224267296[[#This Row],[补偿辎重]]&amp;"},"</f>
        <v>{'coin':1500,'item036':15},</v>
      </c>
      <c r="Y33" s="138" t="str">
        <f>"            'to_zone':'"&amp;表1_8612182224267296[[#This Row],[目标区服]]&amp;"',
            'reward':"&amp;表1_8612182224267296[[#This Row],[辅助导出]]&amp;"
            'country':["&amp;R32&amp;","&amp;R33&amp;","&amp;R34&amp;"],"</f>
        <v>            'to_zone':'h1_714',
            'reward':{'coin':1500,'item036':15},
            'country':[0,1,2],</v>
      </c>
    </row>
    <row r="34" customHeight="1" spans="1:25">
      <c r="A34" s="314">
        <v>7030</v>
      </c>
      <c r="B34" s="91">
        <f>VLOOKUP(表1_8612182224267296[[#This Row],[区服]],$P$44:$Q$57,2,FALSE)</f>
        <v>41</v>
      </c>
      <c r="C34" s="92" t="s">
        <v>215</v>
      </c>
      <c r="D34" s="93" t="str">
        <f>表1_8612182224267296[[#This Row],[目标国家]]</f>
        <v>吴</v>
      </c>
      <c r="E34" s="95">
        <f>(VLOOKUP(表1_8612182224267296[[#This Row],[目标区服]],$R$44:$S$49,2,FALSE)-表1_8612182224267296[[#This Row],[开服天数]])*配置!$B$1</f>
        <v>1500</v>
      </c>
      <c r="F34" s="95">
        <f>表1_8612182224267296[[#This Row],[补偿Coin]]*(表1_8612182224267296[[#This Row],[活跃高战玩家数]]+表1_8612182224267296[[#This Row],[活跃中坚玩家数]])</f>
        <v>39000</v>
      </c>
      <c r="G34" s="95">
        <f>(VLOOKUP(表1_8612182224267296[[#This Row],[目标区服]],$R$44:$S$49,2,FALSE)-表1_8612182224267296[[#This Row],[开服天数]])*配置!$B$2</f>
        <v>15</v>
      </c>
      <c r="H34" s="93" t="s">
        <v>27</v>
      </c>
      <c r="I34" s="93">
        <f>IF(表1_8612182224267296[[#This Row],[原国家]]="魏",0,IF(表1_8612182224267296[[#This Row],[原国家]]="蜀",1,2))</f>
        <v>2</v>
      </c>
      <c r="J34" s="95">
        <v>5</v>
      </c>
      <c r="K34" s="95">
        <v>227</v>
      </c>
      <c r="L34" s="95">
        <v>7</v>
      </c>
      <c r="M34" s="95">
        <v>19</v>
      </c>
      <c r="N34" s="95">
        <v>146144</v>
      </c>
      <c r="O34" s="424">
        <v>1437790</v>
      </c>
      <c r="P34" s="326">
        <v>18874880</v>
      </c>
      <c r="Q34" s="137" t="s">
        <v>27</v>
      </c>
      <c r="R34" s="93">
        <f>IF(表1_8612182224267296[[#This Row],[目标国家]]="魏",0,IF(表1_8612182224267296[[#This Row],[目标国家]]="蜀",1,2))</f>
        <v>2</v>
      </c>
      <c r="S34" s="95">
        <v>33598</v>
      </c>
      <c r="T34" s="95">
        <v>0</v>
      </c>
      <c r="U34" s="95">
        <v>237477</v>
      </c>
      <c r="V34" s="95">
        <v>7952</v>
      </c>
      <c r="W34" s="495">
        <v>391914</v>
      </c>
      <c r="X34" s="433" t="str">
        <f>"{"&amp;"'coin':"&amp;表1_8612182224267296[[#This Row],[补偿Coin]]&amp;",'"&amp;配置!$A$2&amp;"':"&amp;表1_8612182224267296[[#This Row],[补偿辎重]]&amp;"},"</f>
        <v>{'coin':1500,'item036':15},</v>
      </c>
      <c r="Y34" s="138" t="str">
        <f t="shared" si="5"/>
        <v>      },</v>
      </c>
    </row>
    <row r="35" customHeight="1" spans="1:25">
      <c r="A35" s="370">
        <v>7031</v>
      </c>
      <c r="B35" s="81">
        <f>VLOOKUP(表1_8612182224267296[[#This Row],[区服]],$P$44:$Q$57,2,FALSE)</f>
        <v>40</v>
      </c>
      <c r="C35" s="82" t="s">
        <v>216</v>
      </c>
      <c r="D35" s="83" t="str">
        <f>表1_8612182224267296[[#This Row],[目标国家]]</f>
        <v>吴</v>
      </c>
      <c r="E35" s="85">
        <f>(VLOOKUP(表1_8612182224267296[[#This Row],[目标区服]],$R$44:$S$49,2,FALSE)-表1_8612182224267296[[#This Row],[开服天数]])*配置!$B$1</f>
        <v>1000</v>
      </c>
      <c r="F35" s="85">
        <f>表1_8612182224267296[[#This Row],[补偿Coin]]*(表1_8612182224267296[[#This Row],[活跃高战玩家数]]+表1_8612182224267296[[#This Row],[活跃中坚玩家数]])</f>
        <v>6000</v>
      </c>
      <c r="G35" s="85">
        <f>(VLOOKUP(表1_8612182224267296[[#This Row],[目标区服]],$R$44:$S$49,2,FALSE)-表1_8612182224267296[[#This Row],[开服天数]])*配置!$B$2</f>
        <v>10</v>
      </c>
      <c r="H35" s="83" t="s">
        <v>25</v>
      </c>
      <c r="I35" s="83">
        <f>IF(表1_8612182224267296[[#This Row],[原国家]]="魏",0,IF(表1_8612182224267296[[#This Row],[原国家]]="蜀",1,2))</f>
        <v>0</v>
      </c>
      <c r="J35" s="85">
        <v>0</v>
      </c>
      <c r="K35" s="85">
        <v>28</v>
      </c>
      <c r="L35" s="85">
        <v>0</v>
      </c>
      <c r="M35" s="85">
        <v>6</v>
      </c>
      <c r="N35" s="85">
        <v>17953</v>
      </c>
      <c r="O35" s="422">
        <v>649313</v>
      </c>
      <c r="P35" s="379">
        <v>2400844</v>
      </c>
      <c r="Q35" s="128" t="s">
        <v>27</v>
      </c>
      <c r="R35" s="83">
        <f>IF(表1_8612182224267296[[#This Row],[目标国家]]="魏",0,IF(表1_8612182224267296[[#This Row],[目标国家]]="蜀",1,2))</f>
        <v>2</v>
      </c>
      <c r="S35" s="85">
        <v>2538</v>
      </c>
      <c r="T35" s="85">
        <v>0</v>
      </c>
      <c r="U35" s="85">
        <v>38475</v>
      </c>
      <c r="V35" s="85">
        <v>1354</v>
      </c>
      <c r="W35" s="489">
        <v>192535</v>
      </c>
      <c r="X35" s="431" t="str">
        <f>"{"&amp;"'coin':"&amp;表1_8612182224267296[[#This Row],[补偿Coin]]&amp;",'"&amp;配置!$A$2&amp;"':"&amp;表1_8612182224267296[[#This Row],[补偿辎重]]&amp;"},"</f>
        <v>{'coin':1000,'item036':10},</v>
      </c>
      <c r="Y35" s="149" t="str">
        <f>"      '"&amp;表1_8612182224267296[[#This Row],[区服]]&amp;"':{"</f>
        <v>      '7031':{</v>
      </c>
    </row>
    <row r="36" customHeight="1" spans="1:25">
      <c r="A36" s="370">
        <v>7031</v>
      </c>
      <c r="B36" s="81">
        <f>VLOOKUP(表1_8612182224267296[[#This Row],[区服]],$P$44:$Q$57,2,FALSE)</f>
        <v>40</v>
      </c>
      <c r="C36" s="82" t="s">
        <v>216</v>
      </c>
      <c r="D36" s="83" t="str">
        <f>表1_8612182224267296[[#This Row],[目标国家]]</f>
        <v>魏</v>
      </c>
      <c r="E36" s="85">
        <f>(VLOOKUP(表1_8612182224267296[[#This Row],[目标区服]],$R$44:$S$49,2,FALSE)-表1_8612182224267296[[#This Row],[开服天数]])*配置!$B$1</f>
        <v>1000</v>
      </c>
      <c r="F36" s="85">
        <f>表1_8612182224267296[[#This Row],[补偿Coin]]*(表1_8612182224267296[[#This Row],[活跃高战玩家数]]+表1_8612182224267296[[#This Row],[活跃中坚玩家数]])</f>
        <v>10000</v>
      </c>
      <c r="G36" s="85">
        <f>(VLOOKUP(表1_8612182224267296[[#This Row],[目标区服]],$R$44:$S$49,2,FALSE)-表1_8612182224267296[[#This Row],[开服天数]])*配置!$B$2</f>
        <v>10</v>
      </c>
      <c r="H36" s="83" t="s">
        <v>26</v>
      </c>
      <c r="I36" s="83">
        <f>IF(表1_8612182224267296[[#This Row],[原国家]]="魏",0,IF(表1_8612182224267296[[#This Row],[原国家]]="蜀",1,2))</f>
        <v>1</v>
      </c>
      <c r="J36" s="85">
        <v>1</v>
      </c>
      <c r="K36" s="85">
        <v>33</v>
      </c>
      <c r="L36" s="85">
        <v>0</v>
      </c>
      <c r="M36" s="85">
        <v>10</v>
      </c>
      <c r="N36" s="85">
        <v>28644</v>
      </c>
      <c r="O36" s="422">
        <v>508558</v>
      </c>
      <c r="P36" s="379">
        <v>3660470</v>
      </c>
      <c r="Q36" s="128" t="s">
        <v>25</v>
      </c>
      <c r="R36" s="83">
        <f>IF(表1_8612182224267296[[#This Row],[目标国家]]="魏",0,IF(表1_8612182224267296[[#This Row],[目标国家]]="蜀",1,2))</f>
        <v>0</v>
      </c>
      <c r="S36" s="85">
        <v>564</v>
      </c>
      <c r="T36" s="85">
        <v>0</v>
      </c>
      <c r="U36" s="85">
        <v>25789</v>
      </c>
      <c r="V36" s="85">
        <v>1477</v>
      </c>
      <c r="W36" s="489">
        <v>217744</v>
      </c>
      <c r="X36" s="431" t="str">
        <f>"{"&amp;"'coin':"&amp;表1_8612182224267296[[#This Row],[补偿Coin]]&amp;",'"&amp;配置!$A$2&amp;"':"&amp;表1_8612182224267296[[#This Row],[补偿辎重]]&amp;"},"</f>
        <v>{'coin':1000,'item036':10},</v>
      </c>
      <c r="Y36" s="149" t="str">
        <f>"            'to_zone':'"&amp;表1_8612182224267296[[#This Row],[目标区服]]&amp;"',
            'reward':"&amp;表1_8612182224267296[[#This Row],[辅助导出]]&amp;"
            'country':["&amp;R35&amp;","&amp;R36&amp;","&amp;R37&amp;"],"</f>
        <v>            'to_zone':'h1_715',
            'reward':{'coin':1000,'item036':10},
            'country':[2,0,0],</v>
      </c>
    </row>
    <row r="37" customHeight="1" spans="1:25">
      <c r="A37" s="370">
        <v>7031</v>
      </c>
      <c r="B37" s="81">
        <f>VLOOKUP(表1_8612182224267296[[#This Row],[区服]],$P$44:$Q$57,2,FALSE)</f>
        <v>40</v>
      </c>
      <c r="C37" s="82" t="s">
        <v>216</v>
      </c>
      <c r="D37" s="83" t="str">
        <f>表1_8612182224267296[[#This Row],[目标国家]]</f>
        <v>魏</v>
      </c>
      <c r="E37" s="85">
        <f>(VLOOKUP(表1_8612182224267296[[#This Row],[目标区服]],$R$44:$S$49,2,FALSE)-表1_8612182224267296[[#This Row],[开服天数]])*配置!$B$1</f>
        <v>1000</v>
      </c>
      <c r="F37" s="85">
        <f>表1_8612182224267296[[#This Row],[补偿Coin]]*(表1_8612182224267296[[#This Row],[活跃高战玩家数]]+表1_8612182224267296[[#This Row],[活跃中坚玩家数]])</f>
        <v>33000</v>
      </c>
      <c r="G37" s="85">
        <f>(VLOOKUP(表1_8612182224267296[[#This Row],[目标区服]],$R$44:$S$49,2,FALSE)-表1_8612182224267296[[#This Row],[开服天数]])*配置!$B$2</f>
        <v>10</v>
      </c>
      <c r="H37" s="83" t="s">
        <v>27</v>
      </c>
      <c r="I37" s="83">
        <f>IF(表1_8612182224267296[[#This Row],[原国家]]="魏",0,IF(表1_8612182224267296[[#This Row],[原国家]]="蜀",1,2))</f>
        <v>2</v>
      </c>
      <c r="J37" s="85">
        <v>8</v>
      </c>
      <c r="K37" s="85">
        <v>334</v>
      </c>
      <c r="L37" s="85">
        <v>9</v>
      </c>
      <c r="M37" s="85">
        <v>24</v>
      </c>
      <c r="N37" s="85">
        <v>186554</v>
      </c>
      <c r="O37" s="422">
        <v>2288974</v>
      </c>
      <c r="P37" s="379">
        <v>25014323</v>
      </c>
      <c r="Q37" s="128" t="s">
        <v>25</v>
      </c>
      <c r="R37" s="83">
        <f>IF(表1_8612182224267296[[#This Row],[目标国家]]="魏",0,IF(表1_8612182224267296[[#This Row],[目标国家]]="蜀",1,2))</f>
        <v>0</v>
      </c>
      <c r="S37" s="85">
        <v>53150</v>
      </c>
      <c r="T37" s="85">
        <v>0</v>
      </c>
      <c r="U37" s="85">
        <v>395689</v>
      </c>
      <c r="V37" s="85">
        <v>11655</v>
      </c>
      <c r="W37" s="489">
        <v>606930</v>
      </c>
      <c r="X37" s="431" t="str">
        <f>"{"&amp;"'coin':"&amp;表1_8612182224267296[[#This Row],[补偿Coin]]&amp;",'"&amp;配置!$A$2&amp;"':"&amp;表1_8612182224267296[[#This Row],[补偿辎重]]&amp;"},"</f>
        <v>{'coin':1000,'item036':10},</v>
      </c>
      <c r="Y37" s="149" t="str">
        <f t="shared" si="5"/>
        <v>      },</v>
      </c>
    </row>
    <row r="38" customHeight="1" spans="1:25">
      <c r="A38" s="370">
        <v>7032</v>
      </c>
      <c r="B38" s="81">
        <f>VLOOKUP(表1_8612182224267296[[#This Row],[区服]],$P$44:$Q$57,2,FALSE)</f>
        <v>39</v>
      </c>
      <c r="C38" s="82" t="s">
        <v>216</v>
      </c>
      <c r="D38" s="83" t="str">
        <f>表1_8612182224267296[[#This Row],[目标国家]]</f>
        <v>蜀</v>
      </c>
      <c r="E38" s="85">
        <f>(VLOOKUP(表1_8612182224267296[[#This Row],[目标区服]],$R$44:$S$49,2,FALSE)-表1_8612182224267296[[#This Row],[开服天数]])*配置!$B$1</f>
        <v>1500</v>
      </c>
      <c r="F38" s="85">
        <f>表1_8612182224267296[[#This Row],[补偿Coin]]*(表1_8612182224267296[[#This Row],[活跃高战玩家数]]+表1_8612182224267296[[#This Row],[活跃中坚玩家数]])</f>
        <v>21000</v>
      </c>
      <c r="G38" s="85">
        <f>(VLOOKUP(表1_8612182224267296[[#This Row],[目标区服]],$R$44:$S$49,2,FALSE)-表1_8612182224267296[[#This Row],[开服天数]])*配置!$B$2</f>
        <v>15</v>
      </c>
      <c r="H38" s="83" t="s">
        <v>25</v>
      </c>
      <c r="I38" s="83">
        <f>IF(表1_8612182224267296[[#This Row],[原国家]]="魏",0,IF(表1_8612182224267296[[#This Row],[原国家]]="蜀",1,2))</f>
        <v>0</v>
      </c>
      <c r="J38" s="85">
        <v>1</v>
      </c>
      <c r="K38" s="85">
        <v>61</v>
      </c>
      <c r="L38" s="85">
        <v>1</v>
      </c>
      <c r="M38" s="85">
        <v>13</v>
      </c>
      <c r="N38" s="85">
        <v>34973</v>
      </c>
      <c r="O38" s="422">
        <v>1298576</v>
      </c>
      <c r="P38" s="379">
        <v>6338232</v>
      </c>
      <c r="Q38" s="128" t="s">
        <v>26</v>
      </c>
      <c r="R38" s="83">
        <f>IF(表1_8612182224267296[[#This Row],[目标国家]]="魏",0,IF(表1_8612182224267296[[#This Row],[目标国家]]="蜀",1,2))</f>
        <v>1</v>
      </c>
      <c r="S38" s="85">
        <v>2908</v>
      </c>
      <c r="T38" s="85">
        <v>34618</v>
      </c>
      <c r="U38" s="85">
        <v>248704</v>
      </c>
      <c r="V38" s="85">
        <v>3375</v>
      </c>
      <c r="W38" s="489">
        <v>445445</v>
      </c>
      <c r="X38" s="431" t="str">
        <f>"{"&amp;"'coin':"&amp;表1_8612182224267296[[#This Row],[补偿Coin]]&amp;",'"&amp;配置!$A$2&amp;"':"&amp;表1_8612182224267296[[#This Row],[补偿辎重]]&amp;"},"</f>
        <v>{'coin':1500,'item036':15},</v>
      </c>
      <c r="Y38" s="149" t="str">
        <f>"      '"&amp;表1_8612182224267296[[#This Row],[区服]]&amp;"':{"</f>
        <v>      '7032':{</v>
      </c>
    </row>
    <row r="39" customHeight="1" spans="1:25">
      <c r="A39" s="370">
        <v>7032</v>
      </c>
      <c r="B39" s="81">
        <f>VLOOKUP(表1_8612182224267296[[#This Row],[区服]],$P$44:$Q$57,2,FALSE)</f>
        <v>39</v>
      </c>
      <c r="C39" s="82" t="s">
        <v>216</v>
      </c>
      <c r="D39" s="83" t="str">
        <f>表1_8612182224267296[[#This Row],[目标国家]]</f>
        <v>蜀</v>
      </c>
      <c r="E39" s="85">
        <f>(VLOOKUP(表1_8612182224267296[[#This Row],[目标区服]],$R$44:$S$49,2,FALSE)-表1_8612182224267296[[#This Row],[开服天数]])*配置!$B$1</f>
        <v>1500</v>
      </c>
      <c r="F39" s="85">
        <f>表1_8612182224267296[[#This Row],[补偿Coin]]*(表1_8612182224267296[[#This Row],[活跃高战玩家数]]+表1_8612182224267296[[#This Row],[活跃中坚玩家数]])</f>
        <v>39000</v>
      </c>
      <c r="G39" s="85">
        <f>(VLOOKUP(表1_8612182224267296[[#This Row],[目标区服]],$R$44:$S$49,2,FALSE)-表1_8612182224267296[[#This Row],[开服天数]])*配置!$B$2</f>
        <v>15</v>
      </c>
      <c r="H39" s="83" t="s">
        <v>26</v>
      </c>
      <c r="I39" s="83">
        <f>IF(表1_8612182224267296[[#This Row],[原国家]]="魏",0,IF(表1_8612182224267296[[#This Row],[原国家]]="蜀",1,2))</f>
        <v>1</v>
      </c>
      <c r="J39" s="85">
        <v>3</v>
      </c>
      <c r="K39" s="85">
        <v>166</v>
      </c>
      <c r="L39" s="85">
        <v>3</v>
      </c>
      <c r="M39" s="85">
        <v>23</v>
      </c>
      <c r="N39" s="85">
        <v>118524</v>
      </c>
      <c r="O39" s="422">
        <v>2009091</v>
      </c>
      <c r="P39" s="379">
        <v>16712579</v>
      </c>
      <c r="Q39" s="128" t="s">
        <v>26</v>
      </c>
      <c r="R39" s="83">
        <f>IF(表1_8612182224267296[[#This Row],[目标国家]]="魏",0,IF(表1_8612182224267296[[#This Row],[目标国家]]="蜀",1,2))</f>
        <v>1</v>
      </c>
      <c r="S39" s="85">
        <v>35234</v>
      </c>
      <c r="T39" s="85">
        <v>0</v>
      </c>
      <c r="U39" s="85">
        <v>215420</v>
      </c>
      <c r="V39" s="85">
        <v>7397</v>
      </c>
      <c r="W39" s="489">
        <v>513149</v>
      </c>
      <c r="X39" s="431" t="str">
        <f>"{"&amp;"'coin':"&amp;表1_8612182224267296[[#This Row],[补偿Coin]]&amp;",'"&amp;配置!$A$2&amp;"':"&amp;表1_8612182224267296[[#This Row],[补偿辎重]]&amp;"},"</f>
        <v>{'coin':1500,'item036':15},</v>
      </c>
      <c r="Y39" s="149" t="str">
        <f>"            'to_zone':'"&amp;表1_8612182224267296[[#This Row],[目标区服]]&amp;"',
            'reward':"&amp;表1_8612182224267296[[#This Row],[辅助导出]]&amp;"
            'country':["&amp;R38&amp;","&amp;R39&amp;","&amp;R40&amp;"],"</f>
        <v>            'to_zone':'h1_715',
            'reward':{'coin':1500,'item036':15},
            'country':[1,1,2],</v>
      </c>
    </row>
    <row r="40" customHeight="1" spans="1:25">
      <c r="A40" s="370">
        <v>7032</v>
      </c>
      <c r="B40" s="81">
        <f>VLOOKUP(表1_8612182224267296[[#This Row],[区服]],$P$44:$Q$57,2,FALSE)</f>
        <v>39</v>
      </c>
      <c r="C40" s="82" t="s">
        <v>216</v>
      </c>
      <c r="D40" s="83" t="str">
        <f>表1_8612182224267296[[#This Row],[目标国家]]</f>
        <v>吴</v>
      </c>
      <c r="E40" s="85">
        <f>(VLOOKUP(表1_8612182224267296[[#This Row],[目标区服]],$R$44:$S$49,2,FALSE)-表1_8612182224267296[[#This Row],[开服天数]])*配置!$B$1</f>
        <v>1500</v>
      </c>
      <c r="F40" s="85">
        <f>表1_8612182224267296[[#This Row],[补偿Coin]]*(表1_8612182224267296[[#This Row],[活跃高战玩家数]]+表1_8612182224267296[[#This Row],[活跃中坚玩家数]])</f>
        <v>45000</v>
      </c>
      <c r="G40" s="85">
        <f>(VLOOKUP(表1_8612182224267296[[#This Row],[目标区服]],$R$44:$S$49,2,FALSE)-表1_8612182224267296[[#This Row],[开服天数]])*配置!$B$2</f>
        <v>15</v>
      </c>
      <c r="H40" s="83" t="s">
        <v>27</v>
      </c>
      <c r="I40" s="83">
        <f>IF(表1_8612182224267296[[#This Row],[原国家]]="魏",0,IF(表1_8612182224267296[[#This Row],[原国家]]="蜀",1,2))</f>
        <v>2</v>
      </c>
      <c r="J40" s="85">
        <v>5</v>
      </c>
      <c r="K40" s="85">
        <v>168</v>
      </c>
      <c r="L40" s="85">
        <v>6</v>
      </c>
      <c r="M40" s="85">
        <v>24</v>
      </c>
      <c r="N40" s="85">
        <v>142833</v>
      </c>
      <c r="O40" s="422">
        <v>2153895</v>
      </c>
      <c r="P40" s="379">
        <v>20533816</v>
      </c>
      <c r="Q40" s="128" t="s">
        <v>27</v>
      </c>
      <c r="R40" s="83">
        <f>IF(表1_8612182224267296[[#This Row],[目标国家]]="魏",0,IF(表1_8612182224267296[[#This Row],[目标国家]]="蜀",1,2))</f>
        <v>2</v>
      </c>
      <c r="S40" s="85">
        <v>60542</v>
      </c>
      <c r="T40" s="85">
        <v>0</v>
      </c>
      <c r="U40" s="85">
        <v>377320</v>
      </c>
      <c r="V40" s="85">
        <v>9106</v>
      </c>
      <c r="W40" s="84">
        <v>602833</v>
      </c>
      <c r="X40" s="431" t="str">
        <f>"{"&amp;"'coin':"&amp;表1_8612182224267296[[#This Row],[补偿Coin]]&amp;",'"&amp;配置!$A$2&amp;"':"&amp;表1_8612182224267296[[#This Row],[补偿辎重]]&amp;"},"</f>
        <v>{'coin':1500,'item036':15},</v>
      </c>
      <c r="Y40" s="149" t="str">
        <f t="shared" si="5"/>
        <v>      },</v>
      </c>
    </row>
    <row r="43" ht="27" spans="1:19">
      <c r="A43" s="36" t="s">
        <v>28</v>
      </c>
      <c r="B43" s="37" t="s">
        <v>29</v>
      </c>
      <c r="C43" s="38" t="s">
        <v>30</v>
      </c>
      <c r="D43" s="38" t="s">
        <v>31</v>
      </c>
      <c r="E43" s="38" t="s">
        <v>32</v>
      </c>
      <c r="F43" s="38" t="s">
        <v>33</v>
      </c>
      <c r="G43" s="38" t="s">
        <v>15</v>
      </c>
      <c r="H43" s="37" t="s">
        <v>18</v>
      </c>
      <c r="I43" s="37" t="s">
        <v>19</v>
      </c>
      <c r="J43" s="37" t="s">
        <v>34</v>
      </c>
      <c r="K43" s="38" t="s">
        <v>35</v>
      </c>
      <c r="L43" s="38" t="s">
        <v>36</v>
      </c>
      <c r="M43" s="38" t="s">
        <v>37</v>
      </c>
      <c r="N43" s="38" t="s">
        <v>88</v>
      </c>
      <c r="P43" s="51" t="s">
        <v>0</v>
      </c>
      <c r="Q43" s="51" t="s">
        <v>1</v>
      </c>
      <c r="R43" s="51"/>
      <c r="S43" s="51" t="s">
        <v>38</v>
      </c>
    </row>
    <row r="44" ht="15" spans="1:19">
      <c r="A44" s="372" t="s">
        <v>211</v>
      </c>
      <c r="B44" s="39" t="s">
        <v>25</v>
      </c>
      <c r="C44" s="39">
        <f>COUNTIFS(表1_8612182224267296[目标区服],表2_9713192325277397[[#This Row],[合区区服]],表1_8612182224267296[目标国家（映射）],表2_9713192325277397[[#This Row],[国家]])</f>
        <v>3</v>
      </c>
      <c r="D44" s="39">
        <f>SUMIFS(表1_8612182224267296[活跃高战玩家数],表1_8612182224267296[目标区服],表2_9713192325277397[[#This Row],[合区区服]],表1_8612182224267296[目标国家（映射）],表2_9713192325277397[[#This Row],[国家]])</f>
        <v>7</v>
      </c>
      <c r="E44" s="39">
        <f>SUMIFS(表1_8612182224267296[活跃中坚玩家数],表1_8612182224267296[目标区服],表2_9713192325277397[[#This Row],[合区区服]],表1_8612182224267296[目标国家（映射）],表2_9713192325277397[[#This Row],[国家]])</f>
        <v>49</v>
      </c>
      <c r="F44" s="39">
        <f t="array" ref="F44">MAX((表1_8612182224267296[目标区服]=表2_9713192325277397[[#This Row],[合区区服]])*(表1_8612182224267296[目标国家（映射）]=表2_9713192325277397[[#This Row],[国家]])*表1_8612182224267296[活跃尖端战力])</f>
        <v>3090813</v>
      </c>
      <c r="G44" s="40">
        <f>SUMIFS(表1_8612182224267296[活跃总战力],表1_8612182224267296[目标区服],表2_9713192325277397[[#This Row],[合区区服]],表1_8612182224267296[目标国家（映射）],表2_9713192325277397[[#This Row],[国家]])</f>
        <v>42820837</v>
      </c>
      <c r="H44" s="39">
        <f>SUMIFS(表1_8612182224267296[活跃实际充值],表1_8612182224267296[目标区服],表2_9713192325277397[[#This Row],[合区区服]],表1_8612182224267296[目标国家（映射）],表2_9713192325277397[[#This Row],[国家]])</f>
        <v>142974</v>
      </c>
      <c r="I44" s="39">
        <f>SUMIFS(表1_8612182224267296[活跃虚拟充值],表1_8612182224267296[目标区服],表2_9713192325277397[[#This Row],[合区区服]],表1_8612182224267296[目标国家（映射）],表2_9713192325277397[[#This Row],[国家]])</f>
        <v>0</v>
      </c>
      <c r="J44" s="39">
        <f>SUMIFS(表1_8612182224267296[活跃Coin],表1_8612182224267296[目标区服],表2_9713192325277397[[#This Row],[合区区服]],表1_8612182224267296[目标国家（映射）],表2_9713192325277397[[#This Row],[国家]])</f>
        <v>586130</v>
      </c>
      <c r="K44" s="39">
        <f>SUMIFS(表1_8612182224267296[共计补偿Coin],表1_8612182224267296[目标区服],表2_9713192325277397[[#This Row],[合区区服]],表1_8612182224267296[目标国家（映射）],表2_9713192325277397[[#This Row],[国家]])</f>
        <v>97000</v>
      </c>
      <c r="L44" s="39">
        <f>表2_9713192325277397[[#This Row],[活跃Coin]]+表2_9713192325277397[[#This Row],[共计补偿Coin]]</f>
        <v>683130</v>
      </c>
      <c r="M44" s="39">
        <f>SUMIFS(表1_8612182224267296[综合国力],表1_8612182224267296[目标区服],表2_9713192325277397[[#This Row],[合区区服]],表1_8612182224267296[目标国家（映射）],表2_9713192325277397[[#This Row],[国家]])</f>
        <v>18930</v>
      </c>
      <c r="N44" s="39">
        <f t="array" ref="N44">MAX((表1_8612182224267296[目标区服]=表2_9713192325277397[[#This Row],[合区区服]])*(表1_8612182224267296[目标国家（映射）]=表2_9713192325277397[[#This Row],[国家]])*表1_8612182224267296[单将最高战力])</f>
        <v>903456</v>
      </c>
      <c r="P44" s="51">
        <v>7020</v>
      </c>
      <c r="Q44" s="51">
        <v>49</v>
      </c>
      <c r="R44" s="51" t="s">
        <v>211</v>
      </c>
      <c r="S44" s="51">
        <v>51</v>
      </c>
    </row>
    <row r="45" ht="15" spans="1:19">
      <c r="A45" s="372" t="s">
        <v>211</v>
      </c>
      <c r="B45" s="39" t="s">
        <v>26</v>
      </c>
      <c r="C45" s="39">
        <f>COUNTIFS(表1_8612182224267296[目标区服],表2_9713192325277397[[#This Row],[合区区服]],表1_8612182224267296[目标国家（映射）],表2_9713192325277397[[#This Row],[国家]])</f>
        <v>3</v>
      </c>
      <c r="D45" s="39">
        <f>SUMIFS(表1_8612182224267296[活跃高战玩家数],表1_8612182224267296[目标区服],表2_9713192325277397[[#This Row],[合区区服]],表1_8612182224267296[目标国家（映射）],表2_9713192325277397[[#This Row],[国家]])</f>
        <v>10</v>
      </c>
      <c r="E45" s="39">
        <f>SUMIFS(表1_8612182224267296[活跃中坚玩家数],表1_8612182224267296[目标区服],表2_9713192325277397[[#This Row],[合区区服]],表1_8612182224267296[目标国家（映射）],表2_9713192325277397[[#This Row],[国家]])</f>
        <v>39</v>
      </c>
      <c r="F45" s="39">
        <f t="array" ref="F45">MAX((表1_8612182224267296[目标区服]=表2_9713192325277397[[#This Row],[合区区服]])*(表1_8612182224267296[目标国家（映射）]=表2_9713192325277397[[#This Row],[国家]])*表1_8612182224267296[活跃尖端战力])</f>
        <v>2729006</v>
      </c>
      <c r="G45" s="40">
        <f>SUMIFS(表1_8612182224267296[活跃总战力],表1_8612182224267296[目标区服],表2_9713192325277397[[#This Row],[合区区服]],表1_8612182224267296[目标国家（映射）],表2_9713192325277397[[#This Row],[国家]])</f>
        <v>38645205</v>
      </c>
      <c r="H45" s="39">
        <f>SUMIFS(表1_8612182224267296[活跃实际充值],表1_8612182224267296[目标区服],表2_9713192325277397[[#This Row],[合区区服]],表1_8612182224267296[目标国家（映射）],表2_9713192325277397[[#This Row],[国家]])</f>
        <v>127678</v>
      </c>
      <c r="I45" s="39">
        <f>SUMIFS(表1_8612182224267296[活跃虚拟充值],表1_8612182224267296[目标区服],表2_9713192325277397[[#This Row],[合区区服]],表1_8612182224267296[目标国家（映射）],表2_9713192325277397[[#This Row],[国家]])</f>
        <v>0</v>
      </c>
      <c r="J45" s="39">
        <f>SUMIFS(表1_8612182224267296[活跃Coin],表1_8612182224267296[目标区服],表2_9713192325277397[[#This Row],[合区区服]],表1_8612182224267296[目标国家（映射）],表2_9713192325277397[[#This Row],[国家]])</f>
        <v>1079652</v>
      </c>
      <c r="K45" s="39">
        <f>SUMIFS(表1_8612182224267296[共计补偿Coin],表1_8612182224267296[目标区服],表2_9713192325277397[[#This Row],[合区区服]],表1_8612182224267296[目标国家（映射）],表2_9713192325277397[[#This Row],[国家]])</f>
        <v>52500</v>
      </c>
      <c r="L45" s="39">
        <f>表2_9713192325277397[[#This Row],[活跃Coin]]+表2_9713192325277397[[#This Row],[共计补偿Coin]]</f>
        <v>1132152</v>
      </c>
      <c r="M45" s="39">
        <f>SUMIFS(表1_8612182224267296[综合国力],表1_8612182224267296[目标区服],表2_9713192325277397[[#This Row],[合区区服]],表1_8612182224267296[目标国家（映射）],表2_9713192325277397[[#This Row],[国家]])</f>
        <v>18758</v>
      </c>
      <c r="N45" s="39">
        <f t="array" ref="N45">MAX((表1_8612182224267296[目标区服]=表2_9713192325277397[[#This Row],[合区区服]])*(表1_8612182224267296[目标国家（映射）]=表2_9713192325277397[[#This Row],[国家]])*表1_8612182224267296[单将最高战力])</f>
        <v>939609</v>
      </c>
      <c r="P45" s="51">
        <v>7021</v>
      </c>
      <c r="Q45" s="51">
        <v>48</v>
      </c>
      <c r="R45" s="51" t="s">
        <v>212</v>
      </c>
      <c r="S45" s="51">
        <v>48</v>
      </c>
    </row>
    <row r="46" ht="15" spans="1:19">
      <c r="A46" s="372" t="s">
        <v>211</v>
      </c>
      <c r="B46" s="39" t="s">
        <v>27</v>
      </c>
      <c r="C46" s="39">
        <f>COUNTIFS(表1_8612182224267296[目标区服],表2_9713192325277397[[#This Row],[合区区服]],表1_8612182224267296[目标国家（映射）],表2_9713192325277397[[#This Row],[国家]])</f>
        <v>3</v>
      </c>
      <c r="D46" s="39">
        <f>SUMIFS(表1_8612182224267296[活跃高战玩家数],表1_8612182224267296[目标区服],表2_9713192325277397[[#This Row],[合区区服]],表1_8612182224267296[目标国家（映射）],表2_9713192325277397[[#This Row],[国家]])</f>
        <v>13</v>
      </c>
      <c r="E46" s="39">
        <f>SUMIFS(表1_8612182224267296[活跃中坚玩家数],表1_8612182224267296[目标区服],表2_9713192325277397[[#This Row],[合区区服]],表1_8612182224267296[目标国家（映射）],表2_9713192325277397[[#This Row],[国家]])</f>
        <v>62</v>
      </c>
      <c r="F46" s="39">
        <f t="array" ref="F46">MAX((表1_8612182224267296[目标区服]=表2_9713192325277397[[#This Row],[合区区服]])*(表1_8612182224267296[目标国家（映射）]=表2_9713192325277397[[#This Row],[国家]])*表1_8612182224267296[活跃尖端战力])</f>
        <v>2561910</v>
      </c>
      <c r="G46" s="40">
        <f>SUMIFS(表1_8612182224267296[活跃总战力],表1_8612182224267296[目标区服],表2_9713192325277397[[#This Row],[合区区服]],表1_8612182224267296[目标国家（映射）],表2_9713192325277397[[#This Row],[国家]])</f>
        <v>58380728</v>
      </c>
      <c r="H46" s="39">
        <f>SUMIFS(表1_8612182224267296[活跃实际充值],表1_8612182224267296[目标区服],表2_9713192325277397[[#This Row],[合区区服]],表1_8612182224267296[目标国家（映射）],表2_9713192325277397[[#This Row],[国家]])</f>
        <v>114088</v>
      </c>
      <c r="I46" s="39">
        <f>SUMIFS(表1_8612182224267296[活跃虚拟充值],表1_8612182224267296[目标区服],表2_9713192325277397[[#This Row],[合区区服]],表1_8612182224267296[目标国家（映射）],表2_9713192325277397[[#This Row],[国家]])</f>
        <v>0</v>
      </c>
      <c r="J46" s="39">
        <f>SUMIFS(表1_8612182224267296[活跃Coin],表1_8612182224267296[目标区服],表2_9713192325277397[[#This Row],[合区区服]],表1_8612182224267296[目标国家（映射）],表2_9713192325277397[[#This Row],[国家]])</f>
        <v>578542</v>
      </c>
      <c r="K46" s="39">
        <f>SUMIFS(表1_8612182224267296[共计补偿Coin],表1_8612182224267296[目标区服],表2_9713192325277397[[#This Row],[合区区服]],表1_8612182224267296[目标国家（映射）],表2_9713192325277397[[#This Row],[国家]])</f>
        <v>124500</v>
      </c>
      <c r="L46" s="39">
        <f>表2_9713192325277397[[#This Row],[活跃Coin]]+表2_9713192325277397[[#This Row],[共计补偿Coin]]</f>
        <v>703042</v>
      </c>
      <c r="M46" s="39">
        <f>SUMIFS(表1_8612182224267296[综合国力],表1_8612182224267296[目标区服],表2_9713192325277397[[#This Row],[合区区服]],表1_8612182224267296[目标国家（映射）],表2_9713192325277397[[#This Row],[国家]])</f>
        <v>24122</v>
      </c>
      <c r="N46" s="39">
        <f t="array" ref="N46">MAX((表1_8612182224267296[目标区服]=表2_9713192325277397[[#This Row],[合区区服]])*(表1_8612182224267296[目标国家（映射）]=表2_9713192325277397[[#This Row],[国家]])*表1_8612182224267296[单将最高战力])</f>
        <v>790832</v>
      </c>
      <c r="P46" s="51">
        <v>7022</v>
      </c>
      <c r="Q46" s="51">
        <v>47</v>
      </c>
      <c r="R46" s="51" t="s">
        <v>213</v>
      </c>
      <c r="S46" s="51">
        <v>47</v>
      </c>
    </row>
    <row r="47" ht="15" spans="1:19">
      <c r="A47" s="296" t="s">
        <v>212</v>
      </c>
      <c r="B47" s="41" t="s">
        <v>25</v>
      </c>
      <c r="C47" s="41">
        <f>COUNTIFS(表1_8612182224267296[目标区服],表2_9713192325277397[[#This Row],[合区区服]],表1_8612182224267296[目标国家（映射）],表2_9713192325277397[[#This Row],[国家]])</f>
        <v>1</v>
      </c>
      <c r="D47" s="41">
        <f>SUMIFS(表1_8612182224267296[活跃高战玩家数],表1_8612182224267296[目标区服],表2_9713192325277397[[#This Row],[合区区服]],表1_8612182224267296[目标国家（映射）],表2_9713192325277397[[#This Row],[国家]])</f>
        <v>7</v>
      </c>
      <c r="E47" s="41">
        <f>SUMIFS(表1_8612182224267296[活跃中坚玩家数],表1_8612182224267296[目标区服],表2_9713192325277397[[#This Row],[合区区服]],表1_8612182224267296[目标国家（映射）],表2_9713192325277397[[#This Row],[国家]])</f>
        <v>22</v>
      </c>
      <c r="F47" s="41">
        <f t="array" ref="F47">MAX((表1_8612182224267296[目标区服]=表2_9713192325277397[[#This Row],[合区区服]])*(表1_8612182224267296[目标国家（映射）]=表2_9713192325277397[[#This Row],[国家]])*表1_8612182224267296[活跃尖端战力])</f>
        <v>3063156</v>
      </c>
      <c r="G47" s="42">
        <f>SUMIFS(表1_8612182224267296[活跃总战力],表1_8612182224267296[目标区服],表2_9713192325277397[[#This Row],[合区区服]],表1_8612182224267296[目标国家（映射）],表2_9713192325277397[[#This Row],[国家]])</f>
        <v>26785257</v>
      </c>
      <c r="H47" s="41">
        <f>SUMIFS(表1_8612182224267296[活跃实际充值],表1_8612182224267296[目标区服],表2_9713192325277397[[#This Row],[合区区服]],表1_8612182224267296[目标国家（映射）],表2_9713192325277397[[#This Row],[国家]])</f>
        <v>116640</v>
      </c>
      <c r="I47" s="41">
        <f>SUMIFS(表1_8612182224267296[活跃虚拟充值],表1_8612182224267296[目标区服],表2_9713192325277397[[#This Row],[合区区服]],表1_8612182224267296[目标国家（映射）],表2_9713192325277397[[#This Row],[国家]])</f>
        <v>0</v>
      </c>
      <c r="J47" s="41">
        <f>SUMIFS(表1_8612182224267296[活跃Coin],表1_8612182224267296[目标区服],表2_9713192325277397[[#This Row],[合区区服]],表1_8612182224267296[目标国家（映射）],表2_9713192325277397[[#This Row],[国家]])</f>
        <v>366549</v>
      </c>
      <c r="K47" s="41">
        <f>SUMIFS(表1_8612182224267296[共计补偿Coin],表1_8612182224267296[目标区服],表2_9713192325277397[[#This Row],[合区区服]],表1_8612182224267296[目标国家（映射）],表2_9713192325277397[[#This Row],[国家]])</f>
        <v>29000</v>
      </c>
      <c r="L47" s="41">
        <f>表2_9713192325277397[[#This Row],[活跃Coin]]+表2_9713192325277397[[#This Row],[共计补偿Coin]]</f>
        <v>395549</v>
      </c>
      <c r="M47" s="41">
        <f>SUMIFS(表1_8612182224267296[综合国力],表1_8612182224267296[目标区服],表2_9713192325277397[[#This Row],[合区区服]],表1_8612182224267296[目标国家（映射）],表2_9713192325277397[[#This Row],[国家]])</f>
        <v>13345</v>
      </c>
      <c r="N47" s="41">
        <f t="array" ref="N47">MAX((表1_8612182224267296[目标区服]=表2_9713192325277397[[#This Row],[合区区服]])*(表1_8612182224267296[目标国家（映射）]=表2_9713192325277397[[#This Row],[国家]])*表1_8612182224267296[单将最高战力])</f>
        <v>866458</v>
      </c>
      <c r="P47" s="51">
        <v>7023</v>
      </c>
      <c r="Q47" s="51">
        <v>46</v>
      </c>
      <c r="R47" s="51" t="s">
        <v>214</v>
      </c>
      <c r="S47" s="51">
        <v>46</v>
      </c>
    </row>
    <row r="48" ht="15" spans="1:19">
      <c r="A48" s="296" t="s">
        <v>212</v>
      </c>
      <c r="B48" s="41" t="s">
        <v>26</v>
      </c>
      <c r="C48" s="41">
        <f>COUNTIFS(表1_8612182224267296[目标区服],表2_9713192325277397[[#This Row],[合区区服]],表1_8612182224267296[目标国家（映射）],表2_9713192325277397[[#This Row],[国家]])</f>
        <v>2</v>
      </c>
      <c r="D48" s="41">
        <f>SUMIFS(表1_8612182224267296[活跃高战玩家数],表1_8612182224267296[目标区服],表2_9713192325277397[[#This Row],[合区区服]],表1_8612182224267296[目标国家（映射）],表2_9713192325277397[[#This Row],[国家]])</f>
        <v>8</v>
      </c>
      <c r="E48" s="41">
        <f>SUMIFS(表1_8612182224267296[活跃中坚玩家数],表1_8612182224267296[目标区服],表2_9713192325277397[[#This Row],[合区区服]],表1_8612182224267296[目标国家（映射）],表2_9713192325277397[[#This Row],[国家]])</f>
        <v>42</v>
      </c>
      <c r="F48" s="41">
        <f t="array" ref="F48">MAX((表1_8612182224267296[目标区服]=表2_9713192325277397[[#This Row],[合区区服]])*(表1_8612182224267296[目标国家（映射）]=表2_9713192325277397[[#This Row],[国家]])*表1_8612182224267296[活跃尖端战力])</f>
        <v>1935577</v>
      </c>
      <c r="G48" s="42">
        <f>SUMIFS(表1_8612182224267296[活跃总战力],表1_8612182224267296[目标区服],表2_9713192325277397[[#This Row],[合区区服]],表1_8612182224267296[目标国家（映射）],表2_9713192325277397[[#This Row],[国家]])</f>
        <v>33069190</v>
      </c>
      <c r="H48" s="41">
        <f>SUMIFS(表1_8612182224267296[活跃实际充值],表1_8612182224267296[目标区服],表2_9713192325277397[[#This Row],[合区区服]],表1_8612182224267296[目标国家（映射）],表2_9713192325277397[[#This Row],[国家]])</f>
        <v>64878</v>
      </c>
      <c r="I48" s="41">
        <f>SUMIFS(表1_8612182224267296[活跃虚拟充值],表1_8612182224267296[目标区服],表2_9713192325277397[[#This Row],[合区区服]],表1_8612182224267296[目标国家（映射）],表2_9713192325277397[[#This Row],[国家]])</f>
        <v>0</v>
      </c>
      <c r="J48" s="41">
        <f>SUMIFS(表1_8612182224267296[活跃Coin],表1_8612182224267296[目标区服],表2_9713192325277397[[#This Row],[合区区服]],表1_8612182224267296[目标国家（映射）],表2_9713192325277397[[#This Row],[国家]])</f>
        <v>706968</v>
      </c>
      <c r="K48" s="41">
        <f>SUMIFS(表1_8612182224267296[共计补偿Coin],表1_8612182224267296[目标区服],表2_9713192325277397[[#This Row],[合区区服]],表1_8612182224267296[目标国家（映射）],表2_9713192325277397[[#This Row],[国家]])</f>
        <v>75000</v>
      </c>
      <c r="L48" s="41">
        <f>表2_9713192325277397[[#This Row],[活跃Coin]]+表2_9713192325277397[[#This Row],[共计补偿Coin]]</f>
        <v>781968</v>
      </c>
      <c r="M48" s="41">
        <f>SUMIFS(表1_8612182224267296[综合国力],表1_8612182224267296[目标区服],表2_9713192325277397[[#This Row],[合区区服]],表1_8612182224267296[目标国家（映射）],表2_9713192325277397[[#This Row],[国家]])</f>
        <v>14030</v>
      </c>
      <c r="N48" s="41">
        <f t="array" ref="N48">MAX((表1_8612182224267296[目标区服]=表2_9713192325277397[[#This Row],[合区区服]])*(表1_8612182224267296[目标国家（映射）]=表2_9713192325277397[[#This Row],[国家]])*表1_8612182224267296[单将最高战力])</f>
        <v>547310</v>
      </c>
      <c r="P48" s="51">
        <v>7024</v>
      </c>
      <c r="Q48" s="51">
        <v>45</v>
      </c>
      <c r="R48" s="51" t="s">
        <v>215</v>
      </c>
      <c r="S48" s="484">
        <v>44</v>
      </c>
    </row>
    <row r="49" ht="15" spans="1:19">
      <c r="A49" s="296" t="s">
        <v>212</v>
      </c>
      <c r="B49" s="43" t="s">
        <v>27</v>
      </c>
      <c r="C49" s="43">
        <f>COUNTIFS(表1_8612182224267296[目标区服],表2_9713192325277397[[#This Row],[合区区服]],表1_8612182224267296[目标国家（映射）],表2_9713192325277397[[#This Row],[国家]])</f>
        <v>3</v>
      </c>
      <c r="D49" s="43">
        <f>SUMIFS(表1_8612182224267296[活跃高战玩家数],表1_8612182224267296[目标区服],表2_9713192325277397[[#This Row],[合区区服]],表1_8612182224267296[目标国家（映射）],表2_9713192325277397[[#This Row],[国家]])</f>
        <v>5</v>
      </c>
      <c r="E49" s="43">
        <f>SUMIFS(表1_8612182224267296[活跃中坚玩家数],表1_8612182224267296[目标区服],表2_9713192325277397[[#This Row],[合区区服]],表1_8612182224267296[目标国家（映射）],表2_9713192325277397[[#This Row],[国家]])</f>
        <v>45</v>
      </c>
      <c r="F49" s="43">
        <f t="array" ref="F49">MAX((表1_8612182224267296[目标区服]=表2_9713192325277397[[#This Row],[合区区服]])*(表1_8612182224267296[目标国家（映射）]=表2_9713192325277397[[#This Row],[国家]])*表1_8612182224267296[活跃尖端战力])</f>
        <v>1993771</v>
      </c>
      <c r="G49" s="44">
        <f>SUMIFS(表1_8612182224267296[活跃总战力],表1_8612182224267296[目标区服],表2_9713192325277397[[#This Row],[合区区服]],表1_8612182224267296[目标国家（映射）],表2_9713192325277397[[#This Row],[国家]])</f>
        <v>29186633</v>
      </c>
      <c r="H49" s="43">
        <f>SUMIFS(表1_8612182224267296[活跃实际充值],表1_8612182224267296[目标区服],表2_9713192325277397[[#This Row],[合区区服]],表1_8612182224267296[目标国家（映射）],表2_9713192325277397[[#This Row],[国家]])</f>
        <v>31050</v>
      </c>
      <c r="I49" s="43">
        <f>SUMIFS(表1_8612182224267296[活跃虚拟充值],表1_8612182224267296[目标区服],表2_9713192325277397[[#This Row],[合区区服]],表1_8612182224267296[目标国家（映射）],表2_9713192325277397[[#This Row],[国家]])</f>
        <v>0</v>
      </c>
      <c r="J49" s="43">
        <f>SUMIFS(表1_8612182224267296[活跃Coin],表1_8612182224267296[目标区服],表2_9713192325277397[[#This Row],[合区区服]],表1_8612182224267296[目标国家（映射）],表2_9713192325277397[[#This Row],[国家]])</f>
        <v>259639</v>
      </c>
      <c r="K49" s="43">
        <f>SUMIFS(表1_8612182224267296[共计补偿Coin],表1_8612182224267296[目标区服],表2_9713192325277397[[#This Row],[合区区服]],表1_8612182224267296[目标国家（映射）],表2_9713192325277397[[#This Row],[国家]])</f>
        <v>60000</v>
      </c>
      <c r="L49" s="43">
        <f>表2_9713192325277397[[#This Row],[活跃Coin]]+表2_9713192325277397[[#This Row],[共计补偿Coin]]</f>
        <v>319639</v>
      </c>
      <c r="M49" s="43">
        <f>SUMIFS(表1_8612182224267296[综合国力],表1_8612182224267296[目标区服],表2_9713192325277397[[#This Row],[合区区服]],表1_8612182224267296[目标国家（映射）],表2_9713192325277397[[#This Row],[国家]])</f>
        <v>12195</v>
      </c>
      <c r="N49" s="41">
        <f t="array" ref="N49">MAX((表1_8612182224267296[目标区服]=表2_9713192325277397[[#This Row],[合区区服]])*(表1_8612182224267296[目标国家（映射）]=表2_9713192325277397[[#This Row],[国家]])*表1_8612182224267296[单将最高战力])</f>
        <v>658802</v>
      </c>
      <c r="P49" s="51">
        <v>7025</v>
      </c>
      <c r="Q49" s="51">
        <v>45</v>
      </c>
      <c r="R49" s="51" t="s">
        <v>216</v>
      </c>
      <c r="S49" s="484">
        <v>42</v>
      </c>
    </row>
    <row r="50" ht="15" spans="1:17">
      <c r="A50" s="18" t="s">
        <v>213</v>
      </c>
      <c r="B50" s="46" t="s">
        <v>25</v>
      </c>
      <c r="C50" s="46">
        <f>COUNTIFS(表1_8612182224267296[目标区服],表2_9713192325277397[[#This Row],[合区区服]],表1_8612182224267296[目标国家（映射）],表2_9713192325277397[[#This Row],[国家]])</f>
        <v>2</v>
      </c>
      <c r="D50" s="46">
        <f>SUMIFS(表1_8612182224267296[活跃高战玩家数],表1_8612182224267296[目标区服],表2_9713192325277397[[#This Row],[合区区服]],表1_8612182224267296[目标国家（映射）],表2_9713192325277397[[#This Row],[国家]])</f>
        <v>8</v>
      </c>
      <c r="E50" s="46">
        <f>SUMIFS(表1_8612182224267296[活跃中坚玩家数],表1_8612182224267296[目标区服],表2_9713192325277397[[#This Row],[合区区服]],表1_8612182224267296[目标国家（映射）],表2_9713192325277397[[#This Row],[国家]])</f>
        <v>40</v>
      </c>
      <c r="F50" s="46">
        <f t="array" ref="F50">MAX((表1_8612182224267296[目标区服]=表2_9713192325277397[[#This Row],[合区区服]])*(表1_8612182224267296[目标国家（映射）]=表2_9713192325277397[[#This Row],[国家]])*表1_8612182224267296[活跃尖端战力])</f>
        <v>2041246</v>
      </c>
      <c r="G50" s="47">
        <f>SUMIFS(表1_8612182224267296[活跃总战力],表1_8612182224267296[目标区服],表2_9713192325277397[[#This Row],[合区区服]],表1_8612182224267296[目标国家（映射）],表2_9713192325277397[[#This Row],[国家]])</f>
        <v>35032391</v>
      </c>
      <c r="H50" s="46">
        <f>SUMIFS(表1_8612182224267296[活跃实际充值],表1_8612182224267296[目标区服],表2_9713192325277397[[#This Row],[合区区服]],表1_8612182224267296[目标国家（映射）],表2_9713192325277397[[#This Row],[国家]])</f>
        <v>155786</v>
      </c>
      <c r="I50" s="46">
        <f>SUMIFS(表1_8612182224267296[活跃虚拟充值],表1_8612182224267296[目标区服],表2_9713192325277397[[#This Row],[合区区服]],表1_8612182224267296[目标国家（映射）],表2_9713192325277397[[#This Row],[国家]])</f>
        <v>0</v>
      </c>
      <c r="J50" s="46">
        <f>SUMIFS(表1_8612182224267296[活跃Coin],表1_8612182224267296[目标区服],表2_9713192325277397[[#This Row],[合区区服]],表1_8612182224267296[目标国家（映射）],表2_9713192325277397[[#This Row],[国家]])</f>
        <v>778428</v>
      </c>
      <c r="K50" s="46">
        <f>SUMIFS(表1_8612182224267296[共计补偿Coin],表1_8612182224267296[目标区服],表2_9713192325277397[[#This Row],[合区区服]],表1_8612182224267296[目标国家（映射）],表2_9713192325277397[[#This Row],[国家]])</f>
        <v>72000</v>
      </c>
      <c r="L50" s="46">
        <f>表2_9713192325277397[[#This Row],[活跃Coin]]+表2_9713192325277397[[#This Row],[共计补偿Coin]]</f>
        <v>850428</v>
      </c>
      <c r="M50" s="46">
        <f>SUMIFS(表1_8612182224267296[综合国力],表1_8612182224267296[目标区服],表2_9713192325277397[[#This Row],[合区区服]],表1_8612182224267296[目标国家（映射）],表2_9713192325277397[[#This Row],[国家]])</f>
        <v>17397</v>
      </c>
      <c r="N50" s="46">
        <f t="array" ref="N50">MAX((表1_8612182224267296[目标区服]=表2_9713192325277397[[#This Row],[合区区服]])*(表1_8612182224267296[目标国家（映射）]=表2_9713192325277397[[#This Row],[国家]])*表1_8612182224267296[单将最高战力])</f>
        <v>739731</v>
      </c>
      <c r="P50" s="51">
        <v>7026</v>
      </c>
      <c r="Q50" s="51">
        <v>44</v>
      </c>
    </row>
    <row r="51" ht="15" spans="1:17">
      <c r="A51" s="18" t="s">
        <v>213</v>
      </c>
      <c r="B51" s="46" t="s">
        <v>26</v>
      </c>
      <c r="C51" s="46">
        <f>COUNTIFS(表1_8612182224267296[目标区服],表2_9713192325277397[[#This Row],[合区区服]],表1_8612182224267296[目标国家（映射）],表2_9713192325277397[[#This Row],[国家]])</f>
        <v>1</v>
      </c>
      <c r="D51" s="46">
        <f>SUMIFS(表1_8612182224267296[活跃高战玩家数],表1_8612182224267296[目标区服],表2_9713192325277397[[#This Row],[合区区服]],表1_8612182224267296[目标国家（映射）],表2_9713192325277397[[#This Row],[国家]])</f>
        <v>6</v>
      </c>
      <c r="E51" s="46">
        <f>SUMIFS(表1_8612182224267296[活跃中坚玩家数],表1_8612182224267296[目标区服],表2_9713192325277397[[#This Row],[合区区服]],表1_8612182224267296[目标国家（映射）],表2_9713192325277397[[#This Row],[国家]])</f>
        <v>30</v>
      </c>
      <c r="F51" s="46">
        <f t="array" ref="F51">MAX((表1_8612182224267296[目标区服]=表2_9713192325277397[[#This Row],[合区区服]])*(表1_8612182224267296[目标国家（映射）]=表2_9713192325277397[[#This Row],[国家]])*表1_8612182224267296[活跃尖端战力])</f>
        <v>3216105</v>
      </c>
      <c r="G51" s="47">
        <f>SUMIFS(表1_8612182224267296[活跃总战力],表1_8612182224267296[目标区服],表2_9713192325277397[[#This Row],[合区区服]],表1_8612182224267296[目标国家（映射）],表2_9713192325277397[[#This Row],[国家]])</f>
        <v>27792181</v>
      </c>
      <c r="H51" s="46">
        <f>SUMIFS(表1_8612182224267296[活跃实际充值],表1_8612182224267296[目标区服],表2_9713192325277397[[#This Row],[合区区服]],表1_8612182224267296[目标国家（映射）],表2_9713192325277397[[#This Row],[国家]])</f>
        <v>176746</v>
      </c>
      <c r="I51" s="46">
        <f>SUMIFS(表1_8612182224267296[活跃虚拟充值],表1_8612182224267296[目标区服],表2_9713192325277397[[#This Row],[合区区服]],表1_8612182224267296[目标国家（映射）],表2_9713192325277397[[#This Row],[国家]])</f>
        <v>0</v>
      </c>
      <c r="J51" s="46">
        <f>SUMIFS(表1_8612182224267296[活跃Coin],表1_8612182224267296[目标区服],表2_9713192325277397[[#This Row],[合区区服]],表1_8612182224267296[目标国家（映射）],表2_9713192325277397[[#This Row],[国家]])</f>
        <v>535330</v>
      </c>
      <c r="K51" s="46">
        <f>SUMIFS(表1_8612182224267296[共计补偿Coin],表1_8612182224267296[目标区服],表2_9713192325277397[[#This Row],[合区区服]],表1_8612182224267296[目标国家（映射）],表2_9713192325277397[[#This Row],[国家]])</f>
        <v>36000</v>
      </c>
      <c r="L51" s="46">
        <f>表2_9713192325277397[[#This Row],[活跃Coin]]+表2_9713192325277397[[#This Row],[共计补偿Coin]]</f>
        <v>571330</v>
      </c>
      <c r="M51" s="46">
        <f>SUMIFS(表1_8612182224267296[综合国力],表1_8612182224267296[目标区服],表2_9713192325277397[[#This Row],[合区区服]],表1_8612182224267296[目标国家（映射）],表2_9713192325277397[[#This Row],[国家]])</f>
        <v>15031</v>
      </c>
      <c r="N51" s="46">
        <f t="array" ref="N51">MAX((表1_8612182224267296[目标区服]=表2_9713192325277397[[#This Row],[合区区服]])*(表1_8612182224267296[目标国家（映射）]=表2_9713192325277397[[#This Row],[国家]])*表1_8612182224267296[单将最高战力])</f>
        <v>807505</v>
      </c>
      <c r="P51" s="51">
        <v>7027</v>
      </c>
      <c r="Q51" s="51">
        <v>44</v>
      </c>
    </row>
    <row r="52" ht="15" spans="1:17">
      <c r="A52" s="18" t="s">
        <v>213</v>
      </c>
      <c r="B52" s="48" t="s">
        <v>27</v>
      </c>
      <c r="C52" s="48">
        <f>COUNTIFS(表1_8612182224267296[目标区服],表2_9713192325277397[[#This Row],[合区区服]],表1_8612182224267296[目标国家（映射）],表2_9713192325277397[[#This Row],[国家]])</f>
        <v>3</v>
      </c>
      <c r="D52" s="48">
        <f>SUMIFS(表1_8612182224267296[活跃高战玩家数],表1_8612182224267296[目标区服],表2_9713192325277397[[#This Row],[合区区服]],表1_8612182224267296[目标国家（映射）],表2_9713192325277397[[#This Row],[国家]])</f>
        <v>6</v>
      </c>
      <c r="E52" s="48">
        <f>SUMIFS(表1_8612182224267296[活跃中坚玩家数],表1_8612182224267296[目标区服],表2_9713192325277397[[#This Row],[合区区服]],表1_8612182224267296[目标国家（映射）],表2_9713192325277397[[#This Row],[国家]])</f>
        <v>35</v>
      </c>
      <c r="F52" s="48">
        <f t="array" ref="F52">MAX((表1_8612182224267296[目标区服]=表2_9713192325277397[[#This Row],[合区区服]])*(表1_8612182224267296[目标国家（映射）]=表2_9713192325277397[[#This Row],[国家]])*表1_8612182224267296[活跃尖端战力])</f>
        <v>2223492</v>
      </c>
      <c r="G52" s="458">
        <f>SUMIFS(表1_8612182224267296[活跃总战力],表1_8612182224267296[目标区服],表2_9713192325277397[[#This Row],[合区区服]],表1_8612182224267296[目标国家（映射）],表2_9713192325277397[[#This Row],[国家]])</f>
        <v>29422644</v>
      </c>
      <c r="H52" s="48">
        <f>SUMIFS(表1_8612182224267296[活跃实际充值],表1_8612182224267296[目标区服],表2_9713192325277397[[#This Row],[合区区服]],表1_8612182224267296[目标国家（映射）],表2_9713192325277397[[#This Row],[国家]])</f>
        <v>102466</v>
      </c>
      <c r="I52" s="48">
        <f>SUMIFS(表1_8612182224267296[活跃虚拟充值],表1_8612182224267296[目标区服],表2_9713192325277397[[#This Row],[合区区服]],表1_8612182224267296[目标国家（映射）],表2_9713192325277397[[#This Row],[国家]])</f>
        <v>66524</v>
      </c>
      <c r="J52" s="48">
        <f>SUMIFS(表1_8612182224267296[活跃Coin],表1_8612182224267296[目标区服],表2_9713192325277397[[#This Row],[合区区服]],表1_8612182224267296[目标国家（映射）],表2_9713192325277397[[#This Row],[国家]])</f>
        <v>679394</v>
      </c>
      <c r="K52" s="48">
        <f>SUMIFS(表1_8612182224267296[共计补偿Coin],表1_8612182224267296[目标区服],表2_9713192325277397[[#This Row],[合区区服]],表1_8612182224267296[目标国家（映射）],表2_9713192325277397[[#This Row],[国家]])</f>
        <v>47500</v>
      </c>
      <c r="L52" s="48">
        <f>表2_9713192325277397[[#This Row],[活跃Coin]]+表2_9713192325277397[[#This Row],[共计补偿Coin]]</f>
        <v>726894</v>
      </c>
      <c r="M52" s="48">
        <f>SUMIFS(表1_8612182224267296[综合国力],表1_8612182224267296[目标区服],表2_9713192325277397[[#This Row],[合区区服]],表1_8612182224267296[目标国家（映射）],表2_9713192325277397[[#This Row],[国家]])</f>
        <v>16732</v>
      </c>
      <c r="N52" s="46">
        <f t="array" ref="N52">MAX((表1_8612182224267296[目标区服]=表2_9713192325277397[[#This Row],[合区区服]])*(表1_8612182224267296[目标国家（映射）]=表2_9713192325277397[[#This Row],[国家]])*表1_8612182224267296[单将最高战力])</f>
        <v>744983</v>
      </c>
      <c r="P52" s="51">
        <v>7028</v>
      </c>
      <c r="Q52" s="484">
        <v>43</v>
      </c>
    </row>
    <row r="53" ht="15" spans="1:17">
      <c r="A53" s="293" t="s">
        <v>214</v>
      </c>
      <c r="B53" s="224" t="s">
        <v>25</v>
      </c>
      <c r="C53" s="224">
        <f>COUNTIFS(表1_8612182224267296[目标区服],表2_9713192325277397[[#This Row],[合区区服]],表1_8612182224267296[目标国家（映射）],表2_9713192325277397[[#This Row],[国家]])</f>
        <v>3</v>
      </c>
      <c r="D53" s="224">
        <f>SUMIFS(表1_8612182224267296[活跃高战玩家数],表1_8612182224267296[目标区服],表2_9713192325277397[[#This Row],[合区区服]],表1_8612182224267296[目标国家（映射）],表2_9713192325277397[[#This Row],[国家]])</f>
        <v>5</v>
      </c>
      <c r="E53" s="224">
        <f>SUMIFS(表1_8612182224267296[活跃中坚玩家数],表1_8612182224267296[目标区服],表2_9713192325277397[[#This Row],[合区区服]],表1_8612182224267296[目标国家（映射）],表2_9713192325277397[[#This Row],[国家]])</f>
        <v>43</v>
      </c>
      <c r="F53" s="224">
        <f t="array" ref="F53">MAX((表1_8612182224267296[目标区服]=表2_9713192325277397[[#This Row],[合区区服]])*(表1_8612182224267296[目标国家（映射）]=表2_9713192325277397[[#This Row],[国家]])*表1_8612182224267296[活跃尖端战力])</f>
        <v>2205812</v>
      </c>
      <c r="G53" s="225">
        <f>SUMIFS(表1_8612182224267296[活跃总战力],表1_8612182224267296[目标区服],表2_9713192325277397[[#This Row],[合区区服]],表1_8612182224267296[目标国家（映射）],表2_9713192325277397[[#This Row],[国家]])</f>
        <v>26141083</v>
      </c>
      <c r="H53" s="224">
        <f>SUMIFS(表1_8612182224267296[活跃实际充值],表1_8612182224267296[目标区服],表2_9713192325277397[[#This Row],[合区区服]],表1_8612182224267296[目标国家（映射）],表2_9713192325277397[[#This Row],[国家]])</f>
        <v>48244</v>
      </c>
      <c r="I53" s="224">
        <f>SUMIFS(表1_8612182224267296[活跃虚拟充值],表1_8612182224267296[目标区服],表2_9713192325277397[[#This Row],[合区区服]],表1_8612182224267296[目标国家（映射）],表2_9713192325277397[[#This Row],[国家]])</f>
        <v>0</v>
      </c>
      <c r="J53" s="224">
        <f>SUMIFS(表1_8612182224267296[活跃Coin],表1_8612182224267296[目标区服],表2_9713192325277397[[#This Row],[合区区服]],表1_8612182224267296[目标国家（映射）],表2_9713192325277397[[#This Row],[国家]])</f>
        <v>544742</v>
      </c>
      <c r="K53" s="224">
        <f>SUMIFS(表1_8612182224267296[共计补偿Coin],表1_8612182224267296[目标区服],表2_9713192325277397[[#This Row],[合区区服]],表1_8612182224267296[目标国家（映射）],表2_9713192325277397[[#This Row],[国家]])</f>
        <v>55000</v>
      </c>
      <c r="L53" s="224">
        <f>表2_9713192325277397[[#This Row],[活跃Coin]]+表2_9713192325277397[[#This Row],[共计补偿Coin]]</f>
        <v>599742</v>
      </c>
      <c r="M53" s="224">
        <f>SUMIFS(表1_8612182224267296[综合国力],表1_8612182224267296[目标区服],表2_9713192325277397[[#This Row],[合区区服]],表1_8612182224267296[目标国家（映射）],表2_9713192325277397[[#This Row],[国家]])</f>
        <v>11997</v>
      </c>
      <c r="N53" s="471">
        <f t="array" ref="N53">MAX((表1_8612182224267296[目标区服]=表2_9713192325277397[[#This Row],[合区区服]])*(表1_8612182224267296[目标国家（映射）]=表2_9713192325277397[[#This Row],[国家]])*表1_8612182224267296[单将最高战力])</f>
        <v>775540</v>
      </c>
      <c r="P53" s="51">
        <v>7029</v>
      </c>
      <c r="Q53" s="484">
        <v>42</v>
      </c>
    </row>
    <row r="54" ht="15" spans="1:17">
      <c r="A54" s="293" t="s">
        <v>214</v>
      </c>
      <c r="B54" s="224" t="s">
        <v>26</v>
      </c>
      <c r="C54" s="224">
        <f>COUNTIFS(表1_8612182224267296[目标区服],表2_9713192325277397[[#This Row],[合区区服]],表1_8612182224267296[目标国家（映射）],表2_9713192325277397[[#This Row],[国家]])</f>
        <v>1</v>
      </c>
      <c r="D54" s="224">
        <f>SUMIFS(表1_8612182224267296[活跃高战玩家数],表1_8612182224267296[目标区服],表2_9713192325277397[[#This Row],[合区区服]],表1_8612182224267296[目标国家（映射）],表2_9713192325277397[[#This Row],[国家]])</f>
        <v>5</v>
      </c>
      <c r="E54" s="224">
        <f>SUMIFS(表1_8612182224267296[活跃中坚玩家数],表1_8612182224267296[目标区服],表2_9713192325277397[[#This Row],[合区区服]],表1_8612182224267296[目标国家（映射）],表2_9713192325277397[[#This Row],[国家]])</f>
        <v>20</v>
      </c>
      <c r="F54" s="224">
        <f t="array" ref="F54">MAX((表1_8612182224267296[目标区服]=表2_9713192325277397[[#This Row],[合区区服]])*(表1_8612182224267296[目标国家（映射）]=表2_9713192325277397[[#This Row],[国家]])*表1_8612182224267296[活跃尖端战力])</f>
        <v>3201867</v>
      </c>
      <c r="G54" s="225">
        <f>SUMIFS(表1_8612182224267296[活跃总战力],表1_8612182224267296[目标区服],表2_9713192325277397[[#This Row],[合区区服]],表1_8612182224267296[目标国家（映射）],表2_9713192325277397[[#This Row],[国家]])</f>
        <v>20811740</v>
      </c>
      <c r="H54" s="224">
        <f>SUMIFS(表1_8612182224267296[活跃实际充值],表1_8612182224267296[目标区服],表2_9713192325277397[[#This Row],[合区区服]],表1_8612182224267296[目标国家（映射）],表2_9713192325277397[[#This Row],[国家]])</f>
        <v>133928</v>
      </c>
      <c r="I54" s="224">
        <f>SUMIFS(表1_8612182224267296[活跃虚拟充值],表1_8612182224267296[目标区服],表2_9713192325277397[[#This Row],[合区区服]],表1_8612182224267296[目标国家（映射）],表2_9713192325277397[[#This Row],[国家]])</f>
        <v>0</v>
      </c>
      <c r="J54" s="224">
        <f>SUMIFS(表1_8612182224267296[活跃Coin],表1_8612182224267296[目标区服],表2_9713192325277397[[#This Row],[合区区服]],表1_8612182224267296[目标国家（映射）],表2_9713192325277397[[#This Row],[国家]])</f>
        <v>633788</v>
      </c>
      <c r="K54" s="224">
        <f>SUMIFS(表1_8612182224267296[共计补偿Coin],表1_8612182224267296[目标区服],表2_9713192325277397[[#This Row],[合区区服]],表1_8612182224267296[目标国家（映射）],表2_9713192325277397[[#This Row],[国家]])</f>
        <v>25000</v>
      </c>
      <c r="L54" s="224">
        <f>表2_9713192325277397[[#This Row],[活跃Coin]]+表2_9713192325277397[[#This Row],[共计补偿Coin]]</f>
        <v>658788</v>
      </c>
      <c r="M54" s="224">
        <f>SUMIFS(表1_8612182224267296[综合国力],表1_8612182224267296[目标区服],表2_9713192325277397[[#This Row],[合区区服]],表1_8612182224267296[目标国家（映射）],表2_9713192325277397[[#This Row],[国家]])</f>
        <v>13185</v>
      </c>
      <c r="N54" s="471">
        <f t="array" ref="N54">MAX((表1_8612182224267296[目标区服]=表2_9713192325277397[[#This Row],[合区区服]])*(表1_8612182224267296[目标国家（映射）]=表2_9713192325277397[[#This Row],[国家]])*表1_8612182224267296[单将最高战力])</f>
        <v>911706</v>
      </c>
      <c r="P54" s="51">
        <v>7030</v>
      </c>
      <c r="Q54" s="484">
        <v>41</v>
      </c>
    </row>
    <row r="55" ht="15" spans="1:17">
      <c r="A55" s="293" t="s">
        <v>214</v>
      </c>
      <c r="B55" s="224" t="s">
        <v>27</v>
      </c>
      <c r="C55" s="224">
        <f>COUNTIFS(表1_8612182224267296[目标区服],表2_9713192325277397[[#This Row],[合区区服]],表1_8612182224267296[目标国家（映射）],表2_9713192325277397[[#This Row],[国家]])</f>
        <v>2</v>
      </c>
      <c r="D55" s="224">
        <f>SUMIFS(表1_8612182224267296[活跃高战玩家数],表1_8612182224267296[目标区服],表2_9713192325277397[[#This Row],[合区区服]],表1_8612182224267296[目标国家（映射）],表2_9713192325277397[[#This Row],[国家]])</f>
        <v>7</v>
      </c>
      <c r="E55" s="224">
        <f>SUMIFS(表1_8612182224267296[活跃中坚玩家数],表1_8612182224267296[目标区服],表2_9713192325277397[[#This Row],[合区区服]],表1_8612182224267296[目标国家（映射）],表2_9713192325277397[[#This Row],[国家]])</f>
        <v>40</v>
      </c>
      <c r="F55" s="224">
        <f t="array" ref="F55">MAX((表1_8612182224267296[目标区服]=表2_9713192325277397[[#This Row],[合区区服]])*(表1_8612182224267296[目标国家（映射）]=表2_9713192325277397[[#This Row],[国家]])*表1_8612182224267296[活跃尖端战力])</f>
        <v>2464923</v>
      </c>
      <c r="G55" s="225">
        <f>SUMIFS(表1_8612182224267296[活跃总战力],表1_8612182224267296[目标区服],表2_9713192325277397[[#This Row],[合区区服]],表1_8612182224267296[目标国家（映射）],表2_9713192325277397[[#This Row],[国家]])</f>
        <v>35494869</v>
      </c>
      <c r="H55" s="224">
        <f>SUMIFS(表1_8612182224267296[活跃实际充值],表1_8612182224267296[目标区服],表2_9713192325277397[[#This Row],[合区区服]],表1_8612182224267296[目标国家（映射）],表2_9713192325277397[[#This Row],[国家]])</f>
        <v>87954</v>
      </c>
      <c r="I55" s="224">
        <f>SUMIFS(表1_8612182224267296[活跃虚拟充值],表1_8612182224267296[目标区服],表2_9713192325277397[[#This Row],[合区区服]],表1_8612182224267296[目标国家（映射）],表2_9713192325277397[[#This Row],[国家]])</f>
        <v>0</v>
      </c>
      <c r="J55" s="224">
        <f>SUMIFS(表1_8612182224267296[活跃Coin],表1_8612182224267296[目标区服],表2_9713192325277397[[#This Row],[合区区服]],表1_8612182224267296[目标国家（映射）],表2_9713192325277397[[#This Row],[国家]])</f>
        <v>438929</v>
      </c>
      <c r="K55" s="224">
        <f>SUMIFS(表1_8612182224267296[共计补偿Coin],表1_8612182224267296[目标区服],表2_9713192325277397[[#This Row],[合区区服]],表1_8612182224267296[目标国家（映射）],表2_9713192325277397[[#This Row],[国家]])</f>
        <v>70500</v>
      </c>
      <c r="L55" s="224">
        <f>表2_9713192325277397[[#This Row],[活跃Coin]]+表2_9713192325277397[[#This Row],[共计补偿Coin]]</f>
        <v>509429</v>
      </c>
      <c r="M55" s="224">
        <f>SUMIFS(表1_8612182224267296[综合国力],表1_8612182224267296[目标区服],表2_9713192325277397[[#This Row],[合区区服]],表1_8612182224267296[目标国家（映射）],表2_9713192325277397[[#This Row],[国家]])</f>
        <v>15314</v>
      </c>
      <c r="N55" s="471">
        <f t="array" ref="N55">MAX((表1_8612182224267296[目标区服]=表2_9713192325277397[[#This Row],[合区区服]])*(表1_8612182224267296[目标国家（映射）]=表2_9713192325277397[[#This Row],[国家]])*表1_8612182224267296[单将最高战力])</f>
        <v>798526</v>
      </c>
      <c r="P55" s="51">
        <v>7031</v>
      </c>
      <c r="Q55" s="484">
        <v>40</v>
      </c>
    </row>
    <row r="56" ht="15" spans="1:17">
      <c r="A56" s="92" t="s">
        <v>215</v>
      </c>
      <c r="B56" s="178" t="s">
        <v>25</v>
      </c>
      <c r="C56" s="178">
        <f>COUNTIFS(表1_8612182224267296[目标区服],表2_9713192325277397[[#This Row],[合区区服]],表1_8612182224267296[目标国家（映射）],表2_9713192325277397[[#This Row],[国家]])</f>
        <v>2</v>
      </c>
      <c r="D56" s="178">
        <f>SUMIFS(表1_8612182224267296[活跃高战玩家数],表1_8612182224267296[目标区服],表2_9713192325277397[[#This Row],[合区区服]],表1_8612182224267296[目标国家（映射）],表2_9713192325277397[[#This Row],[国家]])</f>
        <v>6</v>
      </c>
      <c r="E56" s="178">
        <f>SUMIFS(表1_8612182224267296[活跃中坚玩家数],表1_8612182224267296[目标区服],表2_9713192325277397[[#This Row],[合区区服]],表1_8612182224267296[目标国家（映射）],表2_9713192325277397[[#This Row],[国家]])</f>
        <v>46</v>
      </c>
      <c r="F56" s="178">
        <f t="array" ref="F56">MAX((表1_8612182224267296[目标区服]=表2_9713192325277397[[#This Row],[合区区服]])*(表1_8612182224267296[目标国家（映射）]=表2_9713192325277397[[#This Row],[国家]])*表1_8612182224267296[活跃尖端战力])</f>
        <v>1828540</v>
      </c>
      <c r="G56" s="179">
        <f>SUMIFS(表1_8612182224267296[活跃总战力],表1_8612182224267296[目标区服],表2_9713192325277397[[#This Row],[合区区服]],表1_8612182224267296[目标国家（映射）],表2_9713192325277397[[#This Row],[国家]])</f>
        <v>30518110</v>
      </c>
      <c r="H56" s="178">
        <f>SUMIFS(表1_8612182224267296[活跃实际充值],表1_8612182224267296[目标区服],表2_9713192325277397[[#This Row],[合区区服]],表1_8612182224267296[目标国家（映射）],表2_9713192325277397[[#This Row],[国家]])</f>
        <v>31550</v>
      </c>
      <c r="I56" s="178">
        <f>SUMIFS(表1_8612182224267296[活跃虚拟充值],表1_8612182224267296[目标区服],表2_9713192325277397[[#This Row],[合区区服]],表1_8612182224267296[目标国家（映射）],表2_9713192325277397[[#This Row],[国家]])</f>
        <v>0</v>
      </c>
      <c r="J56" s="178">
        <f>SUMIFS(表1_8612182224267296[活跃Coin],表1_8612182224267296[目标区服],表2_9713192325277397[[#This Row],[合区区服]],表1_8612182224267296[目标国家（映射）],表2_9713192325277397[[#This Row],[国家]])</f>
        <v>379403</v>
      </c>
      <c r="K56" s="178">
        <f>SUMIFS(表1_8612182224267296[共计补偿Coin],表1_8612182224267296[目标区服],表2_9713192325277397[[#This Row],[合区区服]],表1_8612182224267296[目标国家（映射）],表2_9713192325277397[[#This Row],[国家]])</f>
        <v>61500</v>
      </c>
      <c r="L56" s="178">
        <f>表2_9713192325277397[[#This Row],[活跃Coin]]+表2_9713192325277397[[#This Row],[共计补偿Coin]]</f>
        <v>440903</v>
      </c>
      <c r="M56" s="178">
        <f>SUMIFS(表1_8612182224267296[综合国力],表1_8612182224267296[目标区服],表2_9713192325277397[[#This Row],[合区区服]],表1_8612182224267296[目标国家（映射）],表2_9713192325277397[[#This Row],[国家]])</f>
        <v>10974</v>
      </c>
      <c r="N56" s="473">
        <f t="array" ref="N56">MAX((表1_8612182224267296[目标区服]=表2_9713192325277397[[#This Row],[合区区服]])*(表1_8612182224267296[目标国家（映射）]=表2_9713192325277397[[#This Row],[国家]])*表1_8612182224267296[单将最高战力])</f>
        <v>551610</v>
      </c>
      <c r="P56" s="51">
        <v>7032</v>
      </c>
      <c r="Q56" s="484">
        <v>39</v>
      </c>
    </row>
    <row r="57" ht="15" spans="1:14">
      <c r="A57" s="92" t="s">
        <v>215</v>
      </c>
      <c r="B57" s="178" t="s">
        <v>26</v>
      </c>
      <c r="C57" s="178">
        <f>COUNTIFS(表1_8612182224267296[目标区服],表2_9713192325277397[[#This Row],[合区区服]],表1_8612182224267296[目标国家（映射）],表2_9713192325277397[[#This Row],[国家]])</f>
        <v>2</v>
      </c>
      <c r="D57" s="178">
        <f>SUMIFS(表1_8612182224267296[活跃高战玩家数],表1_8612182224267296[目标区服],表2_9713192325277397[[#This Row],[合区区服]],表1_8612182224267296[目标国家（映射）],表2_9713192325277397[[#This Row],[国家]])</f>
        <v>3</v>
      </c>
      <c r="E57" s="178">
        <f>SUMIFS(表1_8612182224267296[活跃中坚玩家数],表1_8612182224267296[目标区服],表2_9713192325277397[[#This Row],[合区区服]],表1_8612182224267296[目标国家（映射）],表2_9713192325277397[[#This Row],[国家]])</f>
        <v>36</v>
      </c>
      <c r="F57" s="178">
        <f t="array" ref="F57">MAX((表1_8612182224267296[目标区服]=表2_9713192325277397[[#This Row],[合区区服]])*(表1_8612182224267296[目标国家（映射）]=表2_9713192325277397[[#This Row],[国家]])*表1_8612182224267296[活跃尖端战力])</f>
        <v>1698792</v>
      </c>
      <c r="G57" s="179">
        <f>SUMIFS(表1_8612182224267296[活跃总战力],表1_8612182224267296[目标区服],表2_9713192325277397[[#This Row],[合区区服]],表1_8612182224267296[目标国家（映射）],表2_9713192325277397[[#This Row],[国家]])</f>
        <v>22656036</v>
      </c>
      <c r="H57" s="178">
        <f>SUMIFS(表1_8612182224267296[活跃实际充值],表1_8612182224267296[目标区服],表2_9713192325277397[[#This Row],[合区区服]],表1_8612182224267296[目标国家（映射）],表2_9713192325277397[[#This Row],[国家]])</f>
        <v>56702</v>
      </c>
      <c r="I57" s="178">
        <f>SUMIFS(表1_8612182224267296[活跃虚拟充值],表1_8612182224267296[目标区服],表2_9713192325277397[[#This Row],[合区区服]],表1_8612182224267296[目标国家（映射）],表2_9713192325277397[[#This Row],[国家]])</f>
        <v>0</v>
      </c>
      <c r="J57" s="178">
        <f>SUMIFS(表1_8612182224267296[活跃Coin],表1_8612182224267296[目标区服],表2_9713192325277397[[#This Row],[合区区服]],表1_8612182224267296[目标国家（映射）],表2_9713192325277397[[#This Row],[国家]])</f>
        <v>376678</v>
      </c>
      <c r="K57" s="178">
        <f>SUMIFS(表1_8612182224267296[共计补偿Coin],表1_8612182224267296[目标区服],表2_9713192325277397[[#This Row],[合区区服]],表1_8612182224267296[目标国家（映射）],表2_9713192325277397[[#This Row],[国家]])</f>
        <v>49000</v>
      </c>
      <c r="L57" s="178">
        <f>表2_9713192325277397[[#This Row],[活跃Coin]]+表2_9713192325277397[[#This Row],[共计补偿Coin]]</f>
        <v>425678</v>
      </c>
      <c r="M57" s="178">
        <f>SUMIFS(表1_8612182224267296[综合国力],表1_8612182224267296[目标区服],表2_9713192325277397[[#This Row],[合区区服]],表1_8612182224267296[目标国家（映射）],表2_9713192325277397[[#This Row],[国家]])</f>
        <v>10211</v>
      </c>
      <c r="N57" s="473">
        <f t="array" ref="N57">MAX((表1_8612182224267296[目标区服]=表2_9713192325277397[[#This Row],[合区区服]])*(表1_8612182224267296[目标国家（映射）]=表2_9713192325277397[[#This Row],[国家]])*表1_8612182224267296[单将最高战力])</f>
        <v>591322</v>
      </c>
    </row>
    <row r="58" ht="15" spans="1:14">
      <c r="A58" s="92" t="s">
        <v>215</v>
      </c>
      <c r="B58" s="180" t="s">
        <v>27</v>
      </c>
      <c r="C58" s="180">
        <f>COUNTIFS(表1_8612182224267296[目标区服],表2_9713192325277397[[#This Row],[合区区服]],表1_8612182224267296[目标国家（映射）],表2_9713192325277397[[#This Row],[国家]])</f>
        <v>2</v>
      </c>
      <c r="D58" s="180">
        <f>SUMIFS(表1_8612182224267296[活跃高战玩家数],表1_8612182224267296[目标区服],表2_9713192325277397[[#This Row],[合区区服]],表1_8612182224267296[目标国家（映射）],表2_9713192325277397[[#This Row],[国家]])</f>
        <v>11</v>
      </c>
      <c r="E58" s="180">
        <f>SUMIFS(表1_8612182224267296[活跃中坚玩家数],表1_8612182224267296[目标区服],表2_9713192325277397[[#This Row],[合区区服]],表1_8612182224267296[目标国家（映射）],表2_9713192325277397[[#This Row],[国家]])</f>
        <v>35</v>
      </c>
      <c r="F58" s="178">
        <f t="array" ref="F58">MAX((表1_8612182224267296[目标区服]=表2_9713192325277397[[#This Row],[合区区服]])*(表1_8612182224267296[目标国家（映射）]=表2_9713192325277397[[#This Row],[国家]])*表1_8612182224267296[活跃尖端战力])</f>
        <v>1582207</v>
      </c>
      <c r="G58" s="179">
        <f>SUMIFS(表1_8612182224267296[活跃总战力],表1_8612182224267296[目标区服],表2_9713192325277397[[#This Row],[合区区服]],表1_8612182224267296[目标国家（映射）],表2_9713192325277397[[#This Row],[国家]])</f>
        <v>33206400</v>
      </c>
      <c r="H58" s="178">
        <f>SUMIFS(表1_8612182224267296[活跃实际充值],表1_8612182224267296[目标区服],表2_9713192325277397[[#This Row],[合区区服]],表1_8612182224267296[目标国家（映射）],表2_9713192325277397[[#This Row],[国家]])</f>
        <v>53868</v>
      </c>
      <c r="I58" s="178">
        <f>SUMIFS(表1_8612182224267296[活跃虚拟充值],表1_8612182224267296[目标区服],表2_9713192325277397[[#This Row],[合区区服]],表1_8612182224267296[目标国家（映射）],表2_9713192325277397[[#This Row],[国家]])</f>
        <v>0</v>
      </c>
      <c r="J58" s="178">
        <f>SUMIFS(表1_8612182224267296[活跃Coin],表1_8612182224267296[目标区服],表2_9713192325277397[[#This Row],[合区区服]],表1_8612182224267296[目标国家（映射）],表2_9713192325277397[[#This Row],[国家]])</f>
        <v>297550</v>
      </c>
      <c r="K58" s="178">
        <f>SUMIFS(表1_8612182224267296[共计补偿Coin],表1_8612182224267296[目标区服],表2_9713192325277397[[#This Row],[合区区服]],表1_8612182224267296[目标国家（映射）],表2_9713192325277397[[#This Row],[国家]])</f>
        <v>59000</v>
      </c>
      <c r="L58" s="178">
        <f>表2_9713192325277397[[#This Row],[活跃Coin]]+表2_9713192325277397[[#This Row],[共计补偿Coin]]</f>
        <v>356550</v>
      </c>
      <c r="M58" s="178">
        <f>SUMIFS(表1_8612182224267296[综合国力],表1_8612182224267296[目标区服],表2_9713192325277397[[#This Row],[合区区服]],表1_8612182224267296[目标国家（映射）],表2_9713192325277397[[#This Row],[国家]])</f>
        <v>14037</v>
      </c>
      <c r="N58" s="473">
        <f t="array" ref="N58">MAX((表1_8612182224267296[目标区服]=表2_9713192325277397[[#This Row],[合区区服]])*(表1_8612182224267296[目标国家（映射）]=表2_9713192325277397[[#This Row],[国家]])*表1_8612182224267296[单将最高战力])</f>
        <v>471414</v>
      </c>
    </row>
    <row r="59" ht="15" spans="1:14">
      <c r="A59" s="82" t="s">
        <v>216</v>
      </c>
      <c r="B59" s="169" t="s">
        <v>25</v>
      </c>
      <c r="C59" s="169">
        <f>COUNTIFS(表1_8612182224267296[目标区服],表2_9713192325277397[[#This Row],[合区区服]],表1_8612182224267296[目标国家（映射）],表2_9713192325277397[[#This Row],[国家]])</f>
        <v>2</v>
      </c>
      <c r="D59" s="169">
        <f>SUMIFS(表1_8612182224267296[活跃高战玩家数],表1_8612182224267296[目标区服],表2_9713192325277397[[#This Row],[合区区服]],表1_8612182224267296[目标国家（映射）],表2_9713192325277397[[#This Row],[国家]])</f>
        <v>9</v>
      </c>
      <c r="E59" s="169">
        <f>SUMIFS(表1_8612182224267296[活跃中坚玩家数],表1_8612182224267296[目标区服],表2_9713192325277397[[#This Row],[合区区服]],表1_8612182224267296[目标国家（映射）],表2_9713192325277397[[#This Row],[国家]])</f>
        <v>34</v>
      </c>
      <c r="F59" s="169">
        <f t="array" ref="F59">MAX((表1_8612182224267296[目标区服]=表2_9713192325277397[[#This Row],[合区区服]])*(表1_8612182224267296[目标国家（映射）]=表2_9713192325277397[[#This Row],[国家]])*表1_8612182224267296[活跃尖端战力])</f>
        <v>2288974</v>
      </c>
      <c r="G59" s="170">
        <f>SUMIFS(表1_8612182224267296[活跃总战力],表1_8612182224267296[目标区服],表2_9713192325277397[[#This Row],[合区区服]],表1_8612182224267296[目标国家（映射）],表2_9713192325277397[[#This Row],[国家]])</f>
        <v>28674793</v>
      </c>
      <c r="H59" s="169">
        <f>SUMIFS(表1_8612182224267296[活跃实际充值],表1_8612182224267296[目标区服],表2_9713192325277397[[#This Row],[合区区服]],表1_8612182224267296[目标国家（映射）],表2_9713192325277397[[#This Row],[国家]])</f>
        <v>53714</v>
      </c>
      <c r="I59" s="169">
        <f>SUMIFS(表1_8612182224267296[活跃虚拟充值],表1_8612182224267296[目标区服],表2_9713192325277397[[#This Row],[合区区服]],表1_8612182224267296[目标国家（映射）],表2_9713192325277397[[#This Row],[国家]])</f>
        <v>0</v>
      </c>
      <c r="J59" s="169">
        <f>SUMIFS(表1_8612182224267296[活跃Coin],表1_8612182224267296[目标区服],表2_9713192325277397[[#This Row],[合区区服]],表1_8612182224267296[目标国家（映射）],表2_9713192325277397[[#This Row],[国家]])</f>
        <v>421478</v>
      </c>
      <c r="K59" s="169">
        <f>SUMIFS(表1_8612182224267296[共计补偿Coin],表1_8612182224267296[目标区服],表2_9713192325277397[[#This Row],[合区区服]],表1_8612182224267296[目标国家（映射）],表2_9713192325277397[[#This Row],[国家]])</f>
        <v>43000</v>
      </c>
      <c r="L59" s="169">
        <f>表2_9713192325277397[[#This Row],[活跃Coin]]+表2_9713192325277397[[#This Row],[共计补偿Coin]]</f>
        <v>464478</v>
      </c>
      <c r="M59" s="169">
        <f>SUMIFS(表1_8612182224267296[综合国力],表1_8612182224267296[目标区服],表2_9713192325277397[[#This Row],[合区区服]],表1_8612182224267296[目标国家（映射）],表2_9713192325277397[[#This Row],[国家]])</f>
        <v>13132</v>
      </c>
      <c r="N59" s="486">
        <f t="array" ref="N59">MAX((表1_8612182224267296[目标区服]=表2_9713192325277397[[#This Row],[合区区服]])*(表1_8612182224267296[目标国家（映射）]=表2_9713192325277397[[#This Row],[国家]])*表1_8612182224267296[单将最高战力])</f>
        <v>606930</v>
      </c>
    </row>
    <row r="60" ht="15" spans="1:14">
      <c r="A60" s="82" t="s">
        <v>216</v>
      </c>
      <c r="B60" s="169" t="s">
        <v>26</v>
      </c>
      <c r="C60" s="169">
        <f>COUNTIFS(表1_8612182224267296[目标区服],表2_9713192325277397[[#This Row],[合区区服]],表1_8612182224267296[目标国家（映射）],表2_9713192325277397[[#This Row],[国家]])</f>
        <v>2</v>
      </c>
      <c r="D60" s="169">
        <f>SUMIFS(表1_8612182224267296[活跃高战玩家数],表1_8612182224267296[目标区服],表2_9713192325277397[[#This Row],[合区区服]],表1_8612182224267296[目标国家（映射）],表2_9713192325277397[[#This Row],[国家]])</f>
        <v>4</v>
      </c>
      <c r="E60" s="169">
        <f>SUMIFS(表1_8612182224267296[活跃中坚玩家数],表1_8612182224267296[目标区服],表2_9713192325277397[[#This Row],[合区区服]],表1_8612182224267296[目标国家（映射）],表2_9713192325277397[[#This Row],[国家]])</f>
        <v>36</v>
      </c>
      <c r="F60" s="169">
        <f t="array" ref="F60">MAX((表1_8612182224267296[目标区服]=表2_9713192325277397[[#This Row],[合区区服]])*(表1_8612182224267296[目标国家（映射）]=表2_9713192325277397[[#This Row],[国家]])*表1_8612182224267296[活跃尖端战力])</f>
        <v>2009091</v>
      </c>
      <c r="G60" s="170">
        <f>SUMIFS(表1_8612182224267296[活跃总战力],表1_8612182224267296[目标区服],表2_9713192325277397[[#This Row],[合区区服]],表1_8612182224267296[目标国家（映射）],表2_9713192325277397[[#This Row],[国家]])</f>
        <v>23050811</v>
      </c>
      <c r="H60" s="169">
        <f>SUMIFS(表1_8612182224267296[活跃实际充值],表1_8612182224267296[目标区服],表2_9713192325277397[[#This Row],[合区区服]],表1_8612182224267296[目标国家（映射）],表2_9713192325277397[[#This Row],[国家]])</f>
        <v>38142</v>
      </c>
      <c r="I60" s="169">
        <f>SUMIFS(表1_8612182224267296[活跃虚拟充值],表1_8612182224267296[目标区服],表2_9713192325277397[[#This Row],[合区区服]],表1_8612182224267296[目标国家（映射）],表2_9713192325277397[[#This Row],[国家]])</f>
        <v>34618</v>
      </c>
      <c r="J60" s="169">
        <f>SUMIFS(表1_8612182224267296[活跃Coin],表1_8612182224267296[目标区服],表2_9713192325277397[[#This Row],[合区区服]],表1_8612182224267296[目标国家（映射）],表2_9713192325277397[[#This Row],[国家]])</f>
        <v>464124</v>
      </c>
      <c r="K60" s="169">
        <f>SUMIFS(表1_8612182224267296[共计补偿Coin],表1_8612182224267296[目标区服],表2_9713192325277397[[#This Row],[合区区服]],表1_8612182224267296[目标国家（映射）],表2_9713192325277397[[#This Row],[国家]])</f>
        <v>60000</v>
      </c>
      <c r="L60" s="169">
        <f>表2_9713192325277397[[#This Row],[活跃Coin]]+表2_9713192325277397[[#This Row],[共计补偿Coin]]</f>
        <v>524124</v>
      </c>
      <c r="M60" s="169">
        <f>SUMIFS(表1_8612182224267296[综合国力],表1_8612182224267296[目标区服],表2_9713192325277397[[#This Row],[合区区服]],表1_8612182224267296[目标国家（映射）],表2_9713192325277397[[#This Row],[国家]])</f>
        <v>10772</v>
      </c>
      <c r="N60" s="486">
        <f t="array" ref="N60">MAX((表1_8612182224267296[目标区服]=表2_9713192325277397[[#This Row],[合区区服]])*(表1_8612182224267296[目标国家（映射）]=表2_9713192325277397[[#This Row],[国家]])*表1_8612182224267296[单将最高战力])</f>
        <v>513149</v>
      </c>
    </row>
    <row r="61" ht="15" spans="1:14">
      <c r="A61" s="82" t="s">
        <v>216</v>
      </c>
      <c r="B61" s="171" t="s">
        <v>27</v>
      </c>
      <c r="C61" s="171">
        <f>COUNTIFS(表1_8612182224267296[目标区服],表2_9713192325277397[[#This Row],[合区区服]],表1_8612182224267296[目标国家（映射）],表2_9713192325277397[[#This Row],[国家]])</f>
        <v>2</v>
      </c>
      <c r="D61" s="171">
        <f>SUMIFS(表1_8612182224267296[活跃高战玩家数],表1_8612182224267296[目标区服],表2_9713192325277397[[#This Row],[合区区服]],表1_8612182224267296[目标国家（映射）],表2_9713192325277397[[#This Row],[国家]])</f>
        <v>6</v>
      </c>
      <c r="E61" s="171">
        <f>SUMIFS(表1_8612182224267296[活跃中坚玩家数],表1_8612182224267296[目标区服],表2_9713192325277397[[#This Row],[合区区服]],表1_8612182224267296[目标国家（映射）],表2_9713192325277397[[#This Row],[国家]])</f>
        <v>30</v>
      </c>
      <c r="F61" s="171">
        <f t="array" ref="F61">MAX((表1_8612182224267296[目标区服]=表2_9713192325277397[[#This Row],[合区区服]])*(表1_8612182224267296[目标国家（映射）]=表2_9713192325277397[[#This Row],[国家]])*表1_8612182224267296[活跃尖端战力])</f>
        <v>2153895</v>
      </c>
      <c r="G61" s="172">
        <f>SUMIFS(表1_8612182224267296[活跃总战力],表1_8612182224267296[目标区服],表2_9713192325277397[[#This Row],[合区区服]],表1_8612182224267296[目标国家（映射）],表2_9713192325277397[[#This Row],[国家]])</f>
        <v>22934660</v>
      </c>
      <c r="H61" s="171">
        <f>SUMIFS(表1_8612182224267296[活跃实际充值],表1_8612182224267296[目标区服],表2_9713192325277397[[#This Row],[合区区服]],表1_8612182224267296[目标国家（映射）],表2_9713192325277397[[#This Row],[国家]])</f>
        <v>63080</v>
      </c>
      <c r="I61" s="171">
        <f>SUMIFS(表1_8612182224267296[活跃虚拟充值],表1_8612182224267296[目标区服],表2_9713192325277397[[#This Row],[合区区服]],表1_8612182224267296[目标国家（映射）],表2_9713192325277397[[#This Row],[国家]])</f>
        <v>0</v>
      </c>
      <c r="J61" s="171">
        <f>SUMIFS(表1_8612182224267296[活跃Coin],表1_8612182224267296[目标区服],表2_9713192325277397[[#This Row],[合区区服]],表1_8612182224267296[目标国家（映射）],表2_9713192325277397[[#This Row],[国家]])</f>
        <v>415795</v>
      </c>
      <c r="K61" s="171">
        <f>SUMIFS(表1_8612182224267296[共计补偿Coin],表1_8612182224267296[目标区服],表2_9713192325277397[[#This Row],[合区区服]],表1_8612182224267296[目标国家（映射）],表2_9713192325277397[[#This Row],[国家]])</f>
        <v>51000</v>
      </c>
      <c r="L61" s="171">
        <f>表2_9713192325277397[[#This Row],[活跃Coin]]+表2_9713192325277397[[#This Row],[共计补偿Coin]]</f>
        <v>466795</v>
      </c>
      <c r="M61" s="171">
        <f>SUMIFS(表1_8612182224267296[综合国力],表1_8612182224267296[目标区服],表2_9713192325277397[[#This Row],[合区区服]],表1_8612182224267296[目标国家（映射）],表2_9713192325277397[[#This Row],[国家]])</f>
        <v>10460</v>
      </c>
      <c r="N61" s="487">
        <f t="array" ref="N61">MAX((表1_8612182224267296[目标区服]=表2_9713192325277397[[#This Row],[合区区服]])*(表1_8612182224267296[目标国家（映射）]=表2_9713192325277397[[#This Row],[国家]])*表1_8612182224267296[单将最高战力])</f>
        <v>602833</v>
      </c>
    </row>
    <row r="67" ht="27" spans="2:14">
      <c r="B67" s="49"/>
      <c r="C67" s="50" t="s">
        <v>9</v>
      </c>
      <c r="D67" s="50" t="s">
        <v>10</v>
      </c>
      <c r="E67" s="50" t="s">
        <v>11</v>
      </c>
      <c r="F67" s="50" t="s">
        <v>12</v>
      </c>
      <c r="G67" s="50" t="s">
        <v>13</v>
      </c>
      <c r="H67" s="50" t="s">
        <v>14</v>
      </c>
      <c r="I67" s="50" t="s">
        <v>15</v>
      </c>
      <c r="J67" s="50" t="s">
        <v>18</v>
      </c>
      <c r="K67" s="50" t="s">
        <v>19</v>
      </c>
      <c r="L67" s="50" t="s">
        <v>20</v>
      </c>
      <c r="M67" s="50" t="s">
        <v>21</v>
      </c>
      <c r="N67" s="50" t="s">
        <v>82</v>
      </c>
    </row>
    <row r="68" spans="1:14">
      <c r="A68">
        <v>7020</v>
      </c>
      <c r="B68" s="50" t="s">
        <v>25</v>
      </c>
      <c r="C68" s="50">
        <v>0</v>
      </c>
      <c r="D68" s="50">
        <v>24</v>
      </c>
      <c r="E68" s="50">
        <v>0</v>
      </c>
      <c r="F68" s="50">
        <v>15</v>
      </c>
      <c r="G68" s="50">
        <v>45996</v>
      </c>
      <c r="H68" s="50">
        <v>1062464</v>
      </c>
      <c r="I68" s="50">
        <v>7952396</v>
      </c>
      <c r="J68" s="50">
        <v>1618</v>
      </c>
      <c r="K68" s="50">
        <v>0</v>
      </c>
      <c r="L68" s="50">
        <v>131105</v>
      </c>
      <c r="M68" s="50">
        <v>2441</v>
      </c>
      <c r="N68" s="50">
        <v>343285</v>
      </c>
    </row>
    <row r="69" spans="2:14">
      <c r="B69" s="50" t="s">
        <v>26</v>
      </c>
      <c r="C69" s="50">
        <v>9</v>
      </c>
      <c r="D69" s="50">
        <v>342</v>
      </c>
      <c r="E69" s="50">
        <v>9</v>
      </c>
      <c r="F69" s="50">
        <v>24</v>
      </c>
      <c r="G69" s="50">
        <v>198738</v>
      </c>
      <c r="H69" s="50">
        <v>2729006</v>
      </c>
      <c r="I69" s="50">
        <v>31061975</v>
      </c>
      <c r="J69" s="50">
        <v>124112</v>
      </c>
      <c r="K69" s="50">
        <v>0</v>
      </c>
      <c r="L69" s="50">
        <v>958829</v>
      </c>
      <c r="M69" s="50">
        <v>15351</v>
      </c>
      <c r="N69" s="50">
        <v>939609</v>
      </c>
    </row>
    <row r="70" spans="2:14">
      <c r="B70" s="50" t="s">
        <v>27</v>
      </c>
      <c r="C70" s="50">
        <v>0</v>
      </c>
      <c r="D70" s="50">
        <v>29</v>
      </c>
      <c r="E70" s="50">
        <v>1</v>
      </c>
      <c r="F70" s="50">
        <v>8</v>
      </c>
      <c r="G70" s="50">
        <v>26958</v>
      </c>
      <c r="H70" s="50">
        <v>1104678</v>
      </c>
      <c r="I70" s="50">
        <v>4692111</v>
      </c>
      <c r="J70" s="50">
        <v>2918</v>
      </c>
      <c r="K70" s="50">
        <v>0</v>
      </c>
      <c r="L70" s="50">
        <v>85226</v>
      </c>
      <c r="M70" s="50">
        <v>2128</v>
      </c>
      <c r="N70" s="50">
        <v>289370</v>
      </c>
    </row>
    <row r="71" spans="1:14">
      <c r="A71">
        <v>7021</v>
      </c>
      <c r="B71" s="50" t="s">
        <v>25</v>
      </c>
      <c r="C71" s="50">
        <v>1</v>
      </c>
      <c r="D71" s="50">
        <v>45</v>
      </c>
      <c r="E71" s="50">
        <v>2</v>
      </c>
      <c r="F71" s="50">
        <v>17</v>
      </c>
      <c r="G71" s="50">
        <v>77846</v>
      </c>
      <c r="H71" s="50">
        <v>1486018</v>
      </c>
      <c r="I71" s="50">
        <v>11301990</v>
      </c>
      <c r="J71" s="50">
        <v>6566</v>
      </c>
      <c r="K71" s="50">
        <v>0</v>
      </c>
      <c r="L71" s="50">
        <v>118314</v>
      </c>
      <c r="M71" s="50">
        <v>3811</v>
      </c>
      <c r="N71" s="50">
        <v>381928</v>
      </c>
    </row>
    <row r="72" spans="2:14">
      <c r="B72" s="50" t="s">
        <v>26</v>
      </c>
      <c r="C72" s="50">
        <v>0</v>
      </c>
      <c r="D72" s="50">
        <v>25</v>
      </c>
      <c r="E72" s="50">
        <v>0</v>
      </c>
      <c r="F72" s="50">
        <v>7</v>
      </c>
      <c r="G72" s="50">
        <v>17131</v>
      </c>
      <c r="H72" s="50">
        <v>617867</v>
      </c>
      <c r="I72" s="50">
        <v>2891119</v>
      </c>
      <c r="J72" s="50">
        <v>648</v>
      </c>
      <c r="K72" s="50">
        <v>0</v>
      </c>
      <c r="L72" s="50">
        <v>35597</v>
      </c>
      <c r="M72" s="50">
        <v>1279</v>
      </c>
      <c r="N72" s="50">
        <v>165377</v>
      </c>
    </row>
    <row r="73" spans="2:14">
      <c r="B73" s="50" t="s">
        <v>27</v>
      </c>
      <c r="C73" s="50">
        <v>8</v>
      </c>
      <c r="D73" s="50">
        <v>325</v>
      </c>
      <c r="E73" s="50">
        <v>8</v>
      </c>
      <c r="F73" s="50">
        <v>24</v>
      </c>
      <c r="G73" s="50">
        <v>179958</v>
      </c>
      <c r="H73" s="50">
        <v>2561910</v>
      </c>
      <c r="I73" s="50">
        <v>27038752</v>
      </c>
      <c r="J73" s="50">
        <v>70482</v>
      </c>
      <c r="K73" s="50">
        <v>0</v>
      </c>
      <c r="L73" s="50">
        <v>354713</v>
      </c>
      <c r="M73" s="50">
        <v>12507</v>
      </c>
      <c r="N73" s="50">
        <v>790832</v>
      </c>
    </row>
    <row r="74" spans="1:14">
      <c r="A74">
        <v>7022</v>
      </c>
      <c r="B74" s="50" t="s">
        <v>25</v>
      </c>
      <c r="C74" s="50">
        <v>0</v>
      </c>
      <c r="D74" s="50">
        <v>47</v>
      </c>
      <c r="E74" s="50">
        <v>0</v>
      </c>
      <c r="F74" s="50">
        <v>15</v>
      </c>
      <c r="G74" s="50">
        <v>45436</v>
      </c>
      <c r="H74" s="50">
        <v>1315844</v>
      </c>
      <c r="I74" s="50">
        <v>8824788</v>
      </c>
      <c r="J74" s="50">
        <v>7084</v>
      </c>
      <c r="K74" s="50">
        <v>0</v>
      </c>
      <c r="L74" s="50">
        <v>88430</v>
      </c>
      <c r="M74" s="50">
        <v>3152</v>
      </c>
      <c r="N74" s="50">
        <v>425558</v>
      </c>
    </row>
    <row r="75" spans="2:14">
      <c r="B75" s="50" t="s">
        <v>26</v>
      </c>
      <c r="C75" s="50">
        <v>6</v>
      </c>
      <c r="D75" s="50">
        <v>216</v>
      </c>
      <c r="E75" s="50">
        <v>7</v>
      </c>
      <c r="F75" s="50">
        <v>19</v>
      </c>
      <c r="G75" s="50">
        <v>134185</v>
      </c>
      <c r="H75" s="50">
        <v>3090813</v>
      </c>
      <c r="I75" s="50">
        <v>26043653</v>
      </c>
      <c r="J75" s="50">
        <v>134272</v>
      </c>
      <c r="K75" s="50">
        <v>0</v>
      </c>
      <c r="L75" s="50">
        <v>366595</v>
      </c>
      <c r="M75" s="50">
        <v>13337</v>
      </c>
      <c r="N75" s="50">
        <v>903456</v>
      </c>
    </row>
    <row r="76" spans="2:14">
      <c r="B76" s="50" t="s">
        <v>27</v>
      </c>
      <c r="C76" s="50">
        <v>3</v>
      </c>
      <c r="D76" s="50">
        <v>132</v>
      </c>
      <c r="E76" s="50">
        <v>3</v>
      </c>
      <c r="F76" s="50">
        <v>21</v>
      </c>
      <c r="G76" s="50">
        <v>115200</v>
      </c>
      <c r="H76" s="50">
        <v>2440694</v>
      </c>
      <c r="I76" s="50">
        <v>20039986</v>
      </c>
      <c r="J76" s="50">
        <v>37040</v>
      </c>
      <c r="K76" s="50">
        <v>0</v>
      </c>
      <c r="L76" s="50">
        <v>105515</v>
      </c>
      <c r="M76" s="50">
        <v>7804</v>
      </c>
      <c r="N76" s="50">
        <v>651441</v>
      </c>
    </row>
    <row r="77" spans="1:14">
      <c r="A77">
        <v>7023</v>
      </c>
      <c r="B77" s="50" t="s">
        <v>25</v>
      </c>
      <c r="C77" s="50">
        <v>6</v>
      </c>
      <c r="D77" s="50">
        <v>253</v>
      </c>
      <c r="E77" s="50">
        <v>7</v>
      </c>
      <c r="F77" s="50">
        <v>22</v>
      </c>
      <c r="G77" s="50">
        <v>158217</v>
      </c>
      <c r="H77" s="50">
        <v>3063156</v>
      </c>
      <c r="I77" s="50">
        <v>26785257</v>
      </c>
      <c r="J77" s="50">
        <v>116640</v>
      </c>
      <c r="K77" s="50">
        <v>0</v>
      </c>
      <c r="L77" s="50">
        <v>366549</v>
      </c>
      <c r="M77" s="50">
        <v>13345</v>
      </c>
      <c r="N77" s="50">
        <v>866458</v>
      </c>
    </row>
    <row r="78" spans="2:14">
      <c r="B78" s="50" t="s">
        <v>26</v>
      </c>
      <c r="C78" s="50">
        <v>1</v>
      </c>
      <c r="D78" s="50">
        <v>65</v>
      </c>
      <c r="E78" s="50">
        <v>2</v>
      </c>
      <c r="F78" s="50">
        <v>17</v>
      </c>
      <c r="G78" s="50">
        <v>69221</v>
      </c>
      <c r="H78" s="50">
        <v>1993771</v>
      </c>
      <c r="I78" s="50">
        <v>11870419</v>
      </c>
      <c r="J78" s="50">
        <v>11536</v>
      </c>
      <c r="K78" s="50">
        <v>0</v>
      </c>
      <c r="L78" s="50">
        <v>82348</v>
      </c>
      <c r="M78" s="50">
        <v>4664</v>
      </c>
      <c r="N78" s="50">
        <v>658802</v>
      </c>
    </row>
    <row r="79" spans="2:14">
      <c r="B79" s="50" t="s">
        <v>27</v>
      </c>
      <c r="C79" s="50">
        <v>2</v>
      </c>
      <c r="D79" s="50">
        <v>77</v>
      </c>
      <c r="E79" s="50">
        <v>1</v>
      </c>
      <c r="F79" s="50">
        <v>10</v>
      </c>
      <c r="G79" s="50">
        <v>36317</v>
      </c>
      <c r="H79" s="50">
        <v>1193682</v>
      </c>
      <c r="I79" s="50">
        <v>6126010</v>
      </c>
      <c r="J79" s="50">
        <v>6770</v>
      </c>
      <c r="K79" s="50">
        <v>0</v>
      </c>
      <c r="L79" s="50">
        <v>74254</v>
      </c>
      <c r="M79" s="50">
        <v>3198</v>
      </c>
      <c r="N79" s="50">
        <v>382219</v>
      </c>
    </row>
    <row r="80" spans="1:14">
      <c r="A80">
        <v>7024</v>
      </c>
      <c r="B80" s="50" t="s">
        <v>25</v>
      </c>
      <c r="C80" s="50">
        <v>3</v>
      </c>
      <c r="D80" s="50">
        <v>98</v>
      </c>
      <c r="E80" s="50">
        <v>4</v>
      </c>
      <c r="F80" s="50">
        <v>16</v>
      </c>
      <c r="G80" s="50">
        <v>95235</v>
      </c>
      <c r="H80" s="50">
        <v>1538570</v>
      </c>
      <c r="I80" s="50">
        <v>13475465</v>
      </c>
      <c r="J80" s="50">
        <v>18696</v>
      </c>
      <c r="K80" s="50">
        <v>0</v>
      </c>
      <c r="L80" s="50">
        <v>380285</v>
      </c>
      <c r="M80" s="50">
        <v>5393</v>
      </c>
      <c r="N80" s="50">
        <v>427394</v>
      </c>
    </row>
    <row r="81" spans="2:14">
      <c r="B81" s="50" t="s">
        <v>26</v>
      </c>
      <c r="C81" s="50">
        <v>4</v>
      </c>
      <c r="D81" s="50">
        <v>216</v>
      </c>
      <c r="E81" s="50">
        <v>4</v>
      </c>
      <c r="F81" s="50">
        <v>26</v>
      </c>
      <c r="G81" s="50">
        <v>126659</v>
      </c>
      <c r="H81" s="50">
        <v>1935577</v>
      </c>
      <c r="I81" s="50">
        <v>19593725</v>
      </c>
      <c r="J81" s="50">
        <v>46182</v>
      </c>
      <c r="K81" s="50">
        <v>0</v>
      </c>
      <c r="L81" s="50">
        <v>326683</v>
      </c>
      <c r="M81" s="50">
        <v>8637</v>
      </c>
      <c r="N81" s="50">
        <v>547310</v>
      </c>
    </row>
    <row r="82" spans="2:14">
      <c r="B82" s="50" t="s">
        <v>27</v>
      </c>
      <c r="C82" s="50">
        <v>2</v>
      </c>
      <c r="D82" s="50">
        <v>80</v>
      </c>
      <c r="E82" s="50">
        <v>2</v>
      </c>
      <c r="F82" s="50">
        <v>18</v>
      </c>
      <c r="G82" s="50">
        <v>69527</v>
      </c>
      <c r="H82" s="50">
        <v>1433061</v>
      </c>
      <c r="I82" s="50">
        <v>11190204</v>
      </c>
      <c r="J82" s="50">
        <v>12744</v>
      </c>
      <c r="K82" s="50">
        <v>0</v>
      </c>
      <c r="L82" s="50">
        <v>103037</v>
      </c>
      <c r="M82" s="50">
        <v>4333</v>
      </c>
      <c r="N82" s="50">
        <v>445670</v>
      </c>
    </row>
    <row r="83" spans="1:14">
      <c r="A83">
        <v>7025</v>
      </c>
      <c r="B83" s="50" t="s">
        <v>25</v>
      </c>
      <c r="C83" s="50">
        <v>3</v>
      </c>
      <c r="D83" s="50">
        <v>141</v>
      </c>
      <c r="E83" s="50">
        <v>2</v>
      </c>
      <c r="F83" s="50">
        <v>17</v>
      </c>
      <c r="G83" s="50">
        <v>84048</v>
      </c>
      <c r="H83" s="50">
        <v>2223492</v>
      </c>
      <c r="I83" s="50">
        <v>14141308</v>
      </c>
      <c r="J83" s="50">
        <v>58436</v>
      </c>
      <c r="K83" s="50">
        <v>0</v>
      </c>
      <c r="L83" s="50">
        <v>233180</v>
      </c>
      <c r="M83" s="50">
        <v>7637</v>
      </c>
      <c r="N83" s="50">
        <v>744983</v>
      </c>
    </row>
    <row r="84" spans="2:14">
      <c r="B84" s="50" t="s">
        <v>26</v>
      </c>
      <c r="C84" s="50">
        <v>6</v>
      </c>
      <c r="D84" s="50">
        <v>211</v>
      </c>
      <c r="E84" s="50">
        <v>6</v>
      </c>
      <c r="F84" s="50">
        <v>30</v>
      </c>
      <c r="G84" s="50">
        <v>151258</v>
      </c>
      <c r="H84" s="50">
        <v>3216105</v>
      </c>
      <c r="I84" s="50">
        <v>27792181</v>
      </c>
      <c r="J84" s="50">
        <v>176746</v>
      </c>
      <c r="K84" s="50">
        <v>0</v>
      </c>
      <c r="L84" s="50">
        <v>535330</v>
      </c>
      <c r="M84" s="50">
        <v>15031</v>
      </c>
      <c r="N84" s="50">
        <v>807505</v>
      </c>
    </row>
    <row r="85" spans="2:14">
      <c r="B85" s="50" t="s">
        <v>27</v>
      </c>
      <c r="C85" s="50">
        <v>0</v>
      </c>
      <c r="D85" s="50">
        <v>43</v>
      </c>
      <c r="E85" s="50">
        <v>2</v>
      </c>
      <c r="F85" s="50">
        <v>7</v>
      </c>
      <c r="G85" s="50">
        <v>34860</v>
      </c>
      <c r="H85" s="50">
        <v>1902112</v>
      </c>
      <c r="I85" s="50">
        <v>6853891</v>
      </c>
      <c r="J85" s="50">
        <v>12874</v>
      </c>
      <c r="K85" s="50">
        <v>66524</v>
      </c>
      <c r="L85" s="50">
        <v>341998</v>
      </c>
      <c r="M85" s="50">
        <v>4414</v>
      </c>
      <c r="N85" s="50">
        <v>690397</v>
      </c>
    </row>
    <row r="86" spans="1:14">
      <c r="A86">
        <v>7026</v>
      </c>
      <c r="B86" s="50" t="s">
        <v>25</v>
      </c>
      <c r="C86" s="50">
        <v>4</v>
      </c>
      <c r="D86" s="50">
        <v>200</v>
      </c>
      <c r="E86" s="50">
        <v>3</v>
      </c>
      <c r="F86" s="50">
        <v>20</v>
      </c>
      <c r="G86" s="50">
        <v>116601</v>
      </c>
      <c r="H86" s="50">
        <v>2041246</v>
      </c>
      <c r="I86" s="50">
        <v>17661768</v>
      </c>
      <c r="J86" s="50">
        <v>91178</v>
      </c>
      <c r="K86" s="50">
        <v>0</v>
      </c>
      <c r="L86" s="50">
        <v>530744</v>
      </c>
      <c r="M86" s="50">
        <v>9791</v>
      </c>
      <c r="N86" s="50">
        <v>739731</v>
      </c>
    </row>
    <row r="87" spans="2:14">
      <c r="B87" s="50" t="s">
        <v>26</v>
      </c>
      <c r="C87" s="50">
        <v>3</v>
      </c>
      <c r="D87" s="50">
        <v>108</v>
      </c>
      <c r="E87" s="50">
        <v>5</v>
      </c>
      <c r="F87" s="50">
        <v>20</v>
      </c>
      <c r="G87" s="50">
        <v>109117</v>
      </c>
      <c r="H87" s="50">
        <v>1881676</v>
      </c>
      <c r="I87" s="50">
        <v>17370623</v>
      </c>
      <c r="J87" s="50">
        <v>64608</v>
      </c>
      <c r="K87" s="50">
        <v>0</v>
      </c>
      <c r="L87" s="50">
        <v>247684</v>
      </c>
      <c r="M87" s="50">
        <v>7606</v>
      </c>
      <c r="N87" s="50">
        <v>477443</v>
      </c>
    </row>
    <row r="88" spans="2:14">
      <c r="B88" s="50" t="s">
        <v>27</v>
      </c>
      <c r="C88" s="50">
        <v>2</v>
      </c>
      <c r="D88" s="50">
        <v>87</v>
      </c>
      <c r="E88" s="50">
        <v>2</v>
      </c>
      <c r="F88" s="50">
        <v>11</v>
      </c>
      <c r="G88" s="50">
        <v>47003</v>
      </c>
      <c r="H88" s="50">
        <v>1547089</v>
      </c>
      <c r="I88" s="50">
        <v>8427445</v>
      </c>
      <c r="J88" s="50">
        <v>31156</v>
      </c>
      <c r="K88" s="50">
        <v>0</v>
      </c>
      <c r="L88" s="50">
        <v>104216</v>
      </c>
      <c r="M88" s="50">
        <v>4681</v>
      </c>
      <c r="N88" s="50">
        <v>616965</v>
      </c>
    </row>
    <row r="89" spans="1:14">
      <c r="A89">
        <v>7027</v>
      </c>
      <c r="B89" s="50" t="s">
        <v>25</v>
      </c>
      <c r="C89" s="50">
        <v>2</v>
      </c>
      <c r="D89" s="50">
        <v>77</v>
      </c>
      <c r="E89" s="50">
        <v>3</v>
      </c>
      <c r="F89" s="50">
        <v>22</v>
      </c>
      <c r="G89" s="50">
        <v>94377</v>
      </c>
      <c r="H89" s="50">
        <v>2205812</v>
      </c>
      <c r="I89" s="50">
        <v>15010363</v>
      </c>
      <c r="J89" s="50">
        <v>37158</v>
      </c>
      <c r="K89" s="50">
        <v>0</v>
      </c>
      <c r="L89" s="50">
        <v>369343</v>
      </c>
      <c r="M89" s="50">
        <v>6448</v>
      </c>
      <c r="N89" s="50">
        <v>775540</v>
      </c>
    </row>
    <row r="90" spans="2:14">
      <c r="B90" s="50" t="s">
        <v>26</v>
      </c>
      <c r="C90" s="50">
        <v>5</v>
      </c>
      <c r="D90" s="50">
        <v>241</v>
      </c>
      <c r="E90" s="50">
        <v>5</v>
      </c>
      <c r="F90" s="50">
        <v>20</v>
      </c>
      <c r="G90" s="50">
        <v>131643</v>
      </c>
      <c r="H90" s="50">
        <v>3201867</v>
      </c>
      <c r="I90" s="50">
        <v>20811740</v>
      </c>
      <c r="J90" s="50">
        <v>133928</v>
      </c>
      <c r="K90" s="50">
        <v>0</v>
      </c>
      <c r="L90" s="50">
        <v>633788</v>
      </c>
      <c r="M90" s="50">
        <v>13185</v>
      </c>
      <c r="N90" s="50">
        <v>911706</v>
      </c>
    </row>
    <row r="91" spans="2:14">
      <c r="B91" s="50" t="s">
        <v>27</v>
      </c>
      <c r="C91" s="50">
        <v>2</v>
      </c>
      <c r="D91" s="50">
        <v>77</v>
      </c>
      <c r="E91" s="50">
        <v>1</v>
      </c>
      <c r="F91" s="50">
        <v>8</v>
      </c>
      <c r="G91" s="50">
        <v>24681</v>
      </c>
      <c r="H91" s="50">
        <v>834660</v>
      </c>
      <c r="I91" s="50">
        <v>3941638</v>
      </c>
      <c r="J91" s="50">
        <v>1660</v>
      </c>
      <c r="K91" s="50">
        <v>0</v>
      </c>
      <c r="L91" s="50">
        <v>87113</v>
      </c>
      <c r="M91" s="50">
        <v>2415</v>
      </c>
      <c r="N91" s="50">
        <v>247859</v>
      </c>
    </row>
    <row r="92" spans="1:14">
      <c r="A92">
        <v>7028</v>
      </c>
      <c r="B92" s="50" t="s">
        <v>25</v>
      </c>
      <c r="C92" s="50">
        <v>0</v>
      </c>
      <c r="D92" s="50">
        <v>71</v>
      </c>
      <c r="E92" s="50">
        <v>1</v>
      </c>
      <c r="F92" s="50">
        <v>13</v>
      </c>
      <c r="G92" s="50">
        <v>39957</v>
      </c>
      <c r="H92" s="50">
        <v>1178854</v>
      </c>
      <c r="I92" s="50">
        <v>7189082</v>
      </c>
      <c r="J92" s="50">
        <v>9426</v>
      </c>
      <c r="K92" s="50">
        <v>0</v>
      </c>
      <c r="L92" s="50">
        <v>88286</v>
      </c>
      <c r="M92" s="50">
        <v>3134</v>
      </c>
      <c r="N92" s="50">
        <v>358170</v>
      </c>
    </row>
    <row r="93" spans="2:14">
      <c r="B93" s="50" t="s">
        <v>26</v>
      </c>
      <c r="C93" s="50">
        <v>7</v>
      </c>
      <c r="D93" s="50">
        <v>259</v>
      </c>
      <c r="E93" s="50">
        <v>6</v>
      </c>
      <c r="F93" s="50">
        <v>32</v>
      </c>
      <c r="G93" s="50">
        <v>198413</v>
      </c>
      <c r="H93" s="50">
        <v>2464923</v>
      </c>
      <c r="I93" s="50">
        <v>30614160</v>
      </c>
      <c r="J93" s="50">
        <v>84400</v>
      </c>
      <c r="K93" s="50">
        <v>0</v>
      </c>
      <c r="L93" s="50">
        <v>362771</v>
      </c>
      <c r="M93" s="50">
        <v>12521</v>
      </c>
      <c r="N93" s="50">
        <v>798526</v>
      </c>
    </row>
    <row r="94" spans="2:14">
      <c r="B94" s="50" t="s">
        <v>27</v>
      </c>
      <c r="C94" s="50">
        <v>2</v>
      </c>
      <c r="D94" s="50">
        <v>65</v>
      </c>
      <c r="E94" s="50">
        <v>1</v>
      </c>
      <c r="F94" s="50">
        <v>8</v>
      </c>
      <c r="G94" s="50">
        <v>27572</v>
      </c>
      <c r="H94" s="50">
        <v>1172530</v>
      </c>
      <c r="I94" s="50">
        <v>4880709</v>
      </c>
      <c r="J94" s="50">
        <v>3554</v>
      </c>
      <c r="K94" s="50">
        <v>0</v>
      </c>
      <c r="L94" s="50">
        <v>76158</v>
      </c>
      <c r="M94" s="50">
        <v>2793</v>
      </c>
      <c r="N94" s="50">
        <v>426441</v>
      </c>
    </row>
    <row r="95" spans="1:14">
      <c r="A95">
        <v>7029</v>
      </c>
      <c r="B95" s="50" t="s">
        <v>25</v>
      </c>
      <c r="C95" s="50">
        <v>2</v>
      </c>
      <c r="D95" s="50">
        <v>89</v>
      </c>
      <c r="E95" s="50">
        <v>1</v>
      </c>
      <c r="F95" s="50">
        <v>18</v>
      </c>
      <c r="G95" s="50">
        <v>69744</v>
      </c>
      <c r="H95" s="50">
        <v>1382713</v>
      </c>
      <c r="I95" s="50">
        <v>10701174</v>
      </c>
      <c r="J95" s="50">
        <v>9410</v>
      </c>
      <c r="K95" s="50">
        <v>0</v>
      </c>
      <c r="L95" s="50">
        <v>190235</v>
      </c>
      <c r="M95" s="50">
        <v>4268</v>
      </c>
      <c r="N95" s="50">
        <v>428937</v>
      </c>
    </row>
    <row r="96" spans="2:14">
      <c r="B96" s="50" t="s">
        <v>26</v>
      </c>
      <c r="C96" s="50">
        <v>3</v>
      </c>
      <c r="D96" s="50">
        <v>162</v>
      </c>
      <c r="E96" s="50">
        <v>4</v>
      </c>
      <c r="F96" s="50">
        <v>16</v>
      </c>
      <c r="G96" s="50">
        <v>102375</v>
      </c>
      <c r="H96" s="50">
        <v>1582207</v>
      </c>
      <c r="I96" s="50">
        <v>14331520</v>
      </c>
      <c r="J96" s="50">
        <v>20270</v>
      </c>
      <c r="K96" s="50">
        <v>0</v>
      </c>
      <c r="L96" s="50">
        <v>60073</v>
      </c>
      <c r="M96" s="50">
        <v>6085</v>
      </c>
      <c r="N96" s="50">
        <v>471414</v>
      </c>
    </row>
    <row r="97" spans="2:14">
      <c r="B97" s="50" t="s">
        <v>27</v>
      </c>
      <c r="C97" s="50">
        <v>4</v>
      </c>
      <c r="D97" s="50">
        <v>144</v>
      </c>
      <c r="E97" s="50">
        <v>5</v>
      </c>
      <c r="F97" s="50">
        <v>28</v>
      </c>
      <c r="G97" s="50">
        <v>143746</v>
      </c>
      <c r="H97" s="50">
        <v>1828540</v>
      </c>
      <c r="I97" s="50">
        <v>21912969</v>
      </c>
      <c r="J97" s="50">
        <v>29794</v>
      </c>
      <c r="K97" s="50">
        <v>0</v>
      </c>
      <c r="L97" s="50">
        <v>263519</v>
      </c>
      <c r="M97" s="50">
        <v>7604</v>
      </c>
      <c r="N97" s="50">
        <v>551610</v>
      </c>
    </row>
    <row r="98" spans="1:14">
      <c r="A98">
        <v>7030</v>
      </c>
      <c r="B98" s="50" t="s">
        <v>25</v>
      </c>
      <c r="C98" s="50">
        <v>2</v>
      </c>
      <c r="D98" s="50">
        <v>75</v>
      </c>
      <c r="E98" s="50">
        <v>1</v>
      </c>
      <c r="F98" s="50">
        <v>18</v>
      </c>
      <c r="G98" s="50">
        <v>58000</v>
      </c>
      <c r="H98" s="50">
        <v>1159557</v>
      </c>
      <c r="I98" s="50">
        <v>8605141</v>
      </c>
      <c r="J98" s="50">
        <v>1756</v>
      </c>
      <c r="K98" s="50">
        <v>0</v>
      </c>
      <c r="L98" s="50">
        <v>115884</v>
      </c>
      <c r="M98" s="50">
        <v>3370</v>
      </c>
      <c r="N98" s="50">
        <v>331425</v>
      </c>
    </row>
    <row r="99" spans="2:14">
      <c r="B99" s="50" t="s">
        <v>26</v>
      </c>
      <c r="C99" s="50">
        <v>2</v>
      </c>
      <c r="D99" s="50">
        <v>93</v>
      </c>
      <c r="E99" s="50">
        <v>2</v>
      </c>
      <c r="F99" s="50">
        <v>18</v>
      </c>
      <c r="G99" s="50">
        <v>81380</v>
      </c>
      <c r="H99" s="50">
        <v>1698792</v>
      </c>
      <c r="I99" s="50">
        <v>11954862</v>
      </c>
      <c r="J99" s="50">
        <v>47292</v>
      </c>
      <c r="K99" s="50">
        <v>0</v>
      </c>
      <c r="L99" s="50">
        <v>186443</v>
      </c>
      <c r="M99" s="50">
        <v>5943</v>
      </c>
      <c r="N99" s="50">
        <v>591322</v>
      </c>
    </row>
    <row r="100" spans="2:14">
      <c r="B100" s="50" t="s">
        <v>27</v>
      </c>
      <c r="C100" s="50">
        <v>5</v>
      </c>
      <c r="D100" s="50">
        <v>227</v>
      </c>
      <c r="E100" s="50">
        <v>7</v>
      </c>
      <c r="F100" s="50">
        <v>19</v>
      </c>
      <c r="G100" s="50">
        <v>146144</v>
      </c>
      <c r="H100" s="50">
        <v>1437790</v>
      </c>
      <c r="I100" s="50">
        <v>18874880</v>
      </c>
      <c r="J100" s="50">
        <v>33598</v>
      </c>
      <c r="K100" s="50">
        <v>0</v>
      </c>
      <c r="L100" s="50">
        <v>237477</v>
      </c>
      <c r="M100" s="50">
        <v>7952</v>
      </c>
      <c r="N100" s="50">
        <v>391914</v>
      </c>
    </row>
    <row r="101" spans="1:14">
      <c r="A101">
        <v>7031</v>
      </c>
      <c r="B101" s="50" t="s">
        <v>25</v>
      </c>
      <c r="C101" s="50">
        <v>0</v>
      </c>
      <c r="D101" s="50">
        <v>28</v>
      </c>
      <c r="E101" s="50">
        <v>0</v>
      </c>
      <c r="F101" s="50">
        <v>6</v>
      </c>
      <c r="G101" s="50">
        <v>17953</v>
      </c>
      <c r="H101" s="50">
        <v>649313</v>
      </c>
      <c r="I101" s="50">
        <v>2400844</v>
      </c>
      <c r="J101" s="50">
        <v>2538</v>
      </c>
      <c r="K101" s="50">
        <v>0</v>
      </c>
      <c r="L101" s="50">
        <v>38475</v>
      </c>
      <c r="M101" s="50">
        <v>1354</v>
      </c>
      <c r="N101" s="50">
        <v>192535</v>
      </c>
    </row>
    <row r="102" spans="2:14">
      <c r="B102" s="50" t="s">
        <v>26</v>
      </c>
      <c r="C102" s="50">
        <v>1</v>
      </c>
      <c r="D102" s="50">
        <v>33</v>
      </c>
      <c r="E102" s="50">
        <v>0</v>
      </c>
      <c r="F102" s="50">
        <v>10</v>
      </c>
      <c r="G102" s="50">
        <v>28644</v>
      </c>
      <c r="H102" s="50">
        <v>508558</v>
      </c>
      <c r="I102" s="50">
        <v>3660470</v>
      </c>
      <c r="J102" s="50">
        <v>564</v>
      </c>
      <c r="K102" s="50">
        <v>0</v>
      </c>
      <c r="L102" s="50">
        <v>25789</v>
      </c>
      <c r="M102" s="50">
        <v>1477</v>
      </c>
      <c r="N102" s="50">
        <v>217744</v>
      </c>
    </row>
    <row r="103" spans="2:14">
      <c r="B103" s="50" t="s">
        <v>27</v>
      </c>
      <c r="C103" s="50">
        <v>8</v>
      </c>
      <c r="D103" s="50">
        <v>334</v>
      </c>
      <c r="E103" s="50">
        <v>9</v>
      </c>
      <c r="F103" s="50">
        <v>24</v>
      </c>
      <c r="G103" s="50">
        <v>186554</v>
      </c>
      <c r="H103" s="50">
        <v>2288974</v>
      </c>
      <c r="I103" s="50">
        <v>25014323</v>
      </c>
      <c r="J103" s="50">
        <v>53150</v>
      </c>
      <c r="K103" s="50">
        <v>0</v>
      </c>
      <c r="L103" s="50">
        <v>395689</v>
      </c>
      <c r="M103" s="50">
        <v>11655</v>
      </c>
      <c r="N103" s="50">
        <v>606930</v>
      </c>
    </row>
    <row r="104" spans="1:14">
      <c r="A104">
        <v>7032</v>
      </c>
      <c r="B104" s="50" t="s">
        <v>25</v>
      </c>
      <c r="C104" s="50">
        <v>1</v>
      </c>
      <c r="D104" s="50">
        <v>61</v>
      </c>
      <c r="E104" s="50">
        <v>1</v>
      </c>
      <c r="F104" s="50">
        <v>13</v>
      </c>
      <c r="G104" s="50">
        <v>34973</v>
      </c>
      <c r="H104" s="50">
        <v>1298576</v>
      </c>
      <c r="I104" s="50">
        <v>6338232</v>
      </c>
      <c r="J104" s="50">
        <v>2908</v>
      </c>
      <c r="K104" s="50">
        <v>34618</v>
      </c>
      <c r="L104" s="50">
        <v>248704</v>
      </c>
      <c r="M104" s="50">
        <v>3375</v>
      </c>
      <c r="N104" s="50">
        <v>445445</v>
      </c>
    </row>
    <row r="105" spans="2:14">
      <c r="B105" s="50" t="s">
        <v>26</v>
      </c>
      <c r="C105" s="50">
        <v>3</v>
      </c>
      <c r="D105" s="50">
        <v>166</v>
      </c>
      <c r="E105" s="50">
        <v>3</v>
      </c>
      <c r="F105" s="50">
        <v>23</v>
      </c>
      <c r="G105" s="50">
        <v>118524</v>
      </c>
      <c r="H105" s="50">
        <v>2009091</v>
      </c>
      <c r="I105" s="50">
        <v>16712579</v>
      </c>
      <c r="J105" s="50">
        <v>35234</v>
      </c>
      <c r="K105" s="50">
        <v>0</v>
      </c>
      <c r="L105" s="50">
        <v>215420</v>
      </c>
      <c r="M105" s="50">
        <v>7397</v>
      </c>
      <c r="N105" s="50">
        <v>513149</v>
      </c>
    </row>
    <row r="106" spans="2:14">
      <c r="B106" s="50" t="s">
        <v>27</v>
      </c>
      <c r="C106" s="50">
        <v>5</v>
      </c>
      <c r="D106" s="50">
        <v>168</v>
      </c>
      <c r="E106" s="50">
        <v>6</v>
      </c>
      <c r="F106" s="50">
        <v>24</v>
      </c>
      <c r="G106" s="50">
        <v>142833</v>
      </c>
      <c r="H106" s="50">
        <v>2153895</v>
      </c>
      <c r="I106" s="50">
        <v>20533816</v>
      </c>
      <c r="J106" s="50">
        <v>60542</v>
      </c>
      <c r="K106" s="50">
        <v>0</v>
      </c>
      <c r="L106" s="50">
        <v>377320</v>
      </c>
      <c r="M106" s="50">
        <v>9106</v>
      </c>
      <c r="N106" s="50">
        <v>602833</v>
      </c>
    </row>
  </sheetData>
  <conditionalFormatting sqref="F44:F46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{a52f4cc3-f55e-4f48-8834-c1b3deb9ccd4}</x14:id>
        </ext>
      </extLst>
    </cfRule>
  </conditionalFormatting>
  <conditionalFormatting sqref="F47:F4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{bf3d7f85-323a-431e-ac9f-7ccfbda81f6b}</x14:id>
        </ext>
      </extLst>
    </cfRule>
  </conditionalFormatting>
  <conditionalFormatting sqref="F50:F52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{dfdcbf90-4649-407d-b304-ca313175abb1}</x14:id>
        </ext>
      </extLst>
    </cfRule>
  </conditionalFormatting>
  <conditionalFormatting sqref="F53:F55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{8ac44a64-0937-4a58-b4d2-b24248a305a7}</x14:id>
        </ext>
      </extLst>
    </cfRule>
  </conditionalFormatting>
  <conditionalFormatting sqref="F56:F58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{b061d9f3-8713-4264-8b52-1850593ed623}</x14:id>
        </ext>
      </extLst>
    </cfRule>
  </conditionalFormatting>
  <conditionalFormatting sqref="F59:F6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{b9a02374-6ad0-496e-a60c-577784b6d8be}</x14:id>
        </ext>
      </extLst>
    </cfRule>
  </conditionalFormatting>
  <conditionalFormatting sqref="G44:G46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{9165e9a5-2fc0-4164-84e3-821ab180ebee}</x14:id>
        </ext>
      </extLst>
    </cfRule>
  </conditionalFormatting>
  <conditionalFormatting sqref="G47:G49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{3aa79782-8442-4a11-abea-9bfb9052e8ac}</x14:id>
        </ext>
      </extLst>
    </cfRule>
  </conditionalFormatting>
  <conditionalFormatting sqref="G50:G52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{acf63b78-e923-4852-8f4f-f4dfa769f261}</x14:id>
        </ext>
      </extLst>
    </cfRule>
  </conditionalFormatting>
  <conditionalFormatting sqref="G53:G55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{749c96dc-ca43-4085-be89-2ae9c269517d}</x14:id>
        </ext>
      </extLst>
    </cfRule>
  </conditionalFormatting>
  <conditionalFormatting sqref="G56:G58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{d78d0437-afc8-49ca-8e2b-6d72e5924644}</x14:id>
        </ext>
      </extLst>
    </cfRule>
  </conditionalFormatting>
  <conditionalFormatting sqref="G59:G61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{a3f8e38e-53fe-452d-908b-9c0c3fbc93f1}</x14:id>
        </ext>
      </extLst>
    </cfRule>
  </conditionalFormatting>
  <conditionalFormatting sqref="N44:N61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{846e0f7e-4bf4-468a-b902-0424289edb88}</x14:id>
        </ext>
      </extLst>
    </cfRule>
  </conditionalFormatting>
  <conditionalFormatting sqref="N53:N6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{6f91ef02-dabc-4c74-9565-e10da29f0ab5}</x14:id>
        </ext>
      </extLst>
    </cfRule>
  </conditionalFormatting>
  <conditionalFormatting sqref="O2:O19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{1e5e187e-a2f3-4f92-946a-c1a107525a12}</x14:id>
        </ext>
      </extLst>
    </cfRule>
  </conditionalFormatting>
  <conditionalFormatting sqref="O20:O40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{47aa1e95-14e9-4463-a83a-5472917a1ff0}</x14:id>
        </ext>
      </extLst>
    </cfRule>
  </conditionalFormatting>
  <conditionalFormatting sqref="P2:P19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{7c8a5d70-1b4f-4c95-8ed2-8b71161e8834}</x14:id>
        </ext>
      </extLst>
    </cfRule>
  </conditionalFormatting>
  <conditionalFormatting sqref="P20:P4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{9ca0ca02-5988-4fbf-bb2a-282f38f208f9}</x14:id>
        </ext>
      </extLst>
    </cfRule>
  </conditionalFormatting>
  <conditionalFormatting sqref="P44:P56">
    <cfRule type="cellIs" dxfId="37" priority="8" operator="equal">
      <formula>$S$44</formula>
    </cfRule>
  </conditionalFormatting>
  <conditionalFormatting sqref="Q2:Q40">
    <cfRule type="cellIs" dxfId="38" priority="15" operator="equal">
      <formula>配置!$D$4</formula>
    </cfRule>
    <cfRule type="cellIs" dxfId="39" priority="16" operator="equal">
      <formula>配置!$D$3</formula>
    </cfRule>
    <cfRule type="cellIs" dxfId="37" priority="17" operator="equal">
      <formula>配置!$D$2</formula>
    </cfRule>
  </conditionalFormatting>
  <conditionalFormatting sqref="R44:R49">
    <cfRule type="cellIs" dxfId="37" priority="9" operator="equal">
      <formula>$S$44</formula>
    </cfRule>
  </conditionalFormatting>
  <conditionalFormatting sqref="O41:O42 Q1:R1 Q2 Q4:Q5 Q7:Q8 Q10:Q11 Q13:Q14 Q16:Q17 Q19:Q20 Q22:Q40">
    <cfRule type="cellIs" dxfId="37" priority="25" operator="equal">
      <formula>配置!$D$2</formula>
    </cfRule>
  </conditionalFormatting>
  <conditionalFormatting sqref="Q2 Q4:Q5 Q7:Q8 Q10:Q11 Q13:Q14 Q16:Q17 Q19:Q20 Q22:Q40">
    <cfRule type="cellIs" dxfId="38" priority="24" operator="equal">
      <formula>配置!$D$4</formula>
    </cfRule>
  </conditionalFormatting>
  <dataValidations count="1">
    <dataValidation type="list" allowBlank="1" showInputMessage="1" showErrorMessage="1" sqref="Q2:Q40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52f4cc3-f55e-4f48-8834-c1b3deb9cc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F44:F46</xm:sqref>
        </x14:conditionalFormatting>
        <x14:conditionalFormatting xmlns:xm="http://schemas.microsoft.com/office/excel/2006/main">
          <x14:cfRule type="dataBar" id="{bf3d7f85-323a-431e-ac9f-7ccfbda81f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F47:F49</xm:sqref>
        </x14:conditionalFormatting>
        <x14:conditionalFormatting xmlns:xm="http://schemas.microsoft.com/office/excel/2006/main">
          <x14:cfRule type="dataBar" id="{dfdcbf90-4649-407d-b304-ca313175ab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F50:F52</xm:sqref>
        </x14:conditionalFormatting>
        <x14:conditionalFormatting xmlns:xm="http://schemas.microsoft.com/office/excel/2006/main">
          <x14:cfRule type="dataBar" id="{8ac44a64-0937-4a58-b4d2-b24248a305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F53:F55</xm:sqref>
        </x14:conditionalFormatting>
        <x14:conditionalFormatting xmlns:xm="http://schemas.microsoft.com/office/excel/2006/main">
          <x14:cfRule type="dataBar" id="{b061d9f3-8713-4264-8b52-1850593ed6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F56:F58</xm:sqref>
        </x14:conditionalFormatting>
        <x14:conditionalFormatting xmlns:xm="http://schemas.microsoft.com/office/excel/2006/main">
          <x14:cfRule type="dataBar" id="{b9a02374-6ad0-496e-a60c-577784b6d8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F59:F61</xm:sqref>
        </x14:conditionalFormatting>
        <x14:conditionalFormatting xmlns:xm="http://schemas.microsoft.com/office/excel/2006/main">
          <x14:cfRule type="dataBar" id="{9165e9a5-2fc0-4164-84e3-821ab180eb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G44:G46</xm:sqref>
        </x14:conditionalFormatting>
        <x14:conditionalFormatting xmlns:xm="http://schemas.microsoft.com/office/excel/2006/main">
          <x14:cfRule type="dataBar" id="{3aa79782-8442-4a11-abea-9bfb9052e8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G47:G49</xm:sqref>
        </x14:conditionalFormatting>
        <x14:conditionalFormatting xmlns:xm="http://schemas.microsoft.com/office/excel/2006/main">
          <x14:cfRule type="dataBar" id="{acf63b78-e923-4852-8f4f-f4dfa769f2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G50:G52</xm:sqref>
        </x14:conditionalFormatting>
        <x14:conditionalFormatting xmlns:xm="http://schemas.microsoft.com/office/excel/2006/main">
          <x14:cfRule type="dataBar" id="{749c96dc-ca43-4085-be89-2ae9c26951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G53:G55</xm:sqref>
        </x14:conditionalFormatting>
        <x14:conditionalFormatting xmlns:xm="http://schemas.microsoft.com/office/excel/2006/main">
          <x14:cfRule type="dataBar" id="{d78d0437-afc8-49ca-8e2b-6d72e59246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G56:G58</xm:sqref>
        </x14:conditionalFormatting>
        <x14:conditionalFormatting xmlns:xm="http://schemas.microsoft.com/office/excel/2006/main">
          <x14:cfRule type="dataBar" id="{a3f8e38e-53fe-452d-908b-9c0c3fbc93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G59:G61</xm:sqref>
        </x14:conditionalFormatting>
        <x14:conditionalFormatting xmlns:xm="http://schemas.microsoft.com/office/excel/2006/main">
          <x14:cfRule type="dataBar" id="{846e0f7e-4bf4-468a-b902-0424289edb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N44:N61</xm:sqref>
        </x14:conditionalFormatting>
        <x14:conditionalFormatting xmlns:xm="http://schemas.microsoft.com/office/excel/2006/main">
          <x14:cfRule type="dataBar" id="{6f91ef02-dabc-4c74-9565-e10da29f0a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N53:N61</xm:sqref>
        </x14:conditionalFormatting>
        <x14:conditionalFormatting xmlns:xm="http://schemas.microsoft.com/office/excel/2006/main">
          <x14:cfRule type="dataBar" id="{1e5e187e-a2f3-4f92-946a-c1a107525a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47aa1e95-14e9-4463-a83a-5472917a1f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O20:O40</xm:sqref>
        </x14:conditionalFormatting>
        <x14:conditionalFormatting xmlns:xm="http://schemas.microsoft.com/office/excel/2006/main">
          <x14:cfRule type="dataBar" id="{7c8a5d70-1b4f-4c95-8ed2-8b71161e88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9ca0ca02-5988-4fbf-bb2a-282f38f208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P20:P40</xm:sqref>
        </x14:conditionalFormatting>
      </x14:conditionalFormatting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15"/>
  <sheetViews>
    <sheetView workbookViewId="0">
      <selection activeCell="B16" sqref="B16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customHeight="1" spans="1:25">
      <c r="A2" s="371">
        <v>192</v>
      </c>
      <c r="B2" s="371">
        <f>VLOOKUP(表1_861218222426729298[[#This Row],[区服]],$P$47:$Q$64,2,FALSE)</f>
        <v>54</v>
      </c>
      <c r="C2" s="372" t="s">
        <v>217</v>
      </c>
      <c r="D2" s="373" t="str">
        <f>表1_861218222426729298[[#This Row],[目标国家]]</f>
        <v>魏</v>
      </c>
      <c r="E2" s="374">
        <f>(VLOOKUP(表1_861218222426729298[[#This Row],[目标区服]],$R$47:$S$55,2,FALSE)-表1_861218222426729298[[#This Row],[开服天数]])*配置!$B$1</f>
        <v>1000</v>
      </c>
      <c r="F2" s="374">
        <f>表1_861218222426729298[[#This Row],[补偿Coin]]*(表1_861218222426729298[[#This Row],[活跃高战玩家数]]+表1_861218222426729298[[#This Row],[活跃中坚玩家数]])</f>
        <v>41000</v>
      </c>
      <c r="G2" s="374">
        <f>(VLOOKUP(表1_861218222426729298[[#This Row],[目标区服]],$R$47:$S$55,2,FALSE)-表1_861218222426729298[[#This Row],[开服天数]])*配置!$B$2</f>
        <v>10</v>
      </c>
      <c r="H2" s="376" t="s">
        <v>25</v>
      </c>
      <c r="I2" s="376">
        <f>IF(表1_861218222426729298[[#This Row],[原国家]]="魏",0,IF(表1_861218222426729298[[#This Row],[原国家]]="蜀",1,2))</f>
        <v>0</v>
      </c>
      <c r="J2" s="380">
        <v>9</v>
      </c>
      <c r="K2" s="380">
        <v>363</v>
      </c>
      <c r="L2" s="380">
        <v>8</v>
      </c>
      <c r="M2" s="380">
        <v>33</v>
      </c>
      <c r="N2" s="380">
        <v>214025</v>
      </c>
      <c r="O2" s="380">
        <v>4371645</v>
      </c>
      <c r="P2" s="381">
        <v>55849479</v>
      </c>
      <c r="Q2" s="31" t="s">
        <v>25</v>
      </c>
      <c r="R2" s="376">
        <f>IF(表1_861218222426729298[[#This Row],[目标国家]]="魏",0,IF(表1_861218222426729298[[#This Row],[目标国家]]="蜀",1,2))</f>
        <v>0</v>
      </c>
      <c r="S2" s="380">
        <v>343158</v>
      </c>
      <c r="T2" s="380">
        <v>0</v>
      </c>
      <c r="U2" s="380">
        <v>2401777</v>
      </c>
      <c r="V2" s="380">
        <v>27052</v>
      </c>
      <c r="W2" s="374">
        <v>1133620</v>
      </c>
      <c r="X2" s="387" t="str">
        <f>"{"&amp;"'coin':"&amp;表1_861218222426729298[[#This Row],[补偿Coin]]&amp;",'"&amp;配置!$A$2&amp;"':"&amp;表1_861218222426729298[[#This Row],[补偿辎重]]&amp;"},"</f>
        <v>{'coin':1000,'item036':10},</v>
      </c>
      <c r="Y2" s="388" t="str">
        <f>"      '"&amp;表1_861218222426729298[[#This Row],[区服]]&amp;"':{"</f>
        <v>      '192':{</v>
      </c>
    </row>
    <row r="3" s="354" customFormat="1" customHeight="1" spans="1:25">
      <c r="A3" s="371">
        <v>192</v>
      </c>
      <c r="B3" s="371">
        <f>VLOOKUP(表1_861218222426729298[[#This Row],[区服]],$P$47:$Q$64,2,FALSE)</f>
        <v>54</v>
      </c>
      <c r="C3" s="372" t="s">
        <v>217</v>
      </c>
      <c r="D3" s="376" t="str">
        <f>表1_861218222426729298[[#This Row],[目标国家]]</f>
        <v>魏</v>
      </c>
      <c r="E3" s="380">
        <f>(VLOOKUP(表1_861218222426729298[[#This Row],[目标区服]],$R$47:$S$55,2,FALSE)-表1_861218222426729298[[#This Row],[开服天数]])*配置!$B$1</f>
        <v>1000</v>
      </c>
      <c r="F3" s="380">
        <f>表1_861218222426729298[[#This Row],[补偿Coin]]*(表1_861218222426729298[[#This Row],[活跃高战玩家数]]+表1_861218222426729298[[#This Row],[活跃中坚玩家数]])</f>
        <v>10000</v>
      </c>
      <c r="G3" s="380">
        <f>(VLOOKUP(表1_861218222426729298[[#This Row],[目标区服]],$R$47:$S$55,2,FALSE)-表1_861218222426729298[[#This Row],[开服天数]])*配置!$B$2</f>
        <v>10</v>
      </c>
      <c r="H3" s="376" t="s">
        <v>26</v>
      </c>
      <c r="I3" s="376">
        <f>IF(表1_861218222426729298[[#This Row],[原国家]]="魏",0,IF(表1_861218222426729298[[#This Row],[原国家]]="蜀",1,2))</f>
        <v>1</v>
      </c>
      <c r="J3" s="380">
        <v>0</v>
      </c>
      <c r="K3" s="380">
        <v>21</v>
      </c>
      <c r="L3" s="380">
        <v>1</v>
      </c>
      <c r="M3" s="380">
        <v>9</v>
      </c>
      <c r="N3" s="380">
        <v>23111</v>
      </c>
      <c r="O3" s="380">
        <v>1614666</v>
      </c>
      <c r="P3" s="381">
        <v>7950185</v>
      </c>
      <c r="Q3" s="31" t="s">
        <v>25</v>
      </c>
      <c r="R3" s="376">
        <f>IF(表1_861218222426729298[[#This Row],[目标国家]]="魏",0,IF(表1_861218222426729298[[#This Row],[目标国家]]="蜀",1,2))</f>
        <v>0</v>
      </c>
      <c r="S3" s="380">
        <v>39264</v>
      </c>
      <c r="T3" s="380">
        <v>0</v>
      </c>
      <c r="U3" s="380">
        <v>103943</v>
      </c>
      <c r="V3" s="380">
        <v>3965</v>
      </c>
      <c r="W3" s="374">
        <v>644548</v>
      </c>
      <c r="X3" s="387" t="str">
        <f>"{"&amp;"'coin':"&amp;表1_861218222426729298[[#This Row],[补偿Coin]]&amp;",'"&amp;配置!$A$2&amp;"':"&amp;表1_861218222426729298[[#This Row],[补偿辎重]]&amp;"},"</f>
        <v>{'coin':1000,'item036':10},</v>
      </c>
      <c r="Y3" s="388" t="str">
        <f>"            'to_zone':'"&amp;表1_861218222426729298[[#This Row],[目标区服]]&amp;"',
            'reward':"&amp;表1_861218222426729298[[#This Row],[辅助导出]]&amp;"
            'country':["&amp;R2&amp;","&amp;R3&amp;","&amp;R4&amp;"],"</f>
        <v>            'to_zone':'h1_83',
            'reward':{'coin':1000,'item036':10},
            'country':[0,0,2],</v>
      </c>
    </row>
    <row r="4" s="354" customFormat="1" customHeight="1" spans="1:25">
      <c r="A4" s="371">
        <v>192</v>
      </c>
      <c r="B4" s="371">
        <f>VLOOKUP(表1_861218222426729298[[#This Row],[区服]],$P$47:$Q$64,2,FALSE)</f>
        <v>54</v>
      </c>
      <c r="C4" s="372" t="s">
        <v>217</v>
      </c>
      <c r="D4" s="376" t="str">
        <f>表1_861218222426729298[[#This Row],[目标国家]]</f>
        <v>吴</v>
      </c>
      <c r="E4" s="380">
        <f>(VLOOKUP(表1_861218222426729298[[#This Row],[目标区服]],$R$47:$S$55,2,FALSE)-表1_861218222426729298[[#This Row],[开服天数]])*配置!$B$1</f>
        <v>1000</v>
      </c>
      <c r="F4" s="380">
        <f>表1_861218222426729298[[#This Row],[补偿Coin]]*(表1_861218222426729298[[#This Row],[活跃高战玩家数]]+表1_861218222426729298[[#This Row],[活跃中坚玩家数]])</f>
        <v>7000</v>
      </c>
      <c r="G4" s="380">
        <f>(VLOOKUP(表1_861218222426729298[[#This Row],[目标区服]],$R$47:$S$55,2,FALSE)-表1_861218222426729298[[#This Row],[开服天数]])*配置!$B$2</f>
        <v>10</v>
      </c>
      <c r="H4" s="376" t="s">
        <v>27</v>
      </c>
      <c r="I4" s="376">
        <f>IF(表1_861218222426729298[[#This Row],[原国家]]="魏",0,IF(表1_861218222426729298[[#This Row],[原国家]]="蜀",1,2))</f>
        <v>2</v>
      </c>
      <c r="J4" s="380">
        <v>0</v>
      </c>
      <c r="K4" s="380">
        <v>11</v>
      </c>
      <c r="L4" s="380">
        <v>0</v>
      </c>
      <c r="M4" s="380">
        <v>7</v>
      </c>
      <c r="N4" s="380">
        <v>17385</v>
      </c>
      <c r="O4" s="380">
        <v>1350666</v>
      </c>
      <c r="P4" s="381">
        <v>5354980</v>
      </c>
      <c r="Q4" s="31" t="s">
        <v>27</v>
      </c>
      <c r="R4" s="376">
        <f>IF(表1_861218222426729298[[#This Row],[目标国家]]="魏",0,IF(表1_861218222426729298[[#This Row],[目标国家]]="蜀",1,2))</f>
        <v>2</v>
      </c>
      <c r="S4" s="380">
        <v>7798</v>
      </c>
      <c r="T4" s="380">
        <v>0</v>
      </c>
      <c r="U4" s="380">
        <v>103284</v>
      </c>
      <c r="V4" s="380">
        <v>2368</v>
      </c>
      <c r="W4" s="374">
        <v>534033</v>
      </c>
      <c r="X4" s="387" t="str">
        <f>"{"&amp;"'coin':"&amp;表1_861218222426729298[[#This Row],[补偿Coin]]&amp;",'"&amp;配置!$A$2&amp;"':"&amp;表1_861218222426729298[[#This Row],[补偿辎重]]&amp;"},"</f>
        <v>{'coin':1000,'item036':10},</v>
      </c>
      <c r="Y4" s="388" t="str">
        <f>"      },"</f>
        <v>      },</v>
      </c>
    </row>
    <row r="5" s="354" customFormat="1" customHeight="1" spans="1:25">
      <c r="A5" s="375">
        <v>193</v>
      </c>
      <c r="B5" s="371">
        <f>VLOOKUP(表1_861218222426729298[[#This Row],[区服]],$P$47:$Q$64,2,FALSE)</f>
        <v>53</v>
      </c>
      <c r="C5" s="372" t="s">
        <v>217</v>
      </c>
      <c r="D5" s="376" t="str">
        <f>表1_861218222426729298[[#This Row],[目标国家]]</f>
        <v>吴</v>
      </c>
      <c r="E5" s="380">
        <f>(VLOOKUP(表1_861218222426729298[[#This Row],[目标区服]],$R$47:$S$55,2,FALSE)-表1_861218222426729298[[#This Row],[开服天数]])*配置!$B$1</f>
        <v>1500</v>
      </c>
      <c r="F5" s="380">
        <f>表1_861218222426729298[[#This Row],[补偿Coin]]*(表1_861218222426729298[[#This Row],[活跃高战玩家数]]+表1_861218222426729298[[#This Row],[活跃中坚玩家数]])</f>
        <v>66000</v>
      </c>
      <c r="G5" s="380">
        <f>(VLOOKUP(表1_861218222426729298[[#This Row],[目标区服]],$R$47:$S$55,2,FALSE)-表1_861218222426729298[[#This Row],[开服天数]])*配置!$B$2</f>
        <v>15</v>
      </c>
      <c r="H5" s="376" t="s">
        <v>25</v>
      </c>
      <c r="I5" s="376">
        <f>IF(表1_861218222426729298[[#This Row],[原国家]]="魏",0,IF(表1_861218222426729298[[#This Row],[原国家]]="蜀",1,2))</f>
        <v>0</v>
      </c>
      <c r="J5" s="380">
        <v>4</v>
      </c>
      <c r="K5" s="380">
        <v>206</v>
      </c>
      <c r="L5" s="380">
        <v>6</v>
      </c>
      <c r="M5" s="380">
        <v>38</v>
      </c>
      <c r="N5" s="380">
        <v>188955</v>
      </c>
      <c r="O5" s="380">
        <v>4801060</v>
      </c>
      <c r="P5" s="381">
        <v>62687346</v>
      </c>
      <c r="Q5" s="31" t="s">
        <v>27</v>
      </c>
      <c r="R5" s="376">
        <f>IF(表1_861218222426729298[[#This Row],[目标国家]]="魏",0,IF(表1_861218222426729298[[#This Row],[目标国家]]="蜀",1,2))</f>
        <v>2</v>
      </c>
      <c r="S5" s="380">
        <v>461272</v>
      </c>
      <c r="T5" s="380">
        <v>1304</v>
      </c>
      <c r="U5" s="380">
        <v>2417075</v>
      </c>
      <c r="V5" s="380">
        <v>29534</v>
      </c>
      <c r="W5" s="374">
        <v>1358150</v>
      </c>
      <c r="X5" s="387" t="str">
        <f>"{"&amp;"'coin':"&amp;表1_861218222426729298[[#This Row],[补偿Coin]]&amp;",'"&amp;配置!$A$2&amp;"':"&amp;表1_861218222426729298[[#This Row],[补偿辎重]]&amp;"},"</f>
        <v>{'coin':1500,'item036':15},</v>
      </c>
      <c r="Y5" s="388" t="str">
        <f>"      '"&amp;表1_861218222426729298[[#This Row],[区服]]&amp;"':{"</f>
        <v>      '193':{</v>
      </c>
    </row>
    <row r="6" s="354" customFormat="1" customHeight="1" spans="1:25">
      <c r="A6" s="375">
        <v>193</v>
      </c>
      <c r="B6" s="371">
        <f>VLOOKUP(表1_861218222426729298[[#This Row],[区服]],$P$47:$Q$64,2,FALSE)</f>
        <v>53</v>
      </c>
      <c r="C6" s="372" t="s">
        <v>217</v>
      </c>
      <c r="D6" s="376" t="str">
        <f>表1_861218222426729298[[#This Row],[目标国家]]</f>
        <v>蜀</v>
      </c>
      <c r="E6" s="380">
        <f>(VLOOKUP(表1_861218222426729298[[#This Row],[目标区服]],$R$47:$S$55,2,FALSE)-表1_861218222426729298[[#This Row],[开服天数]])*配置!$B$1</f>
        <v>1500</v>
      </c>
      <c r="F6" s="380">
        <f>表1_861218222426729298[[#This Row],[补偿Coin]]*(表1_861218222426729298[[#This Row],[活跃高战玩家数]]+表1_861218222426729298[[#This Row],[活跃中坚玩家数]])</f>
        <v>31500</v>
      </c>
      <c r="G6" s="380">
        <f>(VLOOKUP(表1_861218222426729298[[#This Row],[目标区服]],$R$47:$S$55,2,FALSE)-表1_861218222426729298[[#This Row],[开服天数]])*配置!$B$2</f>
        <v>15</v>
      </c>
      <c r="H6" s="376" t="s">
        <v>26</v>
      </c>
      <c r="I6" s="376">
        <f>IF(表1_861218222426729298[[#This Row],[原国家]]="魏",0,IF(表1_861218222426729298[[#This Row],[原国家]]="蜀",1,2))</f>
        <v>1</v>
      </c>
      <c r="J6" s="380">
        <v>2</v>
      </c>
      <c r="K6" s="380">
        <v>91</v>
      </c>
      <c r="L6" s="380">
        <v>4</v>
      </c>
      <c r="M6" s="380">
        <v>17</v>
      </c>
      <c r="N6" s="380">
        <v>82377</v>
      </c>
      <c r="O6" s="380">
        <v>3889797</v>
      </c>
      <c r="P6" s="381">
        <v>31096178</v>
      </c>
      <c r="Q6" s="31" t="s">
        <v>26</v>
      </c>
      <c r="R6" s="376">
        <f>IF(表1_861218222426729298[[#This Row],[目标国家]]="魏",0,IF(表1_861218222426729298[[#This Row],[目标国家]]="蜀",1,2))</f>
        <v>1</v>
      </c>
      <c r="S6" s="380">
        <v>252828</v>
      </c>
      <c r="T6" s="380">
        <v>0</v>
      </c>
      <c r="U6" s="380">
        <v>266505</v>
      </c>
      <c r="V6" s="380">
        <v>16239</v>
      </c>
      <c r="W6" s="374">
        <v>1100060</v>
      </c>
      <c r="X6" s="387" t="str">
        <f>"{"&amp;"'coin':"&amp;表1_861218222426729298[[#This Row],[补偿Coin]]&amp;",'"&amp;配置!$A$2&amp;"':"&amp;表1_861218222426729298[[#This Row],[补偿辎重]]&amp;"},"</f>
        <v>{'coin':1500,'item036':15},</v>
      </c>
      <c r="Y6" s="388" t="str">
        <f>"            'to_zone':'"&amp;表1_861218222426729298[[#This Row],[目标区服]]&amp;"',
            'reward':"&amp;表1_861218222426729298[[#This Row],[辅助导出]]&amp;"
            'country':["&amp;R5&amp;","&amp;R6&amp;","&amp;R7&amp;"],"</f>
        <v>            'to_zone':'h1_83',
            'reward':{'coin':1500,'item036':15},
            'country':[2,1,1],</v>
      </c>
    </row>
    <row r="7" s="354" customFormat="1" customHeight="1" spans="1:25">
      <c r="A7" s="375">
        <v>193</v>
      </c>
      <c r="B7" s="371">
        <f>VLOOKUP(表1_861218222426729298[[#This Row],[区服]],$P$47:$Q$64,2,FALSE)</f>
        <v>53</v>
      </c>
      <c r="C7" s="372" t="s">
        <v>217</v>
      </c>
      <c r="D7" s="376" t="str">
        <f>表1_861218222426729298[[#This Row],[目标国家]]</f>
        <v>蜀</v>
      </c>
      <c r="E7" s="380">
        <f>(VLOOKUP(表1_861218222426729298[[#This Row],[目标区服]],$R$47:$S$55,2,FALSE)-表1_861218222426729298[[#This Row],[开服天数]])*配置!$B$1</f>
        <v>1500</v>
      </c>
      <c r="F7" s="380">
        <f>表1_861218222426729298[[#This Row],[补偿Coin]]*(表1_861218222426729298[[#This Row],[活跃高战玩家数]]+表1_861218222426729298[[#This Row],[活跃中坚玩家数]])</f>
        <v>36000</v>
      </c>
      <c r="G7" s="380">
        <f>(VLOOKUP(表1_861218222426729298[[#This Row],[目标区服]],$R$47:$S$55,2,FALSE)-表1_861218222426729298[[#This Row],[开服天数]])*配置!$B$2</f>
        <v>15</v>
      </c>
      <c r="H7" s="376" t="s">
        <v>27</v>
      </c>
      <c r="I7" s="376">
        <f>IF(表1_861218222426729298[[#This Row],[原国家]]="魏",0,IF(表1_861218222426729298[[#This Row],[原国家]]="蜀",1,2))</f>
        <v>2</v>
      </c>
      <c r="J7" s="380">
        <v>3</v>
      </c>
      <c r="K7" s="380">
        <v>98</v>
      </c>
      <c r="L7" s="380">
        <v>0</v>
      </c>
      <c r="M7" s="380">
        <v>24</v>
      </c>
      <c r="N7" s="380">
        <v>49414</v>
      </c>
      <c r="O7" s="380">
        <v>2174756</v>
      </c>
      <c r="P7" s="381">
        <v>23590804</v>
      </c>
      <c r="Q7" s="31" t="s">
        <v>26</v>
      </c>
      <c r="R7" s="376">
        <f>IF(表1_861218222426729298[[#This Row],[目标国家]]="魏",0,IF(表1_861218222426729298[[#This Row],[目标国家]]="蜀",1,2))</f>
        <v>1</v>
      </c>
      <c r="S7" s="380">
        <v>63028</v>
      </c>
      <c r="T7" s="380">
        <v>0</v>
      </c>
      <c r="U7" s="380">
        <v>558413</v>
      </c>
      <c r="V7" s="380">
        <v>8230</v>
      </c>
      <c r="W7" s="374">
        <v>682357</v>
      </c>
      <c r="X7" s="387" t="str">
        <f>"{"&amp;"'coin':"&amp;表1_861218222426729298[[#This Row],[补偿Coin]]&amp;",'"&amp;配置!$A$2&amp;"':"&amp;表1_861218222426729298[[#This Row],[补偿辎重]]&amp;"},"</f>
        <v>{'coin':1500,'item036':15},</v>
      </c>
      <c r="Y7" s="388" t="str">
        <f t="shared" ref="Y7" si="0">"      },"</f>
        <v>      },</v>
      </c>
    </row>
    <row r="8" s="354" customFormat="1" customHeight="1" spans="1:25">
      <c r="A8" s="259">
        <v>194</v>
      </c>
      <c r="B8" s="210">
        <f>VLOOKUP(表1_861218222426729298[[#This Row],[区服]],$P$47:$Q$64,2,FALSE)</f>
        <v>52</v>
      </c>
      <c r="C8" s="296" t="s">
        <v>218</v>
      </c>
      <c r="D8" s="212" t="str">
        <f>表1_861218222426729298[[#This Row],[目标国家]]</f>
        <v>魏</v>
      </c>
      <c r="E8" s="213">
        <f>(VLOOKUP(表1_861218222426729298[[#This Row],[目标区服]],$R$47:$S$55,2,FALSE)-表1_861218222426729298[[#This Row],[开服天数]])*配置!$B$1</f>
        <v>1500</v>
      </c>
      <c r="F8" s="213">
        <f>表1_861218222426729298[[#This Row],[补偿Coin]]*(表1_861218222426729298[[#This Row],[活跃高战玩家数]]+表1_861218222426729298[[#This Row],[活跃中坚玩家数]])</f>
        <v>48000</v>
      </c>
      <c r="G8" s="260">
        <f>(VLOOKUP(表1_861218222426729298[[#This Row],[目标区服]],$R$47:$S$55,2,FALSE)-表1_861218222426729298[[#This Row],[开服天数]])*配置!$B$2</f>
        <v>15</v>
      </c>
      <c r="H8" s="212" t="s">
        <v>25</v>
      </c>
      <c r="I8" s="268">
        <f>IF(表1_861218222426729298[[#This Row],[原国家]]="魏",0,IF(表1_861218222426729298[[#This Row],[原国家]]="蜀",1,2))</f>
        <v>0</v>
      </c>
      <c r="J8" s="213">
        <v>3</v>
      </c>
      <c r="K8" s="213">
        <v>132</v>
      </c>
      <c r="L8" s="213">
        <v>5</v>
      </c>
      <c r="M8" s="213">
        <v>27</v>
      </c>
      <c r="N8" s="213">
        <v>130271</v>
      </c>
      <c r="O8" s="419">
        <v>2340722</v>
      </c>
      <c r="P8" s="420">
        <v>35552522</v>
      </c>
      <c r="Q8" s="31" t="s">
        <v>25</v>
      </c>
      <c r="R8" s="212">
        <f>IF(表1_861218222426729298[[#This Row],[目标国家]]="魏",0,IF(表1_861218222426729298[[#This Row],[目标国家]]="蜀",1,2))</f>
        <v>0</v>
      </c>
      <c r="S8" s="213">
        <v>198424</v>
      </c>
      <c r="T8" s="213">
        <v>188</v>
      </c>
      <c r="U8" s="213">
        <v>830695</v>
      </c>
      <c r="V8" s="213">
        <v>14537</v>
      </c>
      <c r="W8" s="213">
        <v>1024004</v>
      </c>
      <c r="X8" s="278" t="str">
        <f>"{"&amp;"'coin':"&amp;表1_861218222426729298[[#This Row],[补偿Coin]]&amp;",'"&amp;配置!$A$2&amp;"':"&amp;表1_861218222426729298[[#This Row],[补偿辎重]]&amp;"},"</f>
        <v>{'coin':1500,'item036':15},</v>
      </c>
      <c r="Y8" s="278" t="str">
        <f>"      '"&amp;表1_861218222426729298[[#This Row],[区服]]&amp;"':{"</f>
        <v>      '194':{</v>
      </c>
    </row>
    <row r="9" s="354" customFormat="1" customHeight="1" spans="1:25">
      <c r="A9" s="259">
        <v>194</v>
      </c>
      <c r="B9" s="210">
        <f>VLOOKUP(表1_861218222426729298[[#This Row],[区服]],$P$47:$Q$64,2,FALSE)</f>
        <v>52</v>
      </c>
      <c r="C9" s="296" t="s">
        <v>218</v>
      </c>
      <c r="D9" s="212" t="str">
        <f>表1_861218222426729298[[#This Row],[目标国家]]</f>
        <v>魏</v>
      </c>
      <c r="E9" s="213">
        <f>(VLOOKUP(表1_861218222426729298[[#This Row],[目标区服]],$R$47:$S$55,2,FALSE)-表1_861218222426729298[[#This Row],[开服天数]])*配置!$B$1</f>
        <v>1500</v>
      </c>
      <c r="F9" s="213">
        <f>表1_861218222426729298[[#This Row],[补偿Coin]]*(表1_861218222426729298[[#This Row],[活跃高战玩家数]]+表1_861218222426729298[[#This Row],[活跃中坚玩家数]])</f>
        <v>28500</v>
      </c>
      <c r="G9" s="260">
        <f>(VLOOKUP(表1_861218222426729298[[#This Row],[目标区服]],$R$47:$S$55,2,FALSE)-表1_861218222426729298[[#This Row],[开服天数]])*配置!$B$2</f>
        <v>15</v>
      </c>
      <c r="H9" s="212" t="s">
        <v>26</v>
      </c>
      <c r="I9" s="268">
        <f>IF(表1_861218222426729298[[#This Row],[原国家]]="魏",0,IF(表1_861218222426729298[[#This Row],[原国家]]="蜀",1,2))</f>
        <v>1</v>
      </c>
      <c r="J9" s="213">
        <v>3</v>
      </c>
      <c r="K9" s="213">
        <v>135</v>
      </c>
      <c r="L9" s="213">
        <v>3</v>
      </c>
      <c r="M9" s="213">
        <v>16</v>
      </c>
      <c r="N9" s="213">
        <v>64038</v>
      </c>
      <c r="O9" s="419">
        <v>2626190</v>
      </c>
      <c r="P9" s="420">
        <v>19866621</v>
      </c>
      <c r="Q9" s="31" t="s">
        <v>25</v>
      </c>
      <c r="R9" s="212">
        <f>IF(表1_861218222426729298[[#This Row],[目标国家]]="魏",0,IF(表1_861218222426729298[[#This Row],[目标国家]]="蜀",1,2))</f>
        <v>0</v>
      </c>
      <c r="S9" s="213">
        <v>86492</v>
      </c>
      <c r="T9" s="213">
        <v>0</v>
      </c>
      <c r="U9" s="213">
        <v>289312</v>
      </c>
      <c r="V9" s="213">
        <v>9322</v>
      </c>
      <c r="W9" s="213">
        <v>772961</v>
      </c>
      <c r="X9" s="278" t="str">
        <f>"{"&amp;"'coin':"&amp;表1_861218222426729298[[#This Row],[补偿Coin]]&amp;",'"&amp;配置!$A$2&amp;"':"&amp;表1_861218222426729298[[#This Row],[补偿辎重]]&amp;"},"</f>
        <v>{'coin':1500,'item036':15},</v>
      </c>
      <c r="Y9" s="278" t="str">
        <f>"            'to_zone':'"&amp;表1_861218222426729298[[#This Row],[目标区服]]&amp;"',
            'reward':"&amp;表1_861218222426729298[[#This Row],[辅助导出]]&amp;"
            'country':["&amp;R8&amp;","&amp;R9&amp;","&amp;R10&amp;"],"</f>
        <v>            'to_zone':'h1_84',
            'reward':{'coin':1500,'item036':15},
            'country':[0,0,2],</v>
      </c>
    </row>
    <row r="10" s="354" customFormat="1" customHeight="1" spans="1:25">
      <c r="A10" s="259">
        <v>194</v>
      </c>
      <c r="B10" s="210">
        <f>VLOOKUP(表1_861218222426729298[[#This Row],[区服]],$P$47:$Q$64,2,FALSE)</f>
        <v>52</v>
      </c>
      <c r="C10" s="296" t="s">
        <v>218</v>
      </c>
      <c r="D10" s="212" t="str">
        <f>表1_861218222426729298[[#This Row],[目标国家]]</f>
        <v>吴</v>
      </c>
      <c r="E10" s="213">
        <f>(VLOOKUP(表1_861218222426729298[[#This Row],[目标区服]],$R$47:$S$55,2,FALSE)-表1_861218222426729298[[#This Row],[开服天数]])*配置!$B$1</f>
        <v>1500</v>
      </c>
      <c r="F10" s="213">
        <f>表1_861218222426729298[[#This Row],[补偿Coin]]*(表1_861218222426729298[[#This Row],[活跃高战玩家数]]+表1_861218222426729298[[#This Row],[活跃中坚玩家数]])</f>
        <v>51000</v>
      </c>
      <c r="G10" s="260">
        <f>(VLOOKUP(表1_861218222426729298[[#This Row],[目标区服]],$R$47:$S$55,2,FALSE)-表1_861218222426729298[[#This Row],[开服天数]])*配置!$B$2</f>
        <v>15</v>
      </c>
      <c r="H10" s="212" t="s">
        <v>27</v>
      </c>
      <c r="I10" s="268">
        <f>IF(表1_861218222426729298[[#This Row],[原国家]]="魏",0,IF(表1_861218222426729298[[#This Row],[原国家]]="蜀",1,2))</f>
        <v>2</v>
      </c>
      <c r="J10" s="213">
        <v>3</v>
      </c>
      <c r="K10" s="213">
        <v>128</v>
      </c>
      <c r="L10" s="213">
        <v>2</v>
      </c>
      <c r="M10" s="213">
        <v>32</v>
      </c>
      <c r="N10" s="213">
        <v>130631</v>
      </c>
      <c r="O10" s="419">
        <v>2651618</v>
      </c>
      <c r="P10" s="420">
        <v>36055168</v>
      </c>
      <c r="Q10" s="31" t="s">
        <v>27</v>
      </c>
      <c r="R10" s="212">
        <f>IF(表1_861218222426729298[[#This Row],[目标国家]]="魏",0,IF(表1_861218222426729298[[#This Row],[目标国家]]="蜀",1,2))</f>
        <v>2</v>
      </c>
      <c r="S10" s="213">
        <v>149160</v>
      </c>
      <c r="T10" s="213">
        <v>63752</v>
      </c>
      <c r="U10" s="213">
        <v>1733482</v>
      </c>
      <c r="V10" s="213">
        <v>14469</v>
      </c>
      <c r="W10" s="213">
        <v>1252246</v>
      </c>
      <c r="X10" s="278" t="str">
        <f>"{"&amp;"'coin':"&amp;表1_861218222426729298[[#This Row],[补偿Coin]]&amp;",'"&amp;配置!$A$2&amp;"':"&amp;表1_861218222426729298[[#This Row],[补偿辎重]]&amp;"},"</f>
        <v>{'coin':1500,'item036':15},</v>
      </c>
      <c r="Y10" s="278" t="str">
        <f>"      },"</f>
        <v>      },</v>
      </c>
    </row>
    <row r="11" s="354" customFormat="1" customHeight="1" spans="1:25">
      <c r="A11" s="259">
        <v>195</v>
      </c>
      <c r="B11" s="210">
        <f>VLOOKUP(表1_861218222426729298[[#This Row],[区服]],$P$47:$Q$64,2,FALSE)</f>
        <v>51</v>
      </c>
      <c r="C11" s="296" t="s">
        <v>218</v>
      </c>
      <c r="D11" s="212" t="str">
        <f>表1_861218222426729298[[#This Row],[目标国家]]</f>
        <v>蜀</v>
      </c>
      <c r="E11" s="213">
        <f>(VLOOKUP(表1_861218222426729298[[#This Row],[目标区服]],$R$47:$S$55,2,FALSE)-表1_861218222426729298[[#This Row],[开服天数]])*配置!$B$1</f>
        <v>2000</v>
      </c>
      <c r="F11" s="213">
        <f>表1_861218222426729298[[#This Row],[补偿Coin]]*(表1_861218222426729298[[#This Row],[活跃高战玩家数]]+表1_861218222426729298[[#This Row],[活跃中坚玩家数]])</f>
        <v>40000</v>
      </c>
      <c r="G11" s="260">
        <f>(VLOOKUP(表1_861218222426729298[[#This Row],[目标区服]],$R$47:$S$55,2,FALSE)-表1_861218222426729298[[#This Row],[开服天数]])*配置!$B$2</f>
        <v>20</v>
      </c>
      <c r="H11" s="212" t="s">
        <v>25</v>
      </c>
      <c r="I11" s="268">
        <f>IF(表1_861218222426729298[[#This Row],[原国家]]="魏",0,IF(表1_861218222426729298[[#This Row],[原国家]]="蜀",1,2))</f>
        <v>0</v>
      </c>
      <c r="J11" s="213">
        <v>0</v>
      </c>
      <c r="K11" s="213">
        <v>46</v>
      </c>
      <c r="L11" s="213">
        <v>4</v>
      </c>
      <c r="M11" s="213">
        <v>16</v>
      </c>
      <c r="N11" s="213">
        <v>89080</v>
      </c>
      <c r="O11" s="419">
        <v>3731037</v>
      </c>
      <c r="P11" s="420">
        <v>22221540</v>
      </c>
      <c r="Q11" s="31" t="s">
        <v>26</v>
      </c>
      <c r="R11" s="212">
        <f>IF(表1_861218222426729298[[#This Row],[目标国家]]="魏",0,IF(表1_861218222426729298[[#This Row],[目标国家]]="蜀",1,2))</f>
        <v>1</v>
      </c>
      <c r="S11" s="213">
        <v>106482</v>
      </c>
      <c r="T11" s="213">
        <v>0</v>
      </c>
      <c r="U11" s="213">
        <v>331003</v>
      </c>
      <c r="V11" s="213">
        <v>10218</v>
      </c>
      <c r="W11" s="213">
        <v>1092015</v>
      </c>
      <c r="X11" s="278" t="str">
        <f>"{"&amp;"'coin':"&amp;表1_861218222426729298[[#This Row],[补偿Coin]]&amp;",'"&amp;配置!$A$2&amp;"':"&amp;表1_861218222426729298[[#This Row],[补偿辎重]]&amp;"},"</f>
        <v>{'coin':2000,'item036':20},</v>
      </c>
      <c r="Y11" s="278" t="str">
        <f>"      '"&amp;表1_861218222426729298[[#This Row],[区服]]&amp;"':{"</f>
        <v>      '195':{</v>
      </c>
    </row>
    <row r="12" s="354" customFormat="1" customHeight="1" spans="1:25">
      <c r="A12" s="259">
        <v>195</v>
      </c>
      <c r="B12" s="210">
        <f>VLOOKUP(表1_861218222426729298[[#This Row],[区服]],$P$47:$Q$64,2,FALSE)</f>
        <v>51</v>
      </c>
      <c r="C12" s="296" t="s">
        <v>218</v>
      </c>
      <c r="D12" s="212" t="str">
        <f>表1_861218222426729298[[#This Row],[目标国家]]</f>
        <v>蜀</v>
      </c>
      <c r="E12" s="213">
        <f>(VLOOKUP(表1_861218222426729298[[#This Row],[目标区服]],$R$47:$S$55,2,FALSE)-表1_861218222426729298[[#This Row],[开服天数]])*配置!$B$1</f>
        <v>2000</v>
      </c>
      <c r="F12" s="213">
        <f>表1_861218222426729298[[#This Row],[补偿Coin]]*(表1_861218222426729298[[#This Row],[活跃高战玩家数]]+表1_861218222426729298[[#This Row],[活跃中坚玩家数]])</f>
        <v>50000</v>
      </c>
      <c r="G12" s="260">
        <f>(VLOOKUP(表1_861218222426729298[[#This Row],[目标区服]],$R$47:$S$55,2,FALSE)-表1_861218222426729298[[#This Row],[开服天数]])*配置!$B$2</f>
        <v>20</v>
      </c>
      <c r="H12" s="212" t="s">
        <v>26</v>
      </c>
      <c r="I12" s="268">
        <f>IF(表1_861218222426729298[[#This Row],[原国家]]="魏",0,IF(表1_861218222426729298[[#This Row],[原国家]]="蜀",1,2))</f>
        <v>1</v>
      </c>
      <c r="J12" s="213">
        <v>9</v>
      </c>
      <c r="K12" s="213">
        <v>306</v>
      </c>
      <c r="L12" s="213">
        <v>6</v>
      </c>
      <c r="M12" s="213">
        <v>19</v>
      </c>
      <c r="N12" s="213">
        <v>127770</v>
      </c>
      <c r="O12" s="419">
        <v>4249770</v>
      </c>
      <c r="P12" s="420">
        <v>31063660</v>
      </c>
      <c r="Q12" s="31" t="s">
        <v>26</v>
      </c>
      <c r="R12" s="212">
        <f>IF(表1_861218222426729298[[#This Row],[目标国家]]="魏",0,IF(表1_861218222426729298[[#This Row],[目标国家]]="蜀",1,2))</f>
        <v>1</v>
      </c>
      <c r="S12" s="213">
        <v>152718</v>
      </c>
      <c r="T12" s="213">
        <v>30</v>
      </c>
      <c r="U12" s="213">
        <v>950612</v>
      </c>
      <c r="V12" s="213">
        <v>17012</v>
      </c>
      <c r="W12" s="213">
        <v>1315885</v>
      </c>
      <c r="X12" s="278" t="str">
        <f>"{"&amp;"'coin':"&amp;表1_861218222426729298[[#This Row],[补偿Coin]]&amp;",'"&amp;配置!$A$2&amp;"':"&amp;表1_861218222426729298[[#This Row],[补偿辎重]]&amp;"},"</f>
        <v>{'coin':2000,'item036':20},</v>
      </c>
      <c r="Y12" s="278" t="str">
        <f>"            'to_zone':'"&amp;表1_861218222426729298[[#This Row],[目标区服]]&amp;"',
            'reward':"&amp;表1_861218222426729298[[#This Row],[辅助导出]]&amp;"
            'country':["&amp;R11&amp;","&amp;R12&amp;","&amp;R13&amp;"],"</f>
        <v>            'to_zone':'h1_84',
            'reward':{'coin':2000,'item036':20},
            'country':[1,1,2],</v>
      </c>
    </row>
    <row r="13" s="354" customFormat="1" customHeight="1" spans="1:25">
      <c r="A13" s="259">
        <v>195</v>
      </c>
      <c r="B13" s="210">
        <f>VLOOKUP(表1_861218222426729298[[#This Row],[区服]],$P$47:$Q$64,2,FALSE)</f>
        <v>51</v>
      </c>
      <c r="C13" s="296" t="s">
        <v>218</v>
      </c>
      <c r="D13" s="212" t="str">
        <f>表1_861218222426729298[[#This Row],[目标国家]]</f>
        <v>吴</v>
      </c>
      <c r="E13" s="213">
        <f>(VLOOKUP(表1_861218222426729298[[#This Row],[目标区服]],$R$47:$S$55,2,FALSE)-表1_861218222426729298[[#This Row],[开服天数]])*配置!$B$1</f>
        <v>2000</v>
      </c>
      <c r="F13" s="213">
        <f>表1_861218222426729298[[#This Row],[补偿Coin]]*(表1_861218222426729298[[#This Row],[活跃高战玩家数]]+表1_861218222426729298[[#This Row],[活跃中坚玩家数]])</f>
        <v>32000</v>
      </c>
      <c r="G13" s="260">
        <f>(VLOOKUP(表1_861218222426729298[[#This Row],[目标区服]],$R$47:$S$55,2,FALSE)-表1_861218222426729298[[#This Row],[开服天数]])*配置!$B$2</f>
        <v>20</v>
      </c>
      <c r="H13" s="212" t="s">
        <v>27</v>
      </c>
      <c r="I13" s="268">
        <f>IF(表1_861218222426729298[[#This Row],[原国家]]="魏",0,IF(表1_861218222426729298[[#This Row],[原国家]]="蜀",1,2))</f>
        <v>2</v>
      </c>
      <c r="J13" s="213">
        <v>0</v>
      </c>
      <c r="K13" s="213">
        <v>43</v>
      </c>
      <c r="L13" s="213">
        <v>0</v>
      </c>
      <c r="M13" s="213">
        <v>16</v>
      </c>
      <c r="N13" s="213">
        <v>53079</v>
      </c>
      <c r="O13" s="419">
        <v>2150647</v>
      </c>
      <c r="P13" s="420">
        <v>12852172</v>
      </c>
      <c r="Q13" s="31" t="s">
        <v>27</v>
      </c>
      <c r="R13" s="212">
        <f>IF(表1_861218222426729298[[#This Row],[目标国家]]="魏",0,IF(表1_861218222426729298[[#This Row],[目标国家]]="蜀",1,2))</f>
        <v>2</v>
      </c>
      <c r="S13" s="213">
        <v>8136</v>
      </c>
      <c r="T13" s="213">
        <v>0</v>
      </c>
      <c r="U13" s="213">
        <v>313451</v>
      </c>
      <c r="V13" s="213">
        <v>4532</v>
      </c>
      <c r="W13" s="213">
        <v>621534</v>
      </c>
      <c r="X13" s="278" t="str">
        <f>"{"&amp;"'coin':"&amp;表1_861218222426729298[[#This Row],[补偿Coin]]&amp;",'"&amp;配置!$A$2&amp;"':"&amp;表1_861218222426729298[[#This Row],[补偿辎重]]&amp;"},"</f>
        <v>{'coin':2000,'item036':20},</v>
      </c>
      <c r="Y13" s="278" t="str">
        <f t="shared" ref="Y13" si="1">"      },"</f>
        <v>      },</v>
      </c>
    </row>
    <row r="14" customHeight="1" spans="1:25">
      <c r="A14" s="17">
        <v>196</v>
      </c>
      <c r="B14" s="17">
        <f>VLOOKUP(表1_861218222426729298[[#This Row],[区服]],$P$47:$Q$64,2,FALSE)</f>
        <v>51</v>
      </c>
      <c r="C14" s="18" t="s">
        <v>219</v>
      </c>
      <c r="D14" s="19" t="str">
        <f>表1_861218222426729298[[#This Row],[目标国家]]</f>
        <v>蜀</v>
      </c>
      <c r="E14" s="20">
        <f>(VLOOKUP(表1_861218222426729298[[#This Row],[目标区服]],$R$47:$S$55,2,FALSE)-表1_861218222426729298[[#This Row],[开服天数]])*配置!$B$1</f>
        <v>1500</v>
      </c>
      <c r="F14" s="20">
        <f>表1_861218222426729298[[#This Row],[补偿Coin]]*(表1_861218222426729298[[#This Row],[活跃高战玩家数]]+表1_861218222426729298[[#This Row],[活跃中坚玩家数]])</f>
        <v>21000</v>
      </c>
      <c r="G14" s="20">
        <f>(VLOOKUP(表1_861218222426729298[[#This Row],[目标区服]],$R$47:$S$55,2,FALSE)-表1_861218222426729298[[#This Row],[开服天数]])*配置!$B$2</f>
        <v>15</v>
      </c>
      <c r="H14" s="19" t="s">
        <v>25</v>
      </c>
      <c r="I14" s="19">
        <f>IF(表1_861218222426729298[[#This Row],[原国家]]="魏",0,IF(表1_861218222426729298[[#This Row],[原国家]]="蜀",1,2))</f>
        <v>0</v>
      </c>
      <c r="J14" s="20">
        <v>4</v>
      </c>
      <c r="K14" s="20">
        <v>85</v>
      </c>
      <c r="L14" s="20">
        <v>0</v>
      </c>
      <c r="M14" s="20">
        <v>14</v>
      </c>
      <c r="N14" s="20">
        <v>47024</v>
      </c>
      <c r="O14" s="20">
        <v>1578470</v>
      </c>
      <c r="P14" s="26">
        <v>9856776</v>
      </c>
      <c r="Q14" s="31" t="s">
        <v>26</v>
      </c>
      <c r="R14" s="19">
        <f>IF(表1_861218222426729298[[#This Row],[目标国家]]="魏",0,IF(表1_861218222426729298[[#This Row],[目标国家]]="蜀",1,2))</f>
        <v>1</v>
      </c>
      <c r="S14" s="20">
        <v>11850</v>
      </c>
      <c r="T14" s="20">
        <v>0</v>
      </c>
      <c r="U14" s="20">
        <v>209489</v>
      </c>
      <c r="V14" s="20">
        <v>4509</v>
      </c>
      <c r="W14" s="32">
        <v>509595</v>
      </c>
      <c r="X14" s="33" t="str">
        <f>"{"&amp;"'coin':"&amp;表1_861218222426729298[[#This Row],[补偿Coin]]&amp;",'"&amp;配置!$A$2&amp;"':"&amp;表1_861218222426729298[[#This Row],[补偿辎重]]&amp;"},"</f>
        <v>{'coin':1500,'item036':15},</v>
      </c>
      <c r="Y14" s="34" t="str">
        <f>"      '"&amp;表1_861218222426729298[[#This Row],[区服]]&amp;"':{"</f>
        <v>      '196':{</v>
      </c>
    </row>
    <row r="15" customHeight="1" spans="1:25">
      <c r="A15" s="17">
        <v>196</v>
      </c>
      <c r="B15" s="17">
        <f>VLOOKUP(表1_861218222426729298[[#This Row],[区服]],$P$47:$Q$64,2,FALSE)</f>
        <v>51</v>
      </c>
      <c r="C15" s="18" t="s">
        <v>219</v>
      </c>
      <c r="D15" s="19" t="str">
        <f>表1_861218222426729298[[#This Row],[目标国家]]</f>
        <v>吴</v>
      </c>
      <c r="E15" s="20">
        <f>(VLOOKUP(表1_861218222426729298[[#This Row],[目标区服]],$R$47:$S$55,2,FALSE)-表1_861218222426729298[[#This Row],[开服天数]])*配置!$B$1</f>
        <v>1500</v>
      </c>
      <c r="F15" s="20">
        <f>表1_861218222426729298[[#This Row],[补偿Coin]]*(表1_861218222426729298[[#This Row],[活跃高战玩家数]]+表1_861218222426729298[[#This Row],[活跃中坚玩家数]])</f>
        <v>42000</v>
      </c>
      <c r="G15" s="20">
        <f>(VLOOKUP(表1_861218222426729298[[#This Row],[目标区服]],$R$47:$S$55,2,FALSE)-表1_861218222426729298[[#This Row],[开服天数]])*配置!$B$2</f>
        <v>15</v>
      </c>
      <c r="H15" s="19" t="s">
        <v>26</v>
      </c>
      <c r="I15" s="19">
        <f>IF(表1_861218222426729298[[#This Row],[原国家]]="魏",0,IF(表1_861218222426729298[[#This Row],[原国家]]="蜀",1,2))</f>
        <v>1</v>
      </c>
      <c r="J15" s="20">
        <v>4</v>
      </c>
      <c r="K15" s="20">
        <v>130</v>
      </c>
      <c r="L15" s="20">
        <v>6</v>
      </c>
      <c r="M15" s="20">
        <v>22</v>
      </c>
      <c r="N15" s="20">
        <v>123270</v>
      </c>
      <c r="O15" s="20">
        <v>2602358</v>
      </c>
      <c r="P15" s="26">
        <v>23802461</v>
      </c>
      <c r="Q15" s="31" t="s">
        <v>27</v>
      </c>
      <c r="R15" s="19">
        <f>IF(表1_861218222426729298[[#This Row],[目标国家]]="魏",0,IF(表1_861218222426729298[[#This Row],[目标国家]]="蜀",1,2))</f>
        <v>2</v>
      </c>
      <c r="S15" s="20">
        <v>61272</v>
      </c>
      <c r="T15" s="20">
        <v>30</v>
      </c>
      <c r="U15" s="20">
        <v>476656</v>
      </c>
      <c r="V15" s="20">
        <v>9375</v>
      </c>
      <c r="W15" s="32">
        <v>792684</v>
      </c>
      <c r="X15" s="33" t="str">
        <f>"{"&amp;"'coin':"&amp;表1_861218222426729298[[#This Row],[补偿Coin]]&amp;",'"&amp;配置!$A$2&amp;"':"&amp;表1_861218222426729298[[#This Row],[补偿辎重]]&amp;"},"</f>
        <v>{'coin':1500,'item036':15},</v>
      </c>
      <c r="Y15" s="34" t="str">
        <f>"            'to_zone':'"&amp;表1_861218222426729298[[#This Row],[目标区服]]&amp;"',
            'reward':"&amp;表1_861218222426729298[[#This Row],[辅助导出]]&amp;"
            'country':["&amp;R14&amp;","&amp;R15&amp;","&amp;R16&amp;"],"</f>
        <v>            'to_zone':'h1_85',
            'reward':{'coin':1500,'item036':15},
            'country':[1,2,2],</v>
      </c>
    </row>
    <row r="16" customHeight="1" spans="1:25">
      <c r="A16" s="17">
        <v>196</v>
      </c>
      <c r="B16" s="17">
        <f>VLOOKUP(表1_861218222426729298[[#This Row],[区服]],$P$47:$Q$64,2,FALSE)</f>
        <v>51</v>
      </c>
      <c r="C16" s="18" t="s">
        <v>219</v>
      </c>
      <c r="D16" s="19" t="str">
        <f>表1_861218222426729298[[#This Row],[目标国家]]</f>
        <v>吴</v>
      </c>
      <c r="E16" s="20">
        <f>(VLOOKUP(表1_861218222426729298[[#This Row],[目标区服]],$R$47:$S$55,2,FALSE)-表1_861218222426729298[[#This Row],[开服天数]])*配置!$B$1</f>
        <v>1500</v>
      </c>
      <c r="F16" s="20">
        <f>表1_861218222426729298[[#This Row],[补偿Coin]]*(表1_861218222426729298[[#This Row],[活跃高战玩家数]]+表1_861218222426729298[[#This Row],[活跃中坚玩家数]])</f>
        <v>43500</v>
      </c>
      <c r="G16" s="20">
        <f>(VLOOKUP(表1_861218222426729298[[#This Row],[目标区服]],$R$47:$S$55,2,FALSE)-表1_861218222426729298[[#This Row],[开服天数]])*配置!$B$2</f>
        <v>15</v>
      </c>
      <c r="H16" s="19" t="s">
        <v>27</v>
      </c>
      <c r="I16" s="19">
        <f>IF(表1_861218222426729298[[#This Row],[原国家]]="魏",0,IF(表1_861218222426729298[[#This Row],[原国家]]="蜀",1,2))</f>
        <v>2</v>
      </c>
      <c r="J16" s="20">
        <v>1</v>
      </c>
      <c r="K16" s="20">
        <v>180</v>
      </c>
      <c r="L16" s="20">
        <v>4</v>
      </c>
      <c r="M16" s="20">
        <v>25</v>
      </c>
      <c r="N16" s="20">
        <v>129094</v>
      </c>
      <c r="O16" s="20">
        <v>3352998</v>
      </c>
      <c r="P16" s="26">
        <v>26787813</v>
      </c>
      <c r="Q16" s="31" t="s">
        <v>27</v>
      </c>
      <c r="R16" s="19">
        <f>IF(表1_861218222426729298[[#This Row],[目标国家]]="魏",0,IF(表1_861218222426729298[[#This Row],[目标国家]]="蜀",1,2))</f>
        <v>2</v>
      </c>
      <c r="S16" s="20">
        <v>92480</v>
      </c>
      <c r="T16" s="20">
        <v>0</v>
      </c>
      <c r="U16" s="20">
        <v>963869</v>
      </c>
      <c r="V16" s="20">
        <v>11833</v>
      </c>
      <c r="W16" s="32">
        <v>1202846</v>
      </c>
      <c r="X16" s="33" t="str">
        <f>"{"&amp;"'coin':"&amp;表1_861218222426729298[[#This Row],[补偿Coin]]&amp;",'"&amp;配置!$A$2&amp;"':"&amp;表1_861218222426729298[[#This Row],[补偿辎重]]&amp;"},"</f>
        <v>{'coin':1500,'item036':15},</v>
      </c>
      <c r="Y16" s="34" t="str">
        <f t="shared" ref="Y16" si="2">"      },"</f>
        <v>      },</v>
      </c>
    </row>
    <row r="17" customHeight="1" spans="1:25">
      <c r="A17" s="17">
        <v>197</v>
      </c>
      <c r="B17" s="17">
        <f>VLOOKUP(表1_861218222426729298[[#This Row],[区服]],$P$47:$Q$64,2,FALSE)</f>
        <v>50</v>
      </c>
      <c r="C17" s="18" t="s">
        <v>219</v>
      </c>
      <c r="D17" s="19" t="str">
        <f>表1_861218222426729298[[#This Row],[目标国家]]</f>
        <v>魏</v>
      </c>
      <c r="E17" s="20">
        <f>(VLOOKUP(表1_861218222426729298[[#This Row],[目标区服]],$R$47:$S$55,2,FALSE)-表1_861218222426729298[[#This Row],[开服天数]])*配置!$B$1</f>
        <v>2000</v>
      </c>
      <c r="F17" s="20">
        <f>表1_861218222426729298[[#This Row],[补偿Coin]]*(表1_861218222426729298[[#This Row],[活跃高战玩家数]]+表1_861218222426729298[[#This Row],[活跃中坚玩家数]])</f>
        <v>66000</v>
      </c>
      <c r="G17" s="20">
        <f>(VLOOKUP(表1_861218222426729298[[#This Row],[目标区服]],$R$47:$S$55,2,FALSE)-表1_861218222426729298[[#This Row],[开服天数]])*配置!$B$2</f>
        <v>20</v>
      </c>
      <c r="H17" s="19" t="s">
        <v>25</v>
      </c>
      <c r="I17" s="19">
        <f>IF(表1_861218222426729298[[#This Row],[原国家]]="魏",0,IF(表1_861218222426729298[[#This Row],[原国家]]="蜀",1,2))</f>
        <v>0</v>
      </c>
      <c r="J17" s="20">
        <v>6</v>
      </c>
      <c r="K17" s="20">
        <v>192</v>
      </c>
      <c r="L17" s="20">
        <v>9</v>
      </c>
      <c r="M17" s="20">
        <v>24</v>
      </c>
      <c r="N17" s="20">
        <v>168883</v>
      </c>
      <c r="O17" s="20">
        <v>4525130</v>
      </c>
      <c r="P17" s="26">
        <v>47035828</v>
      </c>
      <c r="Q17" s="31" t="s">
        <v>25</v>
      </c>
      <c r="R17" s="19">
        <f>IF(表1_861218222426729298[[#This Row],[目标国家]]="魏",0,IF(表1_861218222426729298[[#This Row],[目标国家]]="蜀",1,2))</f>
        <v>0</v>
      </c>
      <c r="S17" s="20">
        <v>279108</v>
      </c>
      <c r="T17" s="20">
        <v>0</v>
      </c>
      <c r="U17" s="20">
        <v>922093</v>
      </c>
      <c r="V17" s="20">
        <v>21427</v>
      </c>
      <c r="W17" s="32">
        <v>1314163</v>
      </c>
      <c r="X17" s="33" t="str">
        <f>"{"&amp;"'coin':"&amp;表1_861218222426729298[[#This Row],[补偿Coin]]&amp;",'"&amp;配置!$A$2&amp;"':"&amp;表1_861218222426729298[[#This Row],[补偿辎重]]&amp;"},"</f>
        <v>{'coin':2000,'item036':20},</v>
      </c>
      <c r="Y17" s="34" t="str">
        <f>"      '"&amp;表1_861218222426729298[[#This Row],[区服]]&amp;"':{"</f>
        <v>      '197':{</v>
      </c>
    </row>
    <row r="18" customHeight="1" spans="1:25">
      <c r="A18" s="17">
        <v>197</v>
      </c>
      <c r="B18" s="17">
        <f>VLOOKUP(表1_861218222426729298[[#This Row],[区服]],$P$47:$Q$64,2,FALSE)</f>
        <v>50</v>
      </c>
      <c r="C18" s="18" t="s">
        <v>219</v>
      </c>
      <c r="D18" s="19" t="str">
        <f>表1_861218222426729298[[#This Row],[目标国家]]</f>
        <v>蜀</v>
      </c>
      <c r="E18" s="20">
        <f>(VLOOKUP(表1_861218222426729298[[#This Row],[目标区服]],$R$47:$S$55,2,FALSE)-表1_861218222426729298[[#This Row],[开服天数]])*配置!$B$1</f>
        <v>2000</v>
      </c>
      <c r="F18" s="20">
        <f>表1_861218222426729298[[#This Row],[补偿Coin]]*(表1_861218222426729298[[#This Row],[活跃高战玩家数]]+表1_861218222426729298[[#This Row],[活跃中坚玩家数]])</f>
        <v>56000</v>
      </c>
      <c r="G18" s="20">
        <f>(VLOOKUP(表1_861218222426729298[[#This Row],[目标区服]],$R$47:$S$55,2,FALSE)-表1_861218222426729298[[#This Row],[开服天数]])*配置!$B$2</f>
        <v>20</v>
      </c>
      <c r="H18" s="19" t="s">
        <v>26</v>
      </c>
      <c r="I18" s="19">
        <f>IF(表1_861218222426729298[[#This Row],[原国家]]="魏",0,IF(表1_861218222426729298[[#This Row],[原国家]]="蜀",1,2))</f>
        <v>1</v>
      </c>
      <c r="J18" s="20">
        <v>3</v>
      </c>
      <c r="K18" s="20">
        <v>172</v>
      </c>
      <c r="L18" s="20">
        <v>1</v>
      </c>
      <c r="M18" s="20">
        <v>27</v>
      </c>
      <c r="N18" s="20">
        <v>99597</v>
      </c>
      <c r="O18" s="20">
        <v>3824917</v>
      </c>
      <c r="P18" s="26">
        <v>29846127</v>
      </c>
      <c r="Q18" s="31" t="s">
        <v>26</v>
      </c>
      <c r="R18" s="19">
        <f>IF(表1_861218222426729298[[#This Row],[目标国家]]="魏",0,IF(表1_861218222426729298[[#This Row],[目标国家]]="蜀",1,2))</f>
        <v>1</v>
      </c>
      <c r="S18" s="20">
        <v>113216</v>
      </c>
      <c r="T18" s="20">
        <v>0</v>
      </c>
      <c r="U18" s="20">
        <v>439330</v>
      </c>
      <c r="V18" s="20">
        <v>12943</v>
      </c>
      <c r="W18" s="32">
        <v>1546894</v>
      </c>
      <c r="X18" s="33" t="str">
        <f>"{"&amp;"'coin':"&amp;表1_861218222426729298[[#This Row],[补偿Coin]]&amp;",'"&amp;配置!$A$2&amp;"':"&amp;表1_861218222426729298[[#This Row],[补偿辎重]]&amp;"},"</f>
        <v>{'coin':2000,'item036':20},</v>
      </c>
      <c r="Y18" s="34" t="str">
        <f>"            'to_zone':'"&amp;表1_861218222426729298[[#This Row],[目标区服]]&amp;"',
            'reward':"&amp;表1_861218222426729298[[#This Row],[辅助导出]]&amp;"
            'country':["&amp;R17&amp;","&amp;R18&amp;","&amp;R19&amp;"],"</f>
        <v>            'to_zone':'h1_85',
            'reward':{'coin':2000,'item036':20},
            'country':[0,1,1],</v>
      </c>
    </row>
    <row r="19" customHeight="1" spans="1:25">
      <c r="A19" s="17">
        <v>197</v>
      </c>
      <c r="B19" s="17">
        <f>VLOOKUP(表1_861218222426729298[[#This Row],[区服]],$P$47:$Q$64,2,FALSE)</f>
        <v>50</v>
      </c>
      <c r="C19" s="18" t="s">
        <v>219</v>
      </c>
      <c r="D19" s="19" t="str">
        <f>表1_861218222426729298[[#This Row],[目标国家]]</f>
        <v>蜀</v>
      </c>
      <c r="E19" s="20">
        <f>(VLOOKUP(表1_861218222426729298[[#This Row],[目标区服]],$R$47:$S$55,2,FALSE)-表1_861218222426729298[[#This Row],[开服天数]])*配置!$B$1</f>
        <v>2000</v>
      </c>
      <c r="F19" s="20">
        <f>表1_861218222426729298[[#This Row],[补偿Coin]]*(表1_861218222426729298[[#This Row],[活跃高战玩家数]]+表1_861218222426729298[[#This Row],[活跃中坚玩家数]])</f>
        <v>28000</v>
      </c>
      <c r="G19" s="20">
        <f>(VLOOKUP(表1_861218222426729298[[#This Row],[目标区服]],$R$47:$S$55,2,FALSE)-表1_861218222426729298[[#This Row],[开服天数]])*配置!$B$2</f>
        <v>20</v>
      </c>
      <c r="H19" s="19" t="s">
        <v>27</v>
      </c>
      <c r="I19" s="19">
        <f>IF(表1_861218222426729298[[#This Row],[原国家]]="魏",0,IF(表1_861218222426729298[[#This Row],[原国家]]="蜀",1,2))</f>
        <v>2</v>
      </c>
      <c r="J19" s="20">
        <v>0</v>
      </c>
      <c r="K19" s="20">
        <v>31</v>
      </c>
      <c r="L19" s="20">
        <v>0</v>
      </c>
      <c r="M19" s="20">
        <v>14</v>
      </c>
      <c r="N19" s="20">
        <v>38462</v>
      </c>
      <c r="O19" s="20">
        <v>1859972</v>
      </c>
      <c r="P19" s="26">
        <v>12305027</v>
      </c>
      <c r="Q19" s="31" t="s">
        <v>26</v>
      </c>
      <c r="R19" s="19">
        <f>IF(表1_861218222426729298[[#This Row],[目标国家]]="魏",0,IF(表1_861218222426729298[[#This Row],[目标国家]]="蜀",1,2))</f>
        <v>1</v>
      </c>
      <c r="S19" s="20">
        <v>13326</v>
      </c>
      <c r="T19" s="20">
        <v>0</v>
      </c>
      <c r="U19" s="20">
        <v>98515</v>
      </c>
      <c r="V19" s="20">
        <v>4041</v>
      </c>
      <c r="W19" s="32">
        <v>552304</v>
      </c>
      <c r="X19" s="33" t="str">
        <f>"{"&amp;"'coin':"&amp;表1_861218222426729298[[#This Row],[补偿Coin]]&amp;",'"&amp;配置!$A$2&amp;"':"&amp;表1_861218222426729298[[#This Row],[补偿辎重]]&amp;"},"</f>
        <v>{'coin':2000,'item036':20},</v>
      </c>
      <c r="Y19" s="34" t="str">
        <f t="shared" ref="Y19" si="3">"      },"</f>
        <v>      },</v>
      </c>
    </row>
    <row r="20" customHeight="1" spans="1:25">
      <c r="A20" s="214">
        <v>198</v>
      </c>
      <c r="B20" s="214">
        <f>VLOOKUP(表1_861218222426729298[[#This Row],[区服]],$P$47:$Q$64,2,FALSE)</f>
        <v>49</v>
      </c>
      <c r="C20" s="293" t="s">
        <v>220</v>
      </c>
      <c r="D20" s="216" t="str">
        <f>表1_861218222426729298[[#This Row],[目标国家]]</f>
        <v>魏</v>
      </c>
      <c r="E20" s="217">
        <f>(VLOOKUP(表1_861218222426729298[[#This Row],[目标区服]],$R$47:$S$55,2,FALSE)-表1_861218222426729298[[#This Row],[开服天数]])*配置!$B$1</f>
        <v>2000</v>
      </c>
      <c r="F20" s="217">
        <f>表1_861218222426729298[[#This Row],[补偿Coin]]*(表1_861218222426729298[[#This Row],[活跃高战玩家数]]+表1_861218222426729298[[#This Row],[活跃中坚玩家数]])</f>
        <v>60000</v>
      </c>
      <c r="G20" s="217">
        <f>(VLOOKUP(表1_861218222426729298[[#This Row],[目标区服]],$R$47:$S$55,2,FALSE)-表1_861218222426729298[[#This Row],[开服天数]])*配置!$B$2</f>
        <v>20</v>
      </c>
      <c r="H20" s="216" t="s">
        <v>25</v>
      </c>
      <c r="I20" s="216">
        <f>IF(表1_861218222426729298[[#This Row],[原国家]]="魏",0,IF(表1_861218222426729298[[#This Row],[原国家]]="蜀",1,2))</f>
        <v>0</v>
      </c>
      <c r="J20" s="217">
        <v>3</v>
      </c>
      <c r="K20" s="217">
        <v>150</v>
      </c>
      <c r="L20" s="217">
        <v>3</v>
      </c>
      <c r="M20" s="217">
        <v>27</v>
      </c>
      <c r="N20" s="217">
        <v>121737</v>
      </c>
      <c r="O20" s="217">
        <v>3614826</v>
      </c>
      <c r="P20" s="334">
        <v>34969332</v>
      </c>
      <c r="Q20" s="31" t="s">
        <v>25</v>
      </c>
      <c r="R20" s="216">
        <f>IF(表1_861218222426729298[[#This Row],[目标国家]]="魏",0,IF(表1_861218222426729298[[#This Row],[目标国家]]="蜀",1,2))</f>
        <v>0</v>
      </c>
      <c r="S20" s="217">
        <v>116282</v>
      </c>
      <c r="T20" s="217">
        <v>0</v>
      </c>
      <c r="U20" s="217">
        <v>536572</v>
      </c>
      <c r="V20" s="217">
        <v>13277</v>
      </c>
      <c r="W20" s="294">
        <v>1106676</v>
      </c>
      <c r="X20" s="249" t="str">
        <f>"{"&amp;"'coin':"&amp;表1_861218222426729298[[#This Row],[补偿Coin]]&amp;",'"&amp;配置!$A$2&amp;"':"&amp;表1_861218222426729298[[#This Row],[补偿辎重]]&amp;"},"</f>
        <v>{'coin':2000,'item036':20},</v>
      </c>
      <c r="Y20" s="251" t="str">
        <f>"      '"&amp;表1_861218222426729298[[#This Row],[区服]]&amp;"':{"</f>
        <v>      '198':{</v>
      </c>
    </row>
    <row r="21" customHeight="1" spans="1:25">
      <c r="A21" s="214">
        <v>198</v>
      </c>
      <c r="B21" s="214">
        <f>VLOOKUP(表1_861218222426729298[[#This Row],[区服]],$P$47:$Q$64,2,FALSE)</f>
        <v>49</v>
      </c>
      <c r="C21" s="293" t="s">
        <v>220</v>
      </c>
      <c r="D21" s="216" t="str">
        <f>表1_861218222426729298[[#This Row],[目标国家]]</f>
        <v>蜀</v>
      </c>
      <c r="E21" s="217">
        <f>(VLOOKUP(表1_861218222426729298[[#This Row],[目标区服]],$R$47:$S$55,2,FALSE)-表1_861218222426729298[[#This Row],[开服天数]])*配置!$B$1</f>
        <v>2000</v>
      </c>
      <c r="F21" s="217">
        <f>表1_861218222426729298[[#This Row],[补偿Coin]]*(表1_861218222426729298[[#This Row],[活跃高战玩家数]]+表1_861218222426729298[[#This Row],[活跃中坚玩家数]])</f>
        <v>64000</v>
      </c>
      <c r="G21" s="217">
        <f>(VLOOKUP(表1_861218222426729298[[#This Row],[目标区服]],$R$47:$S$55,2,FALSE)-表1_861218222426729298[[#This Row],[开服天数]])*配置!$B$2</f>
        <v>20</v>
      </c>
      <c r="H21" s="216" t="s">
        <v>26</v>
      </c>
      <c r="I21" s="216">
        <f>IF(表1_861218222426729298[[#This Row],[原国家]]="魏",0,IF(表1_861218222426729298[[#This Row],[原国家]]="蜀",1,2))</f>
        <v>1</v>
      </c>
      <c r="J21" s="217">
        <v>4</v>
      </c>
      <c r="K21" s="217">
        <v>163</v>
      </c>
      <c r="L21" s="217">
        <v>4</v>
      </c>
      <c r="M21" s="217">
        <v>28</v>
      </c>
      <c r="N21" s="217">
        <v>112432</v>
      </c>
      <c r="O21" s="217">
        <v>2987596</v>
      </c>
      <c r="P21" s="334">
        <v>33544391</v>
      </c>
      <c r="Q21" s="31" t="s">
        <v>26</v>
      </c>
      <c r="R21" s="216">
        <f>IF(表1_861218222426729298[[#This Row],[目标国家]]="魏",0,IF(表1_861218222426729298[[#This Row],[目标国家]]="蜀",1,2))</f>
        <v>1</v>
      </c>
      <c r="S21" s="217">
        <v>89336</v>
      </c>
      <c r="T21" s="217">
        <v>0</v>
      </c>
      <c r="U21" s="217">
        <v>397978</v>
      </c>
      <c r="V21" s="217">
        <v>11813</v>
      </c>
      <c r="W21" s="294">
        <v>863727</v>
      </c>
      <c r="X21" s="249" t="str">
        <f>"{"&amp;"'coin':"&amp;表1_861218222426729298[[#This Row],[补偿Coin]]&amp;",'"&amp;配置!$A$2&amp;"':"&amp;表1_861218222426729298[[#This Row],[补偿辎重]]&amp;"},"</f>
        <v>{'coin':2000,'item036':20},</v>
      </c>
      <c r="Y21" s="251" t="str">
        <f>"            'to_zone':'"&amp;表1_861218222426729298[[#This Row],[目标区服]]&amp;"',
            'reward':"&amp;表1_861218222426729298[[#This Row],[辅助导出]]&amp;"
            'country':["&amp;R20&amp;","&amp;R21&amp;","&amp;R22&amp;"],"</f>
        <v>            'to_zone':'h1_86',
            'reward':{'coin':2000,'item036':20},
            'country':[0,1,2],</v>
      </c>
    </row>
    <row r="22" customHeight="1" spans="1:25">
      <c r="A22" s="214">
        <v>198</v>
      </c>
      <c r="B22" s="214">
        <f>VLOOKUP(表1_861218222426729298[[#This Row],[区服]],$P$47:$Q$64,2,FALSE)</f>
        <v>49</v>
      </c>
      <c r="C22" s="293" t="s">
        <v>220</v>
      </c>
      <c r="D22" s="216" t="str">
        <f>表1_861218222426729298[[#This Row],[目标国家]]</f>
        <v>吴</v>
      </c>
      <c r="E22" s="217">
        <f>(VLOOKUP(表1_861218222426729298[[#This Row],[目标区服]],$R$47:$S$55,2,FALSE)-表1_861218222426729298[[#This Row],[开服天数]])*配置!$B$1</f>
        <v>2000</v>
      </c>
      <c r="F22" s="217">
        <f>表1_861218222426729298[[#This Row],[补偿Coin]]*(表1_861218222426729298[[#This Row],[活跃高战玩家数]]+表1_861218222426729298[[#This Row],[活跃中坚玩家数]])</f>
        <v>40000</v>
      </c>
      <c r="G22" s="217">
        <f>(VLOOKUP(表1_861218222426729298[[#This Row],[目标区服]],$R$47:$S$55,2,FALSE)-表1_861218222426729298[[#This Row],[开服天数]])*配置!$B$2</f>
        <v>20</v>
      </c>
      <c r="H22" s="216" t="s">
        <v>27</v>
      </c>
      <c r="I22" s="216">
        <f>IF(表1_861218222426729298[[#This Row],[原国家]]="魏",0,IF(表1_861218222426729298[[#This Row],[原国家]]="蜀",1,2))</f>
        <v>2</v>
      </c>
      <c r="J22" s="217">
        <v>2</v>
      </c>
      <c r="K22" s="217">
        <v>82</v>
      </c>
      <c r="L22" s="217">
        <v>3</v>
      </c>
      <c r="M22" s="217">
        <v>17</v>
      </c>
      <c r="N22" s="217">
        <v>65850</v>
      </c>
      <c r="O22" s="217">
        <v>3418825</v>
      </c>
      <c r="P22" s="334">
        <v>22204781</v>
      </c>
      <c r="Q22" s="31" t="s">
        <v>27</v>
      </c>
      <c r="R22" s="216">
        <f>IF(表1_861218222426729298[[#This Row],[目标国家]]="魏",0,IF(表1_861218222426729298[[#This Row],[目标国家]]="蜀",1,2))</f>
        <v>2</v>
      </c>
      <c r="S22" s="217">
        <v>94535</v>
      </c>
      <c r="T22" s="217">
        <v>0</v>
      </c>
      <c r="U22" s="217">
        <v>337203</v>
      </c>
      <c r="V22" s="217">
        <v>9993</v>
      </c>
      <c r="W22" s="294">
        <v>1058779</v>
      </c>
      <c r="X22" s="249" t="str">
        <f>"{"&amp;"'coin':"&amp;表1_861218222426729298[[#This Row],[补偿Coin]]&amp;",'"&amp;配置!$A$2&amp;"':"&amp;表1_861218222426729298[[#This Row],[补偿辎重]]&amp;"},"</f>
        <v>{'coin':2000,'item036':20},</v>
      </c>
      <c r="Y22" s="251" t="str">
        <f t="shared" ref="Y22" si="4">"      },"</f>
        <v>      },</v>
      </c>
    </row>
    <row r="23" customHeight="1" spans="1:25">
      <c r="A23" s="367">
        <v>199</v>
      </c>
      <c r="B23" s="214">
        <f>VLOOKUP(表1_861218222426729298[[#This Row],[区服]],$P$47:$Q$64,2,FALSE)</f>
        <v>48</v>
      </c>
      <c r="C23" s="293" t="s">
        <v>220</v>
      </c>
      <c r="D23" s="216" t="str">
        <f>表1_861218222426729298[[#This Row],[目标国家]]</f>
        <v>魏</v>
      </c>
      <c r="E23" s="413">
        <f>(VLOOKUP(表1_861218222426729298[[#This Row],[目标区服]],$R$47:$S$55,2,FALSE)-表1_861218222426729298[[#This Row],[开服天数]])*配置!$B$1</f>
        <v>2500</v>
      </c>
      <c r="F23" s="217">
        <f>表1_861218222426729298[[#This Row],[补偿Coin]]*(表1_861218222426729298[[#This Row],[活跃高战玩家数]]+表1_861218222426729298[[#This Row],[活跃中坚玩家数]])</f>
        <v>32500</v>
      </c>
      <c r="G23" s="368">
        <f>(VLOOKUP(表1_861218222426729298[[#This Row],[目标区服]],$R$47:$S$55,2,FALSE)-表1_861218222426729298[[#This Row],[开服天数]])*配置!$B$2</f>
        <v>25</v>
      </c>
      <c r="H23" s="216" t="s">
        <v>25</v>
      </c>
      <c r="I23" s="377">
        <f>IF(表1_861218222426729298[[#This Row],[原国家]]="魏",0,IF(表1_861218222426729298[[#This Row],[原国家]]="蜀",1,2))</f>
        <v>0</v>
      </c>
      <c r="J23" s="217">
        <v>1</v>
      </c>
      <c r="K23" s="217">
        <v>103</v>
      </c>
      <c r="L23" s="217">
        <v>1</v>
      </c>
      <c r="M23" s="217">
        <v>12</v>
      </c>
      <c r="N23" s="217">
        <v>29364</v>
      </c>
      <c r="O23" s="378">
        <v>1688072</v>
      </c>
      <c r="P23" s="334">
        <v>8746355</v>
      </c>
      <c r="Q23" s="31" t="s">
        <v>25</v>
      </c>
      <c r="R23" s="216">
        <f>IF(表1_861218222426729298[[#This Row],[目标国家]]="魏",0,IF(表1_861218222426729298[[#This Row],[目标国家]]="蜀",1,2))</f>
        <v>0</v>
      </c>
      <c r="S23" s="217">
        <v>14668</v>
      </c>
      <c r="T23" s="217">
        <v>0</v>
      </c>
      <c r="U23" s="217">
        <v>165784</v>
      </c>
      <c r="V23" s="217">
        <v>4362</v>
      </c>
      <c r="W23" s="488">
        <v>921399</v>
      </c>
      <c r="X23" s="382" t="str">
        <f>"{"&amp;"'coin':"&amp;表1_861218222426729298[[#This Row],[补偿Coin]]&amp;",'"&amp;配置!$A$2&amp;"':"&amp;表1_861218222426729298[[#This Row],[补偿辎重]]&amp;"},"</f>
        <v>{'coin':2500,'item036':25},</v>
      </c>
      <c r="Y23" s="251" t="str">
        <f>"      '"&amp;表1_861218222426729298[[#This Row],[区服]]&amp;"':{"</f>
        <v>      '199':{</v>
      </c>
    </row>
    <row r="24" customHeight="1" spans="1:25">
      <c r="A24" s="367">
        <v>199</v>
      </c>
      <c r="B24" s="214">
        <f>VLOOKUP(表1_861218222426729298[[#This Row],[区服]],$P$47:$Q$64,2,FALSE)</f>
        <v>48</v>
      </c>
      <c r="C24" s="293" t="s">
        <v>220</v>
      </c>
      <c r="D24" s="216" t="str">
        <f>表1_861218222426729298[[#This Row],[目标国家]]</f>
        <v>蜀</v>
      </c>
      <c r="E24" s="413">
        <f>(VLOOKUP(表1_861218222426729298[[#This Row],[目标区服]],$R$47:$S$55,2,FALSE)-表1_861218222426729298[[#This Row],[开服天数]])*配置!$B$1</f>
        <v>2500</v>
      </c>
      <c r="F24" s="217">
        <f>表1_861218222426729298[[#This Row],[补偿Coin]]*(表1_861218222426729298[[#This Row],[活跃高战玩家数]]+表1_861218222426729298[[#This Row],[活跃中坚玩家数]])</f>
        <v>100000</v>
      </c>
      <c r="G24" s="368">
        <f>(VLOOKUP(表1_861218222426729298[[#This Row],[目标区服]],$R$47:$S$55,2,FALSE)-表1_861218222426729298[[#This Row],[开服天数]])*配置!$B$2</f>
        <v>25</v>
      </c>
      <c r="H24" s="216" t="s">
        <v>26</v>
      </c>
      <c r="I24" s="377">
        <f>IF(表1_861218222426729298[[#This Row],[原国家]]="魏",0,IF(表1_861218222426729298[[#This Row],[原国家]]="蜀",1,2))</f>
        <v>1</v>
      </c>
      <c r="J24" s="217">
        <v>5</v>
      </c>
      <c r="K24" s="217">
        <v>199</v>
      </c>
      <c r="L24" s="217">
        <v>9</v>
      </c>
      <c r="M24" s="217">
        <v>31</v>
      </c>
      <c r="N24" s="217">
        <v>187164</v>
      </c>
      <c r="O24" s="378">
        <v>3167591</v>
      </c>
      <c r="P24" s="334">
        <v>39777096</v>
      </c>
      <c r="Q24" s="31" t="s">
        <v>26</v>
      </c>
      <c r="R24" s="216">
        <f>IF(表1_861218222426729298[[#This Row],[目标国家]]="魏",0,IF(表1_861218222426729298[[#This Row],[目标国家]]="蜀",1,2))</f>
        <v>1</v>
      </c>
      <c r="S24" s="217">
        <v>87440</v>
      </c>
      <c r="T24" s="217">
        <v>98</v>
      </c>
      <c r="U24" s="217">
        <v>523119</v>
      </c>
      <c r="V24" s="217">
        <v>13456</v>
      </c>
      <c r="W24" s="488">
        <v>853169</v>
      </c>
      <c r="X24" s="382" t="str">
        <f>"{"&amp;"'coin':"&amp;表1_861218222426729298[[#This Row],[补偿Coin]]&amp;",'"&amp;配置!$A$2&amp;"':"&amp;表1_861218222426729298[[#This Row],[补偿辎重]]&amp;"},"</f>
        <v>{'coin':2500,'item036':25},</v>
      </c>
      <c r="Y24" s="251" t="str">
        <f>"            'to_zone':'"&amp;表1_861218222426729298[[#This Row],[目标区服]]&amp;"',
            'reward':"&amp;表1_861218222426729298[[#This Row],[辅助导出]]&amp;"
            'country':["&amp;R23&amp;","&amp;R24&amp;","&amp;R25&amp;"],"</f>
        <v>            'to_zone':'h1_86',
            'reward':{'coin':2500,'item036':25},
            'country':[0,1,2],</v>
      </c>
    </row>
    <row r="25" customHeight="1" spans="1:25">
      <c r="A25" s="367">
        <v>199</v>
      </c>
      <c r="B25" s="214">
        <f>VLOOKUP(表1_861218222426729298[[#This Row],[区服]],$P$47:$Q$64,2,FALSE)</f>
        <v>48</v>
      </c>
      <c r="C25" s="293" t="s">
        <v>220</v>
      </c>
      <c r="D25" s="216" t="str">
        <f>表1_861218222426729298[[#This Row],[目标国家]]</f>
        <v>吴</v>
      </c>
      <c r="E25" s="413">
        <f>(VLOOKUP(表1_861218222426729298[[#This Row],[目标区服]],$R$47:$S$55,2,FALSE)-表1_861218222426729298[[#This Row],[开服天数]])*配置!$B$1</f>
        <v>2500</v>
      </c>
      <c r="F25" s="217">
        <f>表1_861218222426729298[[#This Row],[补偿Coin]]*(表1_861218222426729298[[#This Row],[活跃高战玩家数]]+表1_861218222426729298[[#This Row],[活跃中坚玩家数]])</f>
        <v>45000</v>
      </c>
      <c r="G25" s="368">
        <f>(VLOOKUP(表1_861218222426729298[[#This Row],[目标区服]],$R$47:$S$55,2,FALSE)-表1_861218222426729298[[#This Row],[开服天数]])*配置!$B$2</f>
        <v>25</v>
      </c>
      <c r="H25" s="216" t="s">
        <v>27</v>
      </c>
      <c r="I25" s="377">
        <f>IF(表1_861218222426729298[[#This Row],[原国家]]="魏",0,IF(表1_861218222426729298[[#This Row],[原国家]]="蜀",1,2))</f>
        <v>2</v>
      </c>
      <c r="J25" s="217">
        <v>3</v>
      </c>
      <c r="K25" s="217">
        <v>93</v>
      </c>
      <c r="L25" s="217">
        <v>0</v>
      </c>
      <c r="M25" s="217">
        <v>18</v>
      </c>
      <c r="N25" s="217">
        <v>51584</v>
      </c>
      <c r="O25" s="378">
        <v>1502549</v>
      </c>
      <c r="P25" s="334">
        <v>12232938</v>
      </c>
      <c r="Q25" s="31" t="s">
        <v>27</v>
      </c>
      <c r="R25" s="216">
        <f>IF(表1_861218222426729298[[#This Row],[目标国家]]="魏",0,IF(表1_861218222426729298[[#This Row],[目标国家]]="蜀",1,2))</f>
        <v>2</v>
      </c>
      <c r="S25" s="217">
        <v>17484</v>
      </c>
      <c r="T25" s="217">
        <v>0</v>
      </c>
      <c r="U25" s="217">
        <v>114993</v>
      </c>
      <c r="V25" s="217">
        <v>4795</v>
      </c>
      <c r="W25" s="488">
        <v>563610</v>
      </c>
      <c r="X25" s="382" t="str">
        <f>"{"&amp;"'coin':"&amp;表1_861218222426729298[[#This Row],[补偿Coin]]&amp;",'"&amp;配置!$A$2&amp;"':"&amp;表1_861218222426729298[[#This Row],[补偿辎重]]&amp;"},"</f>
        <v>{'coin':2500,'item036':25},</v>
      </c>
      <c r="Y25" s="251" t="str">
        <f t="shared" ref="Y25:Y31" si="5">"      },"</f>
        <v>      },</v>
      </c>
    </row>
    <row r="26" customHeight="1" spans="1:25">
      <c r="A26" s="370">
        <v>200</v>
      </c>
      <c r="B26" s="81">
        <f>VLOOKUP(表1_861218222426729298[[#This Row],[区服]],$P$47:$Q$64,2,FALSE)</f>
        <v>47</v>
      </c>
      <c r="C26" s="485" t="s">
        <v>221</v>
      </c>
      <c r="D26" s="83" t="str">
        <f>表1_861218222426729298[[#This Row],[目标国家]]</f>
        <v>吴</v>
      </c>
      <c r="E26" s="415">
        <f>(VLOOKUP(表1_861218222426729298[[#This Row],[目标区服]],$R$47:$S$55,2,FALSE)-表1_861218222426729298[[#This Row],[开服天数]])*配置!$B$1</f>
        <v>2000</v>
      </c>
      <c r="F26" s="85">
        <f>表1_861218222426729298[[#This Row],[补偿Coin]]*(表1_861218222426729298[[#This Row],[活跃高战玩家数]]+表1_861218222426729298[[#This Row],[活跃中坚玩家数]])</f>
        <v>62000</v>
      </c>
      <c r="G26" s="416">
        <f>(VLOOKUP(表1_861218222426729298[[#This Row],[目标区服]],$R$47:$S$55,2,FALSE)-表1_861218222426729298[[#This Row],[开服天数]])*配置!$B$2</f>
        <v>20</v>
      </c>
      <c r="H26" s="83" t="s">
        <v>25</v>
      </c>
      <c r="I26" s="421">
        <f>IF(表1_861218222426729298[[#This Row],[原国家]]="魏",0,IF(表1_861218222426729298[[#This Row],[原国家]]="蜀",1,2))</f>
        <v>0</v>
      </c>
      <c r="J26" s="85">
        <v>4</v>
      </c>
      <c r="K26" s="85">
        <v>148</v>
      </c>
      <c r="L26" s="85">
        <v>3</v>
      </c>
      <c r="M26" s="85">
        <v>28</v>
      </c>
      <c r="N26" s="85">
        <v>136033</v>
      </c>
      <c r="O26" s="422">
        <v>3448529</v>
      </c>
      <c r="P26" s="379">
        <v>31901898</v>
      </c>
      <c r="Q26" s="31" t="s">
        <v>27</v>
      </c>
      <c r="R26" s="83">
        <f>IF(表1_861218222426729298[[#This Row],[目标国家]]="魏",0,IF(表1_861218222426729298[[#This Row],[目标国家]]="蜀",1,2))</f>
        <v>2</v>
      </c>
      <c r="S26" s="85">
        <v>90394</v>
      </c>
      <c r="T26" s="85">
        <v>0</v>
      </c>
      <c r="U26" s="85">
        <v>587752</v>
      </c>
      <c r="V26" s="85">
        <v>12204</v>
      </c>
      <c r="W26" s="489">
        <v>925134</v>
      </c>
      <c r="X26" s="431" t="str">
        <f>"{"&amp;"'coin':"&amp;表1_861218222426729298[[#This Row],[补偿Coin]]&amp;",'"&amp;配置!$A$2&amp;"':"&amp;表1_861218222426729298[[#This Row],[补偿辎重]]&amp;"},"</f>
        <v>{'coin':2000,'item036':20},</v>
      </c>
      <c r="Y26" s="149" t="str">
        <f>"      '"&amp;表1_861218222426729298[[#This Row],[区服]]&amp;"':{"</f>
        <v>      '200':{</v>
      </c>
    </row>
    <row r="27" customHeight="1" spans="1:25">
      <c r="A27" s="370">
        <v>200</v>
      </c>
      <c r="B27" s="81">
        <f>VLOOKUP(表1_861218222426729298[[#This Row],[区服]],$P$47:$Q$64,2,FALSE)</f>
        <v>47</v>
      </c>
      <c r="C27" s="485" t="s">
        <v>221</v>
      </c>
      <c r="D27" s="83" t="str">
        <f>表1_861218222426729298[[#This Row],[目标国家]]</f>
        <v>蜀</v>
      </c>
      <c r="E27" s="415">
        <f>(VLOOKUP(表1_861218222426729298[[#This Row],[目标区服]],$R$47:$S$55,2,FALSE)-表1_861218222426729298[[#This Row],[开服天数]])*配置!$B$1</f>
        <v>2000</v>
      </c>
      <c r="F27" s="85">
        <f>表1_861218222426729298[[#This Row],[补偿Coin]]*(表1_861218222426729298[[#This Row],[活跃高战玩家数]]+表1_861218222426729298[[#This Row],[活跃中坚玩家数]])</f>
        <v>64000</v>
      </c>
      <c r="G27" s="416">
        <f>(VLOOKUP(表1_861218222426729298[[#This Row],[目标区服]],$R$47:$S$55,2,FALSE)-表1_861218222426729298[[#This Row],[开服天数]])*配置!$B$2</f>
        <v>20</v>
      </c>
      <c r="H27" s="83" t="s">
        <v>26</v>
      </c>
      <c r="I27" s="421">
        <f>IF(表1_861218222426729298[[#This Row],[原国家]]="魏",0,IF(表1_861218222426729298[[#This Row],[原国家]]="蜀",1,2))</f>
        <v>1</v>
      </c>
      <c r="J27" s="85">
        <v>5</v>
      </c>
      <c r="K27" s="85">
        <v>220</v>
      </c>
      <c r="L27" s="85">
        <v>7</v>
      </c>
      <c r="M27" s="85">
        <v>25</v>
      </c>
      <c r="N27" s="85">
        <v>144149</v>
      </c>
      <c r="O27" s="422">
        <v>3407492</v>
      </c>
      <c r="P27" s="379">
        <v>33540909</v>
      </c>
      <c r="Q27" s="31" t="s">
        <v>26</v>
      </c>
      <c r="R27" s="83">
        <f>IF(表1_861218222426729298[[#This Row],[目标国家]]="魏",0,IF(表1_861218222426729298[[#This Row],[目标国家]]="蜀",1,2))</f>
        <v>1</v>
      </c>
      <c r="S27" s="85">
        <v>128932</v>
      </c>
      <c r="T27" s="85">
        <v>0</v>
      </c>
      <c r="U27" s="85">
        <v>1065000</v>
      </c>
      <c r="V27" s="85">
        <v>14582</v>
      </c>
      <c r="W27" s="489">
        <v>839553</v>
      </c>
      <c r="X27" s="431" t="str">
        <f>"{"&amp;"'coin':"&amp;表1_861218222426729298[[#This Row],[补偿Coin]]&amp;",'"&amp;配置!$A$2&amp;"':"&amp;表1_861218222426729298[[#This Row],[补偿辎重]]&amp;"},"</f>
        <v>{'coin':2000,'item036':20},</v>
      </c>
      <c r="Y27" s="149" t="str">
        <f>"            'to_zone':'"&amp;表1_861218222426729298[[#This Row],[目标区服]]&amp;"',
            'reward':"&amp;表1_861218222426729298[[#This Row],[辅助导出]]&amp;"
            'country':["&amp;R26&amp;","&amp;R27&amp;","&amp;R28&amp;"],"</f>
        <v>            'to_zone':'h1_87',
            'reward':{'coin':2000,'item036':20},
            'country':[2,1,0],</v>
      </c>
    </row>
    <row r="28" customHeight="1" spans="1:25">
      <c r="A28" s="370">
        <v>200</v>
      </c>
      <c r="B28" s="81">
        <f>VLOOKUP(表1_861218222426729298[[#This Row],[区服]],$P$47:$Q$64,2,FALSE)</f>
        <v>47</v>
      </c>
      <c r="C28" s="485" t="s">
        <v>221</v>
      </c>
      <c r="D28" s="83" t="str">
        <f>表1_861218222426729298[[#This Row],[目标国家]]</f>
        <v>魏</v>
      </c>
      <c r="E28" s="415">
        <f>(VLOOKUP(表1_861218222426729298[[#This Row],[目标区服]],$R$47:$S$55,2,FALSE)-表1_861218222426729298[[#This Row],[开服天数]])*配置!$B$1</f>
        <v>2000</v>
      </c>
      <c r="F28" s="85">
        <f>表1_861218222426729298[[#This Row],[补偿Coin]]*(表1_861218222426729298[[#This Row],[活跃高战玩家数]]+表1_861218222426729298[[#This Row],[活跃中坚玩家数]])</f>
        <v>16000</v>
      </c>
      <c r="G28" s="416">
        <f>(VLOOKUP(表1_861218222426729298[[#This Row],[目标区服]],$R$47:$S$55,2,FALSE)-表1_861218222426729298[[#This Row],[开服天数]])*配置!$B$2</f>
        <v>20</v>
      </c>
      <c r="H28" s="83" t="s">
        <v>27</v>
      </c>
      <c r="I28" s="421">
        <f>IF(表1_861218222426729298[[#This Row],[原国家]]="魏",0,IF(表1_861218222426729298[[#This Row],[原国家]]="蜀",1,2))</f>
        <v>2</v>
      </c>
      <c r="J28" s="85">
        <v>0</v>
      </c>
      <c r="K28" s="85">
        <v>27</v>
      </c>
      <c r="L28" s="85">
        <v>0</v>
      </c>
      <c r="M28" s="85">
        <v>8</v>
      </c>
      <c r="N28" s="85">
        <v>12492</v>
      </c>
      <c r="O28" s="422">
        <v>1018034</v>
      </c>
      <c r="P28" s="379">
        <v>4990645</v>
      </c>
      <c r="Q28" s="31" t="s">
        <v>25</v>
      </c>
      <c r="R28" s="83">
        <f>IF(表1_861218222426729298[[#This Row],[目标国家]]="魏",0,IF(表1_861218222426729298[[#This Row],[目标国家]]="蜀",1,2))</f>
        <v>0</v>
      </c>
      <c r="S28" s="85">
        <v>6186</v>
      </c>
      <c r="T28" s="85">
        <v>0</v>
      </c>
      <c r="U28" s="85">
        <v>94225</v>
      </c>
      <c r="V28" s="85">
        <v>2082</v>
      </c>
      <c r="W28" s="489">
        <v>353512</v>
      </c>
      <c r="X28" s="431" t="str">
        <f>"{"&amp;"'coin':"&amp;表1_861218222426729298[[#This Row],[补偿Coin]]&amp;",'"&amp;配置!$A$2&amp;"':"&amp;表1_861218222426729298[[#This Row],[补偿辎重]]&amp;"},"</f>
        <v>{'coin':2000,'item036':20},</v>
      </c>
      <c r="Y28" s="149" t="str">
        <f t="shared" si="5"/>
        <v>      },</v>
      </c>
    </row>
    <row r="29" customHeight="1" spans="1:25">
      <c r="A29" s="370">
        <v>201</v>
      </c>
      <c r="B29" s="81">
        <f>VLOOKUP(表1_861218222426729298[[#This Row],[区服]],$P$47:$Q$64,2,FALSE)</f>
        <v>46</v>
      </c>
      <c r="C29" s="485" t="s">
        <v>221</v>
      </c>
      <c r="D29" s="83" t="str">
        <f>表1_861218222426729298[[#This Row],[目标国家]]</f>
        <v>魏</v>
      </c>
      <c r="E29" s="415">
        <f>(VLOOKUP(表1_861218222426729298[[#This Row],[目标区服]],$R$47:$S$55,2,FALSE)-表1_861218222426729298[[#This Row],[开服天数]])*配置!$B$1</f>
        <v>2500</v>
      </c>
      <c r="F29" s="85">
        <f>表1_861218222426729298[[#This Row],[补偿Coin]]*(表1_861218222426729298[[#This Row],[活跃高战玩家数]]+表1_861218222426729298[[#This Row],[活跃中坚玩家数]])</f>
        <v>92500</v>
      </c>
      <c r="G29" s="416">
        <f>(VLOOKUP(表1_861218222426729298[[#This Row],[目标区服]],$R$47:$S$55,2,FALSE)-表1_861218222426729298[[#This Row],[开服天数]])*配置!$B$2</f>
        <v>25</v>
      </c>
      <c r="H29" s="83" t="s">
        <v>25</v>
      </c>
      <c r="I29" s="421">
        <f>IF(表1_861218222426729298[[#This Row],[原国家]]="魏",0,IF(表1_861218222426729298[[#This Row],[原国家]]="蜀",1,2))</f>
        <v>0</v>
      </c>
      <c r="J29" s="85">
        <v>7</v>
      </c>
      <c r="K29" s="85">
        <v>234</v>
      </c>
      <c r="L29" s="85">
        <v>9</v>
      </c>
      <c r="M29" s="85">
        <v>28</v>
      </c>
      <c r="N29" s="85">
        <v>188459</v>
      </c>
      <c r="O29" s="422">
        <v>3628475</v>
      </c>
      <c r="P29" s="379">
        <v>40897322</v>
      </c>
      <c r="Q29" s="31" t="s">
        <v>25</v>
      </c>
      <c r="R29" s="83">
        <f>IF(表1_861218222426729298[[#This Row],[目标国家]]="魏",0,IF(表1_861218222426729298[[#This Row],[目标国家]]="蜀",1,2))</f>
        <v>0</v>
      </c>
      <c r="S29" s="85">
        <v>122572</v>
      </c>
      <c r="T29" s="85">
        <v>0</v>
      </c>
      <c r="U29" s="85">
        <v>1241243</v>
      </c>
      <c r="V29" s="85">
        <v>15998</v>
      </c>
      <c r="W29" s="489">
        <v>1042793</v>
      </c>
      <c r="X29" s="431" t="str">
        <f>"{"&amp;"'coin':"&amp;表1_861218222426729298[[#This Row],[补偿Coin]]&amp;",'"&amp;配置!$A$2&amp;"':"&amp;表1_861218222426729298[[#This Row],[补偿辎重]]&amp;"},"</f>
        <v>{'coin':2500,'item036':25},</v>
      </c>
      <c r="Y29" s="149" t="str">
        <f>"      '"&amp;表1_861218222426729298[[#This Row],[区服]]&amp;"':{"</f>
        <v>      '201':{</v>
      </c>
    </row>
    <row r="30" customHeight="1" spans="1:25">
      <c r="A30" s="370">
        <v>201</v>
      </c>
      <c r="B30" s="81">
        <f>VLOOKUP(表1_861218222426729298[[#This Row],[区服]],$P$47:$Q$64,2,FALSE)</f>
        <v>46</v>
      </c>
      <c r="C30" s="485" t="s">
        <v>221</v>
      </c>
      <c r="D30" s="83" t="str">
        <f>表1_861218222426729298[[#This Row],[目标国家]]</f>
        <v>蜀</v>
      </c>
      <c r="E30" s="415">
        <f>(VLOOKUP(表1_861218222426729298[[#This Row],[目标区服]],$R$47:$S$55,2,FALSE)-表1_861218222426729298[[#This Row],[开服天数]])*配置!$B$1</f>
        <v>2500</v>
      </c>
      <c r="F30" s="85">
        <f>表1_861218222426729298[[#This Row],[补偿Coin]]*(表1_861218222426729298[[#This Row],[活跃高战玩家数]]+表1_861218222426729298[[#This Row],[活跃中坚玩家数]])</f>
        <v>80000</v>
      </c>
      <c r="G30" s="416">
        <f>(VLOOKUP(表1_861218222426729298[[#This Row],[目标区服]],$R$47:$S$55,2,FALSE)-表1_861218222426729298[[#This Row],[开服天数]])*配置!$B$2</f>
        <v>25</v>
      </c>
      <c r="H30" s="83" t="s">
        <v>26</v>
      </c>
      <c r="I30" s="421">
        <f>IF(表1_861218222426729298[[#This Row],[原国家]]="魏",0,IF(表1_861218222426729298[[#This Row],[原国家]]="蜀",1,2))</f>
        <v>1</v>
      </c>
      <c r="J30" s="85">
        <v>1</v>
      </c>
      <c r="K30" s="85">
        <v>90</v>
      </c>
      <c r="L30" s="85">
        <v>0</v>
      </c>
      <c r="M30" s="85">
        <v>32</v>
      </c>
      <c r="N30" s="85">
        <v>58698</v>
      </c>
      <c r="O30" s="422">
        <v>1799184</v>
      </c>
      <c r="P30" s="379">
        <v>21018493</v>
      </c>
      <c r="Q30" s="31" t="s">
        <v>26</v>
      </c>
      <c r="R30" s="83">
        <f>IF(表1_861218222426729298[[#This Row],[目标国家]]="魏",0,IF(表1_861218222426729298[[#This Row],[目标国家]]="蜀",1,2))</f>
        <v>1</v>
      </c>
      <c r="S30" s="85">
        <v>20510</v>
      </c>
      <c r="T30" s="85">
        <v>0</v>
      </c>
      <c r="U30" s="85">
        <v>200303</v>
      </c>
      <c r="V30" s="85">
        <v>5909</v>
      </c>
      <c r="W30" s="489">
        <v>588605</v>
      </c>
      <c r="X30" s="431" t="str">
        <f>"{"&amp;"'coin':"&amp;表1_861218222426729298[[#This Row],[补偿Coin]]&amp;",'"&amp;配置!$A$2&amp;"':"&amp;表1_861218222426729298[[#This Row],[补偿辎重]]&amp;"},"</f>
        <v>{'coin':2500,'item036':25},</v>
      </c>
      <c r="Y30" s="149" t="str">
        <f>"            'to_zone':'"&amp;表1_861218222426729298[[#This Row],[目标区服]]&amp;"',
            'reward':"&amp;表1_861218222426729298[[#This Row],[辅助导出]]&amp;"
            'country':["&amp;R29&amp;","&amp;R30&amp;","&amp;R31&amp;"],"</f>
        <v>            'to_zone':'h1_87',
            'reward':{'coin':2500,'item036':25},
            'country':[0,1,2],</v>
      </c>
    </row>
    <row r="31" customHeight="1" spans="1:25">
      <c r="A31" s="370">
        <v>201</v>
      </c>
      <c r="B31" s="81">
        <f>VLOOKUP(表1_861218222426729298[[#This Row],[区服]],$P$47:$Q$64,2,FALSE)</f>
        <v>46</v>
      </c>
      <c r="C31" s="485" t="s">
        <v>221</v>
      </c>
      <c r="D31" s="83" t="str">
        <f>表1_861218222426729298[[#This Row],[目标国家]]</f>
        <v>吴</v>
      </c>
      <c r="E31" s="415">
        <f>(VLOOKUP(表1_861218222426729298[[#This Row],[目标区服]],$R$47:$S$55,2,FALSE)-表1_861218222426729298[[#This Row],[开服天数]])*配置!$B$1</f>
        <v>2500</v>
      </c>
      <c r="F31" s="85">
        <f>表1_861218222426729298[[#This Row],[补偿Coin]]*(表1_861218222426729298[[#This Row],[活跃高战玩家数]]+表1_861218222426729298[[#This Row],[活跃中坚玩家数]])</f>
        <v>42500</v>
      </c>
      <c r="G31" s="416">
        <f>(VLOOKUP(表1_861218222426729298[[#This Row],[目标区服]],$R$47:$S$55,2,FALSE)-表1_861218222426729298[[#This Row],[开服天数]])*配置!$B$2</f>
        <v>25</v>
      </c>
      <c r="H31" s="83" t="s">
        <v>27</v>
      </c>
      <c r="I31" s="421">
        <f>IF(表1_861218222426729298[[#This Row],[原国家]]="魏",0,IF(表1_861218222426729298[[#This Row],[原国家]]="蜀",1,2))</f>
        <v>2</v>
      </c>
      <c r="J31" s="85">
        <v>1</v>
      </c>
      <c r="K31" s="85">
        <v>71</v>
      </c>
      <c r="L31" s="85">
        <v>1</v>
      </c>
      <c r="M31" s="85">
        <v>16</v>
      </c>
      <c r="N31" s="85">
        <v>63319</v>
      </c>
      <c r="O31" s="422">
        <v>2023730</v>
      </c>
      <c r="P31" s="379">
        <v>14494829</v>
      </c>
      <c r="Q31" s="31" t="s">
        <v>27</v>
      </c>
      <c r="R31" s="83">
        <f>IF(表1_861218222426729298[[#This Row],[目标国家]]="魏",0,IF(表1_861218222426729298[[#This Row],[目标国家]]="蜀",1,2))</f>
        <v>2</v>
      </c>
      <c r="S31" s="85">
        <v>49826</v>
      </c>
      <c r="T31" s="85">
        <v>0</v>
      </c>
      <c r="U31" s="85">
        <v>443620</v>
      </c>
      <c r="V31" s="85">
        <v>6316</v>
      </c>
      <c r="W31" s="84">
        <v>643943</v>
      </c>
      <c r="X31" s="431" t="str">
        <f>"{"&amp;"'coin':"&amp;表1_861218222426729298[[#This Row],[补偿Coin]]&amp;",'"&amp;配置!$A$2&amp;"':"&amp;表1_861218222426729298[[#This Row],[补偿辎重]]&amp;"},"</f>
        <v>{'coin':2500,'item036':25},</v>
      </c>
      <c r="Y31" s="149" t="str">
        <f t="shared" si="5"/>
        <v>      },</v>
      </c>
    </row>
    <row r="32" customHeight="1" spans="1:25">
      <c r="A32" s="371">
        <v>202</v>
      </c>
      <c r="B32" s="371">
        <f>VLOOKUP(表1_861218222426729298[[#This Row],[区服]],$P$47:$Q$64,2,FALSE)</f>
        <v>45</v>
      </c>
      <c r="C32" s="372" t="s">
        <v>222</v>
      </c>
      <c r="D32" s="373" t="str">
        <f>表1_861218222426729298[[#This Row],[目标国家]]</f>
        <v>魏</v>
      </c>
      <c r="E32" s="374">
        <f>(VLOOKUP(表1_861218222426729298[[#This Row],[目标区服]],$R$47:$S$55,2,FALSE)-表1_861218222426729298[[#This Row],[开服天数]])*配置!$B$1</f>
        <v>2000</v>
      </c>
      <c r="F32" s="374">
        <f>表1_861218222426729298[[#This Row],[补偿Coin]]*(表1_861218222426729298[[#This Row],[活跃高战玩家数]]+表1_861218222426729298[[#This Row],[活跃中坚玩家数]])</f>
        <v>38000</v>
      </c>
      <c r="G32" s="374">
        <f>(VLOOKUP(表1_861218222426729298[[#This Row],[目标区服]],$R$47:$S$55,2,FALSE)-表1_861218222426729298[[#This Row],[开服天数]])*配置!$B$2</f>
        <v>20</v>
      </c>
      <c r="H32" s="376" t="s">
        <v>25</v>
      </c>
      <c r="I32" s="376">
        <f>IF(表1_861218222426729298[[#This Row],[原国家]]="魏",0,IF(表1_861218222426729298[[#This Row],[原国家]]="蜀",1,2))</f>
        <v>0</v>
      </c>
      <c r="J32" s="380">
        <v>0</v>
      </c>
      <c r="K32" s="380">
        <v>15</v>
      </c>
      <c r="L32" s="380">
        <v>0</v>
      </c>
      <c r="M32" s="380">
        <v>19</v>
      </c>
      <c r="N32" s="380">
        <v>54683</v>
      </c>
      <c r="O32" s="380">
        <v>1507741</v>
      </c>
      <c r="P32" s="381">
        <v>12559260</v>
      </c>
      <c r="Q32" s="31" t="s">
        <v>25</v>
      </c>
      <c r="R32" s="376">
        <f>IF(表1_861218222426729298[[#This Row],[目标国家]]="魏",0,IF(表1_861218222426729298[[#This Row],[目标国家]]="蜀",1,2))</f>
        <v>0</v>
      </c>
      <c r="S32" s="380">
        <v>24320</v>
      </c>
      <c r="T32" s="380">
        <v>0</v>
      </c>
      <c r="U32" s="380">
        <v>207669</v>
      </c>
      <c r="V32" s="380">
        <v>4020</v>
      </c>
      <c r="W32" s="374">
        <v>475752</v>
      </c>
      <c r="X32" s="387" t="str">
        <f>"{"&amp;"'coin':"&amp;表1_861218222426729298[[#This Row],[补偿Coin]]&amp;",'"&amp;配置!$A$2&amp;"':"&amp;表1_861218222426729298[[#This Row],[补偿辎重]]&amp;"},"</f>
        <v>{'coin':2000,'item036':20},</v>
      </c>
      <c r="Y32" s="388" t="str">
        <f>"      '"&amp;表1_861218222426729298[[#This Row],[区服]]&amp;"':{"</f>
        <v>      '202':{</v>
      </c>
    </row>
    <row r="33" customHeight="1" spans="1:25">
      <c r="A33" s="371">
        <v>202</v>
      </c>
      <c r="B33" s="371">
        <f>VLOOKUP(表1_861218222426729298[[#This Row],[区服]],$P$47:$Q$64,2,FALSE)</f>
        <v>45</v>
      </c>
      <c r="C33" s="372" t="s">
        <v>222</v>
      </c>
      <c r="D33" s="376" t="str">
        <f>表1_861218222426729298[[#This Row],[目标国家]]</f>
        <v>蜀</v>
      </c>
      <c r="E33" s="380">
        <f>(VLOOKUP(表1_861218222426729298[[#This Row],[目标区服]],$R$47:$S$55,2,FALSE)-表1_861218222426729298[[#This Row],[开服天数]])*配置!$B$1</f>
        <v>2000</v>
      </c>
      <c r="F33" s="380">
        <f>表1_861218222426729298[[#This Row],[补偿Coin]]*(表1_861218222426729298[[#This Row],[活跃高战玩家数]]+表1_861218222426729298[[#This Row],[活跃中坚玩家数]])</f>
        <v>86000</v>
      </c>
      <c r="G33" s="380">
        <f>(VLOOKUP(表1_861218222426729298[[#This Row],[目标区服]],$R$47:$S$55,2,FALSE)-表1_861218222426729298[[#This Row],[开服天数]])*配置!$B$2</f>
        <v>20</v>
      </c>
      <c r="H33" s="376" t="s">
        <v>26</v>
      </c>
      <c r="I33" s="376">
        <f>IF(表1_861218222426729298[[#This Row],[原国家]]="魏",0,IF(表1_861218222426729298[[#This Row],[原国家]]="蜀",1,2))</f>
        <v>1</v>
      </c>
      <c r="J33" s="380">
        <v>9</v>
      </c>
      <c r="K33" s="380">
        <v>359</v>
      </c>
      <c r="L33" s="380">
        <v>10</v>
      </c>
      <c r="M33" s="380">
        <v>33</v>
      </c>
      <c r="N33" s="380">
        <v>218232</v>
      </c>
      <c r="O33" s="380">
        <v>3464154</v>
      </c>
      <c r="P33" s="381">
        <v>44485101</v>
      </c>
      <c r="Q33" s="31" t="s">
        <v>26</v>
      </c>
      <c r="R33" s="376">
        <f>IF(表1_861218222426729298[[#This Row],[目标国家]]="魏",0,IF(表1_861218222426729298[[#This Row],[目标国家]]="蜀",1,2))</f>
        <v>1</v>
      </c>
      <c r="S33" s="380">
        <v>122148</v>
      </c>
      <c r="T33" s="380">
        <v>0</v>
      </c>
      <c r="U33" s="380">
        <v>893466</v>
      </c>
      <c r="V33" s="380">
        <v>17604</v>
      </c>
      <c r="W33" s="374">
        <v>948868</v>
      </c>
      <c r="X33" s="387" t="str">
        <f>"{"&amp;"'coin':"&amp;表1_861218222426729298[[#This Row],[补偿Coin]]&amp;",'"&amp;配置!$A$2&amp;"':"&amp;表1_861218222426729298[[#This Row],[补偿辎重]]&amp;"},"</f>
        <v>{'coin':2000,'item036':20},</v>
      </c>
      <c r="Y33" s="388" t="str">
        <f>"            'to_zone':'"&amp;表1_861218222426729298[[#This Row],[目标区服]]&amp;"',
            'reward':"&amp;表1_861218222426729298[[#This Row],[辅助导出]]&amp;"
            'country':["&amp;R32&amp;","&amp;R33&amp;","&amp;R34&amp;"],"</f>
        <v>            'to_zone':'h1_88',
            'reward':{'coin':2000,'item036':20},
            'country':[0,1,2],</v>
      </c>
    </row>
    <row r="34" customHeight="1" spans="1:25">
      <c r="A34" s="371">
        <v>202</v>
      </c>
      <c r="B34" s="371">
        <f>VLOOKUP(表1_861218222426729298[[#This Row],[区服]],$P$47:$Q$64,2,FALSE)</f>
        <v>45</v>
      </c>
      <c r="C34" s="372" t="s">
        <v>222</v>
      </c>
      <c r="D34" s="376" t="str">
        <f>表1_861218222426729298[[#This Row],[目标国家]]</f>
        <v>吴</v>
      </c>
      <c r="E34" s="380">
        <f>(VLOOKUP(表1_861218222426729298[[#This Row],[目标区服]],$R$47:$S$55,2,FALSE)-表1_861218222426729298[[#This Row],[开服天数]])*配置!$B$1</f>
        <v>2000</v>
      </c>
      <c r="F34" s="380">
        <f>表1_861218222426729298[[#This Row],[补偿Coin]]*(表1_861218222426729298[[#This Row],[活跃高战玩家数]]+表1_861218222426729298[[#This Row],[活跃中坚玩家数]])</f>
        <v>16000</v>
      </c>
      <c r="G34" s="380">
        <f>(VLOOKUP(表1_861218222426729298[[#This Row],[目标区服]],$R$47:$S$55,2,FALSE)-表1_861218222426729298[[#This Row],[开服天数]])*配置!$B$2</f>
        <v>20</v>
      </c>
      <c r="H34" s="376" t="s">
        <v>27</v>
      </c>
      <c r="I34" s="376">
        <f>IF(表1_861218222426729298[[#This Row],[原国家]]="魏",0,IF(表1_861218222426729298[[#This Row],[原国家]]="蜀",1,2))</f>
        <v>2</v>
      </c>
      <c r="J34" s="380">
        <v>0</v>
      </c>
      <c r="K34" s="380">
        <v>21</v>
      </c>
      <c r="L34" s="380">
        <v>0</v>
      </c>
      <c r="M34" s="380">
        <v>8</v>
      </c>
      <c r="N34" s="380">
        <v>14576</v>
      </c>
      <c r="O34" s="380">
        <v>1064702</v>
      </c>
      <c r="P34" s="381">
        <v>4612981</v>
      </c>
      <c r="Q34" s="31" t="s">
        <v>27</v>
      </c>
      <c r="R34" s="376">
        <f>IF(表1_861218222426729298[[#This Row],[目标国家]]="魏",0,IF(表1_861218222426729298[[#This Row],[目标国家]]="蜀",1,2))</f>
        <v>2</v>
      </c>
      <c r="S34" s="380">
        <v>4782</v>
      </c>
      <c r="T34" s="380">
        <v>0</v>
      </c>
      <c r="U34" s="380">
        <v>132619</v>
      </c>
      <c r="V34" s="380">
        <v>2018</v>
      </c>
      <c r="W34" s="374">
        <v>369352</v>
      </c>
      <c r="X34" s="387" t="str">
        <f>"{"&amp;"'coin':"&amp;表1_861218222426729298[[#This Row],[补偿Coin]]&amp;",'"&amp;配置!$A$2&amp;"':"&amp;表1_861218222426729298[[#This Row],[补偿辎重]]&amp;"},"</f>
        <v>{'coin':2000,'item036':20},</v>
      </c>
      <c r="Y34" s="388" t="str">
        <f t="shared" ref="Y34:Y43" si="6">"      },"</f>
        <v>      },</v>
      </c>
    </row>
    <row r="35" customHeight="1" spans="1:25">
      <c r="A35" s="375">
        <v>203</v>
      </c>
      <c r="B35" s="371">
        <f>VLOOKUP(表1_861218222426729298[[#This Row],[区服]],$P$47:$Q$64,2,FALSE)</f>
        <v>44</v>
      </c>
      <c r="C35" s="372" t="s">
        <v>222</v>
      </c>
      <c r="D35" s="376" t="str">
        <f>表1_861218222426729298[[#This Row],[目标国家]]</f>
        <v>蜀</v>
      </c>
      <c r="E35" s="380">
        <f>(VLOOKUP(表1_861218222426729298[[#This Row],[目标区服]],$R$47:$S$55,2,FALSE)-表1_861218222426729298[[#This Row],[开服天数]])*配置!$B$1</f>
        <v>2500</v>
      </c>
      <c r="F35" s="380">
        <f>表1_861218222426729298[[#This Row],[补偿Coin]]*(表1_861218222426729298[[#This Row],[活跃高战玩家数]]+表1_861218222426729298[[#This Row],[活跃中坚玩家数]])</f>
        <v>30000</v>
      </c>
      <c r="G35" s="380">
        <f>(VLOOKUP(表1_861218222426729298[[#This Row],[目标区服]],$R$47:$S$55,2,FALSE)-表1_861218222426729298[[#This Row],[开服天数]])*配置!$B$2</f>
        <v>25</v>
      </c>
      <c r="H35" s="376" t="s">
        <v>25</v>
      </c>
      <c r="I35" s="376">
        <f>IF(表1_861218222426729298[[#This Row],[原国家]]="魏",0,IF(表1_861218222426729298[[#This Row],[原国家]]="蜀",1,2))</f>
        <v>0</v>
      </c>
      <c r="J35" s="380">
        <v>0</v>
      </c>
      <c r="K35" s="380">
        <v>29</v>
      </c>
      <c r="L35" s="380">
        <v>0</v>
      </c>
      <c r="M35" s="380">
        <v>12</v>
      </c>
      <c r="N35" s="380">
        <v>18882</v>
      </c>
      <c r="O35" s="380">
        <v>1432592</v>
      </c>
      <c r="P35" s="381">
        <v>7408680</v>
      </c>
      <c r="Q35" s="31" t="s">
        <v>26</v>
      </c>
      <c r="R35" s="376">
        <f>IF(表1_861218222426729298[[#This Row],[目标国家]]="魏",0,IF(表1_861218222426729298[[#This Row],[目标国家]]="蜀",1,2))</f>
        <v>1</v>
      </c>
      <c r="S35" s="380">
        <v>9478</v>
      </c>
      <c r="T35" s="380">
        <v>0</v>
      </c>
      <c r="U35" s="380">
        <v>73711</v>
      </c>
      <c r="V35" s="380">
        <v>2879</v>
      </c>
      <c r="W35" s="374">
        <v>394710</v>
      </c>
      <c r="X35" s="387" t="str">
        <f>"{"&amp;"'coin':"&amp;表1_861218222426729298[[#This Row],[补偿Coin]]&amp;",'"&amp;配置!$A$2&amp;"':"&amp;表1_861218222426729298[[#This Row],[补偿辎重]]&amp;"},"</f>
        <v>{'coin':2500,'item036':25},</v>
      </c>
      <c r="Y35" s="388" t="str">
        <f>"      '"&amp;表1_861218222426729298[[#This Row],[区服]]&amp;"':{"</f>
        <v>      '203':{</v>
      </c>
    </row>
    <row r="36" customHeight="1" spans="1:25">
      <c r="A36" s="375">
        <v>203</v>
      </c>
      <c r="B36" s="371">
        <f>VLOOKUP(表1_861218222426729298[[#This Row],[区服]],$P$47:$Q$64,2,FALSE)</f>
        <v>44</v>
      </c>
      <c r="C36" s="372" t="s">
        <v>222</v>
      </c>
      <c r="D36" s="376" t="str">
        <f>表1_861218222426729298[[#This Row],[目标国家]]</f>
        <v>魏</v>
      </c>
      <c r="E36" s="380">
        <f>(VLOOKUP(表1_861218222426729298[[#This Row],[目标区服]],$R$47:$S$55,2,FALSE)-表1_861218222426729298[[#This Row],[开服天数]])*配置!$B$1</f>
        <v>2500</v>
      </c>
      <c r="F36" s="380">
        <f>表1_861218222426729298[[#This Row],[补偿Coin]]*(表1_861218222426729298[[#This Row],[活跃高战玩家数]]+表1_861218222426729298[[#This Row],[活跃中坚玩家数]])</f>
        <v>82500</v>
      </c>
      <c r="G36" s="380">
        <f>(VLOOKUP(表1_861218222426729298[[#This Row],[目标区服]],$R$47:$S$55,2,FALSE)-表1_861218222426729298[[#This Row],[开服天数]])*配置!$B$2</f>
        <v>25</v>
      </c>
      <c r="H36" s="376" t="s">
        <v>26</v>
      </c>
      <c r="I36" s="376">
        <f>IF(表1_861218222426729298[[#This Row],[原国家]]="魏",0,IF(表1_861218222426729298[[#This Row],[原国家]]="蜀",1,2))</f>
        <v>1</v>
      </c>
      <c r="J36" s="380">
        <v>2</v>
      </c>
      <c r="K36" s="380">
        <v>166</v>
      </c>
      <c r="L36" s="380">
        <v>4</v>
      </c>
      <c r="M36" s="380">
        <v>29</v>
      </c>
      <c r="N36" s="380">
        <v>133124</v>
      </c>
      <c r="O36" s="380">
        <v>2859302</v>
      </c>
      <c r="P36" s="381">
        <v>30139226</v>
      </c>
      <c r="Q36" s="31" t="s">
        <v>25</v>
      </c>
      <c r="R36" s="376">
        <f>IF(表1_861218222426729298[[#This Row],[目标国家]]="魏",0,IF(表1_861218222426729298[[#This Row],[目标国家]]="蜀",1,2))</f>
        <v>0</v>
      </c>
      <c r="S36" s="380">
        <v>58522</v>
      </c>
      <c r="T36" s="380">
        <v>0</v>
      </c>
      <c r="U36" s="380">
        <v>541381</v>
      </c>
      <c r="V36" s="380">
        <v>10425</v>
      </c>
      <c r="W36" s="374">
        <v>829793</v>
      </c>
      <c r="X36" s="387" t="str">
        <f>"{"&amp;"'coin':"&amp;表1_861218222426729298[[#This Row],[补偿Coin]]&amp;",'"&amp;配置!$A$2&amp;"':"&amp;表1_861218222426729298[[#This Row],[补偿辎重]]&amp;"},"</f>
        <v>{'coin':2500,'item036':25},</v>
      </c>
      <c r="Y36" s="388" t="str">
        <f>"            'to_zone':'"&amp;表1_861218222426729298[[#This Row],[目标区服]]&amp;"',
            'reward':"&amp;表1_861218222426729298[[#This Row],[辅助导出]]&amp;"
            'country':["&amp;R35&amp;","&amp;R36&amp;","&amp;R37&amp;"],"</f>
        <v>            'to_zone':'h1_88',
            'reward':{'coin':2500,'item036':25},
            'country':[1,0,2],</v>
      </c>
    </row>
    <row r="37" customHeight="1" spans="1:25">
      <c r="A37" s="375">
        <v>203</v>
      </c>
      <c r="B37" s="371">
        <f>VLOOKUP(表1_861218222426729298[[#This Row],[区服]],$P$47:$Q$64,2,FALSE)</f>
        <v>44</v>
      </c>
      <c r="C37" s="372" t="s">
        <v>222</v>
      </c>
      <c r="D37" s="376" t="str">
        <f>表1_861218222426729298[[#This Row],[目标国家]]</f>
        <v>吴</v>
      </c>
      <c r="E37" s="380">
        <f>(VLOOKUP(表1_861218222426729298[[#This Row],[目标区服]],$R$47:$S$55,2,FALSE)-表1_861218222426729298[[#This Row],[开服天数]])*配置!$B$1</f>
        <v>2500</v>
      </c>
      <c r="F37" s="380">
        <f>表1_861218222426729298[[#This Row],[补偿Coin]]*(表1_861218222426729298[[#This Row],[活跃高战玩家数]]+表1_861218222426729298[[#This Row],[活跃中坚玩家数]])</f>
        <v>95000</v>
      </c>
      <c r="G37" s="380">
        <f>(VLOOKUP(表1_861218222426729298[[#This Row],[目标区服]],$R$47:$S$55,2,FALSE)-表1_861218222426729298[[#This Row],[开服天数]])*配置!$B$2</f>
        <v>25</v>
      </c>
      <c r="H37" s="376" t="s">
        <v>27</v>
      </c>
      <c r="I37" s="376">
        <f>IF(表1_861218222426729298[[#This Row],[原国家]]="魏",0,IF(表1_861218222426729298[[#This Row],[原国家]]="蜀",1,2))</f>
        <v>2</v>
      </c>
      <c r="J37" s="380">
        <v>7</v>
      </c>
      <c r="K37" s="380">
        <v>200</v>
      </c>
      <c r="L37" s="380">
        <v>6</v>
      </c>
      <c r="M37" s="380">
        <v>32</v>
      </c>
      <c r="N37" s="380">
        <v>160559</v>
      </c>
      <c r="O37" s="380">
        <v>3607459</v>
      </c>
      <c r="P37" s="381">
        <v>37519947</v>
      </c>
      <c r="Q37" s="31" t="s">
        <v>27</v>
      </c>
      <c r="R37" s="376">
        <f>IF(表1_861218222426729298[[#This Row],[目标国家]]="魏",0,IF(表1_861218222426729298[[#This Row],[目标国家]]="蜀",1,2))</f>
        <v>2</v>
      </c>
      <c r="S37" s="380">
        <v>109184</v>
      </c>
      <c r="T37" s="380">
        <v>0</v>
      </c>
      <c r="U37" s="380">
        <v>1042443</v>
      </c>
      <c r="V37" s="380">
        <v>14658</v>
      </c>
      <c r="W37" s="374">
        <v>989602</v>
      </c>
      <c r="X37" s="387" t="str">
        <f>"{"&amp;"'coin':"&amp;表1_861218222426729298[[#This Row],[补偿Coin]]&amp;",'"&amp;配置!$A$2&amp;"':"&amp;表1_861218222426729298[[#This Row],[补偿辎重]]&amp;"},"</f>
        <v>{'coin':2500,'item036':25},</v>
      </c>
      <c r="Y37" s="388" t="str">
        <f t="shared" si="6"/>
        <v>      },</v>
      </c>
    </row>
    <row r="38" customHeight="1" spans="1:25">
      <c r="A38" s="259">
        <v>204</v>
      </c>
      <c r="B38" s="210">
        <f>VLOOKUP(表1_861218222426729298[[#This Row],[区服]],$P$47:$Q$64,2,FALSE)</f>
        <v>43</v>
      </c>
      <c r="C38" s="296" t="s">
        <v>223</v>
      </c>
      <c r="D38" s="212" t="str">
        <f>表1_861218222426729298[[#This Row],[目标国家]]</f>
        <v>蜀</v>
      </c>
      <c r="E38" s="213">
        <f>(VLOOKUP(表1_861218222426729298[[#This Row],[目标区服]],$R$47:$S$55,2,FALSE)-表1_861218222426729298[[#This Row],[开服天数]])*配置!$B$1</f>
        <v>2000</v>
      </c>
      <c r="F38" s="213">
        <f>表1_861218222426729298[[#This Row],[补偿Coin]]*(表1_861218222426729298[[#This Row],[活跃高战玩家数]]+表1_861218222426729298[[#This Row],[活跃中坚玩家数]])</f>
        <v>64000</v>
      </c>
      <c r="G38" s="260">
        <f>(VLOOKUP(表1_861218222426729298[[#This Row],[目标区服]],$R$47:$S$55,2,FALSE)-表1_861218222426729298[[#This Row],[开服天数]])*配置!$B$2</f>
        <v>20</v>
      </c>
      <c r="H38" s="212" t="s">
        <v>25</v>
      </c>
      <c r="I38" s="268">
        <f>IF(表1_861218222426729298[[#This Row],[原国家]]="魏",0,IF(表1_861218222426729298[[#This Row],[原国家]]="蜀",1,2))</f>
        <v>0</v>
      </c>
      <c r="J38" s="213">
        <v>3</v>
      </c>
      <c r="K38" s="213">
        <v>122</v>
      </c>
      <c r="L38" s="213">
        <v>6</v>
      </c>
      <c r="M38" s="213">
        <v>26</v>
      </c>
      <c r="N38" s="213">
        <v>155030</v>
      </c>
      <c r="O38" s="419">
        <v>2522920</v>
      </c>
      <c r="P38" s="420">
        <v>26765365</v>
      </c>
      <c r="Q38" s="31" t="s">
        <v>26</v>
      </c>
      <c r="R38" s="212">
        <f>IF(表1_861218222426729298[[#This Row],[目标国家]]="魏",0,IF(表1_861218222426729298[[#This Row],[目标国家]]="蜀",1,2))</f>
        <v>1</v>
      </c>
      <c r="S38" s="213">
        <v>66852</v>
      </c>
      <c r="T38" s="213">
        <v>0</v>
      </c>
      <c r="U38" s="213">
        <v>418491</v>
      </c>
      <c r="V38" s="213">
        <v>9709</v>
      </c>
      <c r="W38" s="213">
        <v>720285</v>
      </c>
      <c r="X38" s="278" t="str">
        <f>"{"&amp;"'coin':"&amp;表1_861218222426729298[[#This Row],[补偿Coin]]&amp;",'"&amp;配置!$A$2&amp;"':"&amp;表1_861218222426729298[[#This Row],[补偿辎重]]&amp;"},"</f>
        <v>{'coin':2000,'item036':20},</v>
      </c>
      <c r="Y38" s="278" t="str">
        <f>"      '"&amp;表1_861218222426729298[[#This Row],[区服]]&amp;"':{"</f>
        <v>      '204':{</v>
      </c>
    </row>
    <row r="39" customHeight="1" spans="1:25">
      <c r="A39" s="259">
        <v>204</v>
      </c>
      <c r="B39" s="210">
        <f>VLOOKUP(表1_861218222426729298[[#This Row],[区服]],$P$47:$Q$64,2,FALSE)</f>
        <v>43</v>
      </c>
      <c r="C39" s="296" t="s">
        <v>223</v>
      </c>
      <c r="D39" s="212" t="str">
        <f>表1_861218222426729298[[#This Row],[目标国家]]</f>
        <v>蜀</v>
      </c>
      <c r="E39" s="213">
        <f>(VLOOKUP(表1_861218222426729298[[#This Row],[目标区服]],$R$47:$S$55,2,FALSE)-表1_861218222426729298[[#This Row],[开服天数]])*配置!$B$1</f>
        <v>2000</v>
      </c>
      <c r="F39" s="213">
        <f>表1_861218222426729298[[#This Row],[补偿Coin]]*(表1_861218222426729298[[#This Row],[活跃高战玩家数]]+表1_861218222426729298[[#This Row],[活跃中坚玩家数]])</f>
        <v>38000</v>
      </c>
      <c r="G39" s="260">
        <f>(VLOOKUP(表1_861218222426729298[[#This Row],[目标区服]],$R$47:$S$55,2,FALSE)-表1_861218222426729298[[#This Row],[开服天数]])*配置!$B$2</f>
        <v>20</v>
      </c>
      <c r="H39" s="212" t="s">
        <v>26</v>
      </c>
      <c r="I39" s="268">
        <f>IF(表1_861218222426729298[[#This Row],[原国家]]="魏",0,IF(表1_861218222426729298[[#This Row],[原国家]]="蜀",1,2))</f>
        <v>1</v>
      </c>
      <c r="J39" s="213">
        <v>2</v>
      </c>
      <c r="K39" s="213">
        <v>140</v>
      </c>
      <c r="L39" s="213">
        <v>1</v>
      </c>
      <c r="M39" s="213">
        <v>18</v>
      </c>
      <c r="N39" s="213">
        <v>62866</v>
      </c>
      <c r="O39" s="419">
        <v>1465897</v>
      </c>
      <c r="P39" s="420">
        <v>11545251</v>
      </c>
      <c r="Q39" s="31" t="s">
        <v>26</v>
      </c>
      <c r="R39" s="212">
        <f>IF(表1_861218222426729298[[#This Row],[目标国家]]="魏",0,IF(表1_861218222426729298[[#This Row],[目标国家]]="蜀",1,2))</f>
        <v>1</v>
      </c>
      <c r="S39" s="213">
        <v>22066</v>
      </c>
      <c r="T39" s="213">
        <v>0</v>
      </c>
      <c r="U39" s="213">
        <v>116799</v>
      </c>
      <c r="V39" s="213">
        <v>5255</v>
      </c>
      <c r="W39" s="213">
        <v>549013</v>
      </c>
      <c r="X39" s="278" t="str">
        <f>"{"&amp;"'coin':"&amp;表1_861218222426729298[[#This Row],[补偿Coin]]&amp;",'"&amp;配置!$A$2&amp;"':"&amp;表1_861218222426729298[[#This Row],[补偿辎重]]&amp;"},"</f>
        <v>{'coin':2000,'item036':20},</v>
      </c>
      <c r="Y39" s="278" t="str">
        <f>"            'to_zone':'"&amp;表1_861218222426729298[[#This Row],[目标区服]]&amp;"',
            'reward':"&amp;表1_861218222426729298[[#This Row],[辅助导出]]&amp;"
            'country':["&amp;R38&amp;","&amp;R39&amp;","&amp;R40&amp;"],"</f>
        <v>            'to_zone':'h1_89',
            'reward':{'coin':2000,'item036':20},
            'country':[1,1,2],</v>
      </c>
    </row>
    <row r="40" customHeight="1" spans="1:25">
      <c r="A40" s="259">
        <v>204</v>
      </c>
      <c r="B40" s="210">
        <f>VLOOKUP(表1_861218222426729298[[#This Row],[区服]],$P$47:$Q$64,2,FALSE)</f>
        <v>43</v>
      </c>
      <c r="C40" s="296" t="s">
        <v>223</v>
      </c>
      <c r="D40" s="212" t="str">
        <f>表1_861218222426729298[[#This Row],[目标国家]]</f>
        <v>吴</v>
      </c>
      <c r="E40" s="213">
        <f>(VLOOKUP(表1_861218222426729298[[#This Row],[目标区服]],$R$47:$S$55,2,FALSE)-表1_861218222426729298[[#This Row],[开服天数]])*配置!$B$1</f>
        <v>2000</v>
      </c>
      <c r="F40" s="213">
        <f>表1_861218222426729298[[#This Row],[补偿Coin]]*(表1_861218222426729298[[#This Row],[活跃高战玩家数]]+表1_861218222426729298[[#This Row],[活跃中坚玩家数]])</f>
        <v>40000</v>
      </c>
      <c r="G40" s="260">
        <f>(VLOOKUP(表1_861218222426729298[[#This Row],[目标区服]],$R$47:$S$55,2,FALSE)-表1_861218222426729298[[#This Row],[开服天数]])*配置!$B$2</f>
        <v>20</v>
      </c>
      <c r="H40" s="212" t="s">
        <v>27</v>
      </c>
      <c r="I40" s="268">
        <f>IF(表1_861218222426729298[[#This Row],[原国家]]="魏",0,IF(表1_861218222426729298[[#This Row],[原国家]]="蜀",1,2))</f>
        <v>2</v>
      </c>
      <c r="J40" s="213">
        <v>4</v>
      </c>
      <c r="K40" s="213">
        <v>133</v>
      </c>
      <c r="L40" s="213">
        <v>2</v>
      </c>
      <c r="M40" s="213">
        <v>18</v>
      </c>
      <c r="N40" s="213">
        <v>79837</v>
      </c>
      <c r="O40" s="419">
        <v>2844961</v>
      </c>
      <c r="P40" s="420">
        <v>14995631</v>
      </c>
      <c r="Q40" s="31" t="s">
        <v>27</v>
      </c>
      <c r="R40" s="212">
        <f>IF(表1_861218222426729298[[#This Row],[目标国家]]="魏",0,IF(表1_861218222426729298[[#This Row],[目标国家]]="蜀",1,2))</f>
        <v>2</v>
      </c>
      <c r="S40" s="213">
        <v>61386</v>
      </c>
      <c r="T40" s="213">
        <v>998</v>
      </c>
      <c r="U40" s="213">
        <v>429721</v>
      </c>
      <c r="V40" s="213">
        <v>8540</v>
      </c>
      <c r="W40" s="213">
        <v>824484</v>
      </c>
      <c r="X40" s="278" t="str">
        <f>"{"&amp;"'coin':"&amp;表1_861218222426729298[[#This Row],[补偿Coin]]&amp;",'"&amp;配置!$A$2&amp;"':"&amp;表1_861218222426729298[[#This Row],[补偿辎重]]&amp;"},"</f>
        <v>{'coin':2000,'item036':20},</v>
      </c>
      <c r="Y40" s="278" t="str">
        <f t="shared" si="6"/>
        <v>      },</v>
      </c>
    </row>
    <row r="41" customHeight="1" spans="1:25">
      <c r="A41" s="259">
        <v>205</v>
      </c>
      <c r="B41" s="210">
        <f>VLOOKUP(表1_861218222426729298[[#This Row],[区服]],$P$47:$Q$64,2,FALSE)</f>
        <v>43</v>
      </c>
      <c r="C41" s="296" t="s">
        <v>223</v>
      </c>
      <c r="D41" s="212" t="str">
        <f>表1_861218222426729298[[#This Row],[目标国家]]</f>
        <v>魏</v>
      </c>
      <c r="E41" s="213">
        <f>(VLOOKUP(表1_861218222426729298[[#This Row],[目标区服]],$R$47:$S$55,2,FALSE)-表1_861218222426729298[[#This Row],[开服天数]])*配置!$B$1</f>
        <v>2000</v>
      </c>
      <c r="F41" s="213">
        <f>表1_861218222426729298[[#This Row],[补偿Coin]]*(表1_861218222426729298[[#This Row],[活跃高战玩家数]]+表1_861218222426729298[[#This Row],[活跃中坚玩家数]])</f>
        <v>62000</v>
      </c>
      <c r="G41" s="260">
        <f>(VLOOKUP(表1_861218222426729298[[#This Row],[目标区服]],$R$47:$S$55,2,FALSE)-表1_861218222426729298[[#This Row],[开服天数]])*配置!$B$2</f>
        <v>20</v>
      </c>
      <c r="H41" s="212" t="s">
        <v>25</v>
      </c>
      <c r="I41" s="268">
        <f>IF(表1_861218222426729298[[#This Row],[原国家]]="魏",0,IF(表1_861218222426729298[[#This Row],[原国家]]="蜀",1,2))</f>
        <v>0</v>
      </c>
      <c r="J41" s="213">
        <v>9</v>
      </c>
      <c r="K41" s="213">
        <v>308</v>
      </c>
      <c r="L41" s="213">
        <v>8</v>
      </c>
      <c r="M41" s="213">
        <v>23</v>
      </c>
      <c r="N41" s="213">
        <v>186491</v>
      </c>
      <c r="O41" s="419">
        <v>2875476</v>
      </c>
      <c r="P41" s="420">
        <v>29242058</v>
      </c>
      <c r="Q41" s="31" t="s">
        <v>25</v>
      </c>
      <c r="R41" s="212">
        <f>IF(表1_861218222426729298[[#This Row],[目标国家]]="魏",0,IF(表1_861218222426729298[[#This Row],[目标国家]]="蜀",1,2))</f>
        <v>0</v>
      </c>
      <c r="S41" s="213">
        <v>78798</v>
      </c>
      <c r="T41" s="213">
        <v>0</v>
      </c>
      <c r="U41" s="213">
        <v>732766</v>
      </c>
      <c r="V41" s="213">
        <v>13442</v>
      </c>
      <c r="W41" s="213">
        <v>908969</v>
      </c>
      <c r="X41" s="278" t="str">
        <f>"{"&amp;"'coin':"&amp;表1_861218222426729298[[#This Row],[补偿Coin]]&amp;",'"&amp;配置!$A$2&amp;"':"&amp;表1_861218222426729298[[#This Row],[补偿辎重]]&amp;"},"</f>
        <v>{'coin':2000,'item036':20},</v>
      </c>
      <c r="Y41" s="278" t="str">
        <f>"      '"&amp;表1_861218222426729298[[#This Row],[区服]]&amp;"':{"</f>
        <v>      '205':{</v>
      </c>
    </row>
    <row r="42" customHeight="1" spans="1:25">
      <c r="A42" s="259">
        <v>205</v>
      </c>
      <c r="B42" s="210">
        <f>VLOOKUP(表1_861218222426729298[[#This Row],[区服]],$P$47:$Q$64,2,FALSE)</f>
        <v>43</v>
      </c>
      <c r="C42" s="296" t="s">
        <v>223</v>
      </c>
      <c r="D42" s="212" t="str">
        <f>表1_861218222426729298[[#This Row],[目标国家]]</f>
        <v>吴</v>
      </c>
      <c r="E42" s="213">
        <f>(VLOOKUP(表1_861218222426729298[[#This Row],[目标区服]],$R$47:$S$55,2,FALSE)-表1_861218222426729298[[#This Row],[开服天数]])*配置!$B$1</f>
        <v>2000</v>
      </c>
      <c r="F42" s="213">
        <f>表1_861218222426729298[[#This Row],[补偿Coin]]*(表1_861218222426729298[[#This Row],[活跃高战玩家数]]+表1_861218222426729298[[#This Row],[活跃中坚玩家数]])</f>
        <v>34000</v>
      </c>
      <c r="G42" s="260">
        <f>(VLOOKUP(表1_861218222426729298[[#This Row],[目标区服]],$R$47:$S$55,2,FALSE)-表1_861218222426729298[[#This Row],[开服天数]])*配置!$B$2</f>
        <v>20</v>
      </c>
      <c r="H42" s="212" t="s">
        <v>26</v>
      </c>
      <c r="I42" s="268">
        <f>IF(表1_861218222426729298[[#This Row],[原国家]]="魏",0,IF(表1_861218222426729298[[#This Row],[原国家]]="蜀",1,2))</f>
        <v>1</v>
      </c>
      <c r="J42" s="213">
        <v>0</v>
      </c>
      <c r="K42" s="213">
        <v>54</v>
      </c>
      <c r="L42" s="213">
        <v>1</v>
      </c>
      <c r="M42" s="213">
        <v>16</v>
      </c>
      <c r="N42" s="213">
        <v>62995</v>
      </c>
      <c r="O42" s="419">
        <v>1515483</v>
      </c>
      <c r="P42" s="420">
        <v>10556847</v>
      </c>
      <c r="Q42" s="31" t="s">
        <v>27</v>
      </c>
      <c r="R42" s="212">
        <f>IF(表1_861218222426729298[[#This Row],[目标国家]]="魏",0,IF(表1_861218222426729298[[#This Row],[目标国家]]="蜀",1,2))</f>
        <v>2</v>
      </c>
      <c r="S42" s="213">
        <v>25504</v>
      </c>
      <c r="T42" s="213">
        <v>0</v>
      </c>
      <c r="U42" s="213">
        <v>137219</v>
      </c>
      <c r="V42" s="213">
        <v>4259</v>
      </c>
      <c r="W42" s="213">
        <v>492658</v>
      </c>
      <c r="X42" s="278" t="str">
        <f>"{"&amp;"'coin':"&amp;表1_861218222426729298[[#This Row],[补偿Coin]]&amp;",'"&amp;配置!$A$2&amp;"':"&amp;表1_861218222426729298[[#This Row],[补偿辎重]]&amp;"},"</f>
        <v>{'coin':2000,'item036':20},</v>
      </c>
      <c r="Y42" s="278" t="str">
        <f>"            'to_zone':'"&amp;表1_861218222426729298[[#This Row],[目标区服]]&amp;"',
            'reward':"&amp;表1_861218222426729298[[#This Row],[辅助导出]]&amp;"
            'country':["&amp;R41&amp;","&amp;R42&amp;","&amp;R43&amp;"],"</f>
        <v>            'to_zone':'h1_89',
            'reward':{'coin':2000,'item036':20},
            'country':[0,2,0],</v>
      </c>
    </row>
    <row r="43" customHeight="1" spans="1:25">
      <c r="A43" s="259">
        <v>205</v>
      </c>
      <c r="B43" s="210">
        <f>VLOOKUP(表1_861218222426729298[[#This Row],[区服]],$P$47:$Q$64,2,FALSE)</f>
        <v>43</v>
      </c>
      <c r="C43" s="296" t="s">
        <v>223</v>
      </c>
      <c r="D43" s="212" t="str">
        <f>表1_861218222426729298[[#This Row],[目标国家]]</f>
        <v>魏</v>
      </c>
      <c r="E43" s="213">
        <f>(VLOOKUP(表1_861218222426729298[[#This Row],[目标区服]],$R$47:$S$55,2,FALSE)-表1_861218222426729298[[#This Row],[开服天数]])*配置!$B$1</f>
        <v>2000</v>
      </c>
      <c r="F43" s="213">
        <f>表1_861218222426729298[[#This Row],[补偿Coin]]*(表1_861218222426729298[[#This Row],[活跃高战玩家数]]+表1_861218222426729298[[#This Row],[活跃中坚玩家数]])</f>
        <v>22000</v>
      </c>
      <c r="G43" s="260">
        <f>(VLOOKUP(表1_861218222426729298[[#This Row],[目标区服]],$R$47:$S$55,2,FALSE)-表1_861218222426729298[[#This Row],[开服天数]])*配置!$B$2</f>
        <v>20</v>
      </c>
      <c r="H43" s="212" t="s">
        <v>27</v>
      </c>
      <c r="I43" s="268">
        <f>IF(表1_861218222426729298[[#This Row],[原国家]]="魏",0,IF(表1_861218222426729298[[#This Row],[原国家]]="蜀",1,2))</f>
        <v>2</v>
      </c>
      <c r="J43" s="213">
        <v>0</v>
      </c>
      <c r="K43" s="213">
        <v>33</v>
      </c>
      <c r="L43" s="213">
        <v>0</v>
      </c>
      <c r="M43" s="213">
        <v>11</v>
      </c>
      <c r="N43" s="213">
        <v>20946</v>
      </c>
      <c r="O43" s="419">
        <v>737601</v>
      </c>
      <c r="P43" s="420">
        <v>4389152</v>
      </c>
      <c r="Q43" s="31" t="s">
        <v>25</v>
      </c>
      <c r="R43" s="212">
        <f>IF(表1_861218222426729298[[#This Row],[目标国家]]="魏",0,IF(表1_861218222426729298[[#This Row],[目标国家]]="蜀",1,2))</f>
        <v>0</v>
      </c>
      <c r="S43" s="213">
        <v>5756</v>
      </c>
      <c r="T43" s="213">
        <v>0</v>
      </c>
      <c r="U43" s="213">
        <v>68771</v>
      </c>
      <c r="V43" s="213">
        <v>1818</v>
      </c>
      <c r="W43" s="213">
        <v>204213</v>
      </c>
      <c r="X43" s="278" t="str">
        <f>"{"&amp;"'coin':"&amp;表1_861218222426729298[[#This Row],[补偿Coin]]&amp;",'"&amp;配置!$A$2&amp;"':"&amp;表1_861218222426729298[[#This Row],[补偿辎重]]&amp;"},"</f>
        <v>{'coin':2000,'item036':20},</v>
      </c>
      <c r="Y43" s="278" t="str">
        <f t="shared" si="6"/>
        <v>      },</v>
      </c>
    </row>
    <row r="46" ht="27" spans="1:19">
      <c r="A46" s="36" t="s">
        <v>28</v>
      </c>
      <c r="B46" s="37" t="s">
        <v>29</v>
      </c>
      <c r="C46" s="38" t="s">
        <v>30</v>
      </c>
      <c r="D46" s="38" t="s">
        <v>31</v>
      </c>
      <c r="E46" s="38" t="s">
        <v>32</v>
      </c>
      <c r="F46" s="38" t="s">
        <v>33</v>
      </c>
      <c r="G46" s="38" t="s">
        <v>15</v>
      </c>
      <c r="H46" s="37" t="s">
        <v>18</v>
      </c>
      <c r="I46" s="37" t="s">
        <v>19</v>
      </c>
      <c r="J46" s="37" t="s">
        <v>34</v>
      </c>
      <c r="K46" s="38" t="s">
        <v>35</v>
      </c>
      <c r="L46" s="38" t="s">
        <v>36</v>
      </c>
      <c r="M46" s="38" t="s">
        <v>37</v>
      </c>
      <c r="N46" s="38" t="s">
        <v>88</v>
      </c>
      <c r="P46" s="51" t="s">
        <v>0</v>
      </c>
      <c r="Q46" s="51" t="s">
        <v>1</v>
      </c>
      <c r="R46" s="51"/>
      <c r="S46" s="51" t="s">
        <v>38</v>
      </c>
    </row>
    <row r="47" customHeight="1" spans="1:19">
      <c r="A47" s="372" t="s">
        <v>217</v>
      </c>
      <c r="B47" s="39" t="s">
        <v>25</v>
      </c>
      <c r="C47" s="39">
        <f>COUNTIFS(表1_861218222426729298[目标区服],表2_971319232527739399[[#This Row],[合区区服]],表1_861218222426729298[目标国家（映射）],表2_971319232527739399[[#This Row],[国家]])</f>
        <v>2</v>
      </c>
      <c r="D47" s="39">
        <f>SUMIFS(表1_861218222426729298[活跃高战玩家数],表1_861218222426729298[目标区服],表2_971319232527739399[[#This Row],[合区区服]],表1_861218222426729298[目标国家（映射）],表2_971319232527739399[[#This Row],[国家]])</f>
        <v>9</v>
      </c>
      <c r="E47" s="39">
        <f>SUMIFS(表1_861218222426729298[活跃中坚玩家数],表1_861218222426729298[目标区服],表2_971319232527739399[[#This Row],[合区区服]],表1_861218222426729298[目标国家（映射）],表2_971319232527739399[[#This Row],[国家]])</f>
        <v>42</v>
      </c>
      <c r="F47" s="39">
        <f t="array" ref="F47">MAX((表1_861218222426729298[目标区服]=表2_971319232527739399[[#This Row],[合区区服]])*(表1_861218222426729298[目标国家（映射）]=表2_971319232527739399[[#This Row],[国家]])*表1_861218222426729298[活跃尖端战力])</f>
        <v>4371645</v>
      </c>
      <c r="G47" s="40">
        <f>SUMIFS(表1_861218222426729298[活跃总战力],表1_861218222426729298[目标区服],表2_971319232527739399[[#This Row],[合区区服]],表1_861218222426729298[目标国家（映射）],表2_971319232527739399[[#This Row],[国家]])</f>
        <v>63799664</v>
      </c>
      <c r="H47" s="39">
        <f>SUMIFS(表1_861218222426729298[活跃实际充值],表1_861218222426729298[目标区服],表2_971319232527739399[[#This Row],[合区区服]],表1_861218222426729298[目标国家（映射）],表2_971319232527739399[[#This Row],[国家]])</f>
        <v>382422</v>
      </c>
      <c r="I47" s="39">
        <f>SUMIFS(表1_861218222426729298[活跃虚拟充值],表1_861218222426729298[目标区服],表2_971319232527739399[[#This Row],[合区区服]],表1_861218222426729298[目标国家（映射）],表2_971319232527739399[[#This Row],[国家]])</f>
        <v>0</v>
      </c>
      <c r="J47" s="39">
        <f>SUMIFS(表1_861218222426729298[活跃Coin],表1_861218222426729298[目标区服],表2_971319232527739399[[#This Row],[合区区服]],表1_861218222426729298[目标国家（映射）],表2_971319232527739399[[#This Row],[国家]])</f>
        <v>2505720</v>
      </c>
      <c r="K47" s="39">
        <f>SUMIFS(表1_861218222426729298[共计补偿Coin],表1_861218222426729298[目标区服],表2_971319232527739399[[#This Row],[合区区服]],表1_861218222426729298[目标国家（映射）],表2_971319232527739399[[#This Row],[国家]])</f>
        <v>51000</v>
      </c>
      <c r="L47" s="39">
        <f>表2_971319232527739399[[#This Row],[活跃Coin]]+表2_971319232527739399[[#This Row],[共计补偿Coin]]</f>
        <v>2556720</v>
      </c>
      <c r="M47" s="39">
        <f>SUMIFS(表1_861218222426729298[综合国力],表1_861218222426729298[目标区服],表2_971319232527739399[[#This Row],[合区区服]],表1_861218222426729298[目标国家（映射）],表2_971319232527739399[[#This Row],[国家]])</f>
        <v>31017</v>
      </c>
      <c r="N47" s="39">
        <f t="array" ref="N47">MAX((表1_861218222426729298[目标区服]=表2_971319232527739399[[#This Row],[合区区服]])*(表1_861218222426729298[目标国家（映射）]=表2_971319232527739399[[#This Row],[国家]])*表1_861218222426729298[单将最高战力])</f>
        <v>1133620</v>
      </c>
      <c r="P47" s="51">
        <v>192</v>
      </c>
      <c r="Q47" s="51">
        <v>54</v>
      </c>
      <c r="R47" s="51" t="s">
        <v>217</v>
      </c>
      <c r="S47" s="51">
        <v>56</v>
      </c>
    </row>
    <row r="48" customHeight="1" spans="1:19">
      <c r="A48" s="372" t="s">
        <v>217</v>
      </c>
      <c r="B48" s="39" t="s">
        <v>26</v>
      </c>
      <c r="C48" s="39">
        <f>COUNTIFS(表1_861218222426729298[目标区服],表2_971319232527739399[[#This Row],[合区区服]],表1_861218222426729298[目标国家（映射）],表2_971319232527739399[[#This Row],[国家]])</f>
        <v>2</v>
      </c>
      <c r="D48" s="39">
        <f>SUMIFS(表1_861218222426729298[活跃高战玩家数],表1_861218222426729298[目标区服],表2_971319232527739399[[#This Row],[合区区服]],表1_861218222426729298[目标国家（映射）],表2_971319232527739399[[#This Row],[国家]])</f>
        <v>4</v>
      </c>
      <c r="E48" s="39">
        <f>SUMIFS(表1_861218222426729298[活跃中坚玩家数],表1_861218222426729298[目标区服],表2_971319232527739399[[#This Row],[合区区服]],表1_861218222426729298[目标国家（映射）],表2_971319232527739399[[#This Row],[国家]])</f>
        <v>41</v>
      </c>
      <c r="F48" s="39">
        <f t="array" ref="F48">MAX((表1_861218222426729298[目标区服]=表2_971319232527739399[[#This Row],[合区区服]])*(表1_861218222426729298[目标国家（映射）]=表2_971319232527739399[[#This Row],[国家]])*表1_861218222426729298[活跃尖端战力])</f>
        <v>3889797</v>
      </c>
      <c r="G48" s="40">
        <f>SUMIFS(表1_861218222426729298[活跃总战力],表1_861218222426729298[目标区服],表2_971319232527739399[[#This Row],[合区区服]],表1_861218222426729298[目标国家（映射）],表2_971319232527739399[[#This Row],[国家]])</f>
        <v>54686982</v>
      </c>
      <c r="H48" s="39">
        <f>SUMIFS(表1_861218222426729298[活跃实际充值],表1_861218222426729298[目标区服],表2_971319232527739399[[#This Row],[合区区服]],表1_861218222426729298[目标国家（映射）],表2_971319232527739399[[#This Row],[国家]])</f>
        <v>315856</v>
      </c>
      <c r="I48" s="39">
        <f>SUMIFS(表1_861218222426729298[活跃虚拟充值],表1_861218222426729298[目标区服],表2_971319232527739399[[#This Row],[合区区服]],表1_861218222426729298[目标国家（映射）],表2_971319232527739399[[#This Row],[国家]])</f>
        <v>0</v>
      </c>
      <c r="J48" s="39">
        <f>SUMIFS(表1_861218222426729298[活跃Coin],表1_861218222426729298[目标区服],表2_971319232527739399[[#This Row],[合区区服]],表1_861218222426729298[目标国家（映射）],表2_971319232527739399[[#This Row],[国家]])</f>
        <v>824918</v>
      </c>
      <c r="K48" s="39">
        <f>SUMIFS(表1_861218222426729298[共计补偿Coin],表1_861218222426729298[目标区服],表2_971319232527739399[[#This Row],[合区区服]],表1_861218222426729298[目标国家（映射）],表2_971319232527739399[[#This Row],[国家]])</f>
        <v>67500</v>
      </c>
      <c r="L48" s="39">
        <f>表2_971319232527739399[[#This Row],[活跃Coin]]+表2_971319232527739399[[#This Row],[共计补偿Coin]]</f>
        <v>892418</v>
      </c>
      <c r="M48" s="39">
        <f>SUMIFS(表1_861218222426729298[综合国力],表1_861218222426729298[目标区服],表2_971319232527739399[[#This Row],[合区区服]],表1_861218222426729298[目标国家（映射）],表2_971319232527739399[[#This Row],[国家]])</f>
        <v>24469</v>
      </c>
      <c r="N48" s="39">
        <f t="array" ref="N48">MAX((表1_861218222426729298[目标区服]=表2_971319232527739399[[#This Row],[合区区服]])*(表1_861218222426729298[目标国家（映射）]=表2_971319232527739399[[#This Row],[国家]])*表1_861218222426729298[单将最高战力])</f>
        <v>1100060</v>
      </c>
      <c r="P48" s="51">
        <v>193</v>
      </c>
      <c r="Q48" s="51">
        <v>53</v>
      </c>
      <c r="R48" s="51" t="s">
        <v>218</v>
      </c>
      <c r="S48" s="51">
        <v>55</v>
      </c>
    </row>
    <row r="49" customHeight="1" spans="1:19">
      <c r="A49" s="372" t="s">
        <v>217</v>
      </c>
      <c r="B49" s="39" t="s">
        <v>27</v>
      </c>
      <c r="C49" s="39">
        <f>COUNTIFS(表1_861218222426729298[目标区服],表2_971319232527739399[[#This Row],[合区区服]],表1_861218222426729298[目标国家（映射）],表2_971319232527739399[[#This Row],[国家]])</f>
        <v>2</v>
      </c>
      <c r="D49" s="39">
        <f>SUMIFS(表1_861218222426729298[活跃高战玩家数],表1_861218222426729298[目标区服],表2_971319232527739399[[#This Row],[合区区服]],表1_861218222426729298[目标国家（映射）],表2_971319232527739399[[#This Row],[国家]])</f>
        <v>6</v>
      </c>
      <c r="E49" s="39">
        <f>SUMIFS(表1_861218222426729298[活跃中坚玩家数],表1_861218222426729298[目标区服],表2_971319232527739399[[#This Row],[合区区服]],表1_861218222426729298[目标国家（映射）],表2_971319232527739399[[#This Row],[国家]])</f>
        <v>45</v>
      </c>
      <c r="F49" s="39">
        <f t="array" ref="F49">MAX((表1_861218222426729298[目标区服]=表2_971319232527739399[[#This Row],[合区区服]])*(表1_861218222426729298[目标国家（映射）]=表2_971319232527739399[[#This Row],[国家]])*表1_861218222426729298[活跃尖端战力])</f>
        <v>4801060</v>
      </c>
      <c r="G49" s="40">
        <f>SUMIFS(表1_861218222426729298[活跃总战力],表1_861218222426729298[目标区服],表2_971319232527739399[[#This Row],[合区区服]],表1_861218222426729298[目标国家（映射）],表2_971319232527739399[[#This Row],[国家]])</f>
        <v>68042326</v>
      </c>
      <c r="H49" s="39">
        <f>SUMIFS(表1_861218222426729298[活跃实际充值],表1_861218222426729298[目标区服],表2_971319232527739399[[#This Row],[合区区服]],表1_861218222426729298[目标国家（映射）],表2_971319232527739399[[#This Row],[国家]])</f>
        <v>469070</v>
      </c>
      <c r="I49" s="39">
        <f>SUMIFS(表1_861218222426729298[活跃虚拟充值],表1_861218222426729298[目标区服],表2_971319232527739399[[#This Row],[合区区服]],表1_861218222426729298[目标国家（映射）],表2_971319232527739399[[#This Row],[国家]])</f>
        <v>1304</v>
      </c>
      <c r="J49" s="39">
        <f>SUMIFS(表1_861218222426729298[活跃Coin],表1_861218222426729298[目标区服],表2_971319232527739399[[#This Row],[合区区服]],表1_861218222426729298[目标国家（映射）],表2_971319232527739399[[#This Row],[国家]])</f>
        <v>2520359</v>
      </c>
      <c r="K49" s="39">
        <f>SUMIFS(表1_861218222426729298[共计补偿Coin],表1_861218222426729298[目标区服],表2_971319232527739399[[#This Row],[合区区服]],表1_861218222426729298[目标国家（映射）],表2_971319232527739399[[#This Row],[国家]])</f>
        <v>73000</v>
      </c>
      <c r="L49" s="39">
        <f>表2_971319232527739399[[#This Row],[活跃Coin]]+表2_971319232527739399[[#This Row],[共计补偿Coin]]</f>
        <v>2593359</v>
      </c>
      <c r="M49" s="39">
        <f>SUMIFS(表1_861218222426729298[综合国力],表1_861218222426729298[目标区服],表2_971319232527739399[[#This Row],[合区区服]],表1_861218222426729298[目标国家（映射）],表2_971319232527739399[[#This Row],[国家]])</f>
        <v>31902</v>
      </c>
      <c r="N49" s="39">
        <f t="array" ref="N49">MAX((表1_861218222426729298[目标区服]=表2_971319232527739399[[#This Row],[合区区服]])*(表1_861218222426729298[目标国家（映射）]=表2_971319232527739399[[#This Row],[国家]])*表1_861218222426729298[单将最高战力])</f>
        <v>1358150</v>
      </c>
      <c r="P49" s="51">
        <v>194</v>
      </c>
      <c r="Q49" s="51">
        <v>52</v>
      </c>
      <c r="R49" s="51" t="s">
        <v>219</v>
      </c>
      <c r="S49" s="51">
        <v>54</v>
      </c>
    </row>
    <row r="50" customHeight="1" spans="1:19">
      <c r="A50" s="296" t="s">
        <v>218</v>
      </c>
      <c r="B50" s="41" t="s">
        <v>25</v>
      </c>
      <c r="C50" s="41">
        <f>COUNTIFS(表1_861218222426729298[目标区服],表2_971319232527739399[[#This Row],[合区区服]],表1_861218222426729298[目标国家（映射）],表2_971319232527739399[[#This Row],[国家]])</f>
        <v>2</v>
      </c>
      <c r="D50" s="41">
        <f>SUMIFS(表1_861218222426729298[活跃高战玩家数],表1_861218222426729298[目标区服],表2_971319232527739399[[#This Row],[合区区服]],表1_861218222426729298[目标国家（映射）],表2_971319232527739399[[#This Row],[国家]])</f>
        <v>8</v>
      </c>
      <c r="E50" s="41">
        <f>SUMIFS(表1_861218222426729298[活跃中坚玩家数],表1_861218222426729298[目标区服],表2_971319232527739399[[#This Row],[合区区服]],表1_861218222426729298[目标国家（映射）],表2_971319232527739399[[#This Row],[国家]])</f>
        <v>43</v>
      </c>
      <c r="F50" s="41">
        <f t="array" ref="F50">MAX((表1_861218222426729298[目标区服]=表2_971319232527739399[[#This Row],[合区区服]])*(表1_861218222426729298[目标国家（映射）]=表2_971319232527739399[[#This Row],[国家]])*表1_861218222426729298[活跃尖端战力])</f>
        <v>2626190</v>
      </c>
      <c r="G50" s="42">
        <f>SUMIFS(表1_861218222426729298[活跃总战力],表1_861218222426729298[目标区服],表2_971319232527739399[[#This Row],[合区区服]],表1_861218222426729298[目标国家（映射）],表2_971319232527739399[[#This Row],[国家]])</f>
        <v>55419143</v>
      </c>
      <c r="H50" s="41">
        <f>SUMIFS(表1_861218222426729298[活跃实际充值],表1_861218222426729298[目标区服],表2_971319232527739399[[#This Row],[合区区服]],表1_861218222426729298[目标国家（映射）],表2_971319232527739399[[#This Row],[国家]])</f>
        <v>284916</v>
      </c>
      <c r="I50" s="41">
        <f>SUMIFS(表1_861218222426729298[活跃虚拟充值],表1_861218222426729298[目标区服],表2_971319232527739399[[#This Row],[合区区服]],表1_861218222426729298[目标国家（映射）],表2_971319232527739399[[#This Row],[国家]])</f>
        <v>188</v>
      </c>
      <c r="J50" s="41">
        <f>SUMIFS(表1_861218222426729298[活跃Coin],表1_861218222426729298[目标区服],表2_971319232527739399[[#This Row],[合区区服]],表1_861218222426729298[目标国家（映射）],表2_971319232527739399[[#This Row],[国家]])</f>
        <v>1120007</v>
      </c>
      <c r="K50" s="41">
        <f>SUMIFS(表1_861218222426729298[共计补偿Coin],表1_861218222426729298[目标区服],表2_971319232527739399[[#This Row],[合区区服]],表1_861218222426729298[目标国家（映射）],表2_971319232527739399[[#This Row],[国家]])</f>
        <v>76500</v>
      </c>
      <c r="L50" s="41">
        <f>表2_971319232527739399[[#This Row],[活跃Coin]]+表2_971319232527739399[[#This Row],[共计补偿Coin]]</f>
        <v>1196507</v>
      </c>
      <c r="M50" s="41">
        <f>SUMIFS(表1_861218222426729298[综合国力],表1_861218222426729298[目标区服],表2_971319232527739399[[#This Row],[合区区服]],表1_861218222426729298[目标国家（映射）],表2_971319232527739399[[#This Row],[国家]])</f>
        <v>23859</v>
      </c>
      <c r="N50" s="41">
        <f t="array" ref="N50">MAX((表1_861218222426729298[目标区服]=表2_971319232527739399[[#This Row],[合区区服]])*(表1_861218222426729298[目标国家（映射）]=表2_971319232527739399[[#This Row],[国家]])*表1_861218222426729298[单将最高战力])</f>
        <v>1024004</v>
      </c>
      <c r="P50" s="51">
        <v>195</v>
      </c>
      <c r="Q50" s="51">
        <v>51</v>
      </c>
      <c r="R50" s="51" t="s">
        <v>220</v>
      </c>
      <c r="S50" s="51">
        <v>53</v>
      </c>
    </row>
    <row r="51" customHeight="1" spans="1:19">
      <c r="A51" s="296" t="s">
        <v>218</v>
      </c>
      <c r="B51" s="41" t="s">
        <v>26</v>
      </c>
      <c r="C51" s="41">
        <f>COUNTIFS(表1_861218222426729298[目标区服],表2_971319232527739399[[#This Row],[合区区服]],表1_861218222426729298[目标国家（映射）],表2_971319232527739399[[#This Row],[国家]])</f>
        <v>2</v>
      </c>
      <c r="D51" s="41">
        <f>SUMIFS(表1_861218222426729298[活跃高战玩家数],表1_861218222426729298[目标区服],表2_971319232527739399[[#This Row],[合区区服]],表1_861218222426729298[目标国家（映射）],表2_971319232527739399[[#This Row],[国家]])</f>
        <v>10</v>
      </c>
      <c r="E51" s="41">
        <f>SUMIFS(表1_861218222426729298[活跃中坚玩家数],表1_861218222426729298[目标区服],表2_971319232527739399[[#This Row],[合区区服]],表1_861218222426729298[目标国家（映射）],表2_971319232527739399[[#This Row],[国家]])</f>
        <v>35</v>
      </c>
      <c r="F51" s="41">
        <f t="array" ref="F51">MAX((表1_861218222426729298[目标区服]=表2_971319232527739399[[#This Row],[合区区服]])*(表1_861218222426729298[目标国家（映射）]=表2_971319232527739399[[#This Row],[国家]])*表1_861218222426729298[活跃尖端战力])</f>
        <v>4249770</v>
      </c>
      <c r="G51" s="42">
        <f>SUMIFS(表1_861218222426729298[活跃总战力],表1_861218222426729298[目标区服],表2_971319232527739399[[#This Row],[合区区服]],表1_861218222426729298[目标国家（映射）],表2_971319232527739399[[#This Row],[国家]])</f>
        <v>53285200</v>
      </c>
      <c r="H51" s="41">
        <f>SUMIFS(表1_861218222426729298[活跃实际充值],表1_861218222426729298[目标区服],表2_971319232527739399[[#This Row],[合区区服]],表1_861218222426729298[目标国家（映射）],表2_971319232527739399[[#This Row],[国家]])</f>
        <v>259200</v>
      </c>
      <c r="I51" s="41">
        <f>SUMIFS(表1_861218222426729298[活跃虚拟充值],表1_861218222426729298[目标区服],表2_971319232527739399[[#This Row],[合区区服]],表1_861218222426729298[目标国家（映射）],表2_971319232527739399[[#This Row],[国家]])</f>
        <v>30</v>
      </c>
      <c r="J51" s="41">
        <f>SUMIFS(表1_861218222426729298[活跃Coin],表1_861218222426729298[目标区服],表2_971319232527739399[[#This Row],[合区区服]],表1_861218222426729298[目标国家（映射）],表2_971319232527739399[[#This Row],[国家]])</f>
        <v>1281615</v>
      </c>
      <c r="K51" s="41">
        <f>SUMIFS(表1_861218222426729298[共计补偿Coin],表1_861218222426729298[目标区服],表2_971319232527739399[[#This Row],[合区区服]],表1_861218222426729298[目标国家（映射）],表2_971319232527739399[[#This Row],[国家]])</f>
        <v>90000</v>
      </c>
      <c r="L51" s="41">
        <f>表2_971319232527739399[[#This Row],[活跃Coin]]+表2_971319232527739399[[#This Row],[共计补偿Coin]]</f>
        <v>1371615</v>
      </c>
      <c r="M51" s="41">
        <f>SUMIFS(表1_861218222426729298[综合国力],表1_861218222426729298[目标区服],表2_971319232527739399[[#This Row],[合区区服]],表1_861218222426729298[目标国家（映射）],表2_971319232527739399[[#This Row],[国家]])</f>
        <v>27230</v>
      </c>
      <c r="N51" s="41">
        <f t="array" ref="N51">MAX((表1_861218222426729298[目标区服]=表2_971319232527739399[[#This Row],[合区区服]])*(表1_861218222426729298[目标国家（映射）]=表2_971319232527739399[[#This Row],[国家]])*表1_861218222426729298[单将最高战力])</f>
        <v>1315885</v>
      </c>
      <c r="P51" s="51">
        <v>196</v>
      </c>
      <c r="Q51" s="51">
        <v>51</v>
      </c>
      <c r="R51" s="51" t="s">
        <v>221</v>
      </c>
      <c r="S51" s="51">
        <v>51</v>
      </c>
    </row>
    <row r="52" customHeight="1" spans="1:19">
      <c r="A52" s="296" t="s">
        <v>218</v>
      </c>
      <c r="B52" s="43" t="s">
        <v>27</v>
      </c>
      <c r="C52" s="43">
        <f>COUNTIFS(表1_861218222426729298[目标区服],表2_971319232527739399[[#This Row],[合区区服]],表1_861218222426729298[目标国家（映射）],表2_971319232527739399[[#This Row],[国家]])</f>
        <v>2</v>
      </c>
      <c r="D52" s="43">
        <f>SUMIFS(表1_861218222426729298[活跃高战玩家数],表1_861218222426729298[目标区服],表2_971319232527739399[[#This Row],[合区区服]],表1_861218222426729298[目标国家（映射）],表2_971319232527739399[[#This Row],[国家]])</f>
        <v>2</v>
      </c>
      <c r="E52" s="43">
        <f>SUMIFS(表1_861218222426729298[活跃中坚玩家数],表1_861218222426729298[目标区服],表2_971319232527739399[[#This Row],[合区区服]],表1_861218222426729298[目标国家（映射）],表2_971319232527739399[[#This Row],[国家]])</f>
        <v>48</v>
      </c>
      <c r="F52" s="43">
        <f t="array" ref="F52">MAX((表1_861218222426729298[目标区服]=表2_971319232527739399[[#This Row],[合区区服]])*(表1_861218222426729298[目标国家（映射）]=表2_971319232527739399[[#This Row],[国家]])*表1_861218222426729298[活跃尖端战力])</f>
        <v>2651618</v>
      </c>
      <c r="G52" s="44">
        <f>SUMIFS(表1_861218222426729298[活跃总战力],表1_861218222426729298[目标区服],表2_971319232527739399[[#This Row],[合区区服]],表1_861218222426729298[目标国家（映射）],表2_971319232527739399[[#This Row],[国家]])</f>
        <v>48907340</v>
      </c>
      <c r="H52" s="43">
        <f>SUMIFS(表1_861218222426729298[活跃实际充值],表1_861218222426729298[目标区服],表2_971319232527739399[[#This Row],[合区区服]],表1_861218222426729298[目标国家（映射）],表2_971319232527739399[[#This Row],[国家]])</f>
        <v>157296</v>
      </c>
      <c r="I52" s="43">
        <f>SUMIFS(表1_861218222426729298[活跃虚拟充值],表1_861218222426729298[目标区服],表2_971319232527739399[[#This Row],[合区区服]],表1_861218222426729298[目标国家（映射）],表2_971319232527739399[[#This Row],[国家]])</f>
        <v>63752</v>
      </c>
      <c r="J52" s="43">
        <f>SUMIFS(表1_861218222426729298[活跃Coin],表1_861218222426729298[目标区服],表2_971319232527739399[[#This Row],[合区区服]],表1_861218222426729298[目标国家（映射）],表2_971319232527739399[[#This Row],[国家]])</f>
        <v>2046933</v>
      </c>
      <c r="K52" s="43">
        <f>SUMIFS(表1_861218222426729298[共计补偿Coin],表1_861218222426729298[目标区服],表2_971319232527739399[[#This Row],[合区区服]],表1_861218222426729298[目标国家（映射）],表2_971319232527739399[[#This Row],[国家]])</f>
        <v>83000</v>
      </c>
      <c r="L52" s="43">
        <f>表2_971319232527739399[[#This Row],[活跃Coin]]+表2_971319232527739399[[#This Row],[共计补偿Coin]]</f>
        <v>2129933</v>
      </c>
      <c r="M52" s="43">
        <f>SUMIFS(表1_861218222426729298[综合国力],表1_861218222426729298[目标区服],表2_971319232527739399[[#This Row],[合区区服]],表1_861218222426729298[目标国家（映射）],表2_971319232527739399[[#This Row],[国家]])</f>
        <v>19001</v>
      </c>
      <c r="N52" s="41">
        <f t="array" ref="N52">MAX((表1_861218222426729298[目标区服]=表2_971319232527739399[[#This Row],[合区区服]])*(表1_861218222426729298[目标国家（映射）]=表2_971319232527739399[[#This Row],[国家]])*表1_861218222426729298[单将最高战力])</f>
        <v>1252246</v>
      </c>
      <c r="P52" s="51">
        <v>197</v>
      </c>
      <c r="Q52" s="51">
        <v>50</v>
      </c>
      <c r="R52" s="51" t="s">
        <v>222</v>
      </c>
      <c r="S52" s="51">
        <v>49</v>
      </c>
    </row>
    <row r="53" customHeight="1" spans="1:19">
      <c r="A53" s="18" t="s">
        <v>219</v>
      </c>
      <c r="B53" s="46" t="s">
        <v>25</v>
      </c>
      <c r="C53" s="46">
        <f>COUNTIFS(表1_861218222426729298[目标区服],表2_971319232527739399[[#This Row],[合区区服]],表1_861218222426729298[目标国家（映射）],表2_971319232527739399[[#This Row],[国家]])</f>
        <v>1</v>
      </c>
      <c r="D53" s="46">
        <f>SUMIFS(表1_861218222426729298[活跃高战玩家数],表1_861218222426729298[目标区服],表2_971319232527739399[[#This Row],[合区区服]],表1_861218222426729298[目标国家（映射）],表2_971319232527739399[[#This Row],[国家]])</f>
        <v>9</v>
      </c>
      <c r="E53" s="46">
        <f>SUMIFS(表1_861218222426729298[活跃中坚玩家数],表1_861218222426729298[目标区服],表2_971319232527739399[[#This Row],[合区区服]],表1_861218222426729298[目标国家（映射）],表2_971319232527739399[[#This Row],[国家]])</f>
        <v>24</v>
      </c>
      <c r="F53" s="46">
        <f t="array" ref="F53">MAX((表1_861218222426729298[目标区服]=表2_971319232527739399[[#This Row],[合区区服]])*(表1_861218222426729298[目标国家（映射）]=表2_971319232527739399[[#This Row],[国家]])*表1_861218222426729298[活跃尖端战力])</f>
        <v>4525130</v>
      </c>
      <c r="G53" s="47">
        <f>SUMIFS(表1_861218222426729298[活跃总战力],表1_861218222426729298[目标区服],表2_971319232527739399[[#This Row],[合区区服]],表1_861218222426729298[目标国家（映射）],表2_971319232527739399[[#This Row],[国家]])</f>
        <v>47035828</v>
      </c>
      <c r="H53" s="46">
        <f>SUMIFS(表1_861218222426729298[活跃实际充值],表1_861218222426729298[目标区服],表2_971319232527739399[[#This Row],[合区区服]],表1_861218222426729298[目标国家（映射）],表2_971319232527739399[[#This Row],[国家]])</f>
        <v>279108</v>
      </c>
      <c r="I53" s="46">
        <f>SUMIFS(表1_861218222426729298[活跃虚拟充值],表1_861218222426729298[目标区服],表2_971319232527739399[[#This Row],[合区区服]],表1_861218222426729298[目标国家（映射）],表2_971319232527739399[[#This Row],[国家]])</f>
        <v>0</v>
      </c>
      <c r="J53" s="46">
        <f>SUMIFS(表1_861218222426729298[活跃Coin],表1_861218222426729298[目标区服],表2_971319232527739399[[#This Row],[合区区服]],表1_861218222426729298[目标国家（映射）],表2_971319232527739399[[#This Row],[国家]])</f>
        <v>922093</v>
      </c>
      <c r="K53" s="46">
        <f>SUMIFS(表1_861218222426729298[共计补偿Coin],表1_861218222426729298[目标区服],表2_971319232527739399[[#This Row],[合区区服]],表1_861218222426729298[目标国家（映射）],表2_971319232527739399[[#This Row],[国家]])</f>
        <v>66000</v>
      </c>
      <c r="L53" s="46">
        <f>表2_971319232527739399[[#This Row],[活跃Coin]]+表2_971319232527739399[[#This Row],[共计补偿Coin]]</f>
        <v>988093</v>
      </c>
      <c r="M53" s="46">
        <f>SUMIFS(表1_861218222426729298[综合国力],表1_861218222426729298[目标区服],表2_971319232527739399[[#This Row],[合区区服]],表1_861218222426729298[目标国家（映射）],表2_971319232527739399[[#This Row],[国家]])</f>
        <v>21427</v>
      </c>
      <c r="N53" s="46">
        <f t="array" ref="N53">MAX((表1_861218222426729298[目标区服]=表2_971319232527739399[[#This Row],[合区区服]])*(表1_861218222426729298[目标国家（映射）]=表2_971319232527739399[[#This Row],[国家]])*表1_861218222426729298[单将最高战力])</f>
        <v>1314163</v>
      </c>
      <c r="P53" s="51">
        <v>198</v>
      </c>
      <c r="Q53" s="51">
        <v>49</v>
      </c>
      <c r="R53" s="51" t="s">
        <v>223</v>
      </c>
      <c r="S53" s="51">
        <v>47</v>
      </c>
    </row>
    <row r="54" customHeight="1" spans="1:17">
      <c r="A54" s="18" t="s">
        <v>219</v>
      </c>
      <c r="B54" s="46" t="s">
        <v>26</v>
      </c>
      <c r="C54" s="46">
        <f>COUNTIFS(表1_861218222426729298[目标区服],表2_971319232527739399[[#This Row],[合区区服]],表1_861218222426729298[目标国家（映射）],表2_971319232527739399[[#This Row],[国家]])</f>
        <v>3</v>
      </c>
      <c r="D54" s="46">
        <f>SUMIFS(表1_861218222426729298[活跃高战玩家数],表1_861218222426729298[目标区服],表2_971319232527739399[[#This Row],[合区区服]],表1_861218222426729298[目标国家（映射）],表2_971319232527739399[[#This Row],[国家]])</f>
        <v>1</v>
      </c>
      <c r="E54" s="46">
        <f>SUMIFS(表1_861218222426729298[活跃中坚玩家数],表1_861218222426729298[目标区服],表2_971319232527739399[[#This Row],[合区区服]],表1_861218222426729298[目标国家（映射）],表2_971319232527739399[[#This Row],[国家]])</f>
        <v>55</v>
      </c>
      <c r="F54" s="46">
        <f t="array" ref="F54">MAX((表1_861218222426729298[目标区服]=表2_971319232527739399[[#This Row],[合区区服]])*(表1_861218222426729298[目标国家（映射）]=表2_971319232527739399[[#This Row],[国家]])*表1_861218222426729298[活跃尖端战力])</f>
        <v>3824917</v>
      </c>
      <c r="G54" s="47">
        <f>SUMIFS(表1_861218222426729298[活跃总战力],表1_861218222426729298[目标区服],表2_971319232527739399[[#This Row],[合区区服]],表1_861218222426729298[目标国家（映射）],表2_971319232527739399[[#This Row],[国家]])</f>
        <v>52007930</v>
      </c>
      <c r="H54" s="46">
        <f>SUMIFS(表1_861218222426729298[活跃实际充值],表1_861218222426729298[目标区服],表2_971319232527739399[[#This Row],[合区区服]],表1_861218222426729298[目标国家（映射）],表2_971319232527739399[[#This Row],[国家]])</f>
        <v>138392</v>
      </c>
      <c r="I54" s="46">
        <f>SUMIFS(表1_861218222426729298[活跃虚拟充值],表1_861218222426729298[目标区服],表2_971319232527739399[[#This Row],[合区区服]],表1_861218222426729298[目标国家（映射）],表2_971319232527739399[[#This Row],[国家]])</f>
        <v>0</v>
      </c>
      <c r="J54" s="46">
        <f>SUMIFS(表1_861218222426729298[活跃Coin],表1_861218222426729298[目标区服],表2_971319232527739399[[#This Row],[合区区服]],表1_861218222426729298[目标国家（映射）],表2_971319232527739399[[#This Row],[国家]])</f>
        <v>747334</v>
      </c>
      <c r="K54" s="46">
        <f>SUMIFS(表1_861218222426729298[共计补偿Coin],表1_861218222426729298[目标区服],表2_971319232527739399[[#This Row],[合区区服]],表1_861218222426729298[目标国家（映射）],表2_971319232527739399[[#This Row],[国家]])</f>
        <v>105000</v>
      </c>
      <c r="L54" s="46">
        <f>表2_971319232527739399[[#This Row],[活跃Coin]]+表2_971319232527739399[[#This Row],[共计补偿Coin]]</f>
        <v>852334</v>
      </c>
      <c r="M54" s="46">
        <f>SUMIFS(表1_861218222426729298[综合国力],表1_861218222426729298[目标区服],表2_971319232527739399[[#This Row],[合区区服]],表1_861218222426729298[目标国家（映射）],表2_971319232527739399[[#This Row],[国家]])</f>
        <v>21493</v>
      </c>
      <c r="N54" s="46">
        <f t="array" ref="N54">MAX((表1_861218222426729298[目标区服]=表2_971319232527739399[[#This Row],[合区区服]])*(表1_861218222426729298[目标国家（映射）]=表2_971319232527739399[[#This Row],[国家]])*表1_861218222426729298[单将最高战力])</f>
        <v>1546894</v>
      </c>
      <c r="P54" s="51">
        <v>199</v>
      </c>
      <c r="Q54" s="51">
        <v>48</v>
      </c>
    </row>
    <row r="55" customHeight="1" spans="1:17">
      <c r="A55" s="18" t="s">
        <v>219</v>
      </c>
      <c r="B55" s="48" t="s">
        <v>27</v>
      </c>
      <c r="C55" s="48">
        <f>COUNTIFS(表1_861218222426729298[目标区服],表2_971319232527739399[[#This Row],[合区区服]],表1_861218222426729298[目标国家（映射）],表2_971319232527739399[[#This Row],[国家]])</f>
        <v>2</v>
      </c>
      <c r="D55" s="48">
        <f>SUMIFS(表1_861218222426729298[活跃高战玩家数],表1_861218222426729298[目标区服],表2_971319232527739399[[#This Row],[合区区服]],表1_861218222426729298[目标国家（映射）],表2_971319232527739399[[#This Row],[国家]])</f>
        <v>10</v>
      </c>
      <c r="E55" s="48">
        <f>SUMIFS(表1_861218222426729298[活跃中坚玩家数],表1_861218222426729298[目标区服],表2_971319232527739399[[#This Row],[合区区服]],表1_861218222426729298[目标国家（映射）],表2_971319232527739399[[#This Row],[国家]])</f>
        <v>47</v>
      </c>
      <c r="F55" s="48">
        <f t="array" ref="F55">MAX((表1_861218222426729298[目标区服]=表2_971319232527739399[[#This Row],[合区区服]])*(表1_861218222426729298[目标国家（映射）]=表2_971319232527739399[[#This Row],[国家]])*表1_861218222426729298[活跃尖端战力])</f>
        <v>3352998</v>
      </c>
      <c r="G55" s="458">
        <f>SUMIFS(表1_861218222426729298[活跃总战力],表1_861218222426729298[目标区服],表2_971319232527739399[[#This Row],[合区区服]],表1_861218222426729298[目标国家（映射）],表2_971319232527739399[[#This Row],[国家]])</f>
        <v>50590274</v>
      </c>
      <c r="H55" s="48">
        <f>SUMIFS(表1_861218222426729298[活跃实际充值],表1_861218222426729298[目标区服],表2_971319232527739399[[#This Row],[合区区服]],表1_861218222426729298[目标国家（映射）],表2_971319232527739399[[#This Row],[国家]])</f>
        <v>153752</v>
      </c>
      <c r="I55" s="48">
        <f>SUMIFS(表1_861218222426729298[活跃虚拟充值],表1_861218222426729298[目标区服],表2_971319232527739399[[#This Row],[合区区服]],表1_861218222426729298[目标国家（映射）],表2_971319232527739399[[#This Row],[国家]])</f>
        <v>30</v>
      </c>
      <c r="J55" s="48">
        <f>SUMIFS(表1_861218222426729298[活跃Coin],表1_861218222426729298[目标区服],表2_971319232527739399[[#This Row],[合区区服]],表1_861218222426729298[目标国家（映射）],表2_971319232527739399[[#This Row],[国家]])</f>
        <v>1440525</v>
      </c>
      <c r="K55" s="48">
        <f>SUMIFS(表1_861218222426729298[共计补偿Coin],表1_861218222426729298[目标区服],表2_971319232527739399[[#This Row],[合区区服]],表1_861218222426729298[目标国家（映射）],表2_971319232527739399[[#This Row],[国家]])</f>
        <v>85500</v>
      </c>
      <c r="L55" s="48">
        <f>表2_971319232527739399[[#This Row],[活跃Coin]]+表2_971319232527739399[[#This Row],[共计补偿Coin]]</f>
        <v>1526025</v>
      </c>
      <c r="M55" s="48">
        <f>SUMIFS(表1_861218222426729298[综合国力],表1_861218222426729298[目标区服],表2_971319232527739399[[#This Row],[合区区服]],表1_861218222426729298[目标国家（映射）],表2_971319232527739399[[#This Row],[国家]])</f>
        <v>21208</v>
      </c>
      <c r="N55" s="46">
        <f t="array" ref="N55">MAX((表1_861218222426729298[目标区服]=表2_971319232527739399[[#This Row],[合区区服]])*(表1_861218222426729298[目标国家（映射）]=表2_971319232527739399[[#This Row],[国家]])*表1_861218222426729298[单将最高战力])</f>
        <v>1202846</v>
      </c>
      <c r="P55" s="51">
        <v>200</v>
      </c>
      <c r="Q55" s="51">
        <v>47</v>
      </c>
    </row>
    <row r="56" customHeight="1" spans="1:17">
      <c r="A56" s="293" t="s">
        <v>220</v>
      </c>
      <c r="B56" s="224" t="s">
        <v>25</v>
      </c>
      <c r="C56" s="224">
        <f>COUNTIFS(表1_861218222426729298[目标区服],表2_971319232527739399[[#This Row],[合区区服]],表1_861218222426729298[目标国家（映射）],表2_971319232527739399[[#This Row],[国家]])</f>
        <v>2</v>
      </c>
      <c r="D56" s="224">
        <f>SUMIFS(表1_861218222426729298[活跃高战玩家数],表1_861218222426729298[目标区服],表2_971319232527739399[[#This Row],[合区区服]],表1_861218222426729298[目标国家（映射）],表2_971319232527739399[[#This Row],[国家]])</f>
        <v>4</v>
      </c>
      <c r="E56" s="224">
        <f>SUMIFS(表1_861218222426729298[活跃中坚玩家数],表1_861218222426729298[目标区服],表2_971319232527739399[[#This Row],[合区区服]],表1_861218222426729298[目标国家（映射）],表2_971319232527739399[[#This Row],[国家]])</f>
        <v>39</v>
      </c>
      <c r="F56" s="224">
        <f t="array" ref="F56">MAX((表1_861218222426729298[目标区服]=表2_971319232527739399[[#This Row],[合区区服]])*(表1_861218222426729298[目标国家（映射）]=表2_971319232527739399[[#This Row],[国家]])*表1_861218222426729298[活跃尖端战力])</f>
        <v>3614826</v>
      </c>
      <c r="G56" s="225">
        <f>SUMIFS(表1_861218222426729298[活跃总战力],表1_861218222426729298[目标区服],表2_971319232527739399[[#This Row],[合区区服]],表1_861218222426729298[目标国家（映射）],表2_971319232527739399[[#This Row],[国家]])</f>
        <v>43715687</v>
      </c>
      <c r="H56" s="224">
        <f>SUMIFS(表1_861218222426729298[活跃实际充值],表1_861218222426729298[目标区服],表2_971319232527739399[[#This Row],[合区区服]],表1_861218222426729298[目标国家（映射）],表2_971319232527739399[[#This Row],[国家]])</f>
        <v>130950</v>
      </c>
      <c r="I56" s="224">
        <f>SUMIFS(表1_861218222426729298[活跃虚拟充值],表1_861218222426729298[目标区服],表2_971319232527739399[[#This Row],[合区区服]],表1_861218222426729298[目标国家（映射）],表2_971319232527739399[[#This Row],[国家]])</f>
        <v>0</v>
      </c>
      <c r="J56" s="224">
        <f>SUMIFS(表1_861218222426729298[活跃Coin],表1_861218222426729298[目标区服],表2_971319232527739399[[#This Row],[合区区服]],表1_861218222426729298[目标国家（映射）],表2_971319232527739399[[#This Row],[国家]])</f>
        <v>702356</v>
      </c>
      <c r="K56" s="224">
        <f>SUMIFS(表1_861218222426729298[共计补偿Coin],表1_861218222426729298[目标区服],表2_971319232527739399[[#This Row],[合区区服]],表1_861218222426729298[目标国家（映射）],表2_971319232527739399[[#This Row],[国家]])</f>
        <v>92500</v>
      </c>
      <c r="L56" s="224">
        <f>表2_971319232527739399[[#This Row],[活跃Coin]]+表2_971319232527739399[[#This Row],[共计补偿Coin]]</f>
        <v>794856</v>
      </c>
      <c r="M56" s="224">
        <f>SUMIFS(表1_861218222426729298[综合国力],表1_861218222426729298[目标区服],表2_971319232527739399[[#This Row],[合区区服]],表1_861218222426729298[目标国家（映射）],表2_971319232527739399[[#This Row],[国家]])</f>
        <v>17639</v>
      </c>
      <c r="N56" s="471">
        <f t="array" ref="N56">MAX((表1_861218222426729298[目标区服]=表2_971319232527739399[[#This Row],[合区区服]])*(表1_861218222426729298[目标国家（映射）]=表2_971319232527739399[[#This Row],[国家]])*表1_861218222426729298[单将最高战力])</f>
        <v>1106676</v>
      </c>
      <c r="P56" s="51">
        <v>201</v>
      </c>
      <c r="Q56" s="51">
        <v>46</v>
      </c>
    </row>
    <row r="57" customHeight="1" spans="1:17">
      <c r="A57" s="293" t="s">
        <v>220</v>
      </c>
      <c r="B57" s="224" t="s">
        <v>26</v>
      </c>
      <c r="C57" s="224">
        <f>COUNTIFS(表1_861218222426729298[目标区服],表2_971319232527739399[[#This Row],[合区区服]],表1_861218222426729298[目标国家（映射）],表2_971319232527739399[[#This Row],[国家]])</f>
        <v>2</v>
      </c>
      <c r="D57" s="224">
        <f>SUMIFS(表1_861218222426729298[活跃高战玩家数],表1_861218222426729298[目标区服],表2_971319232527739399[[#This Row],[合区区服]],表1_861218222426729298[目标国家（映射）],表2_971319232527739399[[#This Row],[国家]])</f>
        <v>13</v>
      </c>
      <c r="E57" s="224">
        <f>SUMIFS(表1_861218222426729298[活跃中坚玩家数],表1_861218222426729298[目标区服],表2_971319232527739399[[#This Row],[合区区服]],表1_861218222426729298[目标国家（映射）],表2_971319232527739399[[#This Row],[国家]])</f>
        <v>59</v>
      </c>
      <c r="F57" s="224">
        <f t="array" ref="F57">MAX((表1_861218222426729298[目标区服]=表2_971319232527739399[[#This Row],[合区区服]])*(表1_861218222426729298[目标国家（映射）]=表2_971319232527739399[[#This Row],[国家]])*表1_861218222426729298[活跃尖端战力])</f>
        <v>3167591</v>
      </c>
      <c r="G57" s="225">
        <f>SUMIFS(表1_861218222426729298[活跃总战力],表1_861218222426729298[目标区服],表2_971319232527739399[[#This Row],[合区区服]],表1_861218222426729298[目标国家（映射）],表2_971319232527739399[[#This Row],[国家]])</f>
        <v>73321487</v>
      </c>
      <c r="H57" s="224">
        <f>SUMIFS(表1_861218222426729298[活跃实际充值],表1_861218222426729298[目标区服],表2_971319232527739399[[#This Row],[合区区服]],表1_861218222426729298[目标国家（映射）],表2_971319232527739399[[#This Row],[国家]])</f>
        <v>176776</v>
      </c>
      <c r="I57" s="224">
        <f>SUMIFS(表1_861218222426729298[活跃虚拟充值],表1_861218222426729298[目标区服],表2_971319232527739399[[#This Row],[合区区服]],表1_861218222426729298[目标国家（映射）],表2_971319232527739399[[#This Row],[国家]])</f>
        <v>98</v>
      </c>
      <c r="J57" s="224">
        <f>SUMIFS(表1_861218222426729298[活跃Coin],表1_861218222426729298[目标区服],表2_971319232527739399[[#This Row],[合区区服]],表1_861218222426729298[目标国家（映射）],表2_971319232527739399[[#This Row],[国家]])</f>
        <v>921097</v>
      </c>
      <c r="K57" s="224">
        <f>SUMIFS(表1_861218222426729298[共计补偿Coin],表1_861218222426729298[目标区服],表2_971319232527739399[[#This Row],[合区区服]],表1_861218222426729298[目标国家（映射）],表2_971319232527739399[[#This Row],[国家]])</f>
        <v>164000</v>
      </c>
      <c r="L57" s="224">
        <f>表2_971319232527739399[[#This Row],[活跃Coin]]+表2_971319232527739399[[#This Row],[共计补偿Coin]]</f>
        <v>1085097</v>
      </c>
      <c r="M57" s="224">
        <f>SUMIFS(表1_861218222426729298[综合国力],表1_861218222426729298[目标区服],表2_971319232527739399[[#This Row],[合区区服]],表1_861218222426729298[目标国家（映射）],表2_971319232527739399[[#This Row],[国家]])</f>
        <v>25269</v>
      </c>
      <c r="N57" s="471">
        <f t="array" ref="N57">MAX((表1_861218222426729298[目标区服]=表2_971319232527739399[[#This Row],[合区区服]])*(表1_861218222426729298[目标国家（映射）]=表2_971319232527739399[[#This Row],[国家]])*表1_861218222426729298[单将最高战力])</f>
        <v>863727</v>
      </c>
      <c r="P57" s="51">
        <v>202</v>
      </c>
      <c r="Q57" s="51">
        <v>45</v>
      </c>
    </row>
    <row r="58" customHeight="1" spans="1:17">
      <c r="A58" s="293" t="s">
        <v>220</v>
      </c>
      <c r="B58" s="226" t="s">
        <v>27</v>
      </c>
      <c r="C58" s="226">
        <f>COUNTIFS(表1_861218222426729298[目标区服],表2_971319232527739399[[#This Row],[合区区服]],表1_861218222426729298[目标国家（映射）],表2_971319232527739399[[#This Row],[国家]])</f>
        <v>2</v>
      </c>
      <c r="D58" s="226">
        <f>SUMIFS(表1_861218222426729298[活跃高战玩家数],表1_861218222426729298[目标区服],表2_971319232527739399[[#This Row],[合区区服]],表1_861218222426729298[目标国家（映射）],表2_971319232527739399[[#This Row],[国家]])</f>
        <v>3</v>
      </c>
      <c r="E58" s="226">
        <f>SUMIFS(表1_861218222426729298[活跃中坚玩家数],表1_861218222426729298[目标区服],表2_971319232527739399[[#This Row],[合区区服]],表1_861218222426729298[目标国家（映射）],表2_971319232527739399[[#This Row],[国家]])</f>
        <v>35</v>
      </c>
      <c r="F58" s="224">
        <f t="array" ref="F58">MAX((表1_861218222426729298[目标区服]=表2_971319232527739399[[#This Row],[合区区服]])*(表1_861218222426729298[目标国家（映射）]=表2_971319232527739399[[#This Row],[国家]])*表1_861218222426729298[活跃尖端战力])</f>
        <v>3418825</v>
      </c>
      <c r="G58" s="225">
        <f>SUMIFS(表1_861218222426729298[活跃总战力],表1_861218222426729298[目标区服],表2_971319232527739399[[#This Row],[合区区服]],表1_861218222426729298[目标国家（映射）],表2_971319232527739399[[#This Row],[国家]])</f>
        <v>34437719</v>
      </c>
      <c r="H58" s="224">
        <f>SUMIFS(表1_861218222426729298[活跃实际充值],表1_861218222426729298[目标区服],表2_971319232527739399[[#This Row],[合区区服]],表1_861218222426729298[目标国家（映射）],表2_971319232527739399[[#This Row],[国家]])</f>
        <v>112019</v>
      </c>
      <c r="I58" s="224">
        <f>SUMIFS(表1_861218222426729298[活跃虚拟充值],表1_861218222426729298[目标区服],表2_971319232527739399[[#This Row],[合区区服]],表1_861218222426729298[目标国家（映射）],表2_971319232527739399[[#This Row],[国家]])</f>
        <v>0</v>
      </c>
      <c r="J58" s="224">
        <f>SUMIFS(表1_861218222426729298[活跃Coin],表1_861218222426729298[目标区服],表2_971319232527739399[[#This Row],[合区区服]],表1_861218222426729298[目标国家（映射）],表2_971319232527739399[[#This Row],[国家]])</f>
        <v>452196</v>
      </c>
      <c r="K58" s="224">
        <f>SUMIFS(表1_861218222426729298[共计补偿Coin],表1_861218222426729298[目标区服],表2_971319232527739399[[#This Row],[合区区服]],表1_861218222426729298[目标国家（映射）],表2_971319232527739399[[#This Row],[国家]])</f>
        <v>85000</v>
      </c>
      <c r="L58" s="224">
        <f>表2_971319232527739399[[#This Row],[活跃Coin]]+表2_971319232527739399[[#This Row],[共计补偿Coin]]</f>
        <v>537196</v>
      </c>
      <c r="M58" s="224">
        <f>SUMIFS(表1_861218222426729298[综合国力],表1_861218222426729298[目标区服],表2_971319232527739399[[#This Row],[合区区服]],表1_861218222426729298[目标国家（映射）],表2_971319232527739399[[#This Row],[国家]])</f>
        <v>14788</v>
      </c>
      <c r="N58" s="471">
        <f t="array" ref="N58">MAX((表1_861218222426729298[目标区服]=表2_971319232527739399[[#This Row],[合区区服]])*(表1_861218222426729298[目标国家（映射）]=表2_971319232527739399[[#This Row],[国家]])*表1_861218222426729298[单将最高战力])</f>
        <v>1058779</v>
      </c>
      <c r="P58" s="51">
        <v>203</v>
      </c>
      <c r="Q58" s="51">
        <v>44</v>
      </c>
    </row>
    <row r="59" customHeight="1" spans="1:17">
      <c r="A59" s="485" t="s">
        <v>221</v>
      </c>
      <c r="B59" s="169" t="s">
        <v>25</v>
      </c>
      <c r="C59" s="169">
        <f>COUNTIFS(表1_861218222426729298[目标区服],表2_971319232527739399[[#This Row],[合区区服]],表1_861218222426729298[目标国家（映射）],表2_971319232527739399[[#This Row],[国家]])</f>
        <v>2</v>
      </c>
      <c r="D59" s="169">
        <f>SUMIFS(表1_861218222426729298[活跃高战玩家数],表1_861218222426729298[目标区服],表2_971319232527739399[[#This Row],[合区区服]],表1_861218222426729298[目标国家（映射）],表2_971319232527739399[[#This Row],[国家]])</f>
        <v>9</v>
      </c>
      <c r="E59" s="169">
        <f>SUMIFS(表1_861218222426729298[活跃中坚玩家数],表1_861218222426729298[目标区服],表2_971319232527739399[[#This Row],[合区区服]],表1_861218222426729298[目标国家（映射）],表2_971319232527739399[[#This Row],[国家]])</f>
        <v>36</v>
      </c>
      <c r="F59" s="169">
        <f t="array" ref="F59">MAX((表1_861218222426729298[目标区服]=表2_971319232527739399[[#This Row],[合区区服]])*(表1_861218222426729298[目标国家（映射）]=表2_971319232527739399[[#This Row],[国家]])*表1_861218222426729298[活跃尖端战力])</f>
        <v>3628475</v>
      </c>
      <c r="G59" s="170">
        <f>SUMIFS(表1_861218222426729298[活跃总战力],表1_861218222426729298[目标区服],表2_971319232527739399[[#This Row],[合区区服]],表1_861218222426729298[目标国家（映射）],表2_971319232527739399[[#This Row],[国家]])</f>
        <v>45887967</v>
      </c>
      <c r="H59" s="169">
        <f>SUMIFS(表1_861218222426729298[活跃实际充值],表1_861218222426729298[目标区服],表2_971319232527739399[[#This Row],[合区区服]],表1_861218222426729298[目标国家（映射）],表2_971319232527739399[[#This Row],[国家]])</f>
        <v>128758</v>
      </c>
      <c r="I59" s="169">
        <f>SUMIFS(表1_861218222426729298[活跃虚拟充值],表1_861218222426729298[目标区服],表2_971319232527739399[[#This Row],[合区区服]],表1_861218222426729298[目标国家（映射）],表2_971319232527739399[[#This Row],[国家]])</f>
        <v>0</v>
      </c>
      <c r="J59" s="169">
        <f>SUMIFS(表1_861218222426729298[活跃Coin],表1_861218222426729298[目标区服],表2_971319232527739399[[#This Row],[合区区服]],表1_861218222426729298[目标国家（映射）],表2_971319232527739399[[#This Row],[国家]])</f>
        <v>1335468</v>
      </c>
      <c r="K59" s="169">
        <f>SUMIFS(表1_861218222426729298[共计补偿Coin],表1_861218222426729298[目标区服],表2_971319232527739399[[#This Row],[合区区服]],表1_861218222426729298[目标国家（映射）],表2_971319232527739399[[#This Row],[国家]])</f>
        <v>108500</v>
      </c>
      <c r="L59" s="169">
        <f>表2_971319232527739399[[#This Row],[活跃Coin]]+表2_971319232527739399[[#This Row],[共计补偿Coin]]</f>
        <v>1443968</v>
      </c>
      <c r="M59" s="169">
        <f>SUMIFS(表1_861218222426729298[综合国力],表1_861218222426729298[目标区服],表2_971319232527739399[[#This Row],[合区区服]],表1_861218222426729298[目标国家（映射）],表2_971319232527739399[[#This Row],[国家]])</f>
        <v>18080</v>
      </c>
      <c r="N59" s="486">
        <f t="array" ref="N59">MAX((表1_861218222426729298[目标区服]=表2_971319232527739399[[#This Row],[合区区服]])*(表1_861218222426729298[目标国家（映射）]=表2_971319232527739399[[#This Row],[国家]])*表1_861218222426729298[单将最高战力])</f>
        <v>1042793</v>
      </c>
      <c r="P59" s="51">
        <v>204</v>
      </c>
      <c r="Q59" s="51">
        <v>43</v>
      </c>
    </row>
    <row r="60" customHeight="1" spans="1:17">
      <c r="A60" s="485" t="s">
        <v>221</v>
      </c>
      <c r="B60" s="169" t="s">
        <v>26</v>
      </c>
      <c r="C60" s="169">
        <f>COUNTIFS(表1_861218222426729298[目标区服],表2_971319232527739399[[#This Row],[合区区服]],表1_861218222426729298[目标国家（映射）],表2_971319232527739399[[#This Row],[国家]])</f>
        <v>2</v>
      </c>
      <c r="D60" s="169">
        <f>SUMIFS(表1_861218222426729298[活跃高战玩家数],表1_861218222426729298[目标区服],表2_971319232527739399[[#This Row],[合区区服]],表1_861218222426729298[目标国家（映射）],表2_971319232527739399[[#This Row],[国家]])</f>
        <v>7</v>
      </c>
      <c r="E60" s="169">
        <f>SUMIFS(表1_861218222426729298[活跃中坚玩家数],表1_861218222426729298[目标区服],表2_971319232527739399[[#This Row],[合区区服]],表1_861218222426729298[目标国家（映射）],表2_971319232527739399[[#This Row],[国家]])</f>
        <v>57</v>
      </c>
      <c r="F60" s="169">
        <f t="array" ref="F60">MAX((表1_861218222426729298[目标区服]=表2_971319232527739399[[#This Row],[合区区服]])*(表1_861218222426729298[目标国家（映射）]=表2_971319232527739399[[#This Row],[国家]])*表1_861218222426729298[活跃尖端战力])</f>
        <v>3407492</v>
      </c>
      <c r="G60" s="170">
        <f>SUMIFS(表1_861218222426729298[活跃总战力],表1_861218222426729298[目标区服],表2_971319232527739399[[#This Row],[合区区服]],表1_861218222426729298[目标国家（映射）],表2_971319232527739399[[#This Row],[国家]])</f>
        <v>54559402</v>
      </c>
      <c r="H60" s="169">
        <f>SUMIFS(表1_861218222426729298[活跃实际充值],表1_861218222426729298[目标区服],表2_971319232527739399[[#This Row],[合区区服]],表1_861218222426729298[目标国家（映射）],表2_971319232527739399[[#This Row],[国家]])</f>
        <v>149442</v>
      </c>
      <c r="I60" s="169">
        <f>SUMIFS(表1_861218222426729298[活跃虚拟充值],表1_861218222426729298[目标区服],表2_971319232527739399[[#This Row],[合区区服]],表1_861218222426729298[目标国家（映射）],表2_971319232527739399[[#This Row],[国家]])</f>
        <v>0</v>
      </c>
      <c r="J60" s="169">
        <f>SUMIFS(表1_861218222426729298[活跃Coin],表1_861218222426729298[目标区服],表2_971319232527739399[[#This Row],[合区区服]],表1_861218222426729298[目标国家（映射）],表2_971319232527739399[[#This Row],[国家]])</f>
        <v>1265303</v>
      </c>
      <c r="K60" s="169">
        <f>SUMIFS(表1_861218222426729298[共计补偿Coin],表1_861218222426729298[目标区服],表2_971319232527739399[[#This Row],[合区区服]],表1_861218222426729298[目标国家（映射）],表2_971319232527739399[[#This Row],[国家]])</f>
        <v>144000</v>
      </c>
      <c r="L60" s="169">
        <f>表2_971319232527739399[[#This Row],[活跃Coin]]+表2_971319232527739399[[#This Row],[共计补偿Coin]]</f>
        <v>1409303</v>
      </c>
      <c r="M60" s="169">
        <f>SUMIFS(表1_861218222426729298[综合国力],表1_861218222426729298[目标区服],表2_971319232527739399[[#This Row],[合区区服]],表1_861218222426729298[目标国家（映射）],表2_971319232527739399[[#This Row],[国家]])</f>
        <v>20491</v>
      </c>
      <c r="N60" s="486">
        <f t="array" ref="N60">MAX((表1_861218222426729298[目标区服]=表2_971319232527739399[[#This Row],[合区区服]])*(表1_861218222426729298[目标国家（映射）]=表2_971319232527739399[[#This Row],[国家]])*表1_861218222426729298[单将最高战力])</f>
        <v>839553</v>
      </c>
      <c r="P60" s="51">
        <v>205</v>
      </c>
      <c r="Q60" s="51">
        <v>43</v>
      </c>
    </row>
    <row r="61" customHeight="1" spans="1:14">
      <c r="A61" s="485" t="s">
        <v>221</v>
      </c>
      <c r="B61" s="171" t="s">
        <v>27</v>
      </c>
      <c r="C61" s="171">
        <f>COUNTIFS(表1_861218222426729298[目标区服],表2_971319232527739399[[#This Row],[合区区服]],表1_861218222426729298[目标国家（映射）],表2_971319232527739399[[#This Row],[国家]])</f>
        <v>2</v>
      </c>
      <c r="D61" s="171">
        <f>SUMIFS(表1_861218222426729298[活跃高战玩家数],表1_861218222426729298[目标区服],表2_971319232527739399[[#This Row],[合区区服]],表1_861218222426729298[目标国家（映射）],表2_971319232527739399[[#This Row],[国家]])</f>
        <v>4</v>
      </c>
      <c r="E61" s="171">
        <f>SUMIFS(表1_861218222426729298[活跃中坚玩家数],表1_861218222426729298[目标区服],表2_971319232527739399[[#This Row],[合区区服]],表1_861218222426729298[目标国家（映射）],表2_971319232527739399[[#This Row],[国家]])</f>
        <v>44</v>
      </c>
      <c r="F61" s="171">
        <f t="array" ref="F61">MAX((表1_861218222426729298[目标区服]=表2_971319232527739399[[#This Row],[合区区服]])*(表1_861218222426729298[目标国家（映射）]=表2_971319232527739399[[#This Row],[国家]])*表1_861218222426729298[活跃尖端战力])</f>
        <v>3448529</v>
      </c>
      <c r="G61" s="172">
        <f>SUMIFS(表1_861218222426729298[活跃总战力],表1_861218222426729298[目标区服],表2_971319232527739399[[#This Row],[合区区服]],表1_861218222426729298[目标国家（映射）],表2_971319232527739399[[#This Row],[国家]])</f>
        <v>46396727</v>
      </c>
      <c r="H61" s="171">
        <f>SUMIFS(表1_861218222426729298[活跃实际充值],表1_861218222426729298[目标区服],表2_971319232527739399[[#This Row],[合区区服]],表1_861218222426729298[目标国家（映射）],表2_971319232527739399[[#This Row],[国家]])</f>
        <v>140220</v>
      </c>
      <c r="I61" s="171">
        <f>SUMIFS(表1_861218222426729298[活跃虚拟充值],表1_861218222426729298[目标区服],表2_971319232527739399[[#This Row],[合区区服]],表1_861218222426729298[目标国家（映射）],表2_971319232527739399[[#This Row],[国家]])</f>
        <v>0</v>
      </c>
      <c r="J61" s="171">
        <f>SUMIFS(表1_861218222426729298[活跃Coin],表1_861218222426729298[目标区服],表2_971319232527739399[[#This Row],[合区区服]],表1_861218222426729298[目标国家（映射）],表2_971319232527739399[[#This Row],[国家]])</f>
        <v>1031372</v>
      </c>
      <c r="K61" s="171">
        <f>SUMIFS(表1_861218222426729298[共计补偿Coin],表1_861218222426729298[目标区服],表2_971319232527739399[[#This Row],[合区区服]],表1_861218222426729298[目标国家（映射）],表2_971319232527739399[[#This Row],[国家]])</f>
        <v>104500</v>
      </c>
      <c r="L61" s="171">
        <f>表2_971319232527739399[[#This Row],[活跃Coin]]+表2_971319232527739399[[#This Row],[共计补偿Coin]]</f>
        <v>1135872</v>
      </c>
      <c r="M61" s="171">
        <f>SUMIFS(表1_861218222426729298[综合国力],表1_861218222426729298[目标区服],表2_971319232527739399[[#This Row],[合区区服]],表1_861218222426729298[目标国家（映射）],表2_971319232527739399[[#This Row],[国家]])</f>
        <v>18520</v>
      </c>
      <c r="N61" s="487">
        <f t="array" ref="N61">MAX((表1_861218222426729298[目标区服]=表2_971319232527739399[[#This Row],[合区区服]])*(表1_861218222426729298[目标国家（映射）]=表2_971319232527739399[[#This Row],[国家]])*表1_861218222426729298[单将最高战力])</f>
        <v>925134</v>
      </c>
    </row>
    <row r="62" customHeight="1" spans="1:14">
      <c r="A62" s="372" t="s">
        <v>222</v>
      </c>
      <c r="B62" s="39" t="s">
        <v>25</v>
      </c>
      <c r="C62" s="39">
        <f>COUNTIFS(表1_861218222426729298[目标区服],表2_971319232527739399[[#This Row],[合区区服]],表1_861218222426729298[目标国家（映射）],表2_971319232527739399[[#This Row],[国家]])</f>
        <v>2</v>
      </c>
      <c r="D62" s="39">
        <f>SUMIFS(表1_861218222426729298[活跃高战玩家数],表1_861218222426729298[目标区服],表2_971319232527739399[[#This Row],[合区区服]],表1_861218222426729298[目标国家（映射）],表2_971319232527739399[[#This Row],[国家]])</f>
        <v>4</v>
      </c>
      <c r="E62" s="39">
        <f>SUMIFS(表1_861218222426729298[活跃中坚玩家数],表1_861218222426729298[目标区服],表2_971319232527739399[[#This Row],[合区区服]],表1_861218222426729298[目标国家（映射）],表2_971319232527739399[[#This Row],[国家]])</f>
        <v>48</v>
      </c>
      <c r="F62" s="39">
        <f t="array" ref="F62">MAX((表1_861218222426729298[目标区服]=表2_971319232527739399[[#This Row],[合区区服]])*(表1_861218222426729298[目标国家（映射）]=表2_971319232527739399[[#This Row],[国家]])*表1_861218222426729298[活跃尖端战力])</f>
        <v>2859302</v>
      </c>
      <c r="G62" s="40">
        <f>SUMIFS(表1_861218222426729298[活跃总战力],表1_861218222426729298[目标区服],表2_971319232527739399[[#This Row],[合区区服]],表1_861218222426729298[目标国家（映射）],表2_971319232527739399[[#This Row],[国家]])</f>
        <v>42698486</v>
      </c>
      <c r="H62" s="39">
        <f>SUMIFS(表1_861218222426729298[活跃实际充值],表1_861218222426729298[目标区服],表2_971319232527739399[[#This Row],[合区区服]],表1_861218222426729298[目标国家（映射）],表2_971319232527739399[[#This Row],[国家]])</f>
        <v>82842</v>
      </c>
      <c r="I62" s="39">
        <f>SUMIFS(表1_861218222426729298[活跃虚拟充值],表1_861218222426729298[目标区服],表2_971319232527739399[[#This Row],[合区区服]],表1_861218222426729298[目标国家（映射）],表2_971319232527739399[[#This Row],[国家]])</f>
        <v>0</v>
      </c>
      <c r="J62" s="39">
        <f>SUMIFS(表1_861218222426729298[活跃Coin],表1_861218222426729298[目标区服],表2_971319232527739399[[#This Row],[合区区服]],表1_861218222426729298[目标国家（映射）],表2_971319232527739399[[#This Row],[国家]])</f>
        <v>749050</v>
      </c>
      <c r="K62" s="39">
        <f>SUMIFS(表1_861218222426729298[共计补偿Coin],表1_861218222426729298[目标区服],表2_971319232527739399[[#This Row],[合区区服]],表1_861218222426729298[目标国家（映射）],表2_971319232527739399[[#This Row],[国家]])</f>
        <v>120500</v>
      </c>
      <c r="L62" s="39">
        <f>表2_971319232527739399[[#This Row],[活跃Coin]]+表2_971319232527739399[[#This Row],[共计补偿Coin]]</f>
        <v>869550</v>
      </c>
      <c r="M62" s="39">
        <f>SUMIFS(表1_861218222426729298[综合国力],表1_861218222426729298[目标区服],表2_971319232527739399[[#This Row],[合区区服]],表1_861218222426729298[目标国家（映射）],表2_971319232527739399[[#This Row],[国家]])</f>
        <v>14445</v>
      </c>
      <c r="N62" s="39">
        <f t="array" ref="N62">MAX((表1_861218222426729298[目标区服]=表2_971319232527739399[[#This Row],[合区区服]])*(表1_861218222426729298[目标国家（映射）]=表2_971319232527739399[[#This Row],[国家]])*表1_861218222426729298[单将最高战力])</f>
        <v>829793</v>
      </c>
    </row>
    <row r="63" customHeight="1" spans="1:14">
      <c r="A63" s="372" t="s">
        <v>222</v>
      </c>
      <c r="B63" s="39" t="s">
        <v>26</v>
      </c>
      <c r="C63" s="39">
        <f>COUNTIFS(表1_861218222426729298[目标区服],表2_971319232527739399[[#This Row],[合区区服]],表1_861218222426729298[目标国家（映射）],表2_971319232527739399[[#This Row],[国家]])</f>
        <v>2</v>
      </c>
      <c r="D63" s="39">
        <f>SUMIFS(表1_861218222426729298[活跃高战玩家数],表1_861218222426729298[目标区服],表2_971319232527739399[[#This Row],[合区区服]],表1_861218222426729298[目标国家（映射）],表2_971319232527739399[[#This Row],[国家]])</f>
        <v>10</v>
      </c>
      <c r="E63" s="39">
        <f>SUMIFS(表1_861218222426729298[活跃中坚玩家数],表1_861218222426729298[目标区服],表2_971319232527739399[[#This Row],[合区区服]],表1_861218222426729298[目标国家（映射）],表2_971319232527739399[[#This Row],[国家]])</f>
        <v>45</v>
      </c>
      <c r="F63" s="39">
        <f t="array" ref="F63">MAX((表1_861218222426729298[目标区服]=表2_971319232527739399[[#This Row],[合区区服]])*(表1_861218222426729298[目标国家（映射）]=表2_971319232527739399[[#This Row],[国家]])*表1_861218222426729298[活跃尖端战力])</f>
        <v>3464154</v>
      </c>
      <c r="G63" s="40">
        <f>SUMIFS(表1_861218222426729298[活跃总战力],表1_861218222426729298[目标区服],表2_971319232527739399[[#This Row],[合区区服]],表1_861218222426729298[目标国家（映射）],表2_971319232527739399[[#This Row],[国家]])</f>
        <v>51893781</v>
      </c>
      <c r="H63" s="39">
        <f>SUMIFS(表1_861218222426729298[活跃实际充值],表1_861218222426729298[目标区服],表2_971319232527739399[[#This Row],[合区区服]],表1_861218222426729298[目标国家（映射）],表2_971319232527739399[[#This Row],[国家]])</f>
        <v>131626</v>
      </c>
      <c r="I63" s="39">
        <f>SUMIFS(表1_861218222426729298[活跃虚拟充值],表1_861218222426729298[目标区服],表2_971319232527739399[[#This Row],[合区区服]],表1_861218222426729298[目标国家（映射）],表2_971319232527739399[[#This Row],[国家]])</f>
        <v>0</v>
      </c>
      <c r="J63" s="39">
        <f>SUMIFS(表1_861218222426729298[活跃Coin],表1_861218222426729298[目标区服],表2_971319232527739399[[#This Row],[合区区服]],表1_861218222426729298[目标国家（映射）],表2_971319232527739399[[#This Row],[国家]])</f>
        <v>967177</v>
      </c>
      <c r="K63" s="39">
        <f>SUMIFS(表1_861218222426729298[共计补偿Coin],表1_861218222426729298[目标区服],表2_971319232527739399[[#This Row],[合区区服]],表1_861218222426729298[目标国家（映射）],表2_971319232527739399[[#This Row],[国家]])</f>
        <v>116000</v>
      </c>
      <c r="L63" s="39">
        <f>表2_971319232527739399[[#This Row],[活跃Coin]]+表2_971319232527739399[[#This Row],[共计补偿Coin]]</f>
        <v>1083177</v>
      </c>
      <c r="M63" s="39">
        <f>SUMIFS(表1_861218222426729298[综合国力],表1_861218222426729298[目标区服],表2_971319232527739399[[#This Row],[合区区服]],表1_861218222426729298[目标国家（映射）],表2_971319232527739399[[#This Row],[国家]])</f>
        <v>20483</v>
      </c>
      <c r="N63" s="39">
        <f t="array" ref="N63">MAX((表1_861218222426729298[目标区服]=表2_971319232527739399[[#This Row],[合区区服]])*(表1_861218222426729298[目标国家（映射）]=表2_971319232527739399[[#This Row],[国家]])*表1_861218222426729298[单将最高战力])</f>
        <v>948868</v>
      </c>
    </row>
    <row r="64" customHeight="1" spans="1:14">
      <c r="A64" s="372" t="s">
        <v>222</v>
      </c>
      <c r="B64" s="39" t="s">
        <v>27</v>
      </c>
      <c r="C64" s="39">
        <f>COUNTIFS(表1_861218222426729298[目标区服],表2_971319232527739399[[#This Row],[合区区服]],表1_861218222426729298[目标国家（映射）],表2_971319232527739399[[#This Row],[国家]])</f>
        <v>2</v>
      </c>
      <c r="D64" s="39">
        <f>SUMIFS(表1_861218222426729298[活跃高战玩家数],表1_861218222426729298[目标区服],表2_971319232527739399[[#This Row],[合区区服]],表1_861218222426729298[目标国家（映射）],表2_971319232527739399[[#This Row],[国家]])</f>
        <v>6</v>
      </c>
      <c r="E64" s="39">
        <f>SUMIFS(表1_861218222426729298[活跃中坚玩家数],表1_861218222426729298[目标区服],表2_971319232527739399[[#This Row],[合区区服]],表1_861218222426729298[目标国家（映射）],表2_971319232527739399[[#This Row],[国家]])</f>
        <v>40</v>
      </c>
      <c r="F64" s="39">
        <f t="array" ref="F64">MAX((表1_861218222426729298[目标区服]=表2_971319232527739399[[#This Row],[合区区服]])*(表1_861218222426729298[目标国家（映射）]=表2_971319232527739399[[#This Row],[国家]])*表1_861218222426729298[活跃尖端战力])</f>
        <v>3607459</v>
      </c>
      <c r="G64" s="40">
        <f>SUMIFS(表1_861218222426729298[活跃总战力],表1_861218222426729298[目标区服],表2_971319232527739399[[#This Row],[合区区服]],表1_861218222426729298[目标国家（映射）],表2_971319232527739399[[#This Row],[国家]])</f>
        <v>42132928</v>
      </c>
      <c r="H64" s="39">
        <f>SUMIFS(表1_861218222426729298[活跃实际充值],表1_861218222426729298[目标区服],表2_971319232527739399[[#This Row],[合区区服]],表1_861218222426729298[目标国家（映射）],表2_971319232527739399[[#This Row],[国家]])</f>
        <v>113966</v>
      </c>
      <c r="I64" s="39">
        <f>SUMIFS(表1_861218222426729298[活跃虚拟充值],表1_861218222426729298[目标区服],表2_971319232527739399[[#This Row],[合区区服]],表1_861218222426729298[目标国家（映射）],表2_971319232527739399[[#This Row],[国家]])</f>
        <v>0</v>
      </c>
      <c r="J64" s="39">
        <f>SUMIFS(表1_861218222426729298[活跃Coin],表1_861218222426729298[目标区服],表2_971319232527739399[[#This Row],[合区区服]],表1_861218222426729298[目标国家（映射）],表2_971319232527739399[[#This Row],[国家]])</f>
        <v>1175062</v>
      </c>
      <c r="K64" s="39">
        <f>SUMIFS(表1_861218222426729298[共计补偿Coin],表1_861218222426729298[目标区服],表2_971319232527739399[[#This Row],[合区区服]],表1_861218222426729298[目标国家（映射）],表2_971319232527739399[[#This Row],[国家]])</f>
        <v>111000</v>
      </c>
      <c r="L64" s="39">
        <f>表2_971319232527739399[[#This Row],[活跃Coin]]+表2_971319232527739399[[#This Row],[共计补偿Coin]]</f>
        <v>1286062</v>
      </c>
      <c r="M64" s="39">
        <f>SUMIFS(表1_861218222426729298[综合国力],表1_861218222426729298[目标区服],表2_971319232527739399[[#This Row],[合区区服]],表1_861218222426729298[目标国家（映射）],表2_971319232527739399[[#This Row],[国家]])</f>
        <v>16676</v>
      </c>
      <c r="N64" s="39">
        <f t="array" ref="N64">MAX((表1_861218222426729298[目标区服]=表2_971319232527739399[[#This Row],[合区区服]])*(表1_861218222426729298[目标国家（映射）]=表2_971319232527739399[[#This Row],[国家]])*表1_861218222426729298[单将最高战力])</f>
        <v>989602</v>
      </c>
    </row>
    <row r="65" customHeight="1" spans="1:14">
      <c r="A65" s="296" t="s">
        <v>223</v>
      </c>
      <c r="B65" s="41" t="s">
        <v>25</v>
      </c>
      <c r="C65" s="41">
        <f>COUNTIFS(表1_861218222426729298[目标区服],表2_971319232527739399[[#This Row],[合区区服]],表1_861218222426729298[目标国家（映射）],表2_971319232527739399[[#This Row],[国家]])</f>
        <v>2</v>
      </c>
      <c r="D65" s="41">
        <f>SUMIFS(表1_861218222426729298[活跃高战玩家数],表1_861218222426729298[目标区服],表2_971319232527739399[[#This Row],[合区区服]],表1_861218222426729298[目标国家（映射）],表2_971319232527739399[[#This Row],[国家]])</f>
        <v>8</v>
      </c>
      <c r="E65" s="41">
        <f>SUMIFS(表1_861218222426729298[活跃中坚玩家数],表1_861218222426729298[目标区服],表2_971319232527739399[[#This Row],[合区区服]],表1_861218222426729298[目标国家（映射）],表2_971319232527739399[[#This Row],[国家]])</f>
        <v>34</v>
      </c>
      <c r="F65" s="41">
        <f t="array" ref="F65">MAX((表1_861218222426729298[目标区服]=表2_971319232527739399[[#This Row],[合区区服]])*(表1_861218222426729298[目标国家（映射）]=表2_971319232527739399[[#This Row],[国家]])*表1_861218222426729298[活跃尖端战力])</f>
        <v>2875476</v>
      </c>
      <c r="G65" s="42">
        <f>SUMIFS(表1_861218222426729298[活跃总战力],表1_861218222426729298[目标区服],表2_971319232527739399[[#This Row],[合区区服]],表1_861218222426729298[目标国家（映射）],表2_971319232527739399[[#This Row],[国家]])</f>
        <v>33631210</v>
      </c>
      <c r="H65" s="41">
        <f>SUMIFS(表1_861218222426729298[活跃实际充值],表1_861218222426729298[目标区服],表2_971319232527739399[[#This Row],[合区区服]],表1_861218222426729298[目标国家（映射）],表2_971319232527739399[[#This Row],[国家]])</f>
        <v>84554</v>
      </c>
      <c r="I65" s="41">
        <f>SUMIFS(表1_861218222426729298[活跃虚拟充值],表1_861218222426729298[目标区服],表2_971319232527739399[[#This Row],[合区区服]],表1_861218222426729298[目标国家（映射）],表2_971319232527739399[[#This Row],[国家]])</f>
        <v>0</v>
      </c>
      <c r="J65" s="41">
        <f>SUMIFS(表1_861218222426729298[活跃Coin],表1_861218222426729298[目标区服],表2_971319232527739399[[#This Row],[合区区服]],表1_861218222426729298[目标国家（映射）],表2_971319232527739399[[#This Row],[国家]])</f>
        <v>801537</v>
      </c>
      <c r="K65" s="41">
        <f>SUMIFS(表1_861218222426729298[共计补偿Coin],表1_861218222426729298[目标区服],表2_971319232527739399[[#This Row],[合区区服]],表1_861218222426729298[目标国家（映射）],表2_971319232527739399[[#This Row],[国家]])</f>
        <v>84000</v>
      </c>
      <c r="L65" s="41">
        <f>表2_971319232527739399[[#This Row],[活跃Coin]]+表2_971319232527739399[[#This Row],[共计补偿Coin]]</f>
        <v>885537</v>
      </c>
      <c r="M65" s="41">
        <f>SUMIFS(表1_861218222426729298[综合国力],表1_861218222426729298[目标区服],表2_971319232527739399[[#This Row],[合区区服]],表1_861218222426729298[目标国家（映射）],表2_971319232527739399[[#This Row],[国家]])</f>
        <v>15260</v>
      </c>
      <c r="N65" s="41">
        <f t="array" ref="N65">MAX((表1_861218222426729298[目标区服]=表2_971319232527739399[[#This Row],[合区区服]])*(表1_861218222426729298[目标国家（映射）]=表2_971319232527739399[[#This Row],[国家]])*表1_861218222426729298[单将最高战力])</f>
        <v>908969</v>
      </c>
    </row>
    <row r="66" customHeight="1" spans="1:14">
      <c r="A66" s="296" t="s">
        <v>223</v>
      </c>
      <c r="B66" s="41" t="s">
        <v>26</v>
      </c>
      <c r="C66" s="41">
        <f>COUNTIFS(表1_861218222426729298[目标区服],表2_971319232527739399[[#This Row],[合区区服]],表1_861218222426729298[目标国家（映射）],表2_971319232527739399[[#This Row],[国家]])</f>
        <v>2</v>
      </c>
      <c r="D66" s="41">
        <f>SUMIFS(表1_861218222426729298[活跃高战玩家数],表1_861218222426729298[目标区服],表2_971319232527739399[[#This Row],[合区区服]],表1_861218222426729298[目标国家（映射）],表2_971319232527739399[[#This Row],[国家]])</f>
        <v>7</v>
      </c>
      <c r="E66" s="41">
        <f>SUMIFS(表1_861218222426729298[活跃中坚玩家数],表1_861218222426729298[目标区服],表2_971319232527739399[[#This Row],[合区区服]],表1_861218222426729298[目标国家（映射）],表2_971319232527739399[[#This Row],[国家]])</f>
        <v>44</v>
      </c>
      <c r="F66" s="41">
        <f t="array" ref="F66">MAX((表1_861218222426729298[目标区服]=表2_971319232527739399[[#This Row],[合区区服]])*(表1_861218222426729298[目标国家（映射）]=表2_971319232527739399[[#This Row],[国家]])*表1_861218222426729298[活跃尖端战力])</f>
        <v>2522920</v>
      </c>
      <c r="G66" s="42">
        <f>SUMIFS(表1_861218222426729298[活跃总战力],表1_861218222426729298[目标区服],表2_971319232527739399[[#This Row],[合区区服]],表1_861218222426729298[目标国家（映射）],表2_971319232527739399[[#This Row],[国家]])</f>
        <v>38310616</v>
      </c>
      <c r="H66" s="41">
        <f>SUMIFS(表1_861218222426729298[活跃实际充值],表1_861218222426729298[目标区服],表2_971319232527739399[[#This Row],[合区区服]],表1_861218222426729298[目标国家（映射）],表2_971319232527739399[[#This Row],[国家]])</f>
        <v>88918</v>
      </c>
      <c r="I66" s="41">
        <f>SUMIFS(表1_861218222426729298[活跃虚拟充值],表1_861218222426729298[目标区服],表2_971319232527739399[[#This Row],[合区区服]],表1_861218222426729298[目标国家（映射）],表2_971319232527739399[[#This Row],[国家]])</f>
        <v>0</v>
      </c>
      <c r="J66" s="41">
        <f>SUMIFS(表1_861218222426729298[活跃Coin],表1_861218222426729298[目标区服],表2_971319232527739399[[#This Row],[合区区服]],表1_861218222426729298[目标国家（映射）],表2_971319232527739399[[#This Row],[国家]])</f>
        <v>535290</v>
      </c>
      <c r="K66" s="41">
        <f>SUMIFS(表1_861218222426729298[共计补偿Coin],表1_861218222426729298[目标区服],表2_971319232527739399[[#This Row],[合区区服]],表1_861218222426729298[目标国家（映射）],表2_971319232527739399[[#This Row],[国家]])</f>
        <v>102000</v>
      </c>
      <c r="L66" s="41">
        <f>表2_971319232527739399[[#This Row],[活跃Coin]]+表2_971319232527739399[[#This Row],[共计补偿Coin]]</f>
        <v>637290</v>
      </c>
      <c r="M66" s="41">
        <f>SUMIFS(表1_861218222426729298[综合国力],表1_861218222426729298[目标区服],表2_971319232527739399[[#This Row],[合区区服]],表1_861218222426729298[目标国家（映射）],表2_971319232527739399[[#This Row],[国家]])</f>
        <v>14964</v>
      </c>
      <c r="N66" s="41">
        <f t="array" ref="N66">MAX((表1_861218222426729298[目标区服]=表2_971319232527739399[[#This Row],[合区区服]])*(表1_861218222426729298[目标国家（映射）]=表2_971319232527739399[[#This Row],[国家]])*表1_861218222426729298[单将最高战力])</f>
        <v>720285</v>
      </c>
    </row>
    <row r="67" customHeight="1" spans="1:14">
      <c r="A67" s="296" t="s">
        <v>223</v>
      </c>
      <c r="B67" s="43" t="s">
        <v>27</v>
      </c>
      <c r="C67" s="43">
        <f>COUNTIFS(表1_861218222426729298[目标区服],表2_971319232527739399[[#This Row],[合区区服]],表1_861218222426729298[目标国家（映射）],表2_971319232527739399[[#This Row],[国家]])</f>
        <v>2</v>
      </c>
      <c r="D67" s="43">
        <f>SUMIFS(表1_861218222426729298[活跃高战玩家数],表1_861218222426729298[目标区服],表2_971319232527739399[[#This Row],[合区区服]],表1_861218222426729298[目标国家（映射）],表2_971319232527739399[[#This Row],[国家]])</f>
        <v>3</v>
      </c>
      <c r="E67" s="43">
        <f>SUMIFS(表1_861218222426729298[活跃中坚玩家数],表1_861218222426729298[目标区服],表2_971319232527739399[[#This Row],[合区区服]],表1_861218222426729298[目标国家（映射）],表2_971319232527739399[[#This Row],[国家]])</f>
        <v>34</v>
      </c>
      <c r="F67" s="43">
        <f t="array" ref="F67">MAX((表1_861218222426729298[目标区服]=表2_971319232527739399[[#This Row],[合区区服]])*(表1_861218222426729298[目标国家（映射）]=表2_971319232527739399[[#This Row],[国家]])*表1_861218222426729298[活跃尖端战力])</f>
        <v>2844961</v>
      </c>
      <c r="G67" s="44">
        <f>SUMIFS(表1_861218222426729298[活跃总战力],表1_861218222426729298[目标区服],表2_971319232527739399[[#This Row],[合区区服]],表1_861218222426729298[目标国家（映射）],表2_971319232527739399[[#This Row],[国家]])</f>
        <v>25552478</v>
      </c>
      <c r="H67" s="43">
        <f>SUMIFS(表1_861218222426729298[活跃实际充值],表1_861218222426729298[目标区服],表2_971319232527739399[[#This Row],[合区区服]],表1_861218222426729298[目标国家（映射）],表2_971319232527739399[[#This Row],[国家]])</f>
        <v>86890</v>
      </c>
      <c r="I67" s="43">
        <f>SUMIFS(表1_861218222426729298[活跃虚拟充值],表1_861218222426729298[目标区服],表2_971319232527739399[[#This Row],[合区区服]],表1_861218222426729298[目标国家（映射）],表2_971319232527739399[[#This Row],[国家]])</f>
        <v>998</v>
      </c>
      <c r="J67" s="43">
        <f>SUMIFS(表1_861218222426729298[活跃Coin],表1_861218222426729298[目标区服],表2_971319232527739399[[#This Row],[合区区服]],表1_861218222426729298[目标国家（映射）],表2_971319232527739399[[#This Row],[国家]])</f>
        <v>566940</v>
      </c>
      <c r="K67" s="43">
        <f>SUMIFS(表1_861218222426729298[共计补偿Coin],表1_861218222426729298[目标区服],表2_971319232527739399[[#This Row],[合区区服]],表1_861218222426729298[目标国家（映射）],表2_971319232527739399[[#This Row],[国家]])</f>
        <v>74000</v>
      </c>
      <c r="L67" s="43">
        <f>表2_971319232527739399[[#This Row],[活跃Coin]]+表2_971319232527739399[[#This Row],[共计补偿Coin]]</f>
        <v>640940</v>
      </c>
      <c r="M67" s="43">
        <f>SUMIFS(表1_861218222426729298[综合国力],表1_861218222426729298[目标区服],表2_971319232527739399[[#This Row],[合区区服]],表1_861218222426729298[目标国家（映射）],表2_971319232527739399[[#This Row],[国家]])</f>
        <v>12799</v>
      </c>
      <c r="N67" s="41">
        <f t="array" ref="N67">MAX((表1_861218222426729298[目标区服]=表2_971319232527739399[[#This Row],[合区区服]])*(表1_861218222426729298[目标国家（映射）]=表2_971319232527739399[[#This Row],[国家]])*表1_861218222426729298[单将最高战力])</f>
        <v>824484</v>
      </c>
    </row>
    <row r="73" ht="27" spans="2:14">
      <c r="B73" s="49"/>
      <c r="C73" s="50" t="s">
        <v>9</v>
      </c>
      <c r="D73" s="50" t="s">
        <v>10</v>
      </c>
      <c r="E73" s="50" t="s">
        <v>11</v>
      </c>
      <c r="F73" s="50" t="s">
        <v>12</v>
      </c>
      <c r="G73" s="50" t="s">
        <v>13</v>
      </c>
      <c r="H73" s="50" t="s">
        <v>14</v>
      </c>
      <c r="I73" s="50" t="s">
        <v>15</v>
      </c>
      <c r="J73" s="50" t="s">
        <v>18</v>
      </c>
      <c r="K73" s="50" t="s">
        <v>19</v>
      </c>
      <c r="L73" s="50" t="s">
        <v>20</v>
      </c>
      <c r="M73" s="50" t="s">
        <v>21</v>
      </c>
      <c r="N73" s="50" t="s">
        <v>82</v>
      </c>
    </row>
    <row r="74" spans="1:14">
      <c r="A74">
        <v>192</v>
      </c>
      <c r="B74" s="50" t="s">
        <v>25</v>
      </c>
      <c r="C74" s="50">
        <v>9</v>
      </c>
      <c r="D74" s="50">
        <v>363</v>
      </c>
      <c r="E74" s="50">
        <v>8</v>
      </c>
      <c r="F74" s="50">
        <v>33</v>
      </c>
      <c r="G74" s="50">
        <v>214025</v>
      </c>
      <c r="H74" s="50">
        <v>4371645</v>
      </c>
      <c r="I74" s="50">
        <v>55849479</v>
      </c>
      <c r="J74" s="50">
        <v>343158</v>
      </c>
      <c r="K74" s="50">
        <v>0</v>
      </c>
      <c r="L74" s="50">
        <v>2401777</v>
      </c>
      <c r="M74" s="50">
        <v>27052</v>
      </c>
      <c r="N74" s="50">
        <v>1133620</v>
      </c>
    </row>
    <row r="75" spans="2:14">
      <c r="B75" s="50" t="s">
        <v>26</v>
      </c>
      <c r="C75" s="50">
        <v>0</v>
      </c>
      <c r="D75" s="50">
        <v>21</v>
      </c>
      <c r="E75" s="50">
        <v>1</v>
      </c>
      <c r="F75" s="50">
        <v>9</v>
      </c>
      <c r="G75" s="50">
        <v>23111</v>
      </c>
      <c r="H75" s="50">
        <v>1614666</v>
      </c>
      <c r="I75" s="50">
        <v>7950185</v>
      </c>
      <c r="J75" s="50">
        <v>39264</v>
      </c>
      <c r="K75" s="50">
        <v>0</v>
      </c>
      <c r="L75" s="50">
        <v>103943</v>
      </c>
      <c r="M75" s="50">
        <v>3965</v>
      </c>
      <c r="N75" s="50">
        <v>644548</v>
      </c>
    </row>
    <row r="76" spans="2:14">
      <c r="B76" s="50" t="s">
        <v>27</v>
      </c>
      <c r="C76" s="50">
        <v>0</v>
      </c>
      <c r="D76" s="50">
        <v>11</v>
      </c>
      <c r="E76" s="50">
        <v>0</v>
      </c>
      <c r="F76" s="50">
        <v>7</v>
      </c>
      <c r="G76" s="50">
        <v>17385</v>
      </c>
      <c r="H76" s="50">
        <v>1350666</v>
      </c>
      <c r="I76" s="50">
        <v>5354980</v>
      </c>
      <c r="J76" s="50">
        <v>7798</v>
      </c>
      <c r="K76" s="50">
        <v>0</v>
      </c>
      <c r="L76" s="50">
        <v>103284</v>
      </c>
      <c r="M76" s="50">
        <v>2368</v>
      </c>
      <c r="N76" s="50">
        <v>534033</v>
      </c>
    </row>
    <row r="77" spans="1:14">
      <c r="A77">
        <v>193</v>
      </c>
      <c r="B77" s="50" t="s">
        <v>25</v>
      </c>
      <c r="C77" s="50">
        <v>4</v>
      </c>
      <c r="D77" s="50">
        <v>206</v>
      </c>
      <c r="E77" s="50">
        <v>6</v>
      </c>
      <c r="F77" s="50">
        <v>38</v>
      </c>
      <c r="G77" s="50">
        <v>188955</v>
      </c>
      <c r="H77" s="50">
        <v>4801060</v>
      </c>
      <c r="I77" s="50">
        <v>62687346</v>
      </c>
      <c r="J77" s="50">
        <v>461272</v>
      </c>
      <c r="K77" s="50">
        <v>1304</v>
      </c>
      <c r="L77" s="50">
        <v>2417075</v>
      </c>
      <c r="M77" s="50">
        <v>29534</v>
      </c>
      <c r="N77" s="50">
        <v>1358150</v>
      </c>
    </row>
    <row r="78" spans="2:14">
      <c r="B78" s="50" t="s">
        <v>26</v>
      </c>
      <c r="C78" s="50">
        <v>2</v>
      </c>
      <c r="D78" s="50">
        <v>91</v>
      </c>
      <c r="E78" s="50">
        <v>4</v>
      </c>
      <c r="F78" s="50">
        <v>17</v>
      </c>
      <c r="G78" s="50">
        <v>82377</v>
      </c>
      <c r="H78" s="50">
        <v>3889797</v>
      </c>
      <c r="I78" s="50">
        <v>31096178</v>
      </c>
      <c r="J78" s="50">
        <v>252828</v>
      </c>
      <c r="K78" s="50">
        <v>0</v>
      </c>
      <c r="L78" s="50">
        <v>266505</v>
      </c>
      <c r="M78" s="50">
        <v>16239</v>
      </c>
      <c r="N78" s="50">
        <v>1100060</v>
      </c>
    </row>
    <row r="79" spans="2:14">
      <c r="B79" s="50" t="s">
        <v>27</v>
      </c>
      <c r="C79" s="50">
        <v>3</v>
      </c>
      <c r="D79" s="50">
        <v>98</v>
      </c>
      <c r="E79" s="50">
        <v>0</v>
      </c>
      <c r="F79" s="50">
        <v>24</v>
      </c>
      <c r="G79" s="50">
        <v>49414</v>
      </c>
      <c r="H79" s="50">
        <v>2174756</v>
      </c>
      <c r="I79" s="50">
        <v>23590804</v>
      </c>
      <c r="J79" s="50">
        <v>63028</v>
      </c>
      <c r="K79" s="50">
        <v>0</v>
      </c>
      <c r="L79" s="50">
        <v>558413</v>
      </c>
      <c r="M79" s="50">
        <v>8230</v>
      </c>
      <c r="N79" s="50">
        <v>682357</v>
      </c>
    </row>
    <row r="80" spans="1:14">
      <c r="A80">
        <v>194</v>
      </c>
      <c r="B80" s="50" t="s">
        <v>25</v>
      </c>
      <c r="C80" s="50">
        <v>3</v>
      </c>
      <c r="D80" s="50">
        <v>132</v>
      </c>
      <c r="E80" s="50">
        <v>5</v>
      </c>
      <c r="F80" s="50">
        <v>27</v>
      </c>
      <c r="G80" s="50">
        <v>130271</v>
      </c>
      <c r="H80" s="50">
        <v>2340722</v>
      </c>
      <c r="I80" s="50">
        <v>35552522</v>
      </c>
      <c r="J80" s="50">
        <v>198424</v>
      </c>
      <c r="K80" s="50">
        <v>188</v>
      </c>
      <c r="L80" s="50">
        <v>830695</v>
      </c>
      <c r="M80" s="50">
        <v>14537</v>
      </c>
      <c r="N80" s="50">
        <v>1024004</v>
      </c>
    </row>
    <row r="81" spans="2:14">
      <c r="B81" s="50" t="s">
        <v>26</v>
      </c>
      <c r="C81" s="50">
        <v>3</v>
      </c>
      <c r="D81" s="50">
        <v>135</v>
      </c>
      <c r="E81" s="50">
        <v>3</v>
      </c>
      <c r="F81" s="50">
        <v>16</v>
      </c>
      <c r="G81" s="50">
        <v>64038</v>
      </c>
      <c r="H81" s="50">
        <v>2626190</v>
      </c>
      <c r="I81" s="50">
        <v>19866621</v>
      </c>
      <c r="J81" s="50">
        <v>86492</v>
      </c>
      <c r="K81" s="50">
        <v>0</v>
      </c>
      <c r="L81" s="50">
        <v>289312</v>
      </c>
      <c r="M81" s="50">
        <v>9322</v>
      </c>
      <c r="N81" s="50">
        <v>772961</v>
      </c>
    </row>
    <row r="82" spans="2:14">
      <c r="B82" s="50" t="s">
        <v>27</v>
      </c>
      <c r="C82" s="50">
        <v>3</v>
      </c>
      <c r="D82" s="50">
        <v>128</v>
      </c>
      <c r="E82" s="50">
        <v>2</v>
      </c>
      <c r="F82" s="50">
        <v>32</v>
      </c>
      <c r="G82" s="50">
        <v>130631</v>
      </c>
      <c r="H82" s="50">
        <v>2651618</v>
      </c>
      <c r="I82" s="50">
        <v>36055168</v>
      </c>
      <c r="J82" s="50">
        <v>149160</v>
      </c>
      <c r="K82" s="50">
        <v>63752</v>
      </c>
      <c r="L82" s="50">
        <v>1733482</v>
      </c>
      <c r="M82" s="50">
        <v>14469</v>
      </c>
      <c r="N82" s="50">
        <v>1252246</v>
      </c>
    </row>
    <row r="83" spans="1:14">
      <c r="A83">
        <v>195</v>
      </c>
      <c r="B83" s="50" t="s">
        <v>25</v>
      </c>
      <c r="C83" s="50">
        <v>0</v>
      </c>
      <c r="D83" s="50">
        <v>46</v>
      </c>
      <c r="E83" s="50">
        <v>4</v>
      </c>
      <c r="F83" s="50">
        <v>16</v>
      </c>
      <c r="G83" s="50">
        <v>89080</v>
      </c>
      <c r="H83" s="50">
        <v>3731037</v>
      </c>
      <c r="I83" s="50">
        <v>22221540</v>
      </c>
      <c r="J83" s="50">
        <v>106482</v>
      </c>
      <c r="K83" s="50">
        <v>0</v>
      </c>
      <c r="L83" s="50">
        <v>331003</v>
      </c>
      <c r="M83" s="50">
        <v>10218</v>
      </c>
      <c r="N83" s="50">
        <v>1092015</v>
      </c>
    </row>
    <row r="84" spans="2:14">
      <c r="B84" s="50" t="s">
        <v>26</v>
      </c>
      <c r="C84" s="50">
        <v>9</v>
      </c>
      <c r="D84" s="50">
        <v>306</v>
      </c>
      <c r="E84" s="50">
        <v>6</v>
      </c>
      <c r="F84" s="50">
        <v>19</v>
      </c>
      <c r="G84" s="50">
        <v>127770</v>
      </c>
      <c r="H84" s="50">
        <v>4249770</v>
      </c>
      <c r="I84" s="50">
        <v>31063660</v>
      </c>
      <c r="J84" s="50">
        <v>152718</v>
      </c>
      <c r="K84" s="50">
        <v>30</v>
      </c>
      <c r="L84" s="50">
        <v>950612</v>
      </c>
      <c r="M84" s="50">
        <v>17012</v>
      </c>
      <c r="N84" s="50">
        <v>1315885</v>
      </c>
    </row>
    <row r="85" spans="2:14">
      <c r="B85" s="50" t="s">
        <v>27</v>
      </c>
      <c r="C85" s="50">
        <v>0</v>
      </c>
      <c r="D85" s="50">
        <v>43</v>
      </c>
      <c r="E85" s="50">
        <v>0</v>
      </c>
      <c r="F85" s="50">
        <v>16</v>
      </c>
      <c r="G85" s="50">
        <v>53079</v>
      </c>
      <c r="H85" s="50">
        <v>2150647</v>
      </c>
      <c r="I85" s="50">
        <v>12852172</v>
      </c>
      <c r="J85" s="50">
        <v>8136</v>
      </c>
      <c r="K85" s="50">
        <v>0</v>
      </c>
      <c r="L85" s="50">
        <v>313451</v>
      </c>
      <c r="M85" s="50">
        <v>4532</v>
      </c>
      <c r="N85" s="50">
        <v>621534</v>
      </c>
    </row>
    <row r="86" spans="1:14">
      <c r="A86">
        <v>196</v>
      </c>
      <c r="B86" s="50" t="s">
        <v>25</v>
      </c>
      <c r="C86" s="50">
        <v>4</v>
      </c>
      <c r="D86" s="50">
        <v>85</v>
      </c>
      <c r="E86" s="50">
        <v>0</v>
      </c>
      <c r="F86" s="50">
        <v>14</v>
      </c>
      <c r="G86" s="50">
        <v>47024</v>
      </c>
      <c r="H86" s="50">
        <v>1578470</v>
      </c>
      <c r="I86" s="50">
        <v>9856776</v>
      </c>
      <c r="J86" s="50">
        <v>11850</v>
      </c>
      <c r="K86" s="50">
        <v>0</v>
      </c>
      <c r="L86" s="50">
        <v>209489</v>
      </c>
      <c r="M86" s="50">
        <v>4509</v>
      </c>
      <c r="N86" s="50">
        <v>509595</v>
      </c>
    </row>
    <row r="87" spans="2:14">
      <c r="B87" s="50" t="s">
        <v>26</v>
      </c>
      <c r="C87" s="50">
        <v>4</v>
      </c>
      <c r="D87" s="50">
        <v>130</v>
      </c>
      <c r="E87" s="50">
        <v>6</v>
      </c>
      <c r="F87" s="50">
        <v>22</v>
      </c>
      <c r="G87" s="50">
        <v>123270</v>
      </c>
      <c r="H87" s="50">
        <v>2602358</v>
      </c>
      <c r="I87" s="50">
        <v>23802461</v>
      </c>
      <c r="J87" s="50">
        <v>61272</v>
      </c>
      <c r="K87" s="50">
        <v>30</v>
      </c>
      <c r="L87" s="50">
        <v>476656</v>
      </c>
      <c r="M87" s="50">
        <v>9375</v>
      </c>
      <c r="N87" s="50">
        <v>792684</v>
      </c>
    </row>
    <row r="88" spans="2:14">
      <c r="B88" s="50" t="s">
        <v>27</v>
      </c>
      <c r="C88" s="50">
        <v>1</v>
      </c>
      <c r="D88" s="50">
        <v>180</v>
      </c>
      <c r="E88" s="50">
        <v>4</v>
      </c>
      <c r="F88" s="50">
        <v>25</v>
      </c>
      <c r="G88" s="50">
        <v>129094</v>
      </c>
      <c r="H88" s="50">
        <v>3352998</v>
      </c>
      <c r="I88" s="50">
        <v>26787813</v>
      </c>
      <c r="J88" s="50">
        <v>92480</v>
      </c>
      <c r="K88" s="50">
        <v>0</v>
      </c>
      <c r="L88" s="50">
        <v>963869</v>
      </c>
      <c r="M88" s="50">
        <v>11833</v>
      </c>
      <c r="N88" s="50">
        <v>1202846</v>
      </c>
    </row>
    <row r="89" spans="1:14">
      <c r="A89">
        <v>197</v>
      </c>
      <c r="B89" s="50" t="s">
        <v>25</v>
      </c>
      <c r="C89" s="50">
        <v>6</v>
      </c>
      <c r="D89" s="50">
        <v>192</v>
      </c>
      <c r="E89" s="50">
        <v>9</v>
      </c>
      <c r="F89" s="50">
        <v>24</v>
      </c>
      <c r="G89" s="50">
        <v>168883</v>
      </c>
      <c r="H89" s="50">
        <v>4525130</v>
      </c>
      <c r="I89" s="50">
        <v>47035828</v>
      </c>
      <c r="J89" s="50">
        <v>279108</v>
      </c>
      <c r="K89" s="50">
        <v>0</v>
      </c>
      <c r="L89" s="50">
        <v>922093</v>
      </c>
      <c r="M89" s="50">
        <v>21427</v>
      </c>
      <c r="N89" s="50">
        <v>1314163</v>
      </c>
    </row>
    <row r="90" spans="2:14">
      <c r="B90" s="50" t="s">
        <v>26</v>
      </c>
      <c r="C90" s="50">
        <v>3</v>
      </c>
      <c r="D90" s="50">
        <v>172</v>
      </c>
      <c r="E90" s="50">
        <v>1</v>
      </c>
      <c r="F90" s="50">
        <v>27</v>
      </c>
      <c r="G90" s="50">
        <v>99597</v>
      </c>
      <c r="H90" s="50">
        <v>3824917</v>
      </c>
      <c r="I90" s="50">
        <v>29846127</v>
      </c>
      <c r="J90" s="50">
        <v>113216</v>
      </c>
      <c r="K90" s="50">
        <v>0</v>
      </c>
      <c r="L90" s="50">
        <v>439330</v>
      </c>
      <c r="M90" s="50">
        <v>12943</v>
      </c>
      <c r="N90" s="50">
        <v>1546894</v>
      </c>
    </row>
    <row r="91" spans="2:14">
      <c r="B91" s="50" t="s">
        <v>27</v>
      </c>
      <c r="C91" s="50">
        <v>0</v>
      </c>
      <c r="D91" s="50">
        <v>31</v>
      </c>
      <c r="E91" s="50">
        <v>0</v>
      </c>
      <c r="F91" s="50">
        <v>14</v>
      </c>
      <c r="G91" s="50">
        <v>38462</v>
      </c>
      <c r="H91" s="50">
        <v>1859972</v>
      </c>
      <c r="I91" s="50">
        <v>12305027</v>
      </c>
      <c r="J91" s="50">
        <v>13326</v>
      </c>
      <c r="K91" s="50">
        <v>0</v>
      </c>
      <c r="L91" s="50">
        <v>98515</v>
      </c>
      <c r="M91" s="50">
        <v>4041</v>
      </c>
      <c r="N91" s="50">
        <v>552304</v>
      </c>
    </row>
    <row r="92" spans="1:14">
      <c r="A92">
        <v>198</v>
      </c>
      <c r="B92" s="50" t="s">
        <v>25</v>
      </c>
      <c r="C92" s="50">
        <v>3</v>
      </c>
      <c r="D92" s="50">
        <v>150</v>
      </c>
      <c r="E92" s="50">
        <v>3</v>
      </c>
      <c r="F92" s="50">
        <v>27</v>
      </c>
      <c r="G92" s="50">
        <v>121737</v>
      </c>
      <c r="H92" s="50">
        <v>3614826</v>
      </c>
      <c r="I92" s="50">
        <v>34969332</v>
      </c>
      <c r="J92" s="50">
        <v>116282</v>
      </c>
      <c r="K92" s="50">
        <v>0</v>
      </c>
      <c r="L92" s="50">
        <v>536572</v>
      </c>
      <c r="M92" s="50">
        <v>13277</v>
      </c>
      <c r="N92" s="50">
        <v>1106676</v>
      </c>
    </row>
    <row r="93" spans="2:14">
      <c r="B93" s="50" t="s">
        <v>26</v>
      </c>
      <c r="C93" s="50">
        <v>4</v>
      </c>
      <c r="D93" s="50">
        <v>163</v>
      </c>
      <c r="E93" s="50">
        <v>4</v>
      </c>
      <c r="F93" s="50">
        <v>28</v>
      </c>
      <c r="G93" s="50">
        <v>112432</v>
      </c>
      <c r="H93" s="50">
        <v>2987596</v>
      </c>
      <c r="I93" s="50">
        <v>33544391</v>
      </c>
      <c r="J93" s="50">
        <v>89336</v>
      </c>
      <c r="K93" s="50">
        <v>0</v>
      </c>
      <c r="L93" s="50">
        <v>397978</v>
      </c>
      <c r="M93" s="50">
        <v>11813</v>
      </c>
      <c r="N93" s="50">
        <v>863727</v>
      </c>
    </row>
    <row r="94" spans="2:14">
      <c r="B94" s="50" t="s">
        <v>27</v>
      </c>
      <c r="C94" s="50">
        <v>2</v>
      </c>
      <c r="D94" s="50">
        <v>82</v>
      </c>
      <c r="E94" s="50">
        <v>3</v>
      </c>
      <c r="F94" s="50">
        <v>17</v>
      </c>
      <c r="G94" s="50">
        <v>65850</v>
      </c>
      <c r="H94" s="50">
        <v>3418825</v>
      </c>
      <c r="I94" s="50">
        <v>22204781</v>
      </c>
      <c r="J94" s="50">
        <v>94535</v>
      </c>
      <c r="K94" s="50">
        <v>0</v>
      </c>
      <c r="L94" s="50">
        <v>337203</v>
      </c>
      <c r="M94" s="50">
        <v>9993</v>
      </c>
      <c r="N94" s="50">
        <v>1058779</v>
      </c>
    </row>
    <row r="95" spans="1:14">
      <c r="A95">
        <v>199</v>
      </c>
      <c r="B95" s="50" t="s">
        <v>25</v>
      </c>
      <c r="C95" s="50">
        <v>1</v>
      </c>
      <c r="D95" s="50">
        <v>103</v>
      </c>
      <c r="E95" s="50">
        <v>1</v>
      </c>
      <c r="F95" s="50">
        <v>12</v>
      </c>
      <c r="G95" s="50">
        <v>29364</v>
      </c>
      <c r="H95" s="50">
        <v>1688072</v>
      </c>
      <c r="I95" s="50">
        <v>8746355</v>
      </c>
      <c r="J95" s="50">
        <v>14668</v>
      </c>
      <c r="K95" s="50">
        <v>0</v>
      </c>
      <c r="L95" s="50">
        <v>165784</v>
      </c>
      <c r="M95" s="50">
        <v>4362</v>
      </c>
      <c r="N95" s="50">
        <v>921399</v>
      </c>
    </row>
    <row r="96" spans="2:14">
      <c r="B96" s="50" t="s">
        <v>26</v>
      </c>
      <c r="C96" s="50">
        <v>5</v>
      </c>
      <c r="D96" s="50">
        <v>199</v>
      </c>
      <c r="E96" s="50">
        <v>9</v>
      </c>
      <c r="F96" s="50">
        <v>31</v>
      </c>
      <c r="G96" s="50">
        <v>187164</v>
      </c>
      <c r="H96" s="50">
        <v>3167591</v>
      </c>
      <c r="I96" s="50">
        <v>39777096</v>
      </c>
      <c r="J96" s="50">
        <v>87440</v>
      </c>
      <c r="K96" s="50">
        <v>98</v>
      </c>
      <c r="L96" s="50">
        <v>523119</v>
      </c>
      <c r="M96" s="50">
        <v>13456</v>
      </c>
      <c r="N96" s="50">
        <v>853169</v>
      </c>
    </row>
    <row r="97" spans="2:14">
      <c r="B97" s="50" t="s">
        <v>27</v>
      </c>
      <c r="C97" s="50">
        <v>3</v>
      </c>
      <c r="D97" s="50">
        <v>93</v>
      </c>
      <c r="E97" s="50">
        <v>0</v>
      </c>
      <c r="F97" s="50">
        <v>18</v>
      </c>
      <c r="G97" s="50">
        <v>51584</v>
      </c>
      <c r="H97" s="50">
        <v>1502549</v>
      </c>
      <c r="I97" s="50">
        <v>12232938</v>
      </c>
      <c r="J97" s="50">
        <v>17484</v>
      </c>
      <c r="K97" s="50">
        <v>0</v>
      </c>
      <c r="L97" s="50">
        <v>114993</v>
      </c>
      <c r="M97" s="50">
        <v>4795</v>
      </c>
      <c r="N97" s="50">
        <v>563610</v>
      </c>
    </row>
    <row r="98" spans="1:14">
      <c r="A98">
        <v>200</v>
      </c>
      <c r="B98" s="50" t="s">
        <v>25</v>
      </c>
      <c r="C98" s="50">
        <v>4</v>
      </c>
      <c r="D98" s="50">
        <v>148</v>
      </c>
      <c r="E98" s="50">
        <v>3</v>
      </c>
      <c r="F98" s="50">
        <v>28</v>
      </c>
      <c r="G98" s="50">
        <v>136033</v>
      </c>
      <c r="H98" s="50">
        <v>3448529</v>
      </c>
      <c r="I98" s="50">
        <v>31901898</v>
      </c>
      <c r="J98" s="50">
        <v>90394</v>
      </c>
      <c r="K98" s="50">
        <v>0</v>
      </c>
      <c r="L98" s="50">
        <v>587752</v>
      </c>
      <c r="M98" s="50">
        <v>12204</v>
      </c>
      <c r="N98" s="50">
        <v>925134</v>
      </c>
    </row>
    <row r="99" spans="2:14">
      <c r="B99" s="50" t="s">
        <v>26</v>
      </c>
      <c r="C99" s="50">
        <v>5</v>
      </c>
      <c r="D99" s="50">
        <v>220</v>
      </c>
      <c r="E99" s="50">
        <v>7</v>
      </c>
      <c r="F99" s="50">
        <v>25</v>
      </c>
      <c r="G99" s="50">
        <v>144149</v>
      </c>
      <c r="H99" s="50">
        <v>3407492</v>
      </c>
      <c r="I99" s="50">
        <v>33540909</v>
      </c>
      <c r="J99" s="50">
        <v>128932</v>
      </c>
      <c r="K99" s="50">
        <v>0</v>
      </c>
      <c r="L99" s="50">
        <v>1065000</v>
      </c>
      <c r="M99" s="50">
        <v>14582</v>
      </c>
      <c r="N99" s="50">
        <v>839553</v>
      </c>
    </row>
    <row r="100" spans="2:14">
      <c r="B100" s="50" t="s">
        <v>27</v>
      </c>
      <c r="C100" s="50">
        <v>0</v>
      </c>
      <c r="D100" s="50">
        <v>27</v>
      </c>
      <c r="E100" s="50">
        <v>0</v>
      </c>
      <c r="F100" s="50">
        <v>8</v>
      </c>
      <c r="G100" s="50">
        <v>12492</v>
      </c>
      <c r="H100" s="50">
        <v>1018034</v>
      </c>
      <c r="I100" s="50">
        <v>4990645</v>
      </c>
      <c r="J100" s="50">
        <v>6186</v>
      </c>
      <c r="K100" s="50">
        <v>0</v>
      </c>
      <c r="L100" s="50">
        <v>94225</v>
      </c>
      <c r="M100" s="50">
        <v>2082</v>
      </c>
      <c r="N100" s="50">
        <v>353512</v>
      </c>
    </row>
    <row r="101" spans="1:14">
      <c r="A101">
        <v>201</v>
      </c>
      <c r="B101" s="50" t="s">
        <v>25</v>
      </c>
      <c r="C101" s="50">
        <v>7</v>
      </c>
      <c r="D101" s="50">
        <v>234</v>
      </c>
      <c r="E101" s="50">
        <v>9</v>
      </c>
      <c r="F101" s="50">
        <v>28</v>
      </c>
      <c r="G101" s="50">
        <v>188459</v>
      </c>
      <c r="H101" s="50">
        <v>3628475</v>
      </c>
      <c r="I101" s="50">
        <v>40897322</v>
      </c>
      <c r="J101" s="50">
        <v>122572</v>
      </c>
      <c r="K101" s="50">
        <v>0</v>
      </c>
      <c r="L101" s="50">
        <v>1241243</v>
      </c>
      <c r="M101" s="50">
        <v>15998</v>
      </c>
      <c r="N101" s="50">
        <v>1042793</v>
      </c>
    </row>
    <row r="102" spans="2:14">
      <c r="B102" s="50" t="s">
        <v>26</v>
      </c>
      <c r="C102" s="50">
        <v>1</v>
      </c>
      <c r="D102" s="50">
        <v>90</v>
      </c>
      <c r="E102" s="50">
        <v>0</v>
      </c>
      <c r="F102" s="50">
        <v>32</v>
      </c>
      <c r="G102" s="50">
        <v>58698</v>
      </c>
      <c r="H102" s="50">
        <v>1799184</v>
      </c>
      <c r="I102" s="50">
        <v>21018493</v>
      </c>
      <c r="J102" s="50">
        <v>20510</v>
      </c>
      <c r="K102" s="50">
        <v>0</v>
      </c>
      <c r="L102" s="50">
        <v>200303</v>
      </c>
      <c r="M102" s="50">
        <v>5909</v>
      </c>
      <c r="N102" s="50">
        <v>588605</v>
      </c>
    </row>
    <row r="103" spans="2:14">
      <c r="B103" s="50" t="s">
        <v>27</v>
      </c>
      <c r="C103" s="50">
        <v>1</v>
      </c>
      <c r="D103" s="50">
        <v>71</v>
      </c>
      <c r="E103" s="50">
        <v>1</v>
      </c>
      <c r="F103" s="50">
        <v>16</v>
      </c>
      <c r="G103" s="50">
        <v>63319</v>
      </c>
      <c r="H103" s="50">
        <v>2023730</v>
      </c>
      <c r="I103" s="50">
        <v>14494829</v>
      </c>
      <c r="J103" s="50">
        <v>49826</v>
      </c>
      <c r="K103" s="50">
        <v>0</v>
      </c>
      <c r="L103" s="50">
        <v>443620</v>
      </c>
      <c r="M103" s="50">
        <v>6316</v>
      </c>
      <c r="N103" s="50">
        <v>643943</v>
      </c>
    </row>
    <row r="104" spans="1:14">
      <c r="A104">
        <v>202</v>
      </c>
      <c r="B104" s="50" t="s">
        <v>25</v>
      </c>
      <c r="C104" s="50">
        <v>0</v>
      </c>
      <c r="D104" s="50">
        <v>15</v>
      </c>
      <c r="E104" s="50">
        <v>0</v>
      </c>
      <c r="F104" s="50">
        <v>19</v>
      </c>
      <c r="G104" s="50">
        <v>54683</v>
      </c>
      <c r="H104" s="50">
        <v>1507741</v>
      </c>
      <c r="I104" s="50">
        <v>12559260</v>
      </c>
      <c r="J104" s="50">
        <v>24320</v>
      </c>
      <c r="K104" s="50">
        <v>0</v>
      </c>
      <c r="L104" s="50">
        <v>207669</v>
      </c>
      <c r="M104" s="50">
        <v>4020</v>
      </c>
      <c r="N104" s="50">
        <v>475752</v>
      </c>
    </row>
    <row r="105" spans="2:14">
      <c r="B105" s="50" t="s">
        <v>26</v>
      </c>
      <c r="C105" s="50">
        <v>9</v>
      </c>
      <c r="D105" s="50">
        <v>359</v>
      </c>
      <c r="E105" s="50">
        <v>10</v>
      </c>
      <c r="F105" s="50">
        <v>33</v>
      </c>
      <c r="G105" s="50">
        <v>218232</v>
      </c>
      <c r="H105" s="50">
        <v>3464154</v>
      </c>
      <c r="I105" s="50">
        <v>44485101</v>
      </c>
      <c r="J105" s="50">
        <v>122148</v>
      </c>
      <c r="K105" s="50">
        <v>0</v>
      </c>
      <c r="L105" s="50">
        <v>893466</v>
      </c>
      <c r="M105" s="50">
        <v>17604</v>
      </c>
      <c r="N105" s="50">
        <v>948868</v>
      </c>
    </row>
    <row r="106" spans="2:14">
      <c r="B106" s="50" t="s">
        <v>27</v>
      </c>
      <c r="C106" s="50">
        <v>0</v>
      </c>
      <c r="D106" s="50">
        <v>21</v>
      </c>
      <c r="E106" s="50">
        <v>0</v>
      </c>
      <c r="F106" s="50">
        <v>8</v>
      </c>
      <c r="G106" s="50">
        <v>14576</v>
      </c>
      <c r="H106" s="50">
        <v>1064702</v>
      </c>
      <c r="I106" s="50">
        <v>4612981</v>
      </c>
      <c r="J106" s="50">
        <v>4782</v>
      </c>
      <c r="K106" s="50">
        <v>0</v>
      </c>
      <c r="L106" s="50">
        <v>132619</v>
      </c>
      <c r="M106" s="50">
        <v>2018</v>
      </c>
      <c r="N106" s="50">
        <v>369352</v>
      </c>
    </row>
    <row r="107" spans="1:14">
      <c r="A107">
        <v>203</v>
      </c>
      <c r="B107" s="50" t="s">
        <v>25</v>
      </c>
      <c r="C107" s="50">
        <v>0</v>
      </c>
      <c r="D107" s="50">
        <v>29</v>
      </c>
      <c r="E107" s="50">
        <v>0</v>
      </c>
      <c r="F107" s="50">
        <v>12</v>
      </c>
      <c r="G107" s="50">
        <v>18882</v>
      </c>
      <c r="H107" s="50">
        <v>1432592</v>
      </c>
      <c r="I107" s="50">
        <v>7408680</v>
      </c>
      <c r="J107" s="50">
        <v>9478</v>
      </c>
      <c r="K107" s="50">
        <v>0</v>
      </c>
      <c r="L107" s="50">
        <v>73711</v>
      </c>
      <c r="M107" s="50">
        <v>2879</v>
      </c>
      <c r="N107" s="50">
        <v>394710</v>
      </c>
    </row>
    <row r="108" spans="2:14">
      <c r="B108" s="50" t="s">
        <v>26</v>
      </c>
      <c r="C108" s="50">
        <v>2</v>
      </c>
      <c r="D108" s="50">
        <v>166</v>
      </c>
      <c r="E108" s="50">
        <v>4</v>
      </c>
      <c r="F108" s="50">
        <v>29</v>
      </c>
      <c r="G108" s="50">
        <v>133124</v>
      </c>
      <c r="H108" s="50">
        <v>2859302</v>
      </c>
      <c r="I108" s="50">
        <v>30139226</v>
      </c>
      <c r="J108" s="50">
        <v>58522</v>
      </c>
      <c r="K108" s="50">
        <v>0</v>
      </c>
      <c r="L108" s="50">
        <v>541381</v>
      </c>
      <c r="M108" s="50">
        <v>10425</v>
      </c>
      <c r="N108" s="50">
        <v>829793</v>
      </c>
    </row>
    <row r="109" spans="2:14">
      <c r="B109" s="50" t="s">
        <v>27</v>
      </c>
      <c r="C109" s="50">
        <v>7</v>
      </c>
      <c r="D109" s="50">
        <v>200</v>
      </c>
      <c r="E109" s="50">
        <v>6</v>
      </c>
      <c r="F109" s="50">
        <v>32</v>
      </c>
      <c r="G109" s="50">
        <v>160559</v>
      </c>
      <c r="H109" s="50">
        <v>3607459</v>
      </c>
      <c r="I109" s="50">
        <v>37519947</v>
      </c>
      <c r="J109" s="50">
        <v>109184</v>
      </c>
      <c r="K109" s="50">
        <v>0</v>
      </c>
      <c r="L109" s="50">
        <v>1042443</v>
      </c>
      <c r="M109" s="50">
        <v>14658</v>
      </c>
      <c r="N109" s="50">
        <v>989602</v>
      </c>
    </row>
    <row r="110" spans="1:14">
      <c r="A110">
        <v>204</v>
      </c>
      <c r="B110" s="50" t="s">
        <v>25</v>
      </c>
      <c r="C110" s="50">
        <v>3</v>
      </c>
      <c r="D110" s="50">
        <v>122</v>
      </c>
      <c r="E110" s="50">
        <v>6</v>
      </c>
      <c r="F110" s="50">
        <v>26</v>
      </c>
      <c r="G110" s="50">
        <v>155030</v>
      </c>
      <c r="H110" s="50">
        <v>2522920</v>
      </c>
      <c r="I110" s="50">
        <v>26765365</v>
      </c>
      <c r="J110" s="50">
        <v>66852</v>
      </c>
      <c r="K110" s="50">
        <v>0</v>
      </c>
      <c r="L110" s="50">
        <v>418491</v>
      </c>
      <c r="M110" s="50">
        <v>9709</v>
      </c>
      <c r="N110" s="50">
        <v>720285</v>
      </c>
    </row>
    <row r="111" spans="2:14">
      <c r="B111" s="50" t="s">
        <v>26</v>
      </c>
      <c r="C111" s="50">
        <v>2</v>
      </c>
      <c r="D111" s="50">
        <v>140</v>
      </c>
      <c r="E111" s="50">
        <v>1</v>
      </c>
      <c r="F111" s="50">
        <v>18</v>
      </c>
      <c r="G111" s="50">
        <v>62866</v>
      </c>
      <c r="H111" s="50">
        <v>1465897</v>
      </c>
      <c r="I111" s="50">
        <v>11545251</v>
      </c>
      <c r="J111" s="50">
        <v>22066</v>
      </c>
      <c r="K111" s="50">
        <v>0</v>
      </c>
      <c r="L111" s="50">
        <v>116799</v>
      </c>
      <c r="M111" s="50">
        <v>5255</v>
      </c>
      <c r="N111" s="50">
        <v>549013</v>
      </c>
    </row>
    <row r="112" spans="2:14">
      <c r="B112" s="50" t="s">
        <v>27</v>
      </c>
      <c r="C112" s="50">
        <v>4</v>
      </c>
      <c r="D112" s="50">
        <v>133</v>
      </c>
      <c r="E112" s="50">
        <v>2</v>
      </c>
      <c r="F112" s="50">
        <v>18</v>
      </c>
      <c r="G112" s="50">
        <v>79837</v>
      </c>
      <c r="H112" s="50">
        <v>2844961</v>
      </c>
      <c r="I112" s="50">
        <v>14995631</v>
      </c>
      <c r="J112" s="50">
        <v>61386</v>
      </c>
      <c r="K112" s="50">
        <v>998</v>
      </c>
      <c r="L112" s="50">
        <v>429721</v>
      </c>
      <c r="M112" s="50">
        <v>8540</v>
      </c>
      <c r="N112" s="50">
        <v>824484</v>
      </c>
    </row>
    <row r="113" spans="1:14">
      <c r="A113">
        <v>205</v>
      </c>
      <c r="B113" s="50" t="s">
        <v>25</v>
      </c>
      <c r="C113" s="50">
        <v>9</v>
      </c>
      <c r="D113" s="50">
        <v>308</v>
      </c>
      <c r="E113" s="50">
        <v>8</v>
      </c>
      <c r="F113" s="50">
        <v>23</v>
      </c>
      <c r="G113" s="50">
        <v>186491</v>
      </c>
      <c r="H113" s="50">
        <v>2875476</v>
      </c>
      <c r="I113" s="50">
        <v>29242058</v>
      </c>
      <c r="J113" s="50">
        <v>78798</v>
      </c>
      <c r="K113" s="50">
        <v>0</v>
      </c>
      <c r="L113" s="50">
        <v>732766</v>
      </c>
      <c r="M113" s="50">
        <v>13442</v>
      </c>
      <c r="N113" s="50">
        <v>908969</v>
      </c>
    </row>
    <row r="114" spans="2:14">
      <c r="B114" s="50" t="s">
        <v>26</v>
      </c>
      <c r="C114" s="50">
        <v>0</v>
      </c>
      <c r="D114" s="50">
        <v>54</v>
      </c>
      <c r="E114" s="50">
        <v>1</v>
      </c>
      <c r="F114" s="50">
        <v>16</v>
      </c>
      <c r="G114" s="50">
        <v>62995</v>
      </c>
      <c r="H114" s="50">
        <v>1515483</v>
      </c>
      <c r="I114" s="50">
        <v>10556847</v>
      </c>
      <c r="J114" s="50">
        <v>25504</v>
      </c>
      <c r="K114" s="50">
        <v>0</v>
      </c>
      <c r="L114" s="50">
        <v>137219</v>
      </c>
      <c r="M114" s="50">
        <v>4259</v>
      </c>
      <c r="N114" s="50">
        <v>492658</v>
      </c>
    </row>
    <row r="115" spans="2:14">
      <c r="B115" s="50" t="s">
        <v>27</v>
      </c>
      <c r="C115" s="50">
        <v>0</v>
      </c>
      <c r="D115" s="50">
        <v>33</v>
      </c>
      <c r="E115" s="50">
        <v>0</v>
      </c>
      <c r="F115" s="50">
        <v>11</v>
      </c>
      <c r="G115" s="50">
        <v>20946</v>
      </c>
      <c r="H115" s="50">
        <v>737601</v>
      </c>
      <c r="I115" s="50">
        <v>4389152</v>
      </c>
      <c r="J115" s="50">
        <v>5756</v>
      </c>
      <c r="K115" s="50">
        <v>0</v>
      </c>
      <c r="L115" s="50">
        <v>68771</v>
      </c>
      <c r="M115" s="50">
        <v>1818</v>
      </c>
      <c r="N115" s="50">
        <v>204213</v>
      </c>
    </row>
  </sheetData>
  <conditionalFormatting sqref="F47:F49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{83c53184-cabe-4df3-b4dd-e3884c0e7541}</x14:id>
        </ext>
      </extLst>
    </cfRule>
  </conditionalFormatting>
  <conditionalFormatting sqref="F50:F52">
    <cfRule type="dataBar" priority="3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{01754715-2bd6-44e9-9782-050675528d20}</x14:id>
        </ext>
      </extLst>
    </cfRule>
  </conditionalFormatting>
  <conditionalFormatting sqref="F53:F55">
    <cfRule type="dataBar" priority="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{4298196f-17d4-4a70-87fe-dd86fc46dc88}</x14:id>
        </ext>
      </extLst>
    </cfRule>
  </conditionalFormatting>
  <conditionalFormatting sqref="F56:F58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{59f226ff-894a-4a6a-bbe8-c5c06a5c96b7}</x14:id>
        </ext>
      </extLst>
    </cfRule>
  </conditionalFormatting>
  <conditionalFormatting sqref="F59:F61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{a5afa43d-2a4c-4d9a-9729-8aa4753daa75}</x14:id>
        </ext>
      </extLst>
    </cfRule>
  </conditionalFormatting>
  <conditionalFormatting sqref="F62:F64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{1afb775c-d9a1-41be-80a7-959edeb6810f}</x14:id>
        </ext>
      </extLst>
    </cfRule>
  </conditionalFormatting>
  <conditionalFormatting sqref="F65:F67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{07f00a8e-a093-4367-82ae-c179d4ca38ed}</x14:id>
        </ext>
      </extLst>
    </cfRule>
  </conditionalFormatting>
  <conditionalFormatting sqref="G47:G49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{30235d64-5e2f-4794-9d89-f28998a1cb72}</x14:id>
        </ext>
      </extLst>
    </cfRule>
  </conditionalFormatting>
  <conditionalFormatting sqref="G50:G52">
    <cfRule type="dataBar" priority="3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{08ae7301-a7da-477c-b685-5fb2ddba950a}</x14:id>
        </ext>
      </extLst>
    </cfRule>
  </conditionalFormatting>
  <conditionalFormatting sqref="G53:G55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{38ccd7fa-7d63-4707-88e4-f5ba2e7d3ca3}</x14:id>
        </ext>
      </extLst>
    </cfRule>
  </conditionalFormatting>
  <conditionalFormatting sqref="G56:G58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{a8422b4f-701c-42e5-b3c6-3804fedc3096}</x14:id>
        </ext>
      </extLst>
    </cfRule>
  </conditionalFormatting>
  <conditionalFormatting sqref="G59:G6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{c30a5ce4-a1dd-4410-972f-83917499a515}</x14:id>
        </ext>
      </extLst>
    </cfRule>
  </conditionalFormatting>
  <conditionalFormatting sqref="G62:G6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{c53fa200-61d1-4180-9490-4d8e241559c2}</x14:id>
        </ext>
      </extLst>
    </cfRule>
  </conditionalFormatting>
  <conditionalFormatting sqref="G65:G67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{4d38f29a-5cd1-4309-bbb7-f317ac0ad71a}</x14:id>
        </ext>
      </extLst>
    </cfRule>
  </conditionalFormatting>
  <conditionalFormatting sqref="N47:N61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{3ff3ab4e-34ce-4fbe-9dd1-41baf266c701}</x14:id>
        </ext>
      </extLst>
    </cfRule>
  </conditionalFormatting>
  <conditionalFormatting sqref="N56:N61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{170c4e90-ec68-432f-86a9-56831eb5d7f1}</x14:id>
        </ext>
      </extLst>
    </cfRule>
  </conditionalFormatting>
  <conditionalFormatting sqref="N62:N6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{1631092a-5371-4a53-a11c-db587abdc727}</x14:id>
        </ext>
      </extLst>
    </cfRule>
  </conditionalFormatting>
  <conditionalFormatting sqref="O2:O19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{a99a4dc0-e9dc-43e5-ae1e-bf68ae2ac253}</x14:id>
        </ext>
      </extLst>
    </cfRule>
  </conditionalFormatting>
  <conditionalFormatting sqref="O20:O31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{527616d6-4231-4661-85ac-4feb92411d4a}</x14:id>
        </ext>
      </extLst>
    </cfRule>
  </conditionalFormatting>
  <conditionalFormatting sqref="O32:O43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{1c6992f4-716c-4ba3-9435-148f941ff3e5}</x14:id>
        </ext>
      </extLst>
    </cfRule>
  </conditionalFormatting>
  <conditionalFormatting sqref="P2:P19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{ced5b9f7-8375-4ddd-8837-7b72c4ccd076}</x14:id>
        </ext>
      </extLst>
    </cfRule>
  </conditionalFormatting>
  <conditionalFormatting sqref="P20:P31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{6da16410-d62d-40a8-a8d0-b3da402eae53}</x14:id>
        </ext>
      </extLst>
    </cfRule>
  </conditionalFormatting>
  <conditionalFormatting sqref="P32:P43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{b942fed2-86e0-4cce-a89d-b4fc2bc7b884}</x14:id>
        </ext>
      </extLst>
    </cfRule>
  </conditionalFormatting>
  <conditionalFormatting sqref="P47:P60">
    <cfRule type="cellIs" dxfId="37" priority="23" operator="equal">
      <formula>$S$47</formula>
    </cfRule>
  </conditionalFormatting>
  <conditionalFormatting sqref="Q2:Q31">
    <cfRule type="cellIs" dxfId="38" priority="30" operator="equal">
      <formula>配置!$D$4</formula>
    </cfRule>
    <cfRule type="cellIs" dxfId="39" priority="31" operator="equal">
      <formula>配置!$D$3</formula>
    </cfRule>
    <cfRule type="cellIs" dxfId="37" priority="32" operator="equal">
      <formula>配置!$D$2</formula>
    </cfRule>
  </conditionalFormatting>
  <conditionalFormatting sqref="Q32:Q43">
    <cfRule type="cellIs" dxfId="38" priority="11" operator="equal">
      <formula>配置!$D$4</formula>
    </cfRule>
    <cfRule type="cellIs" dxfId="39" priority="12" operator="equal">
      <formula>配置!$D$3</formula>
    </cfRule>
    <cfRule type="cellIs" dxfId="37" priority="13" operator="equal">
      <formula>配置!$D$2</formula>
    </cfRule>
  </conditionalFormatting>
  <conditionalFormatting sqref="R47:R53">
    <cfRule type="cellIs" dxfId="37" priority="24" operator="equal">
      <formula>$S$47</formula>
    </cfRule>
  </conditionalFormatting>
  <conditionalFormatting sqref="O44:O45 Q1:R1 Q2 Q4:Q5 Q7:Q8 Q10:Q11 Q13:Q14 Q16:Q17 Q19:Q20 Q22:Q31">
    <cfRule type="cellIs" dxfId="37" priority="40" operator="equal">
      <formula>配置!$D$2</formula>
    </cfRule>
  </conditionalFormatting>
  <conditionalFormatting sqref="Q2 Q4:Q5 Q7:Q8 Q10:Q11 Q13:Q14 Q16:Q17 Q19:Q20 Q22:Q31">
    <cfRule type="cellIs" dxfId="38" priority="39" operator="equal">
      <formula>配置!$D$4</formula>
    </cfRule>
  </conditionalFormatting>
  <conditionalFormatting sqref="Q32 Q34:Q35 Q37:Q38 Q40:Q41 Q43">
    <cfRule type="cellIs" dxfId="38" priority="16" operator="equal">
      <formula>配置!$D$4</formula>
    </cfRule>
    <cfRule type="cellIs" dxfId="37" priority="17" operator="equal">
      <formula>配置!$D$2</formula>
    </cfRule>
  </conditionalFormatting>
  <dataValidations count="1">
    <dataValidation type="list" allowBlank="1" showInputMessage="1" showErrorMessage="1" sqref="Q2:Q43">
      <formula1>配置!$D$2:$D$4</formula1>
    </dataValidation>
  </dataValidations>
  <pageMargins left="0.7" right="0.7" top="0.75" bottom="0.75" header="0.3" footer="0.3"/>
  <pageSetup paperSize="9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3c53184-cabe-4df3-b4dd-e3884c0e75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F47:F49</xm:sqref>
        </x14:conditionalFormatting>
        <x14:conditionalFormatting xmlns:xm="http://schemas.microsoft.com/office/excel/2006/main">
          <x14:cfRule type="dataBar" id="{01754715-2bd6-44e9-9782-050675528d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F50:F52</xm:sqref>
        </x14:conditionalFormatting>
        <x14:conditionalFormatting xmlns:xm="http://schemas.microsoft.com/office/excel/2006/main">
          <x14:cfRule type="dataBar" id="{4298196f-17d4-4a70-87fe-dd86fc46dc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F53:F55</xm:sqref>
        </x14:conditionalFormatting>
        <x14:conditionalFormatting xmlns:xm="http://schemas.microsoft.com/office/excel/2006/main">
          <x14:cfRule type="dataBar" id="{59f226ff-894a-4a6a-bbe8-c5c06a5c96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F56:F58</xm:sqref>
        </x14:conditionalFormatting>
        <x14:conditionalFormatting xmlns:xm="http://schemas.microsoft.com/office/excel/2006/main">
          <x14:cfRule type="dataBar" id="{a5afa43d-2a4c-4d9a-9729-8aa4753daa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F59:F61</xm:sqref>
        </x14:conditionalFormatting>
        <x14:conditionalFormatting xmlns:xm="http://schemas.microsoft.com/office/excel/2006/main">
          <x14:cfRule type="dataBar" id="{1afb775c-d9a1-41be-80a7-959edeb681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F62:F64</xm:sqref>
        </x14:conditionalFormatting>
        <x14:conditionalFormatting xmlns:xm="http://schemas.microsoft.com/office/excel/2006/main">
          <x14:cfRule type="dataBar" id="{07f00a8e-a093-4367-82ae-c179d4ca38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F65:F67</xm:sqref>
        </x14:conditionalFormatting>
        <x14:conditionalFormatting xmlns:xm="http://schemas.microsoft.com/office/excel/2006/main">
          <x14:cfRule type="dataBar" id="{30235d64-5e2f-4794-9d89-f28998a1cb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G47:G49</xm:sqref>
        </x14:conditionalFormatting>
        <x14:conditionalFormatting xmlns:xm="http://schemas.microsoft.com/office/excel/2006/main">
          <x14:cfRule type="dataBar" id="{08ae7301-a7da-477c-b685-5fb2ddba95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G50:G52</xm:sqref>
        </x14:conditionalFormatting>
        <x14:conditionalFormatting xmlns:xm="http://schemas.microsoft.com/office/excel/2006/main">
          <x14:cfRule type="dataBar" id="{38ccd7fa-7d63-4707-88e4-f5ba2e7d3c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G53:G55</xm:sqref>
        </x14:conditionalFormatting>
        <x14:conditionalFormatting xmlns:xm="http://schemas.microsoft.com/office/excel/2006/main">
          <x14:cfRule type="dataBar" id="{a8422b4f-701c-42e5-b3c6-3804fedc30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G56:G58</xm:sqref>
        </x14:conditionalFormatting>
        <x14:conditionalFormatting xmlns:xm="http://schemas.microsoft.com/office/excel/2006/main">
          <x14:cfRule type="dataBar" id="{c30a5ce4-a1dd-4410-972f-83917499a5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G59:G61</xm:sqref>
        </x14:conditionalFormatting>
        <x14:conditionalFormatting xmlns:xm="http://schemas.microsoft.com/office/excel/2006/main">
          <x14:cfRule type="dataBar" id="{c53fa200-61d1-4180-9490-4d8e241559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G62:G64</xm:sqref>
        </x14:conditionalFormatting>
        <x14:conditionalFormatting xmlns:xm="http://schemas.microsoft.com/office/excel/2006/main">
          <x14:cfRule type="dataBar" id="{4d38f29a-5cd1-4309-bbb7-f317ac0ad7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G65:G67</xm:sqref>
        </x14:conditionalFormatting>
        <x14:conditionalFormatting xmlns:xm="http://schemas.microsoft.com/office/excel/2006/main">
          <x14:cfRule type="dataBar" id="{3ff3ab4e-34ce-4fbe-9dd1-41baf266c7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N47:N61</xm:sqref>
        </x14:conditionalFormatting>
        <x14:conditionalFormatting xmlns:xm="http://schemas.microsoft.com/office/excel/2006/main">
          <x14:cfRule type="dataBar" id="{170c4e90-ec68-432f-86a9-56831eb5d7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N56:N61</xm:sqref>
        </x14:conditionalFormatting>
        <x14:conditionalFormatting xmlns:xm="http://schemas.microsoft.com/office/excel/2006/main">
          <x14:cfRule type="dataBar" id="{1631092a-5371-4a53-a11c-db587abdc7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N62:N67</xm:sqref>
        </x14:conditionalFormatting>
        <x14:conditionalFormatting xmlns:xm="http://schemas.microsoft.com/office/excel/2006/main">
          <x14:cfRule type="dataBar" id="{a99a4dc0-e9dc-43e5-ae1e-bf68ae2ac2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527616d6-4231-4661-85ac-4feb92411d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O20:O31</xm:sqref>
        </x14:conditionalFormatting>
        <x14:conditionalFormatting xmlns:xm="http://schemas.microsoft.com/office/excel/2006/main">
          <x14:cfRule type="dataBar" id="{1c6992f4-716c-4ba3-9435-148f941ff3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O32:O43</xm:sqref>
        </x14:conditionalFormatting>
        <x14:conditionalFormatting xmlns:xm="http://schemas.microsoft.com/office/excel/2006/main">
          <x14:cfRule type="dataBar" id="{ced5b9f7-8375-4ddd-8837-7b72c4ccd0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6da16410-d62d-40a8-a8d0-b3da402eae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P20:P31</xm:sqref>
        </x14:conditionalFormatting>
        <x14:conditionalFormatting xmlns:xm="http://schemas.microsoft.com/office/excel/2006/main">
          <x14:cfRule type="dataBar" id="{b942fed2-86e0-4cce-a89d-b4fc2bc7b8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P32:P43</xm:sqref>
        </x14:conditionalFormatting>
      </x14:conditionalFormatting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67"/>
  <sheetViews>
    <sheetView workbookViewId="0">
      <pane ySplit="1" topLeftCell="A2" activePane="bottomLeft" state="frozen"/>
      <selection/>
      <selection pane="bottomLeft" activeCell="H177" sqref="H177"/>
    </sheetView>
  </sheetViews>
  <sheetFormatPr defaultColWidth="9" defaultRowHeight="13.5"/>
  <cols>
    <col min="7" max="7" width="9.375"/>
    <col min="9" max="9" width="9.375"/>
    <col min="16" max="16" width="10.375"/>
    <col min="23" max="23" width="9" style="412"/>
  </cols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425" t="s">
        <v>82</v>
      </c>
      <c r="X1" s="8" t="s">
        <v>22</v>
      </c>
      <c r="Y1" s="22" t="s">
        <v>23</v>
      </c>
    </row>
    <row r="2" s="354" customFormat="1" customHeight="1" spans="1:25">
      <c r="A2" s="371">
        <v>5176</v>
      </c>
      <c r="B2" s="371">
        <f>VLOOKUP(表1_861218222426728894100[[#This Row],[区服]],$P$143:$Q$190,2,FALSE)</f>
        <v>47</v>
      </c>
      <c r="C2" s="39" t="s">
        <v>224</v>
      </c>
      <c r="D2" s="373" t="str">
        <f>表1_861218222426728894100[[#This Row],[目标国家]]</f>
        <v>蜀</v>
      </c>
      <c r="E2" s="374">
        <f>(VLOOKUP(表1_861218222426728894100[[#This Row],[目标区服]],$R$143:$S$169,2,FALSE)-表1_861218222426728894100[[#This Row],[开服天数]])*配置!$B$1</f>
        <v>1000</v>
      </c>
      <c r="F2" s="374">
        <f>表1_861218222426728894100[[#This Row],[补偿Coin]]*(表1_861218222426728894100[[#This Row],[活跃高战玩家数]]+表1_861218222426728894100[[#This Row],[活跃中坚玩家数]])</f>
        <v>31000</v>
      </c>
      <c r="G2" s="374">
        <f>(VLOOKUP(表1_861218222426728894100[[#This Row],[目标区服]],$R$143:$S$174,2,FALSE)-表1_861218222426728894100[[#This Row],[开服天数]])*配置!$B$2</f>
        <v>10</v>
      </c>
      <c r="H2" s="376" t="s">
        <v>25</v>
      </c>
      <c r="I2" s="376">
        <f>IF(表1_861218222426728894100[[#This Row],[原国家]]="魏",0,IF(表1_861218222426728894100[[#This Row],[原国家]]="蜀",1,2))</f>
        <v>0</v>
      </c>
      <c r="J2" s="380">
        <v>5</v>
      </c>
      <c r="K2" s="380">
        <v>223</v>
      </c>
      <c r="L2" s="380">
        <v>6</v>
      </c>
      <c r="M2" s="380">
        <v>25</v>
      </c>
      <c r="N2" s="380">
        <v>129537</v>
      </c>
      <c r="O2" s="380">
        <v>2269185</v>
      </c>
      <c r="P2" s="381">
        <v>23037319</v>
      </c>
      <c r="Q2" s="31" t="s">
        <v>26</v>
      </c>
      <c r="R2" s="376">
        <f>IF(表1_861218222426728894100[[#This Row],[目标国家]]="魏",0,IF(表1_861218222426728894100[[#This Row],[目标国家]]="蜀",1,2))</f>
        <v>1</v>
      </c>
      <c r="S2" s="380">
        <v>31148</v>
      </c>
      <c r="T2" s="380">
        <v>0</v>
      </c>
      <c r="U2" s="380">
        <v>445651</v>
      </c>
      <c r="V2" s="380">
        <v>9107</v>
      </c>
      <c r="W2" s="426">
        <v>618239</v>
      </c>
      <c r="X2" s="387" t="str">
        <f>"{"&amp;"'coin':"&amp;表1_861218222426728894100[[#This Row],[补偿Coin]]&amp;",'"&amp;配置!$A$2&amp;"':"&amp;表1_861218222426728894100[[#This Row],[补偿辎重]]&amp;"},"</f>
        <v>{'coin':1000,'item036':10},</v>
      </c>
      <c r="Y2" s="388" t="str">
        <f>"      '"&amp;表1_861218222426728894100[[#This Row],[区服]]&amp;"':{"</f>
        <v>      '5176':{</v>
      </c>
    </row>
    <row r="3" s="354" customFormat="1" customHeight="1" spans="1:25">
      <c r="A3" s="371">
        <v>5176</v>
      </c>
      <c r="B3" s="371">
        <f>VLOOKUP(表1_861218222426728894100[[#This Row],[区服]],$P$143:$Q$190,2,FALSE)</f>
        <v>47</v>
      </c>
      <c r="C3" s="39" t="s">
        <v>224</v>
      </c>
      <c r="D3" s="376" t="str">
        <f>表1_861218222426728894100[[#This Row],[目标国家]]</f>
        <v>蜀</v>
      </c>
      <c r="E3" s="380">
        <f>(VLOOKUP(表1_861218222426728894100[[#This Row],[目标区服]],$R$143:$S$169,2,FALSE)-表1_861218222426728894100[[#This Row],[开服天数]])*配置!$B$1</f>
        <v>1000</v>
      </c>
      <c r="F3" s="380">
        <f>表1_861218222426728894100[[#This Row],[补偿Coin]]*(表1_861218222426728894100[[#This Row],[活跃高战玩家数]]+表1_861218222426728894100[[#This Row],[活跃中坚玩家数]])</f>
        <v>22000</v>
      </c>
      <c r="G3" s="380">
        <f>(VLOOKUP(表1_861218222426728894100[[#This Row],[目标区服]],$R$143:$S$174,2,FALSE)-表1_861218222426728894100[[#This Row],[开服天数]])*配置!$B$2</f>
        <v>10</v>
      </c>
      <c r="H3" s="376" t="s">
        <v>26</v>
      </c>
      <c r="I3" s="376">
        <f>IF(表1_861218222426728894100[[#This Row],[原国家]]="魏",0,IF(表1_861218222426728894100[[#This Row],[原国家]]="蜀",1,2))</f>
        <v>1</v>
      </c>
      <c r="J3" s="380">
        <v>3</v>
      </c>
      <c r="K3" s="380">
        <v>106</v>
      </c>
      <c r="L3" s="380">
        <v>2</v>
      </c>
      <c r="M3" s="380">
        <v>20</v>
      </c>
      <c r="N3" s="380">
        <v>93607</v>
      </c>
      <c r="O3" s="380">
        <v>1286738</v>
      </c>
      <c r="P3" s="381">
        <v>15150048</v>
      </c>
      <c r="Q3" s="31" t="s">
        <v>26</v>
      </c>
      <c r="R3" s="376">
        <f>IF(表1_861218222426728894100[[#This Row],[目标国家]]="魏",0,IF(表1_861218222426728894100[[#This Row],[目标国家]]="蜀",1,2))</f>
        <v>1</v>
      </c>
      <c r="S3" s="380">
        <v>19024</v>
      </c>
      <c r="T3" s="380">
        <v>0</v>
      </c>
      <c r="U3" s="380">
        <v>86743</v>
      </c>
      <c r="V3" s="380">
        <v>5243</v>
      </c>
      <c r="W3" s="426">
        <v>454975</v>
      </c>
      <c r="X3" s="387" t="str">
        <f>"{"&amp;"'coin':"&amp;表1_861218222426728894100[[#This Row],[补偿Coin]]&amp;",'"&amp;配置!$A$2&amp;"':"&amp;表1_861218222426728894100[[#This Row],[补偿辎重]]&amp;"},"</f>
        <v>{'coin':1000,'item036':10},</v>
      </c>
      <c r="Y3" s="388" t="str">
        <f>"            'to_zone':'"&amp;表1_861218222426728894100[[#This Row],[目标区服]]&amp;"',
            'reward':"&amp;表1_861218222426728894100[[#This Row],[辅助导出]]&amp;"
            'country':["&amp;R2&amp;","&amp;R3&amp;","&amp;R4&amp;"],"</f>
        <v>            'to_zone':'h1_580',
            'reward':{'coin':1000,'item036':10},
            'country':[1,1,2],</v>
      </c>
    </row>
    <row r="4" s="354" customFormat="1" customHeight="1" spans="1:25">
      <c r="A4" s="371">
        <v>5176</v>
      </c>
      <c r="B4" s="371">
        <f>VLOOKUP(表1_861218222426728894100[[#This Row],[区服]],$P$143:$Q$190,2,FALSE)</f>
        <v>47</v>
      </c>
      <c r="C4" s="39" t="s">
        <v>224</v>
      </c>
      <c r="D4" s="376" t="str">
        <f>表1_861218222426728894100[[#This Row],[目标国家]]</f>
        <v>吴</v>
      </c>
      <c r="E4" s="380">
        <f>(VLOOKUP(表1_861218222426728894100[[#This Row],[目标区服]],$R$143:$S$169,2,FALSE)-表1_861218222426728894100[[#This Row],[开服天数]])*配置!$B$1</f>
        <v>1000</v>
      </c>
      <c r="F4" s="380">
        <f>表1_861218222426728894100[[#This Row],[补偿Coin]]*(表1_861218222426728894100[[#This Row],[活跃高战玩家数]]+表1_861218222426728894100[[#This Row],[活跃中坚玩家数]])</f>
        <v>20000</v>
      </c>
      <c r="G4" s="380">
        <f>(VLOOKUP(表1_861218222426728894100[[#This Row],[目标区服]],$R$143:$S$174,2,FALSE)-表1_861218222426728894100[[#This Row],[开服天数]])*配置!$B$2</f>
        <v>10</v>
      </c>
      <c r="H4" s="376" t="s">
        <v>27</v>
      </c>
      <c r="I4" s="376">
        <f>IF(表1_861218222426728894100[[#This Row],[原国家]]="魏",0,IF(表1_861218222426728894100[[#This Row],[原国家]]="蜀",1,2))</f>
        <v>2</v>
      </c>
      <c r="J4" s="380">
        <v>1</v>
      </c>
      <c r="K4" s="380">
        <v>66</v>
      </c>
      <c r="L4" s="380">
        <v>2</v>
      </c>
      <c r="M4" s="380">
        <v>18</v>
      </c>
      <c r="N4" s="380">
        <v>76157</v>
      </c>
      <c r="O4" s="380">
        <v>1696605</v>
      </c>
      <c r="P4" s="381">
        <v>13628751</v>
      </c>
      <c r="Q4" s="31" t="s">
        <v>27</v>
      </c>
      <c r="R4" s="376">
        <f>IF(表1_861218222426728894100[[#This Row],[目标国家]]="魏",0,IF(表1_861218222426728894100[[#This Row],[目标国家]]="蜀",1,2))</f>
        <v>2</v>
      </c>
      <c r="S4" s="380">
        <v>24982</v>
      </c>
      <c r="T4" s="380">
        <v>0</v>
      </c>
      <c r="U4" s="380">
        <v>165731</v>
      </c>
      <c r="V4" s="380">
        <v>5032</v>
      </c>
      <c r="W4" s="426">
        <v>570116</v>
      </c>
      <c r="X4" s="387" t="str">
        <f>"{"&amp;"'coin':"&amp;表1_861218222426728894100[[#This Row],[补偿Coin]]&amp;",'"&amp;配置!$A$2&amp;"':"&amp;表1_861218222426728894100[[#This Row],[补偿辎重]]&amp;"},"</f>
        <v>{'coin':1000,'item036':10},</v>
      </c>
      <c r="Y4" s="388" t="str">
        <f>"      },"</f>
        <v>      },</v>
      </c>
    </row>
    <row r="5" s="354" customFormat="1" customHeight="1" spans="1:25">
      <c r="A5" s="375">
        <v>5177</v>
      </c>
      <c r="B5" s="371">
        <f>VLOOKUP(表1_861218222426728894100[[#This Row],[区服]],$P$143:$Q$190,2,FALSE)</f>
        <v>47</v>
      </c>
      <c r="C5" s="39" t="s">
        <v>224</v>
      </c>
      <c r="D5" s="376" t="str">
        <f>表1_861218222426728894100[[#This Row],[目标国家]]</f>
        <v>魏</v>
      </c>
      <c r="E5" s="380">
        <f>(VLOOKUP(表1_861218222426728894100[[#This Row],[目标区服]],$R$143:$S$169,2,FALSE)-表1_861218222426728894100[[#This Row],[开服天数]])*配置!$B$1</f>
        <v>1000</v>
      </c>
      <c r="F5" s="380">
        <f>表1_861218222426728894100[[#This Row],[补偿Coin]]*(表1_861218222426728894100[[#This Row],[活跃高战玩家数]]+表1_861218222426728894100[[#This Row],[活跃中坚玩家数]])</f>
        <v>35000</v>
      </c>
      <c r="G5" s="380">
        <f>(VLOOKUP(表1_861218222426728894100[[#This Row],[目标区服]],$R$143:$S$174,2,FALSE)-表1_861218222426728894100[[#This Row],[开服天数]])*配置!$B$2</f>
        <v>10</v>
      </c>
      <c r="H5" s="376" t="s">
        <v>25</v>
      </c>
      <c r="I5" s="376">
        <f>IF(表1_861218222426728894100[[#This Row],[原国家]]="魏",0,IF(表1_861218222426728894100[[#This Row],[原国家]]="蜀",1,2))</f>
        <v>0</v>
      </c>
      <c r="J5" s="380">
        <v>6</v>
      </c>
      <c r="K5" s="380">
        <v>253</v>
      </c>
      <c r="L5" s="380">
        <v>9</v>
      </c>
      <c r="M5" s="380">
        <v>26</v>
      </c>
      <c r="N5" s="380">
        <v>162113</v>
      </c>
      <c r="O5" s="380">
        <v>2141257</v>
      </c>
      <c r="P5" s="381">
        <v>24027335</v>
      </c>
      <c r="Q5" s="31" t="s">
        <v>25</v>
      </c>
      <c r="R5" s="376">
        <f>IF(表1_861218222426728894100[[#This Row],[目标国家]]="魏",0,IF(表1_861218222426728894100[[#This Row],[目标国家]]="蜀",1,2))</f>
        <v>0</v>
      </c>
      <c r="S5" s="380">
        <v>35870</v>
      </c>
      <c r="T5" s="380">
        <v>0</v>
      </c>
      <c r="U5" s="380">
        <v>354748</v>
      </c>
      <c r="V5" s="380">
        <v>9738</v>
      </c>
      <c r="W5" s="426">
        <v>576753</v>
      </c>
      <c r="X5" s="387" t="str">
        <f>"{"&amp;"'coin':"&amp;表1_861218222426728894100[[#This Row],[补偿Coin]]&amp;",'"&amp;配置!$A$2&amp;"':"&amp;表1_861218222426728894100[[#This Row],[补偿辎重]]&amp;"},"</f>
        <v>{'coin':1000,'item036':10},</v>
      </c>
      <c r="Y5" s="388" t="str">
        <f>"      '"&amp;表1_861218222426728894100[[#This Row],[区服]]&amp;"':{"</f>
        <v>      '5177':{</v>
      </c>
    </row>
    <row r="6" s="354" customFormat="1" customHeight="1" spans="1:25">
      <c r="A6" s="375">
        <v>5177</v>
      </c>
      <c r="B6" s="371">
        <f>VLOOKUP(表1_861218222426728894100[[#This Row],[区服]],$P$143:$Q$190,2,FALSE)</f>
        <v>47</v>
      </c>
      <c r="C6" s="39" t="s">
        <v>224</v>
      </c>
      <c r="D6" s="376" t="str">
        <f>表1_861218222426728894100[[#This Row],[目标国家]]</f>
        <v>魏</v>
      </c>
      <c r="E6" s="380">
        <f>(VLOOKUP(表1_861218222426728894100[[#This Row],[目标区服]],$R$143:$S$169,2,FALSE)-表1_861218222426728894100[[#This Row],[开服天数]])*配置!$B$1</f>
        <v>1000</v>
      </c>
      <c r="F6" s="380">
        <f>表1_861218222426728894100[[#This Row],[补偿Coin]]*(表1_861218222426728894100[[#This Row],[活跃高战玩家数]]+表1_861218222426728894100[[#This Row],[活跃中坚玩家数]])</f>
        <v>17000</v>
      </c>
      <c r="G6" s="380">
        <f>(VLOOKUP(表1_861218222426728894100[[#This Row],[目标区服]],$R$143:$S$174,2,FALSE)-表1_861218222426728894100[[#This Row],[开服天数]])*配置!$B$2</f>
        <v>10</v>
      </c>
      <c r="H6" s="376" t="s">
        <v>26</v>
      </c>
      <c r="I6" s="376">
        <f>IF(表1_861218222426728894100[[#This Row],[原国家]]="魏",0,IF(表1_861218222426728894100[[#This Row],[原国家]]="蜀",1,2))</f>
        <v>1</v>
      </c>
      <c r="J6" s="380">
        <v>1</v>
      </c>
      <c r="K6" s="380">
        <v>67</v>
      </c>
      <c r="L6" s="380">
        <v>0</v>
      </c>
      <c r="M6" s="380">
        <v>17</v>
      </c>
      <c r="N6" s="380">
        <v>75663</v>
      </c>
      <c r="O6" s="380">
        <v>1011120</v>
      </c>
      <c r="P6" s="381">
        <v>10747059</v>
      </c>
      <c r="Q6" s="31" t="s">
        <v>25</v>
      </c>
      <c r="R6" s="376">
        <f>IF(表1_861218222426728894100[[#This Row],[目标国家]]="魏",0,IF(表1_861218222426728894100[[#This Row],[目标国家]]="蜀",1,2))</f>
        <v>0</v>
      </c>
      <c r="S6" s="380">
        <v>4276</v>
      </c>
      <c r="T6" s="380">
        <v>0</v>
      </c>
      <c r="U6" s="380">
        <v>105694</v>
      </c>
      <c r="V6" s="380">
        <v>3415</v>
      </c>
      <c r="W6" s="426">
        <v>304777</v>
      </c>
      <c r="X6" s="387" t="str">
        <f>"{"&amp;"'coin':"&amp;表1_861218222426728894100[[#This Row],[补偿Coin]]&amp;",'"&amp;配置!$A$2&amp;"':"&amp;表1_861218222426728894100[[#This Row],[补偿辎重]]&amp;"},"</f>
        <v>{'coin':1000,'item036':10},</v>
      </c>
      <c r="Y6" s="388" t="str">
        <f>"            'to_zone':'"&amp;表1_861218222426728894100[[#This Row],[目标区服]]&amp;"',
            'reward':"&amp;表1_861218222426728894100[[#This Row],[辅助导出]]&amp;"
            'country':["&amp;R5&amp;","&amp;R6&amp;","&amp;R7&amp;"],"</f>
        <v>            'to_zone':'h1_580',
            'reward':{'coin':1000,'item036':10},
            'country':[0,0,2],</v>
      </c>
    </row>
    <row r="7" s="354" customFormat="1" customHeight="1" spans="1:25">
      <c r="A7" s="375">
        <v>5177</v>
      </c>
      <c r="B7" s="371">
        <f>VLOOKUP(表1_861218222426728894100[[#This Row],[区服]],$P$143:$Q$190,2,FALSE)</f>
        <v>47</v>
      </c>
      <c r="C7" s="39" t="s">
        <v>224</v>
      </c>
      <c r="D7" s="376" t="str">
        <f>表1_861218222426728894100[[#This Row],[目标国家]]</f>
        <v>吴</v>
      </c>
      <c r="E7" s="380">
        <f>(VLOOKUP(表1_861218222426728894100[[#This Row],[目标区服]],$R$143:$S$169,2,FALSE)-表1_861218222426728894100[[#This Row],[开服天数]])*配置!$B$1</f>
        <v>1000</v>
      </c>
      <c r="F7" s="380">
        <f>表1_861218222426728894100[[#This Row],[补偿Coin]]*(表1_861218222426728894100[[#This Row],[活跃高战玩家数]]+表1_861218222426728894100[[#This Row],[活跃中坚玩家数]])</f>
        <v>19000</v>
      </c>
      <c r="G7" s="380">
        <f>(VLOOKUP(表1_861218222426728894100[[#This Row],[目标区服]],$R$143:$S$174,2,FALSE)-表1_861218222426728894100[[#This Row],[开服天数]])*配置!$B$2</f>
        <v>10</v>
      </c>
      <c r="H7" s="376" t="s">
        <v>27</v>
      </c>
      <c r="I7" s="376">
        <f>IF(表1_861218222426728894100[[#This Row],[原国家]]="魏",0,IF(表1_861218222426728894100[[#This Row],[原国家]]="蜀",1,2))</f>
        <v>2</v>
      </c>
      <c r="J7" s="380">
        <v>2</v>
      </c>
      <c r="K7" s="380">
        <v>75</v>
      </c>
      <c r="L7" s="380">
        <v>1</v>
      </c>
      <c r="M7" s="380">
        <v>18</v>
      </c>
      <c r="N7" s="380">
        <v>72060</v>
      </c>
      <c r="O7" s="380">
        <v>1548048</v>
      </c>
      <c r="P7" s="381">
        <v>11143894</v>
      </c>
      <c r="Q7" s="31" t="s">
        <v>27</v>
      </c>
      <c r="R7" s="376">
        <f>IF(表1_861218222426728894100[[#This Row],[目标国家]]="魏",0,IF(表1_861218222426728894100[[#This Row],[目标国家]]="蜀",1,2))</f>
        <v>2</v>
      </c>
      <c r="S7" s="380">
        <v>48278</v>
      </c>
      <c r="T7" s="380">
        <v>0</v>
      </c>
      <c r="U7" s="380">
        <v>159524</v>
      </c>
      <c r="V7" s="380">
        <v>5500</v>
      </c>
      <c r="W7" s="426">
        <v>454153</v>
      </c>
      <c r="X7" s="387" t="str">
        <f>"{"&amp;"'coin':"&amp;表1_861218222426728894100[[#This Row],[补偿Coin]]&amp;",'"&amp;配置!$A$2&amp;"':"&amp;表1_861218222426728894100[[#This Row],[补偿辎重]]&amp;"},"</f>
        <v>{'coin':1000,'item036':10},</v>
      </c>
      <c r="Y7" s="388" t="str">
        <f t="shared" ref="Y7" si="0">"      },"</f>
        <v>      },</v>
      </c>
    </row>
    <row r="8" s="354" customFormat="1" customHeight="1" spans="1:25">
      <c r="A8" s="259">
        <v>5178</v>
      </c>
      <c r="B8" s="210">
        <f>VLOOKUP(表1_861218222426728894100[[#This Row],[区服]],$P$143:$Q$190,2,FALSE)</f>
        <v>47</v>
      </c>
      <c r="C8" s="41" t="s">
        <v>225</v>
      </c>
      <c r="D8" s="212" t="str">
        <f>表1_861218222426728894100[[#This Row],[目标国家]]</f>
        <v>魏</v>
      </c>
      <c r="E8" s="213">
        <f>(VLOOKUP(表1_861218222426728894100[[#This Row],[目标区服]],$R$143:$S$169,2,FALSE)-表1_861218222426728894100[[#This Row],[开服天数]])*配置!$B$1</f>
        <v>1000</v>
      </c>
      <c r="F8" s="213">
        <f>表1_861218222426728894100[[#This Row],[补偿Coin]]*(表1_861218222426728894100[[#This Row],[活跃高战玩家数]]+表1_861218222426728894100[[#This Row],[活跃中坚玩家数]])</f>
        <v>20000</v>
      </c>
      <c r="G8" s="260">
        <f>(VLOOKUP(表1_861218222426728894100[[#This Row],[目标区服]],$R$143:$S$174,2,FALSE)-表1_861218222426728894100[[#This Row],[开服天数]])*配置!$B$2</f>
        <v>10</v>
      </c>
      <c r="H8" s="212" t="s">
        <v>25</v>
      </c>
      <c r="I8" s="268">
        <f>IF(表1_861218222426728894100[[#This Row],[原国家]]="魏",0,IF(表1_861218222426728894100[[#This Row],[原国家]]="蜀",1,2))</f>
        <v>0</v>
      </c>
      <c r="J8" s="213">
        <v>3</v>
      </c>
      <c r="K8" s="213">
        <v>137</v>
      </c>
      <c r="L8" s="213">
        <v>5</v>
      </c>
      <c r="M8" s="213">
        <v>15</v>
      </c>
      <c r="N8" s="213">
        <v>121493</v>
      </c>
      <c r="O8" s="419">
        <v>3251354</v>
      </c>
      <c r="P8" s="420">
        <v>22419568</v>
      </c>
      <c r="Q8" s="31" t="s">
        <v>25</v>
      </c>
      <c r="R8" s="212">
        <f>IF(表1_861218222426728894100[[#This Row],[目标国家]]="魏",0,IF(表1_861218222426728894100[[#This Row],[目标国家]]="蜀",1,2))</f>
        <v>0</v>
      </c>
      <c r="S8" s="213">
        <v>56862</v>
      </c>
      <c r="T8" s="213">
        <v>121210</v>
      </c>
      <c r="U8" s="213">
        <v>773004</v>
      </c>
      <c r="V8" s="213">
        <v>11075</v>
      </c>
      <c r="W8" s="427">
        <v>1183884</v>
      </c>
      <c r="X8" s="278" t="str">
        <f>"{"&amp;"'coin':"&amp;表1_861218222426728894100[[#This Row],[补偿Coin]]&amp;",'"&amp;配置!$A$2&amp;"':"&amp;表1_861218222426728894100[[#This Row],[补偿辎重]]&amp;"},"</f>
        <v>{'coin':1000,'item036':10},</v>
      </c>
      <c r="Y8" s="278" t="str">
        <f>"      '"&amp;表1_861218222426728894100[[#This Row],[区服]]&amp;"':{"</f>
        <v>      '5178':{</v>
      </c>
    </row>
    <row r="9" s="354" customFormat="1" customHeight="1" spans="1:25">
      <c r="A9" s="259">
        <v>5178</v>
      </c>
      <c r="B9" s="210">
        <f>VLOOKUP(表1_861218222426728894100[[#This Row],[区服]],$P$143:$Q$190,2,FALSE)</f>
        <v>47</v>
      </c>
      <c r="C9" s="41" t="s">
        <v>225</v>
      </c>
      <c r="D9" s="212" t="str">
        <f>表1_861218222426728894100[[#This Row],[目标国家]]</f>
        <v>蜀</v>
      </c>
      <c r="E9" s="213">
        <f>(VLOOKUP(表1_861218222426728894100[[#This Row],[目标区服]],$R$143:$S$169,2,FALSE)-表1_861218222426728894100[[#This Row],[开服天数]])*配置!$B$1</f>
        <v>1000</v>
      </c>
      <c r="F9" s="213">
        <f>表1_861218222426728894100[[#This Row],[补偿Coin]]*(表1_861218222426728894100[[#This Row],[活跃高战玩家数]]+表1_861218222426728894100[[#This Row],[活跃中坚玩家数]])</f>
        <v>18000</v>
      </c>
      <c r="G9" s="260">
        <f>(VLOOKUP(表1_861218222426728894100[[#This Row],[目标区服]],$R$143:$S$174,2,FALSE)-表1_861218222426728894100[[#This Row],[开服天数]])*配置!$B$2</f>
        <v>10</v>
      </c>
      <c r="H9" s="212" t="s">
        <v>26</v>
      </c>
      <c r="I9" s="268">
        <f>IF(表1_861218222426728894100[[#This Row],[原国家]]="魏",0,IF(表1_861218222426728894100[[#This Row],[原国家]]="蜀",1,2))</f>
        <v>1</v>
      </c>
      <c r="J9" s="213">
        <v>4</v>
      </c>
      <c r="K9" s="213">
        <v>181</v>
      </c>
      <c r="L9" s="213">
        <v>4</v>
      </c>
      <c r="M9" s="213">
        <v>14</v>
      </c>
      <c r="N9" s="213">
        <v>104550</v>
      </c>
      <c r="O9" s="419">
        <v>2872685</v>
      </c>
      <c r="P9" s="420">
        <v>20292200</v>
      </c>
      <c r="Q9" s="31" t="s">
        <v>26</v>
      </c>
      <c r="R9" s="212">
        <f>IF(表1_861218222426728894100[[#This Row],[目标国家]]="魏",0,IF(表1_861218222426728894100[[#This Row],[目标国家]]="蜀",1,2))</f>
        <v>1</v>
      </c>
      <c r="S9" s="213">
        <v>124566</v>
      </c>
      <c r="T9" s="213">
        <v>0</v>
      </c>
      <c r="U9" s="213">
        <v>413777</v>
      </c>
      <c r="V9" s="213">
        <v>11578</v>
      </c>
      <c r="W9" s="427">
        <v>728509</v>
      </c>
      <c r="X9" s="278" t="str">
        <f>"{"&amp;"'coin':"&amp;表1_861218222426728894100[[#This Row],[补偿Coin]]&amp;",'"&amp;配置!$A$2&amp;"':"&amp;表1_861218222426728894100[[#This Row],[补偿辎重]]&amp;"},"</f>
        <v>{'coin':1000,'item036':10},</v>
      </c>
      <c r="Y9" s="278" t="str">
        <f>"            'to_zone':'"&amp;表1_861218222426728894100[[#This Row],[目标区服]]&amp;"',
            'reward':"&amp;表1_861218222426728894100[[#This Row],[辅助导出]]&amp;"
            'country':["&amp;R8&amp;","&amp;R9&amp;","&amp;R10&amp;"],"</f>
        <v>            'to_zone':'h1_581',
            'reward':{'coin':1000,'item036':10},
            'country':[0,1,2],</v>
      </c>
    </row>
    <row r="10" s="354" customFormat="1" customHeight="1" spans="1:25">
      <c r="A10" s="259">
        <v>5178</v>
      </c>
      <c r="B10" s="210">
        <f>VLOOKUP(表1_861218222426728894100[[#This Row],[区服]],$P$143:$Q$190,2,FALSE)</f>
        <v>47</v>
      </c>
      <c r="C10" s="41" t="s">
        <v>225</v>
      </c>
      <c r="D10" s="212" t="str">
        <f>表1_861218222426728894100[[#This Row],[目标国家]]</f>
        <v>吴</v>
      </c>
      <c r="E10" s="213">
        <f>(VLOOKUP(表1_861218222426728894100[[#This Row],[目标区服]],$R$143:$S$169,2,FALSE)-表1_861218222426728894100[[#This Row],[开服天数]])*配置!$B$1</f>
        <v>1000</v>
      </c>
      <c r="F10" s="213">
        <f>表1_861218222426728894100[[#This Row],[补偿Coin]]*(表1_861218222426728894100[[#This Row],[活跃高战玩家数]]+表1_861218222426728894100[[#This Row],[活跃中坚玩家数]])</f>
        <v>10000</v>
      </c>
      <c r="G10" s="260">
        <f>(VLOOKUP(表1_861218222426728894100[[#This Row],[目标区服]],$R$143:$S$174,2,FALSE)-表1_861218222426728894100[[#This Row],[开服天数]])*配置!$B$2</f>
        <v>10</v>
      </c>
      <c r="H10" s="212" t="s">
        <v>27</v>
      </c>
      <c r="I10" s="268">
        <f>IF(表1_861218222426728894100[[#This Row],[原国家]]="魏",0,IF(表1_861218222426728894100[[#This Row],[原国家]]="蜀",1,2))</f>
        <v>2</v>
      </c>
      <c r="J10" s="213">
        <v>2</v>
      </c>
      <c r="K10" s="213">
        <v>77</v>
      </c>
      <c r="L10" s="213">
        <v>1</v>
      </c>
      <c r="M10" s="213">
        <v>9</v>
      </c>
      <c r="N10" s="213">
        <v>47713</v>
      </c>
      <c r="O10" s="419">
        <v>2332044</v>
      </c>
      <c r="P10" s="420">
        <v>9168253</v>
      </c>
      <c r="Q10" s="31" t="s">
        <v>27</v>
      </c>
      <c r="R10" s="212">
        <f>IF(表1_861218222426728894100[[#This Row],[目标国家]]="魏",0,IF(表1_861218222426728894100[[#This Row],[目标国家]]="蜀",1,2))</f>
        <v>2</v>
      </c>
      <c r="S10" s="213">
        <v>2340</v>
      </c>
      <c r="T10" s="213">
        <v>112338</v>
      </c>
      <c r="U10" s="213">
        <v>720893</v>
      </c>
      <c r="V10" s="213">
        <v>6011</v>
      </c>
      <c r="W10" s="427">
        <v>779821</v>
      </c>
      <c r="X10" s="278" t="str">
        <f>"{"&amp;"'coin':"&amp;表1_861218222426728894100[[#This Row],[补偿Coin]]&amp;",'"&amp;配置!$A$2&amp;"':"&amp;表1_861218222426728894100[[#This Row],[补偿辎重]]&amp;"},"</f>
        <v>{'coin':1000,'item036':10},</v>
      </c>
      <c r="Y10" s="278" t="str">
        <f>"      },"</f>
        <v>      },</v>
      </c>
    </row>
    <row r="11" s="354" customFormat="1" customHeight="1" spans="1:25">
      <c r="A11" s="259">
        <v>5179</v>
      </c>
      <c r="B11" s="210">
        <f>VLOOKUP(表1_861218222426728894100[[#This Row],[区服]],$P$143:$Q$190,2,FALSE)</f>
        <v>47</v>
      </c>
      <c r="C11" s="41" t="s">
        <v>225</v>
      </c>
      <c r="D11" s="212" t="str">
        <f>表1_861218222426728894100[[#This Row],[目标国家]]</f>
        <v>蜀</v>
      </c>
      <c r="E11" s="213">
        <f>(VLOOKUP(表1_861218222426728894100[[#This Row],[目标区服]],$R$143:$S$169,2,FALSE)-表1_861218222426728894100[[#This Row],[开服天数]])*配置!$B$1</f>
        <v>1000</v>
      </c>
      <c r="F11" s="213">
        <f>表1_861218222426728894100[[#This Row],[补偿Coin]]*(表1_861218222426728894100[[#This Row],[活跃高战玩家数]]+表1_861218222426728894100[[#This Row],[活跃中坚玩家数]])</f>
        <v>19000</v>
      </c>
      <c r="G11" s="260">
        <f>(VLOOKUP(表1_861218222426728894100[[#This Row],[目标区服]],$R$143:$S$174,2,FALSE)-表1_861218222426728894100[[#This Row],[开服天数]])*配置!$B$2</f>
        <v>10</v>
      </c>
      <c r="H11" s="212" t="s">
        <v>25</v>
      </c>
      <c r="I11" s="268">
        <f>IF(表1_861218222426728894100[[#This Row],[原国家]]="魏",0,IF(表1_861218222426728894100[[#This Row],[原国家]]="蜀",1,2))</f>
        <v>0</v>
      </c>
      <c r="J11" s="213">
        <v>6</v>
      </c>
      <c r="K11" s="213">
        <v>249</v>
      </c>
      <c r="L11" s="213">
        <v>7</v>
      </c>
      <c r="M11" s="213">
        <v>12</v>
      </c>
      <c r="N11" s="213">
        <v>124257</v>
      </c>
      <c r="O11" s="419">
        <v>2784266</v>
      </c>
      <c r="P11" s="420">
        <v>19730081</v>
      </c>
      <c r="Q11" s="31" t="s">
        <v>26</v>
      </c>
      <c r="R11" s="212">
        <f>IF(表1_861218222426728894100[[#This Row],[目标国家]]="魏",0,IF(表1_861218222426728894100[[#This Row],[目标国家]]="蜀",1,2))</f>
        <v>1</v>
      </c>
      <c r="S11" s="213">
        <v>56602</v>
      </c>
      <c r="T11" s="213">
        <v>0</v>
      </c>
      <c r="U11" s="213">
        <v>408530</v>
      </c>
      <c r="V11" s="213">
        <v>10370</v>
      </c>
      <c r="W11" s="427">
        <v>880665</v>
      </c>
      <c r="X11" s="278" t="str">
        <f>"{"&amp;"'coin':"&amp;表1_861218222426728894100[[#This Row],[补偿Coin]]&amp;",'"&amp;配置!$A$2&amp;"':"&amp;表1_861218222426728894100[[#This Row],[补偿辎重]]&amp;"},"</f>
        <v>{'coin':1000,'item036':10},</v>
      </c>
      <c r="Y11" s="278" t="str">
        <f>"      '"&amp;表1_861218222426728894100[[#This Row],[区服]]&amp;"':{"</f>
        <v>      '5179':{</v>
      </c>
    </row>
    <row r="12" s="354" customFormat="1" customHeight="1" spans="1:25">
      <c r="A12" s="259">
        <v>5179</v>
      </c>
      <c r="B12" s="210">
        <f>VLOOKUP(表1_861218222426728894100[[#This Row],[区服]],$P$143:$Q$190,2,FALSE)</f>
        <v>47</v>
      </c>
      <c r="C12" s="41" t="s">
        <v>225</v>
      </c>
      <c r="D12" s="212" t="str">
        <f>表1_861218222426728894100[[#This Row],[目标国家]]</f>
        <v>蜀</v>
      </c>
      <c r="E12" s="213">
        <f>(VLOOKUP(表1_861218222426728894100[[#This Row],[目标区服]],$R$143:$S$169,2,FALSE)-表1_861218222426728894100[[#This Row],[开服天数]])*配置!$B$1</f>
        <v>1000</v>
      </c>
      <c r="F12" s="213">
        <f>表1_861218222426728894100[[#This Row],[补偿Coin]]*(表1_861218222426728894100[[#This Row],[活跃高战玩家数]]+表1_861218222426728894100[[#This Row],[活跃中坚玩家数]])</f>
        <v>20000</v>
      </c>
      <c r="G12" s="260">
        <f>(VLOOKUP(表1_861218222426728894100[[#This Row],[目标区服]],$R$143:$S$174,2,FALSE)-表1_861218222426728894100[[#This Row],[开服天数]])*配置!$B$2</f>
        <v>10</v>
      </c>
      <c r="H12" s="212" t="s">
        <v>26</v>
      </c>
      <c r="I12" s="268">
        <f>IF(表1_861218222426728894100[[#This Row],[原国家]]="魏",0,IF(表1_861218222426728894100[[#This Row],[原国家]]="蜀",1,2))</f>
        <v>1</v>
      </c>
      <c r="J12" s="213">
        <v>1</v>
      </c>
      <c r="K12" s="213">
        <v>71</v>
      </c>
      <c r="L12" s="213">
        <v>1</v>
      </c>
      <c r="M12" s="213">
        <v>19</v>
      </c>
      <c r="N12" s="213">
        <v>88249</v>
      </c>
      <c r="O12" s="419">
        <v>1724515</v>
      </c>
      <c r="P12" s="420">
        <v>12640891</v>
      </c>
      <c r="Q12" s="31" t="s">
        <v>26</v>
      </c>
      <c r="R12" s="212">
        <f>IF(表1_861218222426728894100[[#This Row],[目标国家]]="魏",0,IF(表1_861218222426728894100[[#This Row],[目标国家]]="蜀",1,2))</f>
        <v>1</v>
      </c>
      <c r="S12" s="213">
        <v>29388</v>
      </c>
      <c r="T12" s="213">
        <v>0</v>
      </c>
      <c r="U12" s="213">
        <v>149508</v>
      </c>
      <c r="V12" s="213">
        <v>5196</v>
      </c>
      <c r="W12" s="427">
        <v>455532</v>
      </c>
      <c r="X12" s="278" t="str">
        <f>"{"&amp;"'coin':"&amp;表1_861218222426728894100[[#This Row],[补偿Coin]]&amp;",'"&amp;配置!$A$2&amp;"':"&amp;表1_861218222426728894100[[#This Row],[补偿辎重]]&amp;"},"</f>
        <v>{'coin':1000,'item036':10},</v>
      </c>
      <c r="Y12" s="278" t="str">
        <f>"            'to_zone':'"&amp;表1_861218222426728894100[[#This Row],[目标区服]]&amp;"',
            'reward':"&amp;表1_861218222426728894100[[#This Row],[辅助导出]]&amp;"
            'country':["&amp;R11&amp;","&amp;R12&amp;","&amp;R13&amp;"],"</f>
        <v>            'to_zone':'h1_581',
            'reward':{'coin':1000,'item036':10},
            'country':[1,1,0],</v>
      </c>
    </row>
    <row r="13" s="354" customFormat="1" customHeight="1" spans="1:25">
      <c r="A13" s="259">
        <v>5179</v>
      </c>
      <c r="B13" s="210">
        <f>VLOOKUP(表1_861218222426728894100[[#This Row],[区服]],$P$143:$Q$190,2,FALSE)</f>
        <v>47</v>
      </c>
      <c r="C13" s="41" t="s">
        <v>225</v>
      </c>
      <c r="D13" s="212" t="str">
        <f>表1_861218222426728894100[[#This Row],[目标国家]]</f>
        <v>魏</v>
      </c>
      <c r="E13" s="213">
        <f>(VLOOKUP(表1_861218222426728894100[[#This Row],[目标区服]],$R$143:$S$169,2,FALSE)-表1_861218222426728894100[[#This Row],[开服天数]])*配置!$B$1</f>
        <v>1000</v>
      </c>
      <c r="F13" s="213">
        <f>表1_861218222426728894100[[#This Row],[补偿Coin]]*(表1_861218222426728894100[[#This Row],[活跃高战玩家数]]+表1_861218222426728894100[[#This Row],[活跃中坚玩家数]])</f>
        <v>16000</v>
      </c>
      <c r="G13" s="260">
        <f>(VLOOKUP(表1_861218222426728894100[[#This Row],[目标区服]],$R$143:$S$174,2,FALSE)-表1_861218222426728894100[[#This Row],[开服天数]])*配置!$B$2</f>
        <v>10</v>
      </c>
      <c r="H13" s="212" t="s">
        <v>27</v>
      </c>
      <c r="I13" s="268">
        <f>IF(表1_861218222426728894100[[#This Row],[原国家]]="魏",0,IF(表1_861218222426728894100[[#This Row],[原国家]]="蜀",1,2))</f>
        <v>2</v>
      </c>
      <c r="J13" s="213">
        <v>2</v>
      </c>
      <c r="K13" s="213">
        <v>75</v>
      </c>
      <c r="L13" s="213">
        <v>2</v>
      </c>
      <c r="M13" s="213">
        <v>14</v>
      </c>
      <c r="N13" s="213">
        <v>76333</v>
      </c>
      <c r="O13" s="419">
        <v>1612957</v>
      </c>
      <c r="P13" s="420">
        <v>10454338</v>
      </c>
      <c r="Q13" s="31" t="s">
        <v>25</v>
      </c>
      <c r="R13" s="212">
        <f>IF(表1_861218222426728894100[[#This Row],[目标国家]]="魏",0,IF(表1_861218222426728894100[[#This Row],[目标国家]]="蜀",1,2))</f>
        <v>0</v>
      </c>
      <c r="S13" s="213">
        <v>7204</v>
      </c>
      <c r="T13" s="213">
        <v>0</v>
      </c>
      <c r="U13" s="213">
        <v>91243</v>
      </c>
      <c r="V13" s="213">
        <v>4251</v>
      </c>
      <c r="W13" s="427">
        <v>511613</v>
      </c>
      <c r="X13" s="278" t="str">
        <f>"{"&amp;"'coin':"&amp;表1_861218222426728894100[[#This Row],[补偿Coin]]&amp;",'"&amp;配置!$A$2&amp;"':"&amp;表1_861218222426728894100[[#This Row],[补偿辎重]]&amp;"},"</f>
        <v>{'coin':1000,'item036':10},</v>
      </c>
      <c r="Y13" s="278" t="str">
        <f t="shared" ref="Y13" si="1">"      },"</f>
        <v>      },</v>
      </c>
    </row>
    <row r="14" customHeight="1" spans="1:25">
      <c r="A14" s="259">
        <v>5180</v>
      </c>
      <c r="B14" s="210">
        <f>VLOOKUP(表1_861218222426728894100[[#This Row],[区服]],$P$143:$Q$190,2,FALSE)</f>
        <v>47</v>
      </c>
      <c r="C14" s="41" t="s">
        <v>225</v>
      </c>
      <c r="D14" s="212" t="str">
        <f>表1_861218222426728894100[[#This Row],[目标国家]]</f>
        <v>吴</v>
      </c>
      <c r="E14" s="213">
        <f>(VLOOKUP(表1_861218222426728894100[[#This Row],[目标区服]],$R$143:$S$169,2,FALSE)-表1_861218222426728894100[[#This Row],[开服天数]])*配置!$B$1</f>
        <v>1000</v>
      </c>
      <c r="F14" s="213">
        <f>表1_861218222426728894100[[#This Row],[补偿Coin]]*(表1_861218222426728894100[[#This Row],[活跃高战玩家数]]+表1_861218222426728894100[[#This Row],[活跃中坚玩家数]])</f>
        <v>21000</v>
      </c>
      <c r="G14" s="260">
        <f>(VLOOKUP(表1_861218222426728894100[[#This Row],[目标区服]],$R$143:$S$174,2,FALSE)-表1_861218222426728894100[[#This Row],[开服天数]])*配置!$B$2</f>
        <v>10</v>
      </c>
      <c r="H14" s="212" t="s">
        <v>25</v>
      </c>
      <c r="I14" s="268">
        <f>IF(表1_861218222426728894100[[#This Row],[原国家]]="魏",0,IF(表1_861218222426728894100[[#This Row],[原国家]]="蜀",1,2))</f>
        <v>0</v>
      </c>
      <c r="J14" s="213">
        <v>6</v>
      </c>
      <c r="K14" s="213">
        <v>181</v>
      </c>
      <c r="L14" s="213">
        <v>6</v>
      </c>
      <c r="M14" s="213">
        <v>15</v>
      </c>
      <c r="N14" s="213">
        <v>129201</v>
      </c>
      <c r="O14" s="419">
        <v>2662742</v>
      </c>
      <c r="P14" s="420">
        <v>20698113</v>
      </c>
      <c r="Q14" s="31" t="s">
        <v>27</v>
      </c>
      <c r="R14" s="212">
        <f>IF(表1_861218222426728894100[[#This Row],[目标国家]]="魏",0,IF(表1_861218222426728894100[[#This Row],[目标国家]]="蜀",1,2))</f>
        <v>2</v>
      </c>
      <c r="S14" s="213">
        <v>112844</v>
      </c>
      <c r="T14" s="213">
        <v>0</v>
      </c>
      <c r="U14" s="213">
        <v>385471</v>
      </c>
      <c r="V14" s="213">
        <v>11366</v>
      </c>
      <c r="W14" s="427">
        <v>735923</v>
      </c>
      <c r="X14" s="278" t="str">
        <f>"{"&amp;"'coin':"&amp;表1_861218222426728894100[[#This Row],[补偿Coin]]&amp;",'"&amp;配置!$A$2&amp;"':"&amp;表1_861218222426728894100[[#This Row],[补偿辎重]]&amp;"},"</f>
        <v>{'coin':1000,'item036':10},</v>
      </c>
      <c r="Y14" s="278" t="str">
        <f>"      '"&amp;表1_861218222426728894100[[#This Row],[区服]]&amp;"':{"</f>
        <v>      '5180':{</v>
      </c>
    </row>
    <row r="15" customHeight="1" spans="1:25">
      <c r="A15" s="259">
        <v>5180</v>
      </c>
      <c r="B15" s="210">
        <f>VLOOKUP(表1_861218222426728894100[[#This Row],[区服]],$P$143:$Q$190,2,FALSE)</f>
        <v>47</v>
      </c>
      <c r="C15" s="41" t="s">
        <v>225</v>
      </c>
      <c r="D15" s="212" t="str">
        <f>表1_861218222426728894100[[#This Row],[目标国家]]</f>
        <v>魏</v>
      </c>
      <c r="E15" s="213">
        <f>(VLOOKUP(表1_861218222426728894100[[#This Row],[目标区服]],$R$143:$S$169,2,FALSE)-表1_861218222426728894100[[#This Row],[开服天数]])*配置!$B$1</f>
        <v>1000</v>
      </c>
      <c r="F15" s="213">
        <f>表1_861218222426728894100[[#This Row],[补偿Coin]]*(表1_861218222426728894100[[#This Row],[活跃高战玩家数]]+表1_861218222426728894100[[#This Row],[活跃中坚玩家数]])</f>
        <v>17000</v>
      </c>
      <c r="G15" s="260">
        <f>(VLOOKUP(表1_861218222426728894100[[#This Row],[目标区服]],$R$143:$S$174,2,FALSE)-表1_861218222426728894100[[#This Row],[开服天数]])*配置!$B$2</f>
        <v>10</v>
      </c>
      <c r="H15" s="212" t="s">
        <v>26</v>
      </c>
      <c r="I15" s="268">
        <f>IF(表1_861218222426728894100[[#This Row],[原国家]]="魏",0,IF(表1_861218222426728894100[[#This Row],[原国家]]="蜀",1,2))</f>
        <v>1</v>
      </c>
      <c r="J15" s="213">
        <v>1</v>
      </c>
      <c r="K15" s="213">
        <v>130</v>
      </c>
      <c r="L15" s="213">
        <v>1</v>
      </c>
      <c r="M15" s="213">
        <v>16</v>
      </c>
      <c r="N15" s="213">
        <v>81461</v>
      </c>
      <c r="O15" s="419">
        <v>1343242</v>
      </c>
      <c r="P15" s="420">
        <v>11125799</v>
      </c>
      <c r="Q15" s="31" t="s">
        <v>25</v>
      </c>
      <c r="R15" s="212">
        <f>IF(表1_861218222426728894100[[#This Row],[目标国家]]="魏",0,IF(表1_861218222426728894100[[#This Row],[目标国家]]="蜀",1,2))</f>
        <v>0</v>
      </c>
      <c r="S15" s="213">
        <v>7774</v>
      </c>
      <c r="T15" s="213">
        <v>0</v>
      </c>
      <c r="U15" s="213">
        <v>123175</v>
      </c>
      <c r="V15" s="213">
        <v>4557</v>
      </c>
      <c r="W15" s="427">
        <v>431464</v>
      </c>
      <c r="X15" s="278" t="str">
        <f>"{"&amp;"'coin':"&amp;表1_861218222426728894100[[#This Row],[补偿Coin]]&amp;",'"&amp;配置!$A$2&amp;"':"&amp;表1_861218222426728894100[[#This Row],[补偿辎重]]&amp;"},"</f>
        <v>{'coin':1000,'item036':10},</v>
      </c>
      <c r="Y15" s="278" t="str">
        <f>"            'to_zone':'"&amp;表1_861218222426728894100[[#This Row],[目标区服]]&amp;"',
            'reward':"&amp;表1_861218222426728894100[[#This Row],[辅助导出]]&amp;"
            'country':["&amp;R14&amp;","&amp;R15&amp;","&amp;R16&amp;"],"</f>
        <v>            'to_zone':'h1_581',
            'reward':{'coin':1000,'item036':10},
            'country':[2,0,2],</v>
      </c>
    </row>
    <row r="16" customHeight="1" spans="1:25">
      <c r="A16" s="259">
        <v>5180</v>
      </c>
      <c r="B16" s="210">
        <f>VLOOKUP(表1_861218222426728894100[[#This Row],[区服]],$P$143:$Q$190,2,FALSE)</f>
        <v>47</v>
      </c>
      <c r="C16" s="41" t="s">
        <v>225</v>
      </c>
      <c r="D16" s="212" t="str">
        <f>表1_861218222426728894100[[#This Row],[目标国家]]</f>
        <v>吴</v>
      </c>
      <c r="E16" s="213">
        <f>(VLOOKUP(表1_861218222426728894100[[#This Row],[目标区服]],$R$143:$S$169,2,FALSE)-表1_861218222426728894100[[#This Row],[开服天数]])*配置!$B$1</f>
        <v>1000</v>
      </c>
      <c r="F16" s="213">
        <f>表1_861218222426728894100[[#This Row],[补偿Coin]]*(表1_861218222426728894100[[#This Row],[活跃高战玩家数]]+表1_861218222426728894100[[#This Row],[活跃中坚玩家数]])</f>
        <v>19000</v>
      </c>
      <c r="G16" s="260">
        <f>(VLOOKUP(表1_861218222426728894100[[#This Row],[目标区服]],$R$143:$S$174,2,FALSE)-表1_861218222426728894100[[#This Row],[开服天数]])*配置!$B$2</f>
        <v>10</v>
      </c>
      <c r="H16" s="212" t="s">
        <v>27</v>
      </c>
      <c r="I16" s="268">
        <f>IF(表1_861218222426728894100[[#This Row],[原国家]]="魏",0,IF(表1_861218222426728894100[[#This Row],[原国家]]="蜀",1,2))</f>
        <v>2</v>
      </c>
      <c r="J16" s="213">
        <v>2</v>
      </c>
      <c r="K16" s="213">
        <v>84</v>
      </c>
      <c r="L16" s="213">
        <v>3</v>
      </c>
      <c r="M16" s="213">
        <v>16</v>
      </c>
      <c r="N16" s="213">
        <v>81363</v>
      </c>
      <c r="O16" s="419">
        <v>1752204</v>
      </c>
      <c r="P16" s="420">
        <v>11420444</v>
      </c>
      <c r="Q16" s="31" t="s">
        <v>27</v>
      </c>
      <c r="R16" s="212">
        <f>IF(表1_861218222426728894100[[#This Row],[目标国家]]="魏",0,IF(表1_861218222426728894100[[#This Row],[目标国家]]="蜀",1,2))</f>
        <v>2</v>
      </c>
      <c r="S16" s="213">
        <v>16212</v>
      </c>
      <c r="T16" s="213">
        <v>0</v>
      </c>
      <c r="U16" s="213">
        <v>117935</v>
      </c>
      <c r="V16" s="213">
        <v>4886</v>
      </c>
      <c r="W16" s="427">
        <v>583687</v>
      </c>
      <c r="X16" s="278" t="str">
        <f>"{"&amp;"'coin':"&amp;表1_861218222426728894100[[#This Row],[补偿Coin]]&amp;",'"&amp;配置!$A$2&amp;"':"&amp;表1_861218222426728894100[[#This Row],[补偿辎重]]&amp;"},"</f>
        <v>{'coin':1000,'item036':10},</v>
      </c>
      <c r="Y16" s="278" t="str">
        <f t="shared" ref="Y16" si="2">"      },"</f>
        <v>      },</v>
      </c>
    </row>
    <row r="17" customHeight="1" spans="1:25">
      <c r="A17" s="214">
        <v>5181</v>
      </c>
      <c r="B17" s="214">
        <f>VLOOKUP(表1_861218222426728894100[[#This Row],[区服]],$P$143:$Q$190,2,FALSE)</f>
        <v>47</v>
      </c>
      <c r="C17" s="308" t="s">
        <v>226</v>
      </c>
      <c r="D17" s="216" t="str">
        <f>表1_861218222426728894100[[#This Row],[目标国家]]</f>
        <v>魏</v>
      </c>
      <c r="E17" s="217">
        <f>(VLOOKUP(表1_861218222426728894100[[#This Row],[目标区服]],$R$143:$S$169,2,FALSE)-表1_861218222426728894100[[#This Row],[开服天数]])*配置!$B$1</f>
        <v>1000</v>
      </c>
      <c r="F17" s="217">
        <f>表1_861218222426728894100[[#This Row],[补偿Coin]]*(表1_861218222426728894100[[#This Row],[活跃高战玩家数]]+表1_861218222426728894100[[#This Row],[活跃中坚玩家数]])</f>
        <v>36000</v>
      </c>
      <c r="G17" s="217">
        <f>(VLOOKUP(表1_861218222426728894100[[#This Row],[目标区服]],$R$143:$S$174,2,FALSE)-表1_861218222426728894100[[#This Row],[开服天数]])*配置!$B$2</f>
        <v>10</v>
      </c>
      <c r="H17" s="216" t="s">
        <v>25</v>
      </c>
      <c r="I17" s="216">
        <f>IF(表1_861218222426728894100[[#This Row],[原国家]]="魏",0,IF(表1_861218222426728894100[[#This Row],[原国家]]="蜀",1,2))</f>
        <v>0</v>
      </c>
      <c r="J17" s="217">
        <v>7</v>
      </c>
      <c r="K17" s="217">
        <v>264</v>
      </c>
      <c r="L17" s="217">
        <v>8</v>
      </c>
      <c r="M17" s="217">
        <v>28</v>
      </c>
      <c r="N17" s="217">
        <v>192767</v>
      </c>
      <c r="O17" s="217">
        <v>2978266</v>
      </c>
      <c r="P17" s="334">
        <v>35056797</v>
      </c>
      <c r="Q17" s="31" t="s">
        <v>25</v>
      </c>
      <c r="R17" s="216">
        <f>IF(表1_861218222426728894100[[#This Row],[目标国家]]="魏",0,IF(表1_861218222426728894100[[#This Row],[目标国家]]="蜀",1,2))</f>
        <v>0</v>
      </c>
      <c r="S17" s="217">
        <v>113172</v>
      </c>
      <c r="T17" s="217">
        <v>0</v>
      </c>
      <c r="U17" s="217">
        <v>706953</v>
      </c>
      <c r="V17" s="217">
        <v>14536</v>
      </c>
      <c r="W17" s="428">
        <v>854624</v>
      </c>
      <c r="X17" s="249" t="str">
        <f>"{"&amp;"'coin':"&amp;表1_861218222426728894100[[#This Row],[补偿Coin]]&amp;",'"&amp;配置!$A$2&amp;"':"&amp;表1_861218222426728894100[[#This Row],[补偿辎重]]&amp;"},"</f>
        <v>{'coin':1000,'item036':10},</v>
      </c>
      <c r="Y17" s="251" t="str">
        <f>"      '"&amp;表1_861218222426728894100[[#This Row],[区服]]&amp;"':{"</f>
        <v>      '5181':{</v>
      </c>
    </row>
    <row r="18" customHeight="1" spans="1:25">
      <c r="A18" s="214">
        <v>5181</v>
      </c>
      <c r="B18" s="214">
        <f>VLOOKUP(表1_861218222426728894100[[#This Row],[区服]],$P$143:$Q$190,2,FALSE)</f>
        <v>47</v>
      </c>
      <c r="C18" s="308" t="s">
        <v>226</v>
      </c>
      <c r="D18" s="216" t="str">
        <f>表1_861218222426728894100[[#This Row],[目标国家]]</f>
        <v>蜀</v>
      </c>
      <c r="E18" s="217">
        <f>(VLOOKUP(表1_861218222426728894100[[#This Row],[目标区服]],$R$143:$S$169,2,FALSE)-表1_861218222426728894100[[#This Row],[开服天数]])*配置!$B$1</f>
        <v>1000</v>
      </c>
      <c r="F18" s="217">
        <f>表1_861218222426728894100[[#This Row],[补偿Coin]]*(表1_861218222426728894100[[#This Row],[活跃高战玩家数]]+表1_861218222426728894100[[#This Row],[活跃中坚玩家数]])</f>
        <v>12000</v>
      </c>
      <c r="G18" s="217">
        <f>(VLOOKUP(表1_861218222426728894100[[#This Row],[目标区服]],$R$143:$S$174,2,FALSE)-表1_861218222426728894100[[#This Row],[开服天数]])*配置!$B$2</f>
        <v>10</v>
      </c>
      <c r="H18" s="216" t="s">
        <v>26</v>
      </c>
      <c r="I18" s="216">
        <f>IF(表1_861218222426728894100[[#This Row],[原国家]]="魏",0,IF(表1_861218222426728894100[[#This Row],[原国家]]="蜀",1,2))</f>
        <v>1</v>
      </c>
      <c r="J18" s="217">
        <v>0</v>
      </c>
      <c r="K18" s="217">
        <v>53</v>
      </c>
      <c r="L18" s="217">
        <v>0</v>
      </c>
      <c r="M18" s="217">
        <v>12</v>
      </c>
      <c r="N18" s="217">
        <v>22909</v>
      </c>
      <c r="O18" s="217">
        <v>947193</v>
      </c>
      <c r="P18" s="334">
        <v>5810315</v>
      </c>
      <c r="Q18" s="31" t="s">
        <v>26</v>
      </c>
      <c r="R18" s="216">
        <f>IF(表1_861218222426728894100[[#This Row],[目标国家]]="魏",0,IF(表1_861218222426728894100[[#This Row],[目标国家]]="蜀",1,2))</f>
        <v>1</v>
      </c>
      <c r="S18" s="217">
        <v>10090</v>
      </c>
      <c r="T18" s="217">
        <v>0</v>
      </c>
      <c r="U18" s="217">
        <v>71842</v>
      </c>
      <c r="V18" s="217">
        <v>2511</v>
      </c>
      <c r="W18" s="428">
        <v>306510</v>
      </c>
      <c r="X18" s="249" t="str">
        <f>"{"&amp;"'coin':"&amp;表1_861218222426728894100[[#This Row],[补偿Coin]]&amp;",'"&amp;配置!$A$2&amp;"':"&amp;表1_861218222426728894100[[#This Row],[补偿辎重]]&amp;"},"</f>
        <v>{'coin':1000,'item036':10},</v>
      </c>
      <c r="Y18" s="251" t="str">
        <f>"            'to_zone':'"&amp;表1_861218222426728894100[[#This Row],[目标区服]]&amp;"',
            'reward':"&amp;表1_861218222426728894100[[#This Row],[辅助导出]]&amp;"
            'country':["&amp;R17&amp;","&amp;R18&amp;","&amp;R19&amp;"],"</f>
        <v>            'to_zone':'h1_582',
            'reward':{'coin':1000,'item036':10},
            'country':[0,1,2],</v>
      </c>
    </row>
    <row r="19" customHeight="1" spans="1:25">
      <c r="A19" s="214">
        <v>5181</v>
      </c>
      <c r="B19" s="214">
        <f>VLOOKUP(表1_861218222426728894100[[#This Row],[区服]],$P$143:$Q$190,2,FALSE)</f>
        <v>47</v>
      </c>
      <c r="C19" s="308" t="s">
        <v>226</v>
      </c>
      <c r="D19" s="216" t="str">
        <f>表1_861218222426728894100[[#This Row],[目标国家]]</f>
        <v>吴</v>
      </c>
      <c r="E19" s="217">
        <f>(VLOOKUP(表1_861218222426728894100[[#This Row],[目标区服]],$R$143:$S$169,2,FALSE)-表1_861218222426728894100[[#This Row],[开服天数]])*配置!$B$1</f>
        <v>1000</v>
      </c>
      <c r="F19" s="217">
        <f>表1_861218222426728894100[[#This Row],[补偿Coin]]*(表1_861218222426728894100[[#This Row],[活跃高战玩家数]]+表1_861218222426728894100[[#This Row],[活跃中坚玩家数]])</f>
        <v>19000</v>
      </c>
      <c r="G19" s="217">
        <f>(VLOOKUP(表1_861218222426728894100[[#This Row],[目标区服]],$R$143:$S$174,2,FALSE)-表1_861218222426728894100[[#This Row],[开服天数]])*配置!$B$2</f>
        <v>10</v>
      </c>
      <c r="H19" s="216" t="s">
        <v>27</v>
      </c>
      <c r="I19" s="216">
        <f>IF(表1_861218222426728894100[[#This Row],[原国家]]="魏",0,IF(表1_861218222426728894100[[#This Row],[原国家]]="蜀",1,2))</f>
        <v>2</v>
      </c>
      <c r="J19" s="217">
        <v>2</v>
      </c>
      <c r="K19" s="217">
        <v>78</v>
      </c>
      <c r="L19" s="217">
        <v>2</v>
      </c>
      <c r="M19" s="217">
        <v>17</v>
      </c>
      <c r="N19" s="217">
        <v>74748</v>
      </c>
      <c r="O19" s="217">
        <v>2367367</v>
      </c>
      <c r="P19" s="334">
        <v>14791780</v>
      </c>
      <c r="Q19" s="31" t="s">
        <v>27</v>
      </c>
      <c r="R19" s="216">
        <f>IF(表1_861218222426728894100[[#This Row],[目标国家]]="魏",0,IF(表1_861218222426728894100[[#This Row],[目标国家]]="蜀",1,2))</f>
        <v>2</v>
      </c>
      <c r="S19" s="217">
        <v>54010</v>
      </c>
      <c r="T19" s="217">
        <v>0</v>
      </c>
      <c r="U19" s="217">
        <v>264828</v>
      </c>
      <c r="V19" s="217">
        <v>6952</v>
      </c>
      <c r="W19" s="428">
        <v>780367</v>
      </c>
      <c r="X19" s="249" t="str">
        <f>"{"&amp;"'coin':"&amp;表1_861218222426728894100[[#This Row],[补偿Coin]]&amp;",'"&amp;配置!$A$2&amp;"':"&amp;表1_861218222426728894100[[#This Row],[补偿辎重]]&amp;"},"</f>
        <v>{'coin':1000,'item036':10},</v>
      </c>
      <c r="Y19" s="251" t="str">
        <f t="shared" ref="Y19" si="3">"      },"</f>
        <v>      },</v>
      </c>
    </row>
    <row r="20" customHeight="1" spans="1:25">
      <c r="A20" s="214">
        <v>5182</v>
      </c>
      <c r="B20" s="214">
        <f>VLOOKUP(表1_861218222426728894100[[#This Row],[区服]],$P$143:$Q$190,2,FALSE)</f>
        <v>47</v>
      </c>
      <c r="C20" s="308" t="s">
        <v>226</v>
      </c>
      <c r="D20" s="216" t="str">
        <f>表1_861218222426728894100[[#This Row],[目标国家]]</f>
        <v>吴</v>
      </c>
      <c r="E20" s="217">
        <f>(VLOOKUP(表1_861218222426728894100[[#This Row],[目标区服]],$R$143:$S$169,2,FALSE)-表1_861218222426728894100[[#This Row],[开服天数]])*配置!$B$1</f>
        <v>1000</v>
      </c>
      <c r="F20" s="217">
        <f>表1_861218222426728894100[[#This Row],[补偿Coin]]*(表1_861218222426728894100[[#This Row],[活跃高战玩家数]]+表1_861218222426728894100[[#This Row],[活跃中坚玩家数]])</f>
        <v>19000</v>
      </c>
      <c r="G20" s="217">
        <f>(VLOOKUP(表1_861218222426728894100[[#This Row],[目标区服]],$R$143:$S$174,2,FALSE)-表1_861218222426728894100[[#This Row],[开服天数]])*配置!$B$2</f>
        <v>10</v>
      </c>
      <c r="H20" s="216" t="s">
        <v>25</v>
      </c>
      <c r="I20" s="216">
        <f>IF(表1_861218222426728894100[[#This Row],[原国家]]="魏",0,IF(表1_861218222426728894100[[#This Row],[原国家]]="蜀",1,2))</f>
        <v>0</v>
      </c>
      <c r="J20" s="217">
        <v>1</v>
      </c>
      <c r="K20" s="217">
        <v>116</v>
      </c>
      <c r="L20" s="217">
        <v>3</v>
      </c>
      <c r="M20" s="217">
        <v>16</v>
      </c>
      <c r="N20" s="217">
        <v>89902</v>
      </c>
      <c r="O20" s="217">
        <v>1932751</v>
      </c>
      <c r="P20" s="334">
        <v>14828760</v>
      </c>
      <c r="Q20" s="31" t="s">
        <v>27</v>
      </c>
      <c r="R20" s="216">
        <f>IF(表1_861218222426728894100[[#This Row],[目标国家]]="魏",0,IF(表1_861218222426728894100[[#This Row],[目标国家]]="蜀",1,2))</f>
        <v>2</v>
      </c>
      <c r="S20" s="217">
        <v>34944</v>
      </c>
      <c r="T20" s="217">
        <v>0</v>
      </c>
      <c r="U20" s="217">
        <v>222822</v>
      </c>
      <c r="V20" s="217">
        <v>6284</v>
      </c>
      <c r="W20" s="428">
        <v>520868</v>
      </c>
      <c r="X20" s="249" t="str">
        <f>"{"&amp;"'coin':"&amp;表1_861218222426728894100[[#This Row],[补偿Coin]]&amp;",'"&amp;配置!$A$2&amp;"':"&amp;表1_861218222426728894100[[#This Row],[补偿辎重]]&amp;"},"</f>
        <v>{'coin':1000,'item036':10},</v>
      </c>
      <c r="Y20" s="251" t="str">
        <f>"      '"&amp;表1_861218222426728894100[[#This Row],[区服]]&amp;"':{"</f>
        <v>      '5182':{</v>
      </c>
    </row>
    <row r="21" customHeight="1" spans="1:25">
      <c r="A21" s="214">
        <v>5182</v>
      </c>
      <c r="B21" s="214">
        <f>VLOOKUP(表1_861218222426728894100[[#This Row],[区服]],$P$143:$Q$190,2,FALSE)</f>
        <v>47</v>
      </c>
      <c r="C21" s="308" t="s">
        <v>226</v>
      </c>
      <c r="D21" s="216" t="str">
        <f>表1_861218222426728894100[[#This Row],[目标国家]]</f>
        <v>蜀</v>
      </c>
      <c r="E21" s="217">
        <f>(VLOOKUP(表1_861218222426728894100[[#This Row],[目标区服]],$R$143:$S$169,2,FALSE)-表1_861218222426728894100[[#This Row],[开服天数]])*配置!$B$1</f>
        <v>1000</v>
      </c>
      <c r="F21" s="217">
        <f>表1_861218222426728894100[[#This Row],[补偿Coin]]*(表1_861218222426728894100[[#This Row],[活跃高战玩家数]]+表1_861218222426728894100[[#This Row],[活跃中坚玩家数]])</f>
        <v>24000</v>
      </c>
      <c r="G21" s="217">
        <f>(VLOOKUP(表1_861218222426728894100[[#This Row],[目标区服]],$R$143:$S$174,2,FALSE)-表1_861218222426728894100[[#This Row],[开服天数]])*配置!$B$2</f>
        <v>10</v>
      </c>
      <c r="H21" s="216" t="s">
        <v>26</v>
      </c>
      <c r="I21" s="216">
        <f>IF(表1_861218222426728894100[[#This Row],[原国家]]="魏",0,IF(表1_861218222426728894100[[#This Row],[原国家]]="蜀",1,2))</f>
        <v>1</v>
      </c>
      <c r="J21" s="217">
        <v>6</v>
      </c>
      <c r="K21" s="217">
        <v>214</v>
      </c>
      <c r="L21" s="217">
        <v>6</v>
      </c>
      <c r="M21" s="217">
        <v>18</v>
      </c>
      <c r="N21" s="217">
        <v>121881</v>
      </c>
      <c r="O21" s="217">
        <v>2884481</v>
      </c>
      <c r="P21" s="334">
        <v>22854306</v>
      </c>
      <c r="Q21" s="31" t="s">
        <v>26</v>
      </c>
      <c r="R21" s="216">
        <f>IF(表1_861218222426728894100[[#This Row],[目标国家]]="魏",0,IF(表1_861218222426728894100[[#This Row],[目标国家]]="蜀",1,2))</f>
        <v>1</v>
      </c>
      <c r="S21" s="217">
        <v>53298</v>
      </c>
      <c r="T21" s="217">
        <v>0</v>
      </c>
      <c r="U21" s="217">
        <v>545301</v>
      </c>
      <c r="V21" s="217">
        <v>10390</v>
      </c>
      <c r="W21" s="428">
        <v>707883</v>
      </c>
      <c r="X21" s="249" t="str">
        <f>"{"&amp;"'coin':"&amp;表1_861218222426728894100[[#This Row],[补偿Coin]]&amp;",'"&amp;配置!$A$2&amp;"':"&amp;表1_861218222426728894100[[#This Row],[补偿辎重]]&amp;"},"</f>
        <v>{'coin':1000,'item036':10},</v>
      </c>
      <c r="Y21" s="251" t="str">
        <f>"            'to_zone':'"&amp;表1_861218222426728894100[[#This Row],[目标区服]]&amp;"',
            'reward':"&amp;表1_861218222426728894100[[#This Row],[辅助导出]]&amp;"
            'country':["&amp;R20&amp;","&amp;R21&amp;","&amp;R22&amp;"],"</f>
        <v>            'to_zone':'h1_582',
            'reward':{'coin':1000,'item036':10},
            'country':[2,1,2],</v>
      </c>
    </row>
    <row r="22" customHeight="1" spans="1:25">
      <c r="A22" s="214">
        <v>5182</v>
      </c>
      <c r="B22" s="214">
        <f>VLOOKUP(表1_861218222426728894100[[#This Row],[区服]],$P$143:$Q$190,2,FALSE)</f>
        <v>47</v>
      </c>
      <c r="C22" s="308" t="s">
        <v>226</v>
      </c>
      <c r="D22" s="216" t="str">
        <f>表1_861218222426728894100[[#This Row],[目标国家]]</f>
        <v>吴</v>
      </c>
      <c r="E22" s="217">
        <f>(VLOOKUP(表1_861218222426728894100[[#This Row],[目标区服]],$R$143:$S$169,2,FALSE)-表1_861218222426728894100[[#This Row],[开服天数]])*配置!$B$1</f>
        <v>1000</v>
      </c>
      <c r="F22" s="217">
        <f>表1_861218222426728894100[[#This Row],[补偿Coin]]*(表1_861218222426728894100[[#This Row],[活跃高战玩家数]]+表1_861218222426728894100[[#This Row],[活跃中坚玩家数]])</f>
        <v>22000</v>
      </c>
      <c r="G22" s="217">
        <f>(VLOOKUP(表1_861218222426728894100[[#This Row],[目标区服]],$R$143:$S$174,2,FALSE)-表1_861218222426728894100[[#This Row],[开服天数]])*配置!$B$2</f>
        <v>10</v>
      </c>
      <c r="H22" s="216" t="s">
        <v>27</v>
      </c>
      <c r="I22" s="216">
        <f>IF(表1_861218222426728894100[[#This Row],[原国家]]="魏",0,IF(表1_861218222426728894100[[#This Row],[原国家]]="蜀",1,2))</f>
        <v>2</v>
      </c>
      <c r="J22" s="217">
        <v>2</v>
      </c>
      <c r="K22" s="217">
        <v>65</v>
      </c>
      <c r="L22" s="217">
        <v>1</v>
      </c>
      <c r="M22" s="217">
        <v>21</v>
      </c>
      <c r="N22" s="217">
        <v>74178</v>
      </c>
      <c r="O22" s="217">
        <v>1929164</v>
      </c>
      <c r="P22" s="334">
        <v>14377687</v>
      </c>
      <c r="Q22" s="31" t="s">
        <v>27</v>
      </c>
      <c r="R22" s="216">
        <f>IF(表1_861218222426728894100[[#This Row],[目标国家]]="魏",0,IF(表1_861218222426728894100[[#This Row],[目标国家]]="蜀",1,2))</f>
        <v>2</v>
      </c>
      <c r="S22" s="217">
        <v>24610</v>
      </c>
      <c r="T22" s="217">
        <v>0</v>
      </c>
      <c r="U22" s="217">
        <v>124228</v>
      </c>
      <c r="V22" s="217">
        <v>5388</v>
      </c>
      <c r="W22" s="428">
        <v>637143</v>
      </c>
      <c r="X22" s="249" t="str">
        <f>"{"&amp;"'coin':"&amp;表1_861218222426728894100[[#This Row],[补偿Coin]]&amp;",'"&amp;配置!$A$2&amp;"':"&amp;表1_861218222426728894100[[#This Row],[补偿辎重]]&amp;"},"</f>
        <v>{'coin':1000,'item036':10},</v>
      </c>
      <c r="Y22" s="251" t="str">
        <f t="shared" ref="Y22:Y82" si="4">"      },"</f>
        <v>      },</v>
      </c>
    </row>
    <row r="23" customHeight="1" spans="1:25">
      <c r="A23" s="367">
        <v>5183</v>
      </c>
      <c r="B23" s="214">
        <f>VLOOKUP(表1_861218222426728894100[[#This Row],[区服]],$P$143:$Q$190,2,FALSE)</f>
        <v>46</v>
      </c>
      <c r="C23" s="308" t="s">
        <v>226</v>
      </c>
      <c r="D23" s="216" t="str">
        <f>表1_861218222426728894100[[#This Row],[目标国家]]</f>
        <v>魏</v>
      </c>
      <c r="E23" s="413">
        <f>(VLOOKUP(表1_861218222426728894100[[#This Row],[目标区服]],$R$143:$S$169,2,FALSE)-表1_861218222426728894100[[#This Row],[开服天数]])*配置!$B$1</f>
        <v>1500</v>
      </c>
      <c r="F23" s="217">
        <f>表1_861218222426728894100[[#This Row],[补偿Coin]]*(表1_861218222426728894100[[#This Row],[活跃高战玩家数]]+表1_861218222426728894100[[#This Row],[活跃中坚玩家数]])</f>
        <v>18000</v>
      </c>
      <c r="G23" s="368">
        <f>(VLOOKUP(表1_861218222426728894100[[#This Row],[目标区服]],$R$143:$S$174,2,FALSE)-表1_861218222426728894100[[#This Row],[开服天数]])*配置!$B$2</f>
        <v>15</v>
      </c>
      <c r="H23" s="216" t="s">
        <v>25</v>
      </c>
      <c r="I23" s="377">
        <f>IF(表1_861218222426728894100[[#This Row],[原国家]]="魏",0,IF(表1_861218222426728894100[[#This Row],[原国家]]="蜀",1,2))</f>
        <v>0</v>
      </c>
      <c r="J23" s="217">
        <v>0</v>
      </c>
      <c r="K23" s="217">
        <v>51</v>
      </c>
      <c r="L23" s="217">
        <v>2</v>
      </c>
      <c r="M23" s="217">
        <v>10</v>
      </c>
      <c r="N23" s="217">
        <v>65356</v>
      </c>
      <c r="O23" s="378">
        <v>1896353</v>
      </c>
      <c r="P23" s="334">
        <v>10287720</v>
      </c>
      <c r="Q23" s="31" t="s">
        <v>25</v>
      </c>
      <c r="R23" s="216">
        <f>IF(表1_861218222426728894100[[#This Row],[目标国家]]="魏",0,IF(表1_861218222426728894100[[#This Row],[目标国家]]="蜀",1,2))</f>
        <v>0</v>
      </c>
      <c r="S23" s="217">
        <v>16690</v>
      </c>
      <c r="T23" s="217">
        <v>0</v>
      </c>
      <c r="U23" s="217">
        <v>42202</v>
      </c>
      <c r="V23" s="217">
        <v>4283</v>
      </c>
      <c r="W23" s="429">
        <v>562814</v>
      </c>
      <c r="X23" s="382" t="str">
        <f>"{"&amp;"'coin':"&amp;表1_861218222426728894100[[#This Row],[补偿Coin]]&amp;",'"&amp;配置!$A$2&amp;"':"&amp;表1_861218222426728894100[[#This Row],[补偿辎重]]&amp;"},"</f>
        <v>{'coin':1500,'item036':15},</v>
      </c>
      <c r="Y23" s="251" t="str">
        <f>"      '"&amp;表1_861218222426728894100[[#This Row],[区服]]&amp;"':{"</f>
        <v>      '5183':{</v>
      </c>
    </row>
    <row r="24" customHeight="1" spans="1:25">
      <c r="A24" s="367">
        <v>5183</v>
      </c>
      <c r="B24" s="214">
        <f>VLOOKUP(表1_861218222426728894100[[#This Row],[区服]],$P$143:$Q$190,2,FALSE)</f>
        <v>46</v>
      </c>
      <c r="C24" s="308" t="s">
        <v>226</v>
      </c>
      <c r="D24" s="216" t="str">
        <f>表1_861218222426728894100[[#This Row],[目标国家]]</f>
        <v>蜀</v>
      </c>
      <c r="E24" s="413">
        <f>(VLOOKUP(表1_861218222426728894100[[#This Row],[目标区服]],$R$143:$S$169,2,FALSE)-表1_861218222426728894100[[#This Row],[开服天数]])*配置!$B$1</f>
        <v>1500</v>
      </c>
      <c r="F24" s="217">
        <f>表1_861218222426728894100[[#This Row],[补偿Coin]]*(表1_861218222426728894100[[#This Row],[活跃高战玩家数]]+表1_861218222426728894100[[#This Row],[活跃中坚玩家数]])</f>
        <v>40500</v>
      </c>
      <c r="G24" s="368">
        <f>(VLOOKUP(表1_861218222426728894100[[#This Row],[目标区服]],$R$143:$S$174,2,FALSE)-表1_861218222426728894100[[#This Row],[开服天数]])*配置!$B$2</f>
        <v>15</v>
      </c>
      <c r="H24" s="216" t="s">
        <v>26</v>
      </c>
      <c r="I24" s="377">
        <f>IF(表1_861218222426728894100[[#This Row],[原国家]]="魏",0,IF(表1_861218222426728894100[[#This Row],[原国家]]="蜀",1,2))</f>
        <v>1</v>
      </c>
      <c r="J24" s="217">
        <v>8</v>
      </c>
      <c r="K24" s="217">
        <v>246</v>
      </c>
      <c r="L24" s="217">
        <v>6</v>
      </c>
      <c r="M24" s="217">
        <v>21</v>
      </c>
      <c r="N24" s="217">
        <v>141395</v>
      </c>
      <c r="O24" s="378">
        <v>3324478</v>
      </c>
      <c r="P24" s="334">
        <v>25206893</v>
      </c>
      <c r="Q24" s="31" t="s">
        <v>26</v>
      </c>
      <c r="R24" s="216">
        <f>IF(表1_861218222426728894100[[#This Row],[目标国家]]="魏",0,IF(表1_861218222426728894100[[#This Row],[目标国家]]="蜀",1,2))</f>
        <v>1</v>
      </c>
      <c r="S24" s="217">
        <v>70328</v>
      </c>
      <c r="T24" s="217">
        <v>0</v>
      </c>
      <c r="U24" s="217">
        <v>672077</v>
      </c>
      <c r="V24" s="217">
        <v>12258</v>
      </c>
      <c r="W24" s="429">
        <v>913942</v>
      </c>
      <c r="X24" s="382" t="str">
        <f>"{"&amp;"'coin':"&amp;表1_861218222426728894100[[#This Row],[补偿Coin]]&amp;",'"&amp;配置!$A$2&amp;"':"&amp;表1_861218222426728894100[[#This Row],[补偿辎重]]&amp;"},"</f>
        <v>{'coin':1500,'item036':15},</v>
      </c>
      <c r="Y24" s="251" t="str">
        <f>"            'to_zone':'"&amp;表1_861218222426728894100[[#This Row],[目标区服]]&amp;"',
            'reward':"&amp;表1_861218222426728894100[[#This Row],[辅助导出]]&amp;"
            'country':["&amp;R23&amp;","&amp;R24&amp;","&amp;R25&amp;"],"</f>
        <v>            'to_zone':'h1_582',
            'reward':{'coin':1500,'item036':15},
            'country':[0,1,2],</v>
      </c>
    </row>
    <row r="25" customHeight="1" spans="1:25">
      <c r="A25" s="367">
        <v>5183</v>
      </c>
      <c r="B25" s="214">
        <f>VLOOKUP(表1_861218222426728894100[[#This Row],[区服]],$P$143:$Q$190,2,FALSE)</f>
        <v>46</v>
      </c>
      <c r="C25" s="308" t="s">
        <v>226</v>
      </c>
      <c r="D25" s="216" t="str">
        <f>表1_861218222426728894100[[#This Row],[目标国家]]</f>
        <v>吴</v>
      </c>
      <c r="E25" s="413">
        <f>(VLOOKUP(表1_861218222426728894100[[#This Row],[目标区服]],$R$143:$S$169,2,FALSE)-表1_861218222426728894100[[#This Row],[开服天数]])*配置!$B$1</f>
        <v>1500</v>
      </c>
      <c r="F25" s="217">
        <f>表1_861218222426728894100[[#This Row],[补偿Coin]]*(表1_861218222426728894100[[#This Row],[活跃高战玩家数]]+表1_861218222426728894100[[#This Row],[活跃中坚玩家数]])</f>
        <v>18000</v>
      </c>
      <c r="G25" s="368">
        <f>(VLOOKUP(表1_861218222426728894100[[#This Row],[目标区服]],$R$143:$S$174,2,FALSE)-表1_861218222426728894100[[#This Row],[开服天数]])*配置!$B$2</f>
        <v>15</v>
      </c>
      <c r="H25" s="216" t="s">
        <v>27</v>
      </c>
      <c r="I25" s="377">
        <f>IF(表1_861218222426728894100[[#This Row],[原国家]]="魏",0,IF(表1_861218222426728894100[[#This Row],[原国家]]="蜀",1,2))</f>
        <v>2</v>
      </c>
      <c r="J25" s="217">
        <v>1</v>
      </c>
      <c r="K25" s="217">
        <v>98</v>
      </c>
      <c r="L25" s="217">
        <v>2</v>
      </c>
      <c r="M25" s="217">
        <v>10</v>
      </c>
      <c r="N25" s="217">
        <v>62527</v>
      </c>
      <c r="O25" s="378">
        <v>2056241</v>
      </c>
      <c r="P25" s="334">
        <v>9990875</v>
      </c>
      <c r="Q25" s="31" t="s">
        <v>27</v>
      </c>
      <c r="R25" s="216">
        <f>IF(表1_861218222426728894100[[#This Row],[目标国家]]="魏",0,IF(表1_861218222426728894100[[#This Row],[目标国家]]="蜀",1,2))</f>
        <v>2</v>
      </c>
      <c r="S25" s="217">
        <v>15536</v>
      </c>
      <c r="T25" s="217">
        <v>0</v>
      </c>
      <c r="U25" s="217">
        <v>142349</v>
      </c>
      <c r="V25" s="217">
        <v>4985</v>
      </c>
      <c r="W25" s="429">
        <v>603769</v>
      </c>
      <c r="X25" s="382" t="str">
        <f>"{"&amp;"'coin':"&amp;表1_861218222426728894100[[#This Row],[补偿Coin]]&amp;",'"&amp;配置!$A$2&amp;"':"&amp;表1_861218222426728894100[[#This Row],[补偿辎重]]&amp;"},"</f>
        <v>{'coin':1500,'item036':15},</v>
      </c>
      <c r="Y25" s="251" t="str">
        <f t="shared" ref="Y25:Y79" si="5">"      },"</f>
        <v>      },</v>
      </c>
    </row>
    <row r="26" customHeight="1" spans="1:25">
      <c r="A26" s="370">
        <v>5184</v>
      </c>
      <c r="B26" s="81">
        <f>VLOOKUP(表1_861218222426728894100[[#This Row],[区服]],$P$143:$Q$190,2,FALSE)</f>
        <v>46</v>
      </c>
      <c r="C26" s="414" t="s">
        <v>227</v>
      </c>
      <c r="D26" s="83" t="str">
        <f>表1_861218222426728894100[[#This Row],[目标国家]]</f>
        <v>魏</v>
      </c>
      <c r="E26" s="415">
        <f>(VLOOKUP(表1_861218222426728894100[[#This Row],[目标区服]],$R$143:$S$169,2,FALSE)-表1_861218222426728894100[[#This Row],[开服天数]])*配置!$B$1</f>
        <v>1000</v>
      </c>
      <c r="F26" s="85">
        <f>表1_861218222426728894100[[#This Row],[补偿Coin]]*(表1_861218222426728894100[[#This Row],[活跃高战玩家数]]+表1_861218222426728894100[[#This Row],[活跃中坚玩家数]])</f>
        <v>26000</v>
      </c>
      <c r="G26" s="416">
        <f>(VLOOKUP(表1_861218222426728894100[[#This Row],[目标区服]],$R$143:$S$174,2,FALSE)-表1_861218222426728894100[[#This Row],[开服天数]])*配置!$B$2</f>
        <v>10</v>
      </c>
      <c r="H26" s="83" t="s">
        <v>25</v>
      </c>
      <c r="I26" s="421">
        <f>IF(表1_861218222426728894100[[#This Row],[原国家]]="魏",0,IF(表1_861218222426728894100[[#This Row],[原国家]]="蜀",1,2))</f>
        <v>0</v>
      </c>
      <c r="J26" s="85">
        <v>5</v>
      </c>
      <c r="K26" s="85">
        <v>190</v>
      </c>
      <c r="L26" s="85">
        <v>5</v>
      </c>
      <c r="M26" s="85">
        <v>21</v>
      </c>
      <c r="N26" s="85">
        <v>148935</v>
      </c>
      <c r="O26" s="422">
        <v>1921870</v>
      </c>
      <c r="P26" s="379">
        <v>18833669</v>
      </c>
      <c r="Q26" s="31" t="s">
        <v>25</v>
      </c>
      <c r="R26" s="83">
        <f>IF(表1_861218222426728894100[[#This Row],[目标国家]]="魏",0,IF(表1_861218222426728894100[[#This Row],[目标国家]]="蜀",1,2))</f>
        <v>0</v>
      </c>
      <c r="S26" s="85">
        <v>37050</v>
      </c>
      <c r="T26" s="85">
        <v>0</v>
      </c>
      <c r="U26" s="85">
        <v>392837</v>
      </c>
      <c r="V26" s="85">
        <v>8257</v>
      </c>
      <c r="W26" s="430">
        <v>505734</v>
      </c>
      <c r="X26" s="431" t="str">
        <f>"{"&amp;"'coin':"&amp;表1_861218222426728894100[[#This Row],[补偿Coin]]&amp;",'"&amp;配置!$A$2&amp;"':"&amp;表1_861218222426728894100[[#This Row],[补偿辎重]]&amp;"},"</f>
        <v>{'coin':1000,'item036':10},</v>
      </c>
      <c r="Y26" s="149" t="str">
        <f>"      '"&amp;表1_861218222426728894100[[#This Row],[区服]]&amp;"':{"</f>
        <v>      '5184':{</v>
      </c>
    </row>
    <row r="27" customHeight="1" spans="1:25">
      <c r="A27" s="370">
        <v>5184</v>
      </c>
      <c r="B27" s="81">
        <f>VLOOKUP(表1_861218222426728894100[[#This Row],[区服]],$P$143:$Q$190,2,FALSE)</f>
        <v>46</v>
      </c>
      <c r="C27" s="414" t="s">
        <v>227</v>
      </c>
      <c r="D27" s="83" t="str">
        <f>表1_861218222426728894100[[#This Row],[目标国家]]</f>
        <v>魏</v>
      </c>
      <c r="E27" s="415">
        <f>(VLOOKUP(表1_861218222426728894100[[#This Row],[目标区服]],$R$143:$S$169,2,FALSE)-表1_861218222426728894100[[#This Row],[开服天数]])*配置!$B$1</f>
        <v>1000</v>
      </c>
      <c r="F27" s="85">
        <f>表1_861218222426728894100[[#This Row],[补偿Coin]]*(表1_861218222426728894100[[#This Row],[活跃高战玩家数]]+表1_861218222426728894100[[#This Row],[活跃中坚玩家数]])</f>
        <v>15000</v>
      </c>
      <c r="G27" s="416">
        <f>(VLOOKUP(表1_861218222426728894100[[#This Row],[目标区服]],$R$143:$S$174,2,FALSE)-表1_861218222426728894100[[#This Row],[开服天数]])*配置!$B$2</f>
        <v>10</v>
      </c>
      <c r="H27" s="83" t="s">
        <v>26</v>
      </c>
      <c r="I27" s="421">
        <f>IF(表1_861218222426728894100[[#This Row],[原国家]]="魏",0,IF(表1_861218222426728894100[[#This Row],[原国家]]="蜀",1,2))</f>
        <v>1</v>
      </c>
      <c r="J27" s="85">
        <v>0</v>
      </c>
      <c r="K27" s="85">
        <v>54</v>
      </c>
      <c r="L27" s="85">
        <v>0</v>
      </c>
      <c r="M27" s="85">
        <v>15</v>
      </c>
      <c r="N27" s="85">
        <v>31099</v>
      </c>
      <c r="O27" s="422">
        <v>598166</v>
      </c>
      <c r="P27" s="379">
        <v>4897478</v>
      </c>
      <c r="Q27" s="31" t="s">
        <v>25</v>
      </c>
      <c r="R27" s="83">
        <f>IF(表1_861218222426728894100[[#This Row],[目标国家]]="魏",0,IF(表1_861218222426728894100[[#This Row],[目标国家]]="蜀",1,2))</f>
        <v>0</v>
      </c>
      <c r="S27" s="85">
        <v>1260</v>
      </c>
      <c r="T27" s="85">
        <v>0</v>
      </c>
      <c r="U27" s="85">
        <v>81449</v>
      </c>
      <c r="V27" s="85">
        <v>1861</v>
      </c>
      <c r="W27" s="430">
        <v>154902</v>
      </c>
      <c r="X27" s="431" t="str">
        <f>"{"&amp;"'coin':"&amp;表1_861218222426728894100[[#This Row],[补偿Coin]]&amp;",'"&amp;配置!$A$2&amp;"':"&amp;表1_861218222426728894100[[#This Row],[补偿辎重]]&amp;"},"</f>
        <v>{'coin':1000,'item036':10},</v>
      </c>
      <c r="Y27" s="149" t="str">
        <f>"            'to_zone':'"&amp;表1_861218222426728894100[[#This Row],[目标区服]]&amp;"',
            'reward':"&amp;表1_861218222426728894100[[#This Row],[辅助导出]]&amp;"
            'country':["&amp;R26&amp;","&amp;R27&amp;","&amp;R28&amp;"],"</f>
        <v>            'to_zone':'h1_583',
            'reward':{'coin':1000,'item036':10},
            'country':[0,0,2],</v>
      </c>
    </row>
    <row r="28" customHeight="1" spans="1:25">
      <c r="A28" s="370">
        <v>5184</v>
      </c>
      <c r="B28" s="81">
        <f>VLOOKUP(表1_861218222426728894100[[#This Row],[区服]],$P$143:$Q$190,2,FALSE)</f>
        <v>46</v>
      </c>
      <c r="C28" s="414" t="s">
        <v>227</v>
      </c>
      <c r="D28" s="83" t="str">
        <f>表1_861218222426728894100[[#This Row],[目标国家]]</f>
        <v>吴</v>
      </c>
      <c r="E28" s="415">
        <f>(VLOOKUP(表1_861218222426728894100[[#This Row],[目标区服]],$R$143:$S$169,2,FALSE)-表1_861218222426728894100[[#This Row],[开服天数]])*配置!$B$1</f>
        <v>1000</v>
      </c>
      <c r="F28" s="85">
        <f>表1_861218222426728894100[[#This Row],[补偿Coin]]*(表1_861218222426728894100[[#This Row],[活跃高战玩家数]]+表1_861218222426728894100[[#This Row],[活跃中坚玩家数]])</f>
        <v>25000</v>
      </c>
      <c r="G28" s="416">
        <f>(VLOOKUP(表1_861218222426728894100[[#This Row],[目标区服]],$R$143:$S$174,2,FALSE)-表1_861218222426728894100[[#This Row],[开服天数]])*配置!$B$2</f>
        <v>10</v>
      </c>
      <c r="H28" s="83" t="s">
        <v>27</v>
      </c>
      <c r="I28" s="421">
        <f>IF(表1_861218222426728894100[[#This Row],[原国家]]="魏",0,IF(表1_861218222426728894100[[#This Row],[原国家]]="蜀",1,2))</f>
        <v>2</v>
      </c>
      <c r="J28" s="85">
        <v>4</v>
      </c>
      <c r="K28" s="85">
        <v>151</v>
      </c>
      <c r="L28" s="85">
        <v>5</v>
      </c>
      <c r="M28" s="85">
        <v>20</v>
      </c>
      <c r="N28" s="85">
        <v>133155</v>
      </c>
      <c r="O28" s="422">
        <v>1707327</v>
      </c>
      <c r="P28" s="379">
        <v>16282907</v>
      </c>
      <c r="Q28" s="31" t="s">
        <v>27</v>
      </c>
      <c r="R28" s="83">
        <f>IF(表1_861218222426728894100[[#This Row],[目标国家]]="魏",0,IF(表1_861218222426728894100[[#This Row],[目标国家]]="蜀",1,2))</f>
        <v>2</v>
      </c>
      <c r="S28" s="85">
        <v>8722</v>
      </c>
      <c r="T28" s="85">
        <v>0</v>
      </c>
      <c r="U28" s="85">
        <v>208757</v>
      </c>
      <c r="V28" s="85">
        <v>6277</v>
      </c>
      <c r="W28" s="430">
        <v>471290</v>
      </c>
      <c r="X28" s="431" t="str">
        <f>"{"&amp;"'coin':"&amp;表1_861218222426728894100[[#This Row],[补偿Coin]]&amp;",'"&amp;配置!$A$2&amp;"':"&amp;表1_861218222426728894100[[#This Row],[补偿辎重]]&amp;"},"</f>
        <v>{'coin':1000,'item036':10},</v>
      </c>
      <c r="Y28" s="149" t="str">
        <f t="shared" si="5"/>
        <v>      },</v>
      </c>
    </row>
    <row r="29" customHeight="1" spans="1:25">
      <c r="A29" s="370">
        <v>5185</v>
      </c>
      <c r="B29" s="81">
        <f>VLOOKUP(表1_861218222426728894100[[#This Row],[区服]],$P$143:$Q$190,2,FALSE)</f>
        <v>46</v>
      </c>
      <c r="C29" s="414" t="s">
        <v>227</v>
      </c>
      <c r="D29" s="83" t="str">
        <f>表1_861218222426728894100[[#This Row],[目标国家]]</f>
        <v>魏</v>
      </c>
      <c r="E29" s="415">
        <f>(VLOOKUP(表1_861218222426728894100[[#This Row],[目标区服]],$R$143:$S$169,2,FALSE)-表1_861218222426728894100[[#This Row],[开服天数]])*配置!$B$1</f>
        <v>1000</v>
      </c>
      <c r="F29" s="85">
        <f>表1_861218222426728894100[[#This Row],[补偿Coin]]*(表1_861218222426728894100[[#This Row],[活跃高战玩家数]]+表1_861218222426728894100[[#This Row],[活跃中坚玩家数]])</f>
        <v>9000</v>
      </c>
      <c r="G29" s="416">
        <f>(VLOOKUP(表1_861218222426728894100[[#This Row],[目标区服]],$R$143:$S$174,2,FALSE)-表1_861218222426728894100[[#This Row],[开服天数]])*配置!$B$2</f>
        <v>10</v>
      </c>
      <c r="H29" s="83" t="s">
        <v>25</v>
      </c>
      <c r="I29" s="421">
        <f>IF(表1_861218222426728894100[[#This Row],[原国家]]="魏",0,IF(表1_861218222426728894100[[#This Row],[原国家]]="蜀",1,2))</f>
        <v>0</v>
      </c>
      <c r="J29" s="85">
        <v>2</v>
      </c>
      <c r="K29" s="85">
        <v>56</v>
      </c>
      <c r="L29" s="85">
        <v>2</v>
      </c>
      <c r="M29" s="85">
        <v>7</v>
      </c>
      <c r="N29" s="85">
        <v>31666</v>
      </c>
      <c r="O29" s="422">
        <v>1632131</v>
      </c>
      <c r="P29" s="379">
        <v>6609178</v>
      </c>
      <c r="Q29" s="31" t="s">
        <v>25</v>
      </c>
      <c r="R29" s="83">
        <f>IF(表1_861218222426728894100[[#This Row],[目标国家]]="魏",0,IF(表1_861218222426728894100[[#This Row],[目标国家]]="蜀",1,2))</f>
        <v>0</v>
      </c>
      <c r="S29" s="85">
        <v>11962</v>
      </c>
      <c r="T29" s="85">
        <v>0</v>
      </c>
      <c r="U29" s="85">
        <v>59221</v>
      </c>
      <c r="V29" s="85">
        <v>3599</v>
      </c>
      <c r="W29" s="430">
        <v>455324</v>
      </c>
      <c r="X29" s="431" t="str">
        <f>"{"&amp;"'coin':"&amp;表1_861218222426728894100[[#This Row],[补偿Coin]]&amp;",'"&amp;配置!$A$2&amp;"':"&amp;表1_861218222426728894100[[#This Row],[补偿辎重]]&amp;"},"</f>
        <v>{'coin':1000,'item036':10},</v>
      </c>
      <c r="Y29" s="149" t="str">
        <f>"      '"&amp;表1_861218222426728894100[[#This Row],[区服]]&amp;"':{"</f>
        <v>      '5185':{</v>
      </c>
    </row>
    <row r="30" customHeight="1" spans="1:25">
      <c r="A30" s="370">
        <v>5185</v>
      </c>
      <c r="B30" s="81">
        <f>VLOOKUP(表1_861218222426728894100[[#This Row],[区服]],$P$143:$Q$190,2,FALSE)</f>
        <v>46</v>
      </c>
      <c r="C30" s="414" t="s">
        <v>227</v>
      </c>
      <c r="D30" s="83" t="str">
        <f>表1_861218222426728894100[[#This Row],[目标国家]]</f>
        <v>蜀</v>
      </c>
      <c r="E30" s="415">
        <f>(VLOOKUP(表1_861218222426728894100[[#This Row],[目标区服]],$R$143:$S$169,2,FALSE)-表1_861218222426728894100[[#This Row],[开服天数]])*配置!$B$1</f>
        <v>1000</v>
      </c>
      <c r="F30" s="85">
        <f>表1_861218222426728894100[[#This Row],[补偿Coin]]*(表1_861218222426728894100[[#This Row],[活跃高战玩家数]]+表1_861218222426728894100[[#This Row],[活跃中坚玩家数]])</f>
        <v>33000</v>
      </c>
      <c r="G30" s="416">
        <f>(VLOOKUP(表1_861218222426728894100[[#This Row],[目标区服]],$R$143:$S$174,2,FALSE)-表1_861218222426728894100[[#This Row],[开服天数]])*配置!$B$2</f>
        <v>10</v>
      </c>
      <c r="H30" s="83" t="s">
        <v>26</v>
      </c>
      <c r="I30" s="421">
        <f>IF(表1_861218222426728894100[[#This Row],[原国家]]="魏",0,IF(表1_861218222426728894100[[#This Row],[原国家]]="蜀",1,2))</f>
        <v>1</v>
      </c>
      <c r="J30" s="85">
        <v>4</v>
      </c>
      <c r="K30" s="85">
        <v>176</v>
      </c>
      <c r="L30" s="85">
        <v>4</v>
      </c>
      <c r="M30" s="85">
        <v>29</v>
      </c>
      <c r="N30" s="85">
        <v>138249</v>
      </c>
      <c r="O30" s="422">
        <v>2632680</v>
      </c>
      <c r="P30" s="379">
        <v>27747805</v>
      </c>
      <c r="Q30" s="31" t="s">
        <v>26</v>
      </c>
      <c r="R30" s="83">
        <f>IF(表1_861218222426728894100[[#This Row],[目标国家]]="魏",0,IF(表1_861218222426728894100[[#This Row],[目标国家]]="蜀",1,2))</f>
        <v>1</v>
      </c>
      <c r="S30" s="85">
        <v>102388</v>
      </c>
      <c r="T30" s="85">
        <v>0</v>
      </c>
      <c r="U30" s="85">
        <v>730165</v>
      </c>
      <c r="V30" s="85">
        <v>11695</v>
      </c>
      <c r="W30" s="430">
        <v>1068028</v>
      </c>
      <c r="X30" s="431" t="str">
        <f>"{"&amp;"'coin':"&amp;表1_861218222426728894100[[#This Row],[补偿Coin]]&amp;",'"&amp;配置!$A$2&amp;"':"&amp;表1_861218222426728894100[[#This Row],[补偿辎重]]&amp;"},"</f>
        <v>{'coin':1000,'item036':10},</v>
      </c>
      <c r="Y30" s="149" t="str">
        <f>"            'to_zone':'"&amp;表1_861218222426728894100[[#This Row],[目标区服]]&amp;"',
            'reward':"&amp;表1_861218222426728894100[[#This Row],[辅助导出]]&amp;"
            'country':["&amp;R29&amp;","&amp;R30&amp;","&amp;R31&amp;"],"</f>
        <v>            'to_zone':'h1_583',
            'reward':{'coin':1000,'item036':10},
            'country':[0,1,2],</v>
      </c>
    </row>
    <row r="31" customHeight="1" spans="1:25">
      <c r="A31" s="370">
        <v>5185</v>
      </c>
      <c r="B31" s="81">
        <f>VLOOKUP(表1_861218222426728894100[[#This Row],[区服]],$P$143:$Q$190,2,FALSE)</f>
        <v>46</v>
      </c>
      <c r="C31" s="414" t="s">
        <v>227</v>
      </c>
      <c r="D31" s="83" t="str">
        <f>表1_861218222426728894100[[#This Row],[目标国家]]</f>
        <v>吴</v>
      </c>
      <c r="E31" s="415">
        <f>(VLOOKUP(表1_861218222426728894100[[#This Row],[目标区服]],$R$143:$S$169,2,FALSE)-表1_861218222426728894100[[#This Row],[开服天数]])*配置!$B$1</f>
        <v>1000</v>
      </c>
      <c r="F31" s="85">
        <f>表1_861218222426728894100[[#This Row],[补偿Coin]]*(表1_861218222426728894100[[#This Row],[活跃高战玩家数]]+表1_861218222426728894100[[#This Row],[活跃中坚玩家数]])</f>
        <v>30000</v>
      </c>
      <c r="G31" s="416">
        <f>(VLOOKUP(表1_861218222426728894100[[#This Row],[目标区服]],$R$143:$S$174,2,FALSE)-表1_861218222426728894100[[#This Row],[开服天数]])*配置!$B$2</f>
        <v>10</v>
      </c>
      <c r="H31" s="83" t="s">
        <v>27</v>
      </c>
      <c r="I31" s="421">
        <f>IF(表1_861218222426728894100[[#This Row],[原国家]]="魏",0,IF(表1_861218222426728894100[[#This Row],[原国家]]="蜀",1,2))</f>
        <v>2</v>
      </c>
      <c r="J31" s="85">
        <v>3</v>
      </c>
      <c r="K31" s="85">
        <v>163</v>
      </c>
      <c r="L31" s="85">
        <v>4</v>
      </c>
      <c r="M31" s="85">
        <v>26</v>
      </c>
      <c r="N31" s="85">
        <v>135350</v>
      </c>
      <c r="O31" s="422">
        <v>3034868</v>
      </c>
      <c r="P31" s="379">
        <v>26836124</v>
      </c>
      <c r="Q31" s="31" t="s">
        <v>27</v>
      </c>
      <c r="R31" s="83">
        <f>IF(表1_861218222426728894100[[#This Row],[目标国家]]="魏",0,IF(表1_861218222426728894100[[#This Row],[目标国家]]="蜀",1,2))</f>
        <v>2</v>
      </c>
      <c r="S31" s="85">
        <v>88306</v>
      </c>
      <c r="T31" s="85">
        <v>0</v>
      </c>
      <c r="U31" s="85">
        <v>458627</v>
      </c>
      <c r="V31" s="85">
        <v>11203</v>
      </c>
      <c r="W31" s="430">
        <v>940623</v>
      </c>
      <c r="X31" s="431" t="str">
        <f>"{"&amp;"'coin':"&amp;表1_861218222426728894100[[#This Row],[补偿Coin]]&amp;",'"&amp;配置!$A$2&amp;"':"&amp;表1_861218222426728894100[[#This Row],[补偿辎重]]&amp;"},"</f>
        <v>{'coin':1000,'item036':10},</v>
      </c>
      <c r="Y31" s="149" t="str">
        <f t="shared" si="4"/>
        <v>      },</v>
      </c>
    </row>
    <row r="32" customHeight="1" spans="1:25">
      <c r="A32" s="370">
        <v>5186</v>
      </c>
      <c r="B32" s="81">
        <f>VLOOKUP(表1_861218222426728894100[[#This Row],[区服]],$P$143:$Q$190,2,FALSE)</f>
        <v>46</v>
      </c>
      <c r="C32" s="414" t="s">
        <v>227</v>
      </c>
      <c r="D32" s="83" t="str">
        <f>表1_861218222426728894100[[#This Row],[目标国家]]</f>
        <v>魏</v>
      </c>
      <c r="E32" s="415">
        <f>(VLOOKUP(表1_861218222426728894100[[#This Row],[目标区服]],$R$143:$S$169,2,FALSE)-表1_861218222426728894100[[#This Row],[开服天数]])*配置!$B$1</f>
        <v>1000</v>
      </c>
      <c r="F32" s="85">
        <f>表1_861218222426728894100[[#This Row],[补偿Coin]]*(表1_861218222426728894100[[#This Row],[活跃高战玩家数]]+表1_861218222426728894100[[#This Row],[活跃中坚玩家数]])</f>
        <v>21000</v>
      </c>
      <c r="G32" s="416">
        <f>(VLOOKUP(表1_861218222426728894100[[#This Row],[目标区服]],$R$143:$S$174,2,FALSE)-表1_861218222426728894100[[#This Row],[开服天数]])*配置!$B$2</f>
        <v>10</v>
      </c>
      <c r="H32" s="83" t="s">
        <v>25</v>
      </c>
      <c r="I32" s="421">
        <f>IF(表1_861218222426728894100[[#This Row],[原国家]]="魏",0,IF(表1_861218222426728894100[[#This Row],[原国家]]="蜀",1,2))</f>
        <v>0</v>
      </c>
      <c r="J32" s="85">
        <v>6</v>
      </c>
      <c r="K32" s="85">
        <v>216</v>
      </c>
      <c r="L32" s="85">
        <v>5</v>
      </c>
      <c r="M32" s="85">
        <v>16</v>
      </c>
      <c r="N32" s="85">
        <v>124769</v>
      </c>
      <c r="O32" s="422">
        <v>2638507</v>
      </c>
      <c r="P32" s="379">
        <v>17145065</v>
      </c>
      <c r="Q32" s="31" t="s">
        <v>25</v>
      </c>
      <c r="R32" s="83">
        <f>IF(表1_861218222426728894100[[#This Row],[目标国家]]="魏",0,IF(表1_861218222426728894100[[#This Row],[目标国家]]="蜀",1,2))</f>
        <v>0</v>
      </c>
      <c r="S32" s="85">
        <v>20742</v>
      </c>
      <c r="T32" s="85">
        <v>0</v>
      </c>
      <c r="U32" s="85">
        <v>376040</v>
      </c>
      <c r="V32" s="85">
        <v>8547</v>
      </c>
      <c r="W32" s="430">
        <v>702734</v>
      </c>
      <c r="X32" s="431" t="str">
        <f>"{"&amp;"'coin':"&amp;表1_861218222426728894100[[#This Row],[补偿Coin]]&amp;",'"&amp;配置!$A$2&amp;"':"&amp;表1_861218222426728894100[[#This Row],[补偿辎重]]&amp;"},"</f>
        <v>{'coin':1000,'item036':10},</v>
      </c>
      <c r="Y32" s="149" t="str">
        <f>"      '"&amp;表1_861218222426728894100[[#This Row],[区服]]&amp;"':{"</f>
        <v>      '5186':{</v>
      </c>
    </row>
    <row r="33" customHeight="1" spans="1:25">
      <c r="A33" s="370">
        <v>5186</v>
      </c>
      <c r="B33" s="81">
        <f>VLOOKUP(表1_861218222426728894100[[#This Row],[区服]],$P$143:$Q$190,2,FALSE)</f>
        <v>46</v>
      </c>
      <c r="C33" s="414" t="s">
        <v>227</v>
      </c>
      <c r="D33" s="83" t="str">
        <f>表1_861218222426728894100[[#This Row],[目标国家]]</f>
        <v>蜀</v>
      </c>
      <c r="E33" s="415">
        <f>(VLOOKUP(表1_861218222426728894100[[#This Row],[目标区服]],$R$143:$S$169,2,FALSE)-表1_861218222426728894100[[#This Row],[开服天数]])*配置!$B$1</f>
        <v>1000</v>
      </c>
      <c r="F33" s="85">
        <f>表1_861218222426728894100[[#This Row],[补偿Coin]]*(表1_861218222426728894100[[#This Row],[活跃高战玩家数]]+表1_861218222426728894100[[#This Row],[活跃中坚玩家数]])</f>
        <v>25000</v>
      </c>
      <c r="G33" s="416">
        <f>(VLOOKUP(表1_861218222426728894100[[#This Row],[目标区服]],$R$143:$S$174,2,FALSE)-表1_861218222426728894100[[#This Row],[开服天数]])*配置!$B$2</f>
        <v>10</v>
      </c>
      <c r="H33" s="83" t="s">
        <v>26</v>
      </c>
      <c r="I33" s="421">
        <f>IF(表1_861218222426728894100[[#This Row],[原国家]]="魏",0,IF(表1_861218222426728894100[[#This Row],[原国家]]="蜀",1,2))</f>
        <v>1</v>
      </c>
      <c r="J33" s="85">
        <v>1</v>
      </c>
      <c r="K33" s="85">
        <v>99</v>
      </c>
      <c r="L33" s="85">
        <v>2</v>
      </c>
      <c r="M33" s="85">
        <v>23</v>
      </c>
      <c r="N33" s="85">
        <v>84074</v>
      </c>
      <c r="O33" s="422">
        <v>1636954</v>
      </c>
      <c r="P33" s="379">
        <v>12621576</v>
      </c>
      <c r="Q33" s="31" t="s">
        <v>26</v>
      </c>
      <c r="R33" s="83">
        <f>IF(表1_861218222426728894100[[#This Row],[目标国家]]="魏",0,IF(表1_861218222426728894100[[#This Row],[目标国家]]="蜀",1,2))</f>
        <v>1</v>
      </c>
      <c r="S33" s="85">
        <v>2500</v>
      </c>
      <c r="T33" s="85">
        <v>0</v>
      </c>
      <c r="U33" s="85">
        <v>165837</v>
      </c>
      <c r="V33" s="85">
        <v>4567</v>
      </c>
      <c r="W33" s="430">
        <v>498502</v>
      </c>
      <c r="X33" s="431" t="str">
        <f>"{"&amp;"'coin':"&amp;表1_861218222426728894100[[#This Row],[补偿Coin]]&amp;",'"&amp;配置!$A$2&amp;"':"&amp;表1_861218222426728894100[[#This Row],[补偿辎重]]&amp;"},"</f>
        <v>{'coin':1000,'item036':10},</v>
      </c>
      <c r="Y33" s="149" t="str">
        <f>"            'to_zone':'"&amp;表1_861218222426728894100[[#This Row],[目标区服]]&amp;"',
            'reward':"&amp;表1_861218222426728894100[[#This Row],[辅助导出]]&amp;"
            'country':["&amp;R32&amp;","&amp;R33&amp;","&amp;R34&amp;"],"</f>
        <v>            'to_zone':'h1_583',
            'reward':{'coin':1000,'item036':10},
            'country':[0,1,2],</v>
      </c>
    </row>
    <row r="34" customHeight="1" spans="1:25">
      <c r="A34" s="370">
        <v>5186</v>
      </c>
      <c r="B34" s="81">
        <f>VLOOKUP(表1_861218222426728894100[[#This Row],[区服]],$P$143:$Q$190,2,FALSE)</f>
        <v>46</v>
      </c>
      <c r="C34" s="414" t="s">
        <v>227</v>
      </c>
      <c r="D34" s="83" t="str">
        <f>表1_861218222426728894100[[#This Row],[目标国家]]</f>
        <v>吴</v>
      </c>
      <c r="E34" s="415">
        <f>(VLOOKUP(表1_861218222426728894100[[#This Row],[目标区服]],$R$143:$S$169,2,FALSE)-表1_861218222426728894100[[#This Row],[开服天数]])*配置!$B$1</f>
        <v>1000</v>
      </c>
      <c r="F34" s="85">
        <f>表1_861218222426728894100[[#This Row],[补偿Coin]]*(表1_861218222426728894100[[#This Row],[活跃高战玩家数]]+表1_861218222426728894100[[#This Row],[活跃中坚玩家数]])</f>
        <v>14000</v>
      </c>
      <c r="G34" s="416">
        <f>(VLOOKUP(表1_861218222426728894100[[#This Row],[目标区服]],$R$143:$S$174,2,FALSE)-表1_861218222426728894100[[#This Row],[开服天数]])*配置!$B$2</f>
        <v>10</v>
      </c>
      <c r="H34" s="83" t="s">
        <v>27</v>
      </c>
      <c r="I34" s="421">
        <f>IF(表1_861218222426728894100[[#This Row],[原国家]]="魏",0,IF(表1_861218222426728894100[[#This Row],[原国家]]="蜀",1,2))</f>
        <v>2</v>
      </c>
      <c r="J34" s="85">
        <v>2</v>
      </c>
      <c r="K34" s="85">
        <v>80</v>
      </c>
      <c r="L34" s="85">
        <v>3</v>
      </c>
      <c r="M34" s="85">
        <v>11</v>
      </c>
      <c r="N34" s="85">
        <v>56829</v>
      </c>
      <c r="O34" s="422">
        <v>1509513</v>
      </c>
      <c r="P34" s="379">
        <v>8093963</v>
      </c>
      <c r="Q34" s="31" t="s">
        <v>27</v>
      </c>
      <c r="R34" s="83">
        <f>IF(表1_861218222426728894100[[#This Row],[目标国家]]="魏",0,IF(表1_861218222426728894100[[#This Row],[目标国家]]="蜀",1,2))</f>
        <v>2</v>
      </c>
      <c r="S34" s="85">
        <v>7942</v>
      </c>
      <c r="T34" s="85">
        <v>0</v>
      </c>
      <c r="U34" s="85">
        <v>167095</v>
      </c>
      <c r="V34" s="85">
        <v>3924</v>
      </c>
      <c r="W34" s="430">
        <v>405741</v>
      </c>
      <c r="X34" s="431" t="str">
        <f>"{"&amp;"'coin':"&amp;表1_861218222426728894100[[#This Row],[补偿Coin]]&amp;",'"&amp;配置!$A$2&amp;"':"&amp;表1_861218222426728894100[[#This Row],[补偿辎重]]&amp;"},"</f>
        <v>{'coin':1000,'item036':10},</v>
      </c>
      <c r="Y34" s="149" t="str">
        <f t="shared" si="5"/>
        <v>      },</v>
      </c>
    </row>
    <row r="35" customHeight="1" spans="1:25">
      <c r="A35" s="314">
        <v>5187</v>
      </c>
      <c r="B35" s="91">
        <f>VLOOKUP(表1_861218222426728894100[[#This Row],[区服]],$P$143:$Q$190,2,FALSE)</f>
        <v>46</v>
      </c>
      <c r="C35" s="177" t="s">
        <v>228</v>
      </c>
      <c r="D35" s="93" t="str">
        <f>表1_861218222426728894100[[#This Row],[目标国家]]</f>
        <v>魏</v>
      </c>
      <c r="E35" s="417">
        <f>(VLOOKUP(表1_861218222426728894100[[#This Row],[目标区服]],$R$143:$S$169,2,FALSE)-表1_861218222426728894100[[#This Row],[开服天数]])*配置!$B$1</f>
        <v>1000</v>
      </c>
      <c r="F35" s="95">
        <f>表1_861218222426728894100[[#This Row],[补偿Coin]]*(表1_861218222426728894100[[#This Row],[活跃高战玩家数]]+表1_861218222426728894100[[#This Row],[活跃中坚玩家数]])</f>
        <v>14000</v>
      </c>
      <c r="G35" s="418">
        <f>(VLOOKUP(表1_861218222426728894100[[#This Row],[目标区服]],$R$143:$S$174,2,FALSE)-表1_861218222426728894100[[#This Row],[开服天数]])*配置!$B$2</f>
        <v>10</v>
      </c>
      <c r="H35" s="93" t="s">
        <v>25</v>
      </c>
      <c r="I35" s="423">
        <f>IF(表1_861218222426728894100[[#This Row],[原国家]]="魏",0,IF(表1_861218222426728894100[[#This Row],[原国家]]="蜀",1,2))</f>
        <v>0</v>
      </c>
      <c r="J35" s="95">
        <v>0</v>
      </c>
      <c r="K35" s="95">
        <v>34</v>
      </c>
      <c r="L35" s="95">
        <v>0</v>
      </c>
      <c r="M35" s="95">
        <v>14</v>
      </c>
      <c r="N35" s="95">
        <v>40404</v>
      </c>
      <c r="O35" s="424">
        <v>858707</v>
      </c>
      <c r="P35" s="326">
        <v>5274491</v>
      </c>
      <c r="Q35" s="31" t="s">
        <v>25</v>
      </c>
      <c r="R35" s="93">
        <f>IF(表1_861218222426728894100[[#This Row],[目标国家]]="魏",0,IF(表1_861218222426728894100[[#This Row],[目标国家]]="蜀",1,2))</f>
        <v>0</v>
      </c>
      <c r="S35" s="95">
        <v>3838</v>
      </c>
      <c r="T35" s="95">
        <v>0</v>
      </c>
      <c r="U35" s="95">
        <v>121691</v>
      </c>
      <c r="V35" s="95">
        <v>2104</v>
      </c>
      <c r="W35" s="432">
        <v>339508</v>
      </c>
      <c r="X35" s="433" t="str">
        <f>"{"&amp;"'coin':"&amp;表1_861218222426728894100[[#This Row],[补偿Coin]]&amp;",'"&amp;配置!$A$2&amp;"':"&amp;表1_861218222426728894100[[#This Row],[补偿辎重]]&amp;"},"</f>
        <v>{'coin':1000,'item036':10},</v>
      </c>
      <c r="Y35" s="138" t="str">
        <f>"      '"&amp;表1_861218222426728894100[[#This Row],[区服]]&amp;"':{"</f>
        <v>      '5187':{</v>
      </c>
    </row>
    <row r="36" customHeight="1" spans="1:25">
      <c r="A36" s="314">
        <v>5187</v>
      </c>
      <c r="B36" s="91">
        <f>VLOOKUP(表1_861218222426728894100[[#This Row],[区服]],$P$143:$Q$190,2,FALSE)</f>
        <v>46</v>
      </c>
      <c r="C36" s="177" t="s">
        <v>228</v>
      </c>
      <c r="D36" s="93" t="str">
        <f>表1_861218222426728894100[[#This Row],[目标国家]]</f>
        <v>蜀</v>
      </c>
      <c r="E36" s="417">
        <f>(VLOOKUP(表1_861218222426728894100[[#This Row],[目标区服]],$R$143:$S$169,2,FALSE)-表1_861218222426728894100[[#This Row],[开服天数]])*配置!$B$1</f>
        <v>1000</v>
      </c>
      <c r="F36" s="95">
        <f>表1_861218222426728894100[[#This Row],[补偿Coin]]*(表1_861218222426728894100[[#This Row],[活跃高战玩家数]]+表1_861218222426728894100[[#This Row],[活跃中坚玩家数]])</f>
        <v>28000</v>
      </c>
      <c r="G36" s="418">
        <f>(VLOOKUP(表1_861218222426728894100[[#This Row],[目标区服]],$R$143:$S$174,2,FALSE)-表1_861218222426728894100[[#This Row],[开服天数]])*配置!$B$2</f>
        <v>10</v>
      </c>
      <c r="H36" s="93" t="s">
        <v>26</v>
      </c>
      <c r="I36" s="423">
        <f>IF(表1_861218222426728894100[[#This Row],[原国家]]="魏",0,IF(表1_861218222426728894100[[#This Row],[原国家]]="蜀",1,2))</f>
        <v>1</v>
      </c>
      <c r="J36" s="95">
        <v>8</v>
      </c>
      <c r="K36" s="95">
        <v>310</v>
      </c>
      <c r="L36" s="95">
        <v>7</v>
      </c>
      <c r="M36" s="95">
        <v>21</v>
      </c>
      <c r="N36" s="95">
        <v>165702</v>
      </c>
      <c r="O36" s="424">
        <v>2632516</v>
      </c>
      <c r="P36" s="326">
        <v>22520950</v>
      </c>
      <c r="Q36" s="31" t="s">
        <v>26</v>
      </c>
      <c r="R36" s="93">
        <f>IF(表1_861218222426728894100[[#This Row],[目标国家]]="魏",0,IF(表1_861218222426728894100[[#This Row],[目标国家]]="蜀",1,2))</f>
        <v>1</v>
      </c>
      <c r="S36" s="95">
        <v>74602</v>
      </c>
      <c r="T36" s="95">
        <v>7266</v>
      </c>
      <c r="U36" s="95">
        <v>520628</v>
      </c>
      <c r="V36" s="95">
        <v>12184</v>
      </c>
      <c r="W36" s="432">
        <v>818884</v>
      </c>
      <c r="X36" s="433" t="str">
        <f>"{"&amp;"'coin':"&amp;表1_861218222426728894100[[#This Row],[补偿Coin]]&amp;",'"&amp;配置!$A$2&amp;"':"&amp;表1_861218222426728894100[[#This Row],[补偿辎重]]&amp;"},"</f>
        <v>{'coin':1000,'item036':10},</v>
      </c>
      <c r="Y36" s="138" t="str">
        <f>"            'to_zone':'"&amp;表1_861218222426728894100[[#This Row],[目标区服]]&amp;"',
            'reward':"&amp;表1_861218222426728894100[[#This Row],[辅助导出]]&amp;"
            'country':["&amp;R35&amp;","&amp;R36&amp;","&amp;R37&amp;"],"</f>
        <v>            'to_zone':'h1_584',
            'reward':{'coin':1000,'item036':10},
            'country':[0,1,2],</v>
      </c>
    </row>
    <row r="37" customHeight="1" spans="1:25">
      <c r="A37" s="314">
        <v>5187</v>
      </c>
      <c r="B37" s="91">
        <f>VLOOKUP(表1_861218222426728894100[[#This Row],[区服]],$P$143:$Q$190,2,FALSE)</f>
        <v>46</v>
      </c>
      <c r="C37" s="177" t="s">
        <v>228</v>
      </c>
      <c r="D37" s="93" t="str">
        <f>表1_861218222426728894100[[#This Row],[目标国家]]</f>
        <v>吴</v>
      </c>
      <c r="E37" s="417">
        <f>(VLOOKUP(表1_861218222426728894100[[#This Row],[目标区服]],$R$143:$S$169,2,FALSE)-表1_861218222426728894100[[#This Row],[开服天数]])*配置!$B$1</f>
        <v>1000</v>
      </c>
      <c r="F37" s="95">
        <f>表1_861218222426728894100[[#This Row],[补偿Coin]]*(表1_861218222426728894100[[#This Row],[活跃高战玩家数]]+表1_861218222426728894100[[#This Row],[活跃中坚玩家数]])</f>
        <v>14000</v>
      </c>
      <c r="G37" s="418">
        <f>(VLOOKUP(表1_861218222426728894100[[#This Row],[目标区服]],$R$143:$S$174,2,FALSE)-表1_861218222426728894100[[#This Row],[开服天数]])*配置!$B$2</f>
        <v>10</v>
      </c>
      <c r="H37" s="93" t="s">
        <v>27</v>
      </c>
      <c r="I37" s="423">
        <f>IF(表1_861218222426728894100[[#This Row],[原国家]]="魏",0,IF(表1_861218222426728894100[[#This Row],[原国家]]="蜀",1,2))</f>
        <v>2</v>
      </c>
      <c r="J37" s="95">
        <v>1</v>
      </c>
      <c r="K37" s="95">
        <v>51</v>
      </c>
      <c r="L37" s="95">
        <v>3</v>
      </c>
      <c r="M37" s="95">
        <v>11</v>
      </c>
      <c r="N37" s="95">
        <v>61633</v>
      </c>
      <c r="O37" s="424">
        <v>1379509</v>
      </c>
      <c r="P37" s="326">
        <v>7473211</v>
      </c>
      <c r="Q37" s="31" t="s">
        <v>27</v>
      </c>
      <c r="R37" s="93">
        <f>IF(表1_861218222426728894100[[#This Row],[目标国家]]="魏",0,IF(表1_861218222426728894100[[#This Row],[目标国家]]="蜀",1,2))</f>
        <v>2</v>
      </c>
      <c r="S37" s="95">
        <v>12188</v>
      </c>
      <c r="T37" s="95">
        <v>0</v>
      </c>
      <c r="U37" s="95">
        <v>73450</v>
      </c>
      <c r="V37" s="95">
        <v>3447</v>
      </c>
      <c r="W37" s="432">
        <v>345488</v>
      </c>
      <c r="X37" s="433" t="str">
        <f>"{"&amp;"'coin':"&amp;表1_861218222426728894100[[#This Row],[补偿Coin]]&amp;",'"&amp;配置!$A$2&amp;"':"&amp;表1_861218222426728894100[[#This Row],[补偿辎重]]&amp;"},"</f>
        <v>{'coin':1000,'item036':10},</v>
      </c>
      <c r="Y37" s="138" t="str">
        <f t="shared" si="4"/>
        <v>      },</v>
      </c>
    </row>
    <row r="38" customHeight="1" spans="1:25">
      <c r="A38" s="314">
        <v>5188</v>
      </c>
      <c r="B38" s="91">
        <f>VLOOKUP(表1_861218222426728894100[[#This Row],[区服]],$P$143:$Q$190,2,FALSE)</f>
        <v>46</v>
      </c>
      <c r="C38" s="177" t="s">
        <v>228</v>
      </c>
      <c r="D38" s="93" t="str">
        <f>表1_861218222426728894100[[#This Row],[目标国家]]</f>
        <v>魏</v>
      </c>
      <c r="E38" s="417">
        <f>(VLOOKUP(表1_861218222426728894100[[#This Row],[目标区服]],$R$143:$S$169,2,FALSE)-表1_861218222426728894100[[#This Row],[开服天数]])*配置!$B$1</f>
        <v>1000</v>
      </c>
      <c r="F38" s="95">
        <f>表1_861218222426728894100[[#This Row],[补偿Coin]]*(表1_861218222426728894100[[#This Row],[活跃高战玩家数]]+表1_861218222426728894100[[#This Row],[活跃中坚玩家数]])</f>
        <v>21000</v>
      </c>
      <c r="G38" s="418">
        <f>(VLOOKUP(表1_861218222426728894100[[#This Row],[目标区服]],$R$143:$S$174,2,FALSE)-表1_861218222426728894100[[#This Row],[开服天数]])*配置!$B$2</f>
        <v>10</v>
      </c>
      <c r="H38" s="93" t="s">
        <v>25</v>
      </c>
      <c r="I38" s="423">
        <f>IF(表1_861218222426728894100[[#This Row],[原国家]]="魏",0,IF(表1_861218222426728894100[[#This Row],[原国家]]="蜀",1,2))</f>
        <v>0</v>
      </c>
      <c r="J38" s="95">
        <v>3</v>
      </c>
      <c r="K38" s="95">
        <v>101</v>
      </c>
      <c r="L38" s="95">
        <v>3</v>
      </c>
      <c r="M38" s="95">
        <v>18</v>
      </c>
      <c r="N38" s="95">
        <v>93958</v>
      </c>
      <c r="O38" s="424">
        <v>1844953</v>
      </c>
      <c r="P38" s="326">
        <v>15778265</v>
      </c>
      <c r="Q38" s="31" t="s">
        <v>25</v>
      </c>
      <c r="R38" s="93">
        <f>IF(表1_861218222426728894100[[#This Row],[目标国家]]="魏",0,IF(表1_861218222426728894100[[#This Row],[目标国家]]="蜀",1,2))</f>
        <v>0</v>
      </c>
      <c r="S38" s="95">
        <v>18796</v>
      </c>
      <c r="T38" s="95">
        <v>0</v>
      </c>
      <c r="U38" s="95">
        <v>273921</v>
      </c>
      <c r="V38" s="95">
        <v>5903</v>
      </c>
      <c r="W38" s="432">
        <v>536087</v>
      </c>
      <c r="X38" s="433" t="str">
        <f>"{"&amp;"'coin':"&amp;表1_861218222426728894100[[#This Row],[补偿Coin]]&amp;",'"&amp;配置!$A$2&amp;"':"&amp;表1_861218222426728894100[[#This Row],[补偿辎重]]&amp;"},"</f>
        <v>{'coin':1000,'item036':10},</v>
      </c>
      <c r="Y38" s="138" t="str">
        <f>"      '"&amp;表1_861218222426728894100[[#This Row],[区服]]&amp;"':{"</f>
        <v>      '5188':{</v>
      </c>
    </row>
    <row r="39" customHeight="1" spans="1:25">
      <c r="A39" s="314">
        <v>5188</v>
      </c>
      <c r="B39" s="91">
        <f>VLOOKUP(表1_861218222426728894100[[#This Row],[区服]],$P$143:$Q$190,2,FALSE)</f>
        <v>46</v>
      </c>
      <c r="C39" s="177" t="s">
        <v>228</v>
      </c>
      <c r="D39" s="93" t="str">
        <f>表1_861218222426728894100[[#This Row],[目标国家]]</f>
        <v>魏</v>
      </c>
      <c r="E39" s="417">
        <f>(VLOOKUP(表1_861218222426728894100[[#This Row],[目标区服]],$R$143:$S$169,2,FALSE)-表1_861218222426728894100[[#This Row],[开服天数]])*配置!$B$1</f>
        <v>1000</v>
      </c>
      <c r="F39" s="95">
        <f>表1_861218222426728894100[[#This Row],[补偿Coin]]*(表1_861218222426728894100[[#This Row],[活跃高战玩家数]]+表1_861218222426728894100[[#This Row],[活跃中坚玩家数]])</f>
        <v>25000</v>
      </c>
      <c r="G39" s="418">
        <f>(VLOOKUP(表1_861218222426728894100[[#This Row],[目标区服]],$R$143:$S$174,2,FALSE)-表1_861218222426728894100[[#This Row],[开服天数]])*配置!$B$2</f>
        <v>10</v>
      </c>
      <c r="H39" s="93" t="s">
        <v>26</v>
      </c>
      <c r="I39" s="423">
        <f>IF(表1_861218222426728894100[[#This Row],[原国家]]="魏",0,IF(表1_861218222426728894100[[#This Row],[原国家]]="蜀",1,2))</f>
        <v>1</v>
      </c>
      <c r="J39" s="95">
        <v>3</v>
      </c>
      <c r="K39" s="95">
        <v>159</v>
      </c>
      <c r="L39" s="95">
        <v>2</v>
      </c>
      <c r="M39" s="95">
        <v>23</v>
      </c>
      <c r="N39" s="95">
        <v>101350</v>
      </c>
      <c r="O39" s="424">
        <v>1796119</v>
      </c>
      <c r="P39" s="326">
        <v>17582258</v>
      </c>
      <c r="Q39" s="31" t="s">
        <v>25</v>
      </c>
      <c r="R39" s="93">
        <f>IF(表1_861218222426728894100[[#This Row],[目标国家]]="魏",0,IF(表1_861218222426728894100[[#This Row],[目标国家]]="蜀",1,2))</f>
        <v>0</v>
      </c>
      <c r="S39" s="95">
        <v>16846</v>
      </c>
      <c r="T39" s="95">
        <v>0</v>
      </c>
      <c r="U39" s="95">
        <v>252888</v>
      </c>
      <c r="V39" s="95">
        <v>6582</v>
      </c>
      <c r="W39" s="432">
        <v>659406</v>
      </c>
      <c r="X39" s="433" t="str">
        <f>"{"&amp;"'coin':"&amp;表1_861218222426728894100[[#This Row],[补偿Coin]]&amp;",'"&amp;配置!$A$2&amp;"':"&amp;表1_861218222426728894100[[#This Row],[补偿辎重]]&amp;"},"</f>
        <v>{'coin':1000,'item036':10},</v>
      </c>
      <c r="Y39" s="138" t="str">
        <f>"            'to_zone':'"&amp;表1_861218222426728894100[[#This Row],[目标区服]]&amp;"',
            'reward':"&amp;表1_861218222426728894100[[#This Row],[辅助导出]]&amp;"
            'country':["&amp;R38&amp;","&amp;R39&amp;","&amp;R40&amp;"],"</f>
        <v>            'to_zone':'h1_584',
            'reward':{'coin':1000,'item036':10},
            'country':[0,0,2],</v>
      </c>
    </row>
    <row r="40" customHeight="1" spans="1:25">
      <c r="A40" s="314">
        <v>5188</v>
      </c>
      <c r="B40" s="91">
        <f>VLOOKUP(表1_861218222426728894100[[#This Row],[区服]],$P$143:$Q$190,2,FALSE)</f>
        <v>46</v>
      </c>
      <c r="C40" s="177" t="s">
        <v>228</v>
      </c>
      <c r="D40" s="93" t="str">
        <f>表1_861218222426728894100[[#This Row],[目标国家]]</f>
        <v>吴</v>
      </c>
      <c r="E40" s="417">
        <f>(VLOOKUP(表1_861218222426728894100[[#This Row],[目标区服]],$R$143:$S$169,2,FALSE)-表1_861218222426728894100[[#This Row],[开服天数]])*配置!$B$1</f>
        <v>1000</v>
      </c>
      <c r="F40" s="95">
        <f>表1_861218222426728894100[[#This Row],[补偿Coin]]*(表1_861218222426728894100[[#This Row],[活跃高战玩家数]]+表1_861218222426728894100[[#This Row],[活跃中坚玩家数]])</f>
        <v>20000</v>
      </c>
      <c r="G40" s="418">
        <f>(VLOOKUP(表1_861218222426728894100[[#This Row],[目标区服]],$R$143:$S$174,2,FALSE)-表1_861218222426728894100[[#This Row],[开服天数]])*配置!$B$2</f>
        <v>10</v>
      </c>
      <c r="H40" s="93" t="s">
        <v>27</v>
      </c>
      <c r="I40" s="423">
        <f>IF(表1_861218222426728894100[[#This Row],[原国家]]="魏",0,IF(表1_861218222426728894100[[#This Row],[原国家]]="蜀",1,2))</f>
        <v>2</v>
      </c>
      <c r="J40" s="95">
        <v>3</v>
      </c>
      <c r="K40" s="95">
        <v>134</v>
      </c>
      <c r="L40" s="95">
        <v>5</v>
      </c>
      <c r="M40" s="95">
        <v>15</v>
      </c>
      <c r="N40" s="95">
        <v>107133</v>
      </c>
      <c r="O40" s="424">
        <v>2827020</v>
      </c>
      <c r="P40" s="326">
        <v>18853656</v>
      </c>
      <c r="Q40" s="31" t="s">
        <v>27</v>
      </c>
      <c r="R40" s="93">
        <f>IF(表1_861218222426728894100[[#This Row],[目标国家]]="魏",0,IF(表1_861218222426728894100[[#This Row],[目标国家]]="蜀",1,2))</f>
        <v>2</v>
      </c>
      <c r="S40" s="95">
        <v>45522</v>
      </c>
      <c r="T40" s="95">
        <v>0</v>
      </c>
      <c r="U40" s="95">
        <v>505543</v>
      </c>
      <c r="V40" s="95">
        <v>8506</v>
      </c>
      <c r="W40" s="432">
        <v>758928</v>
      </c>
      <c r="X40" s="433" t="str">
        <f>"{"&amp;"'coin':"&amp;表1_861218222426728894100[[#This Row],[补偿Coin]]&amp;",'"&amp;配置!$A$2&amp;"':"&amp;表1_861218222426728894100[[#This Row],[补偿辎重]]&amp;"},"</f>
        <v>{'coin':1000,'item036':10},</v>
      </c>
      <c r="Y40" s="138" t="str">
        <f t="shared" si="4"/>
        <v>      },</v>
      </c>
    </row>
    <row r="41" customHeight="1" spans="1:25">
      <c r="A41" s="259">
        <v>5189</v>
      </c>
      <c r="B41" s="210">
        <f>VLOOKUP(表1_861218222426728894100[[#This Row],[区服]],$P$143:$Q$190,2,FALSE)</f>
        <v>46</v>
      </c>
      <c r="C41" s="41" t="s">
        <v>229</v>
      </c>
      <c r="D41" s="212" t="str">
        <f>表1_861218222426728894100[[#This Row],[目标国家]]</f>
        <v>魏</v>
      </c>
      <c r="E41" s="213">
        <f>(VLOOKUP(表1_861218222426728894100[[#This Row],[目标区服]],$R$143:$S$169,2,FALSE)-表1_861218222426728894100[[#This Row],[开服天数]])*配置!$B$1</f>
        <v>1000</v>
      </c>
      <c r="F41" s="213">
        <f>表1_861218222426728894100[[#This Row],[补偿Coin]]*(表1_861218222426728894100[[#This Row],[活跃高战玩家数]]+表1_861218222426728894100[[#This Row],[活跃中坚玩家数]])</f>
        <v>18000</v>
      </c>
      <c r="G41" s="260">
        <f>(VLOOKUP(表1_861218222426728894100[[#This Row],[目标区服]],$R$143:$S$174,2,FALSE)-表1_861218222426728894100[[#This Row],[开服天数]])*配置!$B$2</f>
        <v>10</v>
      </c>
      <c r="H41" s="212" t="s">
        <v>25</v>
      </c>
      <c r="I41" s="268">
        <f>IF(表1_861218222426728894100[[#This Row],[原国家]]="魏",0,IF(表1_861218222426728894100[[#This Row],[原国家]]="蜀",1,2))</f>
        <v>0</v>
      </c>
      <c r="J41" s="213">
        <v>3</v>
      </c>
      <c r="K41" s="213">
        <v>109</v>
      </c>
      <c r="L41" s="213">
        <v>4</v>
      </c>
      <c r="M41" s="213">
        <v>14</v>
      </c>
      <c r="N41" s="213">
        <v>106648</v>
      </c>
      <c r="O41" s="419">
        <v>1696966</v>
      </c>
      <c r="P41" s="420">
        <v>13570276</v>
      </c>
      <c r="Q41" s="31" t="s">
        <v>25</v>
      </c>
      <c r="R41" s="212">
        <f>IF(表1_861218222426728894100[[#This Row],[目标国家]]="魏",0,IF(表1_861218222426728894100[[#This Row],[目标国家]]="蜀",1,2))</f>
        <v>0</v>
      </c>
      <c r="S41" s="213">
        <v>7952</v>
      </c>
      <c r="T41" s="213">
        <v>0</v>
      </c>
      <c r="U41" s="213">
        <v>250734</v>
      </c>
      <c r="V41" s="213">
        <v>5341</v>
      </c>
      <c r="W41" s="427">
        <v>601146</v>
      </c>
      <c r="X41" s="278" t="str">
        <f>"{"&amp;"'coin':"&amp;表1_861218222426728894100[[#This Row],[补偿Coin]]&amp;",'"&amp;配置!$A$2&amp;"':"&amp;表1_861218222426728894100[[#This Row],[补偿辎重]]&amp;"},"</f>
        <v>{'coin':1000,'item036':10},</v>
      </c>
      <c r="Y41" s="278" t="str">
        <f>"      '"&amp;表1_861218222426728894100[[#This Row],[区服]]&amp;"':{"</f>
        <v>      '5189':{</v>
      </c>
    </row>
    <row r="42" customHeight="1" spans="1:25">
      <c r="A42" s="259">
        <v>5189</v>
      </c>
      <c r="B42" s="210">
        <f>VLOOKUP(表1_861218222426728894100[[#This Row],[区服]],$P$143:$Q$190,2,FALSE)</f>
        <v>46</v>
      </c>
      <c r="C42" s="41" t="s">
        <v>229</v>
      </c>
      <c r="D42" s="212" t="str">
        <f>表1_861218222426728894100[[#This Row],[目标国家]]</f>
        <v>蜀</v>
      </c>
      <c r="E42" s="213">
        <f>(VLOOKUP(表1_861218222426728894100[[#This Row],[目标区服]],$R$143:$S$169,2,FALSE)-表1_861218222426728894100[[#This Row],[开服天数]])*配置!$B$1</f>
        <v>1000</v>
      </c>
      <c r="F42" s="213">
        <f>表1_861218222426728894100[[#This Row],[补偿Coin]]*(表1_861218222426728894100[[#This Row],[活跃高战玩家数]]+表1_861218222426728894100[[#This Row],[活跃中坚玩家数]])</f>
        <v>15000</v>
      </c>
      <c r="G42" s="260">
        <f>(VLOOKUP(表1_861218222426728894100[[#This Row],[目标区服]],$R$143:$S$174,2,FALSE)-表1_861218222426728894100[[#This Row],[开服天数]])*配置!$B$2</f>
        <v>10</v>
      </c>
      <c r="H42" s="212" t="s">
        <v>26</v>
      </c>
      <c r="I42" s="268">
        <f>IF(表1_861218222426728894100[[#This Row],[原国家]]="魏",0,IF(表1_861218222426728894100[[#This Row],[原国家]]="蜀",1,2))</f>
        <v>1</v>
      </c>
      <c r="J42" s="213">
        <v>2</v>
      </c>
      <c r="K42" s="213">
        <v>119</v>
      </c>
      <c r="L42" s="213">
        <v>1</v>
      </c>
      <c r="M42" s="213">
        <v>14</v>
      </c>
      <c r="N42" s="213">
        <v>55502</v>
      </c>
      <c r="O42" s="419">
        <v>1486377</v>
      </c>
      <c r="P42" s="420">
        <v>7699215</v>
      </c>
      <c r="Q42" s="31" t="s">
        <v>26</v>
      </c>
      <c r="R42" s="212">
        <f>IF(表1_861218222426728894100[[#This Row],[目标国家]]="魏",0,IF(表1_861218222426728894100[[#This Row],[目标国家]]="蜀",1,2))</f>
        <v>1</v>
      </c>
      <c r="S42" s="213">
        <v>3804</v>
      </c>
      <c r="T42" s="213">
        <v>0</v>
      </c>
      <c r="U42" s="213">
        <v>246299</v>
      </c>
      <c r="V42" s="213">
        <v>4161</v>
      </c>
      <c r="W42" s="427">
        <v>477444</v>
      </c>
      <c r="X42" s="278" t="str">
        <f>"{"&amp;"'coin':"&amp;表1_861218222426728894100[[#This Row],[补偿Coin]]&amp;",'"&amp;配置!$A$2&amp;"':"&amp;表1_861218222426728894100[[#This Row],[补偿辎重]]&amp;"},"</f>
        <v>{'coin':1000,'item036':10},</v>
      </c>
      <c r="Y42" s="278" t="str">
        <f>"            'to_zone':'"&amp;表1_861218222426728894100[[#This Row],[目标区服]]&amp;"',
            'reward':"&amp;表1_861218222426728894100[[#This Row],[辅助导出]]&amp;"
            'country':["&amp;R41&amp;","&amp;R42&amp;","&amp;R43&amp;"],"</f>
        <v>            'to_zone':'h1_585',
            'reward':{'coin':1000,'item036':10},
            'country':[0,1,1],</v>
      </c>
    </row>
    <row r="43" customHeight="1" spans="1:25">
      <c r="A43" s="259">
        <v>5189</v>
      </c>
      <c r="B43" s="210">
        <f>VLOOKUP(表1_861218222426728894100[[#This Row],[区服]],$P$143:$Q$190,2,FALSE)</f>
        <v>46</v>
      </c>
      <c r="C43" s="41" t="s">
        <v>229</v>
      </c>
      <c r="D43" s="212" t="str">
        <f>表1_861218222426728894100[[#This Row],[目标国家]]</f>
        <v>蜀</v>
      </c>
      <c r="E43" s="213">
        <f>(VLOOKUP(表1_861218222426728894100[[#This Row],[目标区服]],$R$143:$S$169,2,FALSE)-表1_861218222426728894100[[#This Row],[开服天数]])*配置!$B$1</f>
        <v>1000</v>
      </c>
      <c r="F43" s="213">
        <f>表1_861218222426728894100[[#This Row],[补偿Coin]]*(表1_861218222426728894100[[#This Row],[活跃高战玩家数]]+表1_861218222426728894100[[#This Row],[活跃中坚玩家数]])</f>
        <v>25000</v>
      </c>
      <c r="G43" s="260">
        <f>(VLOOKUP(表1_861218222426728894100[[#This Row],[目标区服]],$R$143:$S$174,2,FALSE)-表1_861218222426728894100[[#This Row],[开服天数]])*配置!$B$2</f>
        <v>10</v>
      </c>
      <c r="H43" s="212" t="s">
        <v>27</v>
      </c>
      <c r="I43" s="268">
        <f>IF(表1_861218222426728894100[[#This Row],[原国家]]="魏",0,IF(表1_861218222426728894100[[#This Row],[原国家]]="蜀",1,2))</f>
        <v>2</v>
      </c>
      <c r="J43" s="213">
        <v>4</v>
      </c>
      <c r="K43" s="213">
        <v>167</v>
      </c>
      <c r="L43" s="213">
        <v>5</v>
      </c>
      <c r="M43" s="213">
        <v>20</v>
      </c>
      <c r="N43" s="213">
        <v>114543</v>
      </c>
      <c r="O43" s="419">
        <v>2029175</v>
      </c>
      <c r="P43" s="420">
        <v>15530632</v>
      </c>
      <c r="Q43" s="31" t="s">
        <v>26</v>
      </c>
      <c r="R43" s="212">
        <f>IF(表1_861218222426728894100[[#This Row],[目标国家]]="魏",0,IF(表1_861218222426728894100[[#This Row],[目标国家]]="蜀",1,2))</f>
        <v>1</v>
      </c>
      <c r="S43" s="213">
        <v>8860</v>
      </c>
      <c r="T43" s="213">
        <v>0</v>
      </c>
      <c r="U43" s="213">
        <v>408675</v>
      </c>
      <c r="V43" s="213">
        <v>6695</v>
      </c>
      <c r="W43" s="427">
        <v>533680</v>
      </c>
      <c r="X43" s="278" t="str">
        <f>"{"&amp;"'coin':"&amp;表1_861218222426728894100[[#This Row],[补偿Coin]]&amp;",'"&amp;配置!$A$2&amp;"':"&amp;表1_861218222426728894100[[#This Row],[补偿辎重]]&amp;"},"</f>
        <v>{'coin':1000,'item036':10},</v>
      </c>
      <c r="Y43" s="278" t="str">
        <f t="shared" si="5"/>
        <v>      },</v>
      </c>
    </row>
    <row r="44" customHeight="1" spans="1:25">
      <c r="A44" s="259">
        <v>5190</v>
      </c>
      <c r="B44" s="210">
        <f>VLOOKUP(表1_861218222426728894100[[#This Row],[区服]],$P$143:$Q$190,2,FALSE)</f>
        <v>45</v>
      </c>
      <c r="C44" s="41" t="s">
        <v>229</v>
      </c>
      <c r="D44" s="212" t="str">
        <f>表1_861218222426728894100[[#This Row],[目标国家]]</f>
        <v>蜀</v>
      </c>
      <c r="E44" s="213">
        <f>(VLOOKUP(表1_861218222426728894100[[#This Row],[目标区服]],$R$143:$S$169,2,FALSE)-表1_861218222426728894100[[#This Row],[开服天数]])*配置!$B$1</f>
        <v>1500</v>
      </c>
      <c r="F44" s="213">
        <f>表1_861218222426728894100[[#This Row],[补偿Coin]]*(表1_861218222426728894100[[#This Row],[活跃高战玩家数]]+表1_861218222426728894100[[#This Row],[活跃中坚玩家数]])</f>
        <v>19500</v>
      </c>
      <c r="G44" s="260">
        <f>(VLOOKUP(表1_861218222426728894100[[#This Row],[目标区服]],$R$143:$S$174,2,FALSE)-表1_861218222426728894100[[#This Row],[开服天数]])*配置!$B$2</f>
        <v>15</v>
      </c>
      <c r="H44" s="212" t="s">
        <v>25</v>
      </c>
      <c r="I44" s="268">
        <f>IF(表1_861218222426728894100[[#This Row],[原国家]]="魏",0,IF(表1_861218222426728894100[[#This Row],[原国家]]="蜀",1,2))</f>
        <v>0</v>
      </c>
      <c r="J44" s="213">
        <v>2</v>
      </c>
      <c r="K44" s="213">
        <v>105</v>
      </c>
      <c r="L44" s="213">
        <v>3</v>
      </c>
      <c r="M44" s="213">
        <v>10</v>
      </c>
      <c r="N44" s="213">
        <v>82769</v>
      </c>
      <c r="O44" s="419">
        <v>1820119</v>
      </c>
      <c r="P44" s="420">
        <v>8874578</v>
      </c>
      <c r="Q44" s="31" t="s">
        <v>26</v>
      </c>
      <c r="R44" s="212">
        <f>IF(表1_861218222426728894100[[#This Row],[目标国家]]="魏",0,IF(表1_861218222426728894100[[#This Row],[目标国家]]="蜀",1,2))</f>
        <v>1</v>
      </c>
      <c r="S44" s="213">
        <v>14612</v>
      </c>
      <c r="T44" s="213">
        <v>0</v>
      </c>
      <c r="U44" s="213">
        <v>136063</v>
      </c>
      <c r="V44" s="213">
        <v>4877</v>
      </c>
      <c r="W44" s="427">
        <v>514149</v>
      </c>
      <c r="X44" s="278" t="str">
        <f>"{"&amp;"'coin':"&amp;表1_861218222426728894100[[#This Row],[补偿Coin]]&amp;",'"&amp;配置!$A$2&amp;"':"&amp;表1_861218222426728894100[[#This Row],[补偿辎重]]&amp;"},"</f>
        <v>{'coin':1500,'item036':15},</v>
      </c>
      <c r="Y44" s="278" t="str">
        <f>"      '"&amp;表1_861218222426728894100[[#This Row],[区服]]&amp;"':{"</f>
        <v>      '5190':{</v>
      </c>
    </row>
    <row r="45" customHeight="1" spans="1:25">
      <c r="A45" s="259">
        <v>5190</v>
      </c>
      <c r="B45" s="210">
        <f>VLOOKUP(表1_861218222426728894100[[#This Row],[区服]],$P$143:$Q$190,2,FALSE)</f>
        <v>45</v>
      </c>
      <c r="C45" s="41" t="s">
        <v>229</v>
      </c>
      <c r="D45" s="212" t="str">
        <f>表1_861218222426728894100[[#This Row],[目标国家]]</f>
        <v>吴</v>
      </c>
      <c r="E45" s="213">
        <f>(VLOOKUP(表1_861218222426728894100[[#This Row],[目标区服]],$R$143:$S$169,2,FALSE)-表1_861218222426728894100[[#This Row],[开服天数]])*配置!$B$1</f>
        <v>1500</v>
      </c>
      <c r="F45" s="213">
        <f>表1_861218222426728894100[[#This Row],[补偿Coin]]*(表1_861218222426728894100[[#This Row],[活跃高战玩家数]]+表1_861218222426728894100[[#This Row],[活跃中坚玩家数]])</f>
        <v>15000</v>
      </c>
      <c r="G45" s="260">
        <f>(VLOOKUP(表1_861218222426728894100[[#This Row],[目标区服]],$R$143:$S$174,2,FALSE)-表1_861218222426728894100[[#This Row],[开服天数]])*配置!$B$2</f>
        <v>15</v>
      </c>
      <c r="H45" s="212" t="s">
        <v>26</v>
      </c>
      <c r="I45" s="268">
        <f>IF(表1_861218222426728894100[[#This Row],[原国家]]="魏",0,IF(表1_861218222426728894100[[#This Row],[原国家]]="蜀",1,2))</f>
        <v>1</v>
      </c>
      <c r="J45" s="213">
        <v>3</v>
      </c>
      <c r="K45" s="213">
        <v>70</v>
      </c>
      <c r="L45" s="213">
        <v>0</v>
      </c>
      <c r="M45" s="213">
        <v>10</v>
      </c>
      <c r="N45" s="213">
        <v>38751</v>
      </c>
      <c r="O45" s="419">
        <v>622359</v>
      </c>
      <c r="P45" s="420">
        <v>3619625</v>
      </c>
      <c r="Q45" s="31" t="s">
        <v>27</v>
      </c>
      <c r="R45" s="212">
        <f>IF(表1_861218222426728894100[[#This Row],[目标国家]]="魏",0,IF(表1_861218222426728894100[[#This Row],[目标国家]]="蜀",1,2))</f>
        <v>2</v>
      </c>
      <c r="S45" s="213">
        <v>126</v>
      </c>
      <c r="T45" s="213">
        <v>0</v>
      </c>
      <c r="U45" s="213">
        <v>56672</v>
      </c>
      <c r="V45" s="213">
        <v>2210</v>
      </c>
      <c r="W45" s="427">
        <v>191051</v>
      </c>
      <c r="X45" s="278" t="str">
        <f>"{"&amp;"'coin':"&amp;表1_861218222426728894100[[#This Row],[补偿Coin]]&amp;",'"&amp;配置!$A$2&amp;"':"&amp;表1_861218222426728894100[[#This Row],[补偿辎重]]&amp;"},"</f>
        <v>{'coin':1500,'item036':15},</v>
      </c>
      <c r="Y45" s="278" t="str">
        <f>"            'to_zone':'"&amp;表1_861218222426728894100[[#This Row],[目标区服]]&amp;"',
            'reward':"&amp;表1_861218222426728894100[[#This Row],[辅助导出]]&amp;"
            'country':["&amp;R44&amp;","&amp;R45&amp;","&amp;R46&amp;"],"</f>
        <v>            'to_zone':'h1_585',
            'reward':{'coin':1500,'item036':15},
            'country':[1,2,2],</v>
      </c>
    </row>
    <row r="46" customHeight="1" spans="1:25">
      <c r="A46" s="259">
        <v>5190</v>
      </c>
      <c r="B46" s="210">
        <f>VLOOKUP(表1_861218222426728894100[[#This Row],[区服]],$P$143:$Q$190,2,FALSE)</f>
        <v>45</v>
      </c>
      <c r="C46" s="41" t="s">
        <v>229</v>
      </c>
      <c r="D46" s="212" t="str">
        <f>表1_861218222426728894100[[#This Row],[目标国家]]</f>
        <v>吴</v>
      </c>
      <c r="E46" s="213">
        <f>(VLOOKUP(表1_861218222426728894100[[#This Row],[目标区服]],$R$143:$S$169,2,FALSE)-表1_861218222426728894100[[#This Row],[开服天数]])*配置!$B$1</f>
        <v>1500</v>
      </c>
      <c r="F46" s="213">
        <f>表1_861218222426728894100[[#This Row],[补偿Coin]]*(表1_861218222426728894100[[#This Row],[活跃高战玩家数]]+表1_861218222426728894100[[#This Row],[活跃中坚玩家数]])</f>
        <v>27000</v>
      </c>
      <c r="G46" s="260">
        <f>(VLOOKUP(表1_861218222426728894100[[#This Row],[目标区服]],$R$143:$S$174,2,FALSE)-表1_861218222426728894100[[#This Row],[开服天数]])*配置!$B$2</f>
        <v>15</v>
      </c>
      <c r="H46" s="212" t="s">
        <v>27</v>
      </c>
      <c r="I46" s="268">
        <f>IF(表1_861218222426728894100[[#This Row],[原国家]]="魏",0,IF(表1_861218222426728894100[[#This Row],[原国家]]="蜀",1,2))</f>
        <v>2</v>
      </c>
      <c r="J46" s="213">
        <v>4</v>
      </c>
      <c r="K46" s="213">
        <v>220</v>
      </c>
      <c r="L46" s="213">
        <v>7</v>
      </c>
      <c r="M46" s="213">
        <v>11</v>
      </c>
      <c r="N46" s="213">
        <v>111349</v>
      </c>
      <c r="O46" s="419">
        <v>2192585</v>
      </c>
      <c r="P46" s="420">
        <v>13964617</v>
      </c>
      <c r="Q46" s="31" t="s">
        <v>27</v>
      </c>
      <c r="R46" s="212">
        <f>IF(表1_861218222426728894100[[#This Row],[目标国家]]="魏",0,IF(表1_861218222426728894100[[#This Row],[目标国家]]="蜀",1,2))</f>
        <v>2</v>
      </c>
      <c r="S46" s="213">
        <v>46106</v>
      </c>
      <c r="T46" s="213">
        <v>0</v>
      </c>
      <c r="U46" s="213">
        <v>408809</v>
      </c>
      <c r="V46" s="213">
        <v>8333</v>
      </c>
      <c r="W46" s="427">
        <v>625255</v>
      </c>
      <c r="X46" s="278" t="str">
        <f>"{"&amp;"'coin':"&amp;表1_861218222426728894100[[#This Row],[补偿Coin]]&amp;",'"&amp;配置!$A$2&amp;"':"&amp;表1_861218222426728894100[[#This Row],[补偿辎重]]&amp;"},"</f>
        <v>{'coin':1500,'item036':15},</v>
      </c>
      <c r="Y46" s="278" t="str">
        <f t="shared" si="4"/>
        <v>      },</v>
      </c>
    </row>
    <row r="47" customHeight="1" spans="1:25">
      <c r="A47" s="259">
        <v>5191</v>
      </c>
      <c r="B47" s="210">
        <f>VLOOKUP(表1_861218222426728894100[[#This Row],[区服]],$P$143:$Q$190,2,FALSE)</f>
        <v>45</v>
      </c>
      <c r="C47" s="41" t="s">
        <v>229</v>
      </c>
      <c r="D47" s="212" t="str">
        <f>表1_861218222426728894100[[#This Row],[目标国家]]</f>
        <v>魏</v>
      </c>
      <c r="E47" s="213">
        <f>(VLOOKUP(表1_861218222426728894100[[#This Row],[目标区服]],$R$143:$S$169,2,FALSE)-表1_861218222426728894100[[#This Row],[开服天数]])*配置!$B$1</f>
        <v>1500</v>
      </c>
      <c r="F47" s="213">
        <f>表1_861218222426728894100[[#This Row],[补偿Coin]]*(表1_861218222426728894100[[#This Row],[活跃高战玩家数]]+表1_861218222426728894100[[#This Row],[活跃中坚玩家数]])</f>
        <v>27000</v>
      </c>
      <c r="G47" s="260">
        <f>(VLOOKUP(表1_861218222426728894100[[#This Row],[目标区服]],$R$143:$S$174,2,FALSE)-表1_861218222426728894100[[#This Row],[开服天数]])*配置!$B$2</f>
        <v>15</v>
      </c>
      <c r="H47" s="212" t="s">
        <v>25</v>
      </c>
      <c r="I47" s="268">
        <f>IF(表1_861218222426728894100[[#This Row],[原国家]]="魏",0,IF(表1_861218222426728894100[[#This Row],[原国家]]="蜀",1,2))</f>
        <v>0</v>
      </c>
      <c r="J47" s="213">
        <v>9</v>
      </c>
      <c r="K47" s="213">
        <v>347</v>
      </c>
      <c r="L47" s="213">
        <v>10</v>
      </c>
      <c r="M47" s="213">
        <v>8</v>
      </c>
      <c r="N47" s="213">
        <v>143225</v>
      </c>
      <c r="O47" s="419">
        <v>2198983</v>
      </c>
      <c r="P47" s="420">
        <v>15749390</v>
      </c>
      <c r="Q47" s="31" t="s">
        <v>25</v>
      </c>
      <c r="R47" s="212">
        <f>IF(表1_861218222426728894100[[#This Row],[目标国家]]="魏",0,IF(表1_861218222426728894100[[#This Row],[目标国家]]="蜀",1,2))</f>
        <v>0</v>
      </c>
      <c r="S47" s="213">
        <v>25422</v>
      </c>
      <c r="T47" s="213">
        <v>0</v>
      </c>
      <c r="U47" s="213">
        <v>593583</v>
      </c>
      <c r="V47" s="213">
        <v>9919</v>
      </c>
      <c r="W47" s="427">
        <v>533229</v>
      </c>
      <c r="X47" s="278" t="str">
        <f>"{"&amp;"'coin':"&amp;表1_861218222426728894100[[#This Row],[补偿Coin]]&amp;",'"&amp;配置!$A$2&amp;"':"&amp;表1_861218222426728894100[[#This Row],[补偿辎重]]&amp;"},"</f>
        <v>{'coin':1500,'item036':15},</v>
      </c>
      <c r="Y47" s="278" t="str">
        <f>"      '"&amp;表1_861218222426728894100[[#This Row],[区服]]&amp;"':{"</f>
        <v>      '5191':{</v>
      </c>
    </row>
    <row r="48" customHeight="1" spans="1:25">
      <c r="A48" s="259">
        <v>5191</v>
      </c>
      <c r="B48" s="210">
        <f>VLOOKUP(表1_861218222426728894100[[#This Row],[区服]],$P$143:$Q$190,2,FALSE)</f>
        <v>45</v>
      </c>
      <c r="C48" s="41" t="s">
        <v>229</v>
      </c>
      <c r="D48" s="212" t="str">
        <f>表1_861218222426728894100[[#This Row],[目标国家]]</f>
        <v>魏</v>
      </c>
      <c r="E48" s="213">
        <f>(VLOOKUP(表1_861218222426728894100[[#This Row],[目标区服]],$R$143:$S$169,2,FALSE)-表1_861218222426728894100[[#This Row],[开服天数]])*配置!$B$1</f>
        <v>1500</v>
      </c>
      <c r="F48" s="213">
        <f>表1_861218222426728894100[[#This Row],[补偿Coin]]*(表1_861218222426728894100[[#This Row],[活跃高战玩家数]]+表1_861218222426728894100[[#This Row],[活跃中坚玩家数]])</f>
        <v>9000</v>
      </c>
      <c r="G48" s="260">
        <f>(VLOOKUP(表1_861218222426728894100[[#This Row],[目标区服]],$R$143:$S$174,2,FALSE)-表1_861218222426728894100[[#This Row],[开服天数]])*配置!$B$2</f>
        <v>15</v>
      </c>
      <c r="H48" s="212" t="s">
        <v>26</v>
      </c>
      <c r="I48" s="268">
        <f>IF(表1_861218222426728894100[[#This Row],[原国家]]="魏",0,IF(表1_861218222426728894100[[#This Row],[原国家]]="蜀",1,2))</f>
        <v>1</v>
      </c>
      <c r="J48" s="213">
        <v>0</v>
      </c>
      <c r="K48" s="213">
        <v>21</v>
      </c>
      <c r="L48" s="213">
        <v>0</v>
      </c>
      <c r="M48" s="213">
        <v>6</v>
      </c>
      <c r="N48" s="213">
        <v>29265</v>
      </c>
      <c r="O48" s="419">
        <v>545702</v>
      </c>
      <c r="P48" s="420">
        <v>2119270</v>
      </c>
      <c r="Q48" s="31" t="s">
        <v>25</v>
      </c>
      <c r="R48" s="212">
        <f>IF(表1_861218222426728894100[[#This Row],[目标国家]]="魏",0,IF(表1_861218222426728894100[[#This Row],[目标国家]]="蜀",1,2))</f>
        <v>0</v>
      </c>
      <c r="S48" s="213">
        <v>944</v>
      </c>
      <c r="T48" s="213">
        <v>0</v>
      </c>
      <c r="U48" s="213">
        <v>55393</v>
      </c>
      <c r="V48" s="213">
        <v>1169</v>
      </c>
      <c r="W48" s="427">
        <v>154371</v>
      </c>
      <c r="X48" s="278" t="str">
        <f>"{"&amp;"'coin':"&amp;表1_861218222426728894100[[#This Row],[补偿Coin]]&amp;",'"&amp;配置!$A$2&amp;"':"&amp;表1_861218222426728894100[[#This Row],[补偿辎重]]&amp;"},"</f>
        <v>{'coin':1500,'item036':15},</v>
      </c>
      <c r="Y48" s="278" t="str">
        <f>"            'to_zone':'"&amp;表1_861218222426728894100[[#This Row],[目标区服]]&amp;"',
            'reward':"&amp;表1_861218222426728894100[[#This Row],[辅助导出]]&amp;"
            'country':["&amp;R47&amp;","&amp;R48&amp;","&amp;R49&amp;"],"</f>
        <v>            'to_zone':'h1_585',
            'reward':{'coin':1500,'item036':15},
            'country':[0,0,2],</v>
      </c>
    </row>
    <row r="49" customHeight="1" spans="1:25">
      <c r="A49" s="259">
        <v>5191</v>
      </c>
      <c r="B49" s="210">
        <f>VLOOKUP(表1_861218222426728894100[[#This Row],[区服]],$P$143:$Q$190,2,FALSE)</f>
        <v>45</v>
      </c>
      <c r="C49" s="41" t="s">
        <v>229</v>
      </c>
      <c r="D49" s="212" t="str">
        <f>表1_861218222426728894100[[#This Row],[目标国家]]</f>
        <v>吴</v>
      </c>
      <c r="E49" s="213">
        <f>(VLOOKUP(表1_861218222426728894100[[#This Row],[目标区服]],$R$143:$S$169,2,FALSE)-表1_861218222426728894100[[#This Row],[开服天数]])*配置!$B$1</f>
        <v>1500</v>
      </c>
      <c r="F49" s="213">
        <f>表1_861218222426728894100[[#This Row],[补偿Coin]]*(表1_861218222426728894100[[#This Row],[活跃高战玩家数]]+表1_861218222426728894100[[#This Row],[活跃中坚玩家数]])</f>
        <v>10500</v>
      </c>
      <c r="G49" s="260">
        <f>(VLOOKUP(表1_861218222426728894100[[#This Row],[目标区服]],$R$143:$S$174,2,FALSE)-表1_861218222426728894100[[#This Row],[开服天数]])*配置!$B$2</f>
        <v>15</v>
      </c>
      <c r="H49" s="212" t="s">
        <v>27</v>
      </c>
      <c r="I49" s="268">
        <f>IF(表1_861218222426728894100[[#This Row],[原国家]]="魏",0,IF(表1_861218222426728894100[[#This Row],[原国家]]="蜀",1,2))</f>
        <v>2</v>
      </c>
      <c r="J49" s="213">
        <v>0</v>
      </c>
      <c r="K49" s="213">
        <v>27</v>
      </c>
      <c r="L49" s="213">
        <v>0</v>
      </c>
      <c r="M49" s="213">
        <v>7</v>
      </c>
      <c r="N49" s="213">
        <v>34384</v>
      </c>
      <c r="O49" s="419">
        <v>665783</v>
      </c>
      <c r="P49" s="420">
        <v>2618664</v>
      </c>
      <c r="Q49" s="31" t="s">
        <v>27</v>
      </c>
      <c r="R49" s="212">
        <f>IF(表1_861218222426728894100[[#This Row],[目标国家]]="魏",0,IF(表1_861218222426728894100[[#This Row],[目标国家]]="蜀",1,2))</f>
        <v>2</v>
      </c>
      <c r="S49" s="213">
        <v>328</v>
      </c>
      <c r="T49" s="213">
        <v>0</v>
      </c>
      <c r="U49" s="213">
        <v>51453</v>
      </c>
      <c r="V49" s="213">
        <v>1405</v>
      </c>
      <c r="W49" s="427">
        <v>209382</v>
      </c>
      <c r="X49" s="278" t="str">
        <f>"{"&amp;"'coin':"&amp;表1_861218222426728894100[[#This Row],[补偿Coin]]&amp;",'"&amp;配置!$A$2&amp;"':"&amp;表1_861218222426728894100[[#This Row],[补偿辎重]]&amp;"},"</f>
        <v>{'coin':1500,'item036':15},</v>
      </c>
      <c r="Y49" s="278" t="str">
        <f t="shared" si="5"/>
        <v>      },</v>
      </c>
    </row>
    <row r="50" customHeight="1" spans="1:25">
      <c r="A50" s="17">
        <v>5192</v>
      </c>
      <c r="B50" s="17">
        <f>VLOOKUP(表1_861218222426728894100[[#This Row],[区服]],$P$143:$Q$190,2,FALSE)</f>
        <v>45</v>
      </c>
      <c r="C50" s="45" t="s">
        <v>230</v>
      </c>
      <c r="D50" s="19" t="str">
        <f>表1_861218222426728894100[[#This Row],[目标国家]]</f>
        <v>魏</v>
      </c>
      <c r="E50" s="20">
        <f>(VLOOKUP(表1_861218222426728894100[[#This Row],[目标区服]],$R$143:$S$169,2,FALSE)-表1_861218222426728894100[[#This Row],[开服天数]])*配置!$B$1</f>
        <v>1000</v>
      </c>
      <c r="F50" s="20">
        <f>表1_861218222426728894100[[#This Row],[补偿Coin]]*(表1_861218222426728894100[[#This Row],[活跃高战玩家数]]+表1_861218222426728894100[[#This Row],[活跃中坚玩家数]])</f>
        <v>8000</v>
      </c>
      <c r="G50" s="20">
        <f>(VLOOKUP(表1_861218222426728894100[[#This Row],[目标区服]],$R$143:$S$174,2,FALSE)-表1_861218222426728894100[[#This Row],[开服天数]])*配置!$B$2</f>
        <v>10</v>
      </c>
      <c r="H50" s="19" t="s">
        <v>25</v>
      </c>
      <c r="I50" s="19">
        <f>IF(表1_861218222426728894100[[#This Row],[原国家]]="魏",0,IF(表1_861218222426728894100[[#This Row],[原国家]]="蜀",1,2))</f>
        <v>0</v>
      </c>
      <c r="J50" s="20">
        <v>0</v>
      </c>
      <c r="K50" s="20">
        <v>52</v>
      </c>
      <c r="L50" s="20">
        <v>0</v>
      </c>
      <c r="M50" s="20">
        <v>8</v>
      </c>
      <c r="N50" s="20">
        <v>38685</v>
      </c>
      <c r="O50" s="20">
        <v>1199077</v>
      </c>
      <c r="P50" s="26">
        <v>5010378</v>
      </c>
      <c r="Q50" s="31" t="s">
        <v>25</v>
      </c>
      <c r="R50" s="19">
        <f>IF(表1_861218222426728894100[[#This Row],[目标国家]]="魏",0,IF(表1_861218222426728894100[[#This Row],[目标国家]]="蜀",1,2))</f>
        <v>0</v>
      </c>
      <c r="S50" s="20">
        <v>750</v>
      </c>
      <c r="T50" s="20">
        <v>0</v>
      </c>
      <c r="U50" s="20">
        <v>163877</v>
      </c>
      <c r="V50" s="20">
        <v>2517</v>
      </c>
      <c r="W50" s="434">
        <v>561896</v>
      </c>
      <c r="X50" s="33" t="str">
        <f>"{"&amp;"'coin':"&amp;表1_861218222426728894100[[#This Row],[补偿Coin]]&amp;",'"&amp;配置!$A$2&amp;"':"&amp;表1_861218222426728894100[[#This Row],[补偿辎重]]&amp;"},"</f>
        <v>{'coin':1000,'item036':10},</v>
      </c>
      <c r="Y50" s="34" t="str">
        <f>"      '"&amp;表1_861218222426728894100[[#This Row],[区服]]&amp;"':{"</f>
        <v>      '5192':{</v>
      </c>
    </row>
    <row r="51" customHeight="1" spans="1:25">
      <c r="A51" s="17">
        <v>5192</v>
      </c>
      <c r="B51" s="17">
        <f>VLOOKUP(表1_861218222426728894100[[#This Row],[区服]],$P$143:$Q$190,2,FALSE)</f>
        <v>45</v>
      </c>
      <c r="C51" s="45" t="s">
        <v>230</v>
      </c>
      <c r="D51" s="19" t="str">
        <f>表1_861218222426728894100[[#This Row],[目标国家]]</f>
        <v>蜀</v>
      </c>
      <c r="E51" s="20">
        <f>(VLOOKUP(表1_861218222426728894100[[#This Row],[目标区服]],$R$143:$S$169,2,FALSE)-表1_861218222426728894100[[#This Row],[开服天数]])*配置!$B$1</f>
        <v>1000</v>
      </c>
      <c r="F51" s="20">
        <f>表1_861218222426728894100[[#This Row],[补偿Coin]]*(表1_861218222426728894100[[#This Row],[活跃高战玩家数]]+表1_861218222426728894100[[#This Row],[活跃中坚玩家数]])</f>
        <v>23000</v>
      </c>
      <c r="G51" s="20">
        <f>(VLOOKUP(表1_861218222426728894100[[#This Row],[目标区服]],$R$143:$S$174,2,FALSE)-表1_861218222426728894100[[#This Row],[开服天数]])*配置!$B$2</f>
        <v>10</v>
      </c>
      <c r="H51" s="19" t="s">
        <v>26</v>
      </c>
      <c r="I51" s="19">
        <f>IF(表1_861218222426728894100[[#This Row],[原国家]]="魏",0,IF(表1_861218222426728894100[[#This Row],[原国家]]="蜀",1,2))</f>
        <v>1</v>
      </c>
      <c r="J51" s="20">
        <v>5</v>
      </c>
      <c r="K51" s="20">
        <v>192</v>
      </c>
      <c r="L51" s="20">
        <v>7</v>
      </c>
      <c r="M51" s="20">
        <v>16</v>
      </c>
      <c r="N51" s="20">
        <v>145733</v>
      </c>
      <c r="O51" s="20">
        <v>2292933</v>
      </c>
      <c r="P51" s="26">
        <v>20605807</v>
      </c>
      <c r="Q51" s="31" t="s">
        <v>26</v>
      </c>
      <c r="R51" s="19">
        <f>IF(表1_861218222426728894100[[#This Row],[目标国家]]="魏",0,IF(表1_861218222426728894100[[#This Row],[目标国家]]="蜀",1,2))</f>
        <v>1</v>
      </c>
      <c r="S51" s="20">
        <v>36084</v>
      </c>
      <c r="T51" s="20">
        <v>0</v>
      </c>
      <c r="U51" s="20">
        <v>563474</v>
      </c>
      <c r="V51" s="20">
        <v>8866</v>
      </c>
      <c r="W51" s="434">
        <v>583954</v>
      </c>
      <c r="X51" s="33" t="str">
        <f>"{"&amp;"'coin':"&amp;表1_861218222426728894100[[#This Row],[补偿Coin]]&amp;",'"&amp;配置!$A$2&amp;"':"&amp;表1_861218222426728894100[[#This Row],[补偿辎重]]&amp;"},"</f>
        <v>{'coin':1000,'item036':10},</v>
      </c>
      <c r="Y51" s="34" t="str">
        <f>"            'to_zone':'"&amp;表1_861218222426728894100[[#This Row],[目标区服]]&amp;"',
            'reward':"&amp;表1_861218222426728894100[[#This Row],[辅助导出]]&amp;"
            'country':["&amp;R50&amp;","&amp;R51&amp;","&amp;R52&amp;"],"</f>
        <v>            'to_zone':'h1_586',
            'reward':{'coin':1000,'item036':10},
            'country':[0,1,2],</v>
      </c>
    </row>
    <row r="52" customHeight="1" spans="1:25">
      <c r="A52" s="17">
        <v>5192</v>
      </c>
      <c r="B52" s="17">
        <f>VLOOKUP(表1_861218222426728894100[[#This Row],[区服]],$P$143:$Q$190,2,FALSE)</f>
        <v>45</v>
      </c>
      <c r="C52" s="45" t="s">
        <v>230</v>
      </c>
      <c r="D52" s="19" t="str">
        <f>表1_861218222426728894100[[#This Row],[目标国家]]</f>
        <v>吴</v>
      </c>
      <c r="E52" s="20">
        <f>(VLOOKUP(表1_861218222426728894100[[#This Row],[目标区服]],$R$143:$S$169,2,FALSE)-表1_861218222426728894100[[#This Row],[开服天数]])*配置!$B$1</f>
        <v>1000</v>
      </c>
      <c r="F52" s="20">
        <f>表1_861218222426728894100[[#This Row],[补偿Coin]]*(表1_861218222426728894100[[#This Row],[活跃高战玩家数]]+表1_861218222426728894100[[#This Row],[活跃中坚玩家数]])</f>
        <v>15000</v>
      </c>
      <c r="G52" s="20">
        <f>(VLOOKUP(表1_861218222426728894100[[#This Row],[目标区服]],$R$143:$S$174,2,FALSE)-表1_861218222426728894100[[#This Row],[开服天数]])*配置!$B$2</f>
        <v>10</v>
      </c>
      <c r="H52" s="19" t="s">
        <v>27</v>
      </c>
      <c r="I52" s="19">
        <f>IF(表1_861218222426728894100[[#This Row],[原国家]]="魏",0,IF(表1_861218222426728894100[[#This Row],[原国家]]="蜀",1,2))</f>
        <v>2</v>
      </c>
      <c r="J52" s="20">
        <v>4</v>
      </c>
      <c r="K52" s="20">
        <v>151</v>
      </c>
      <c r="L52" s="20">
        <v>3</v>
      </c>
      <c r="M52" s="20">
        <v>12</v>
      </c>
      <c r="N52" s="20">
        <v>83574</v>
      </c>
      <c r="O52" s="20">
        <v>2170717</v>
      </c>
      <c r="P52" s="26">
        <v>11646098</v>
      </c>
      <c r="Q52" s="31" t="s">
        <v>27</v>
      </c>
      <c r="R52" s="19">
        <f>IF(表1_861218222426728894100[[#This Row],[目标国家]]="魏",0,IF(表1_861218222426728894100[[#This Row],[目标国家]]="蜀",1,2))</f>
        <v>2</v>
      </c>
      <c r="S52" s="20">
        <v>13272</v>
      </c>
      <c r="T52" s="20">
        <v>0</v>
      </c>
      <c r="U52" s="20">
        <v>400579</v>
      </c>
      <c r="V52" s="20">
        <v>6261</v>
      </c>
      <c r="W52" s="434">
        <v>581760</v>
      </c>
      <c r="X52" s="33" t="str">
        <f>"{"&amp;"'coin':"&amp;表1_861218222426728894100[[#This Row],[补偿Coin]]&amp;",'"&amp;配置!$A$2&amp;"':"&amp;表1_861218222426728894100[[#This Row],[补偿辎重]]&amp;"},"</f>
        <v>{'coin':1000,'item036':10},</v>
      </c>
      <c r="Y52" s="34" t="str">
        <f t="shared" si="4"/>
        <v>      },</v>
      </c>
    </row>
    <row r="53" customHeight="1" spans="1:25">
      <c r="A53" s="17">
        <v>5193</v>
      </c>
      <c r="B53" s="17">
        <f>VLOOKUP(表1_861218222426728894100[[#This Row],[区服]],$P$143:$Q$190,2,FALSE)</f>
        <v>45</v>
      </c>
      <c r="C53" s="45" t="s">
        <v>230</v>
      </c>
      <c r="D53" s="19" t="str">
        <f>表1_861218222426728894100[[#This Row],[目标国家]]</f>
        <v>吴</v>
      </c>
      <c r="E53" s="20">
        <f>(VLOOKUP(表1_861218222426728894100[[#This Row],[目标区服]],$R$143:$S$169,2,FALSE)-表1_861218222426728894100[[#This Row],[开服天数]])*配置!$B$1</f>
        <v>1000</v>
      </c>
      <c r="F53" s="20">
        <f>表1_861218222426728894100[[#This Row],[补偿Coin]]*(表1_861218222426728894100[[#This Row],[活跃高战玩家数]]+表1_861218222426728894100[[#This Row],[活跃中坚玩家数]])</f>
        <v>15000</v>
      </c>
      <c r="G53" s="20">
        <f>(VLOOKUP(表1_861218222426728894100[[#This Row],[目标区服]],$R$143:$S$174,2,FALSE)-表1_861218222426728894100[[#This Row],[开服天数]])*配置!$B$2</f>
        <v>10</v>
      </c>
      <c r="H53" s="19" t="s">
        <v>25</v>
      </c>
      <c r="I53" s="19">
        <f>IF(表1_861218222426728894100[[#This Row],[原国家]]="魏",0,IF(表1_861218222426728894100[[#This Row],[原国家]]="蜀",1,2))</f>
        <v>0</v>
      </c>
      <c r="J53" s="20">
        <v>0</v>
      </c>
      <c r="K53" s="20">
        <v>54</v>
      </c>
      <c r="L53" s="20">
        <v>1</v>
      </c>
      <c r="M53" s="20">
        <v>14</v>
      </c>
      <c r="N53" s="20">
        <v>78910</v>
      </c>
      <c r="O53" s="20">
        <v>1259651</v>
      </c>
      <c r="P53" s="26">
        <v>7401478</v>
      </c>
      <c r="Q53" s="31" t="s">
        <v>27</v>
      </c>
      <c r="R53" s="19">
        <f>IF(表1_861218222426728894100[[#This Row],[目标国家]]="魏",0,IF(表1_861218222426728894100[[#This Row],[目标国家]]="蜀",1,2))</f>
        <v>2</v>
      </c>
      <c r="S53" s="20">
        <v>1596</v>
      </c>
      <c r="T53" s="20">
        <v>0</v>
      </c>
      <c r="U53" s="20">
        <v>97294</v>
      </c>
      <c r="V53" s="20">
        <v>3030</v>
      </c>
      <c r="W53" s="434">
        <v>372355</v>
      </c>
      <c r="X53" s="33" t="str">
        <f>"{"&amp;"'coin':"&amp;表1_861218222426728894100[[#This Row],[补偿Coin]]&amp;",'"&amp;配置!$A$2&amp;"':"&amp;表1_861218222426728894100[[#This Row],[补偿辎重]]&amp;"},"</f>
        <v>{'coin':1000,'item036':10},</v>
      </c>
      <c r="Y53" s="34" t="str">
        <f>"      '"&amp;表1_861218222426728894100[[#This Row],[区服]]&amp;"':{"</f>
        <v>      '5193':{</v>
      </c>
    </row>
    <row r="54" customHeight="1" spans="1:25">
      <c r="A54" s="17">
        <v>5193</v>
      </c>
      <c r="B54" s="17">
        <f>VLOOKUP(表1_861218222426728894100[[#This Row],[区服]],$P$143:$Q$190,2,FALSE)</f>
        <v>45</v>
      </c>
      <c r="C54" s="45" t="s">
        <v>230</v>
      </c>
      <c r="D54" s="19" t="str">
        <f>表1_861218222426728894100[[#This Row],[目标国家]]</f>
        <v>蜀</v>
      </c>
      <c r="E54" s="20">
        <f>(VLOOKUP(表1_861218222426728894100[[#This Row],[目标区服]],$R$143:$S$169,2,FALSE)-表1_861218222426728894100[[#This Row],[开服天数]])*配置!$B$1</f>
        <v>1000</v>
      </c>
      <c r="F54" s="20">
        <f>表1_861218222426728894100[[#This Row],[补偿Coin]]*(表1_861218222426728894100[[#This Row],[活跃高战玩家数]]+表1_861218222426728894100[[#This Row],[活跃中坚玩家数]])</f>
        <v>9000</v>
      </c>
      <c r="G54" s="20">
        <f>(VLOOKUP(表1_861218222426728894100[[#This Row],[目标区服]],$R$143:$S$174,2,FALSE)-表1_861218222426728894100[[#This Row],[开服天数]])*配置!$B$2</f>
        <v>10</v>
      </c>
      <c r="H54" s="19" t="s">
        <v>26</v>
      </c>
      <c r="I54" s="19">
        <f>IF(表1_861218222426728894100[[#This Row],[原国家]]="魏",0,IF(表1_861218222426728894100[[#This Row],[原国家]]="蜀",1,2))</f>
        <v>1</v>
      </c>
      <c r="J54" s="20">
        <v>0</v>
      </c>
      <c r="K54" s="20">
        <v>46</v>
      </c>
      <c r="L54" s="20">
        <v>0</v>
      </c>
      <c r="M54" s="20">
        <v>9</v>
      </c>
      <c r="N54" s="20">
        <v>43177</v>
      </c>
      <c r="O54" s="20">
        <v>1009630</v>
      </c>
      <c r="P54" s="26">
        <v>4133688</v>
      </c>
      <c r="Q54" s="31" t="s">
        <v>26</v>
      </c>
      <c r="R54" s="19">
        <f>IF(表1_861218222426728894100[[#This Row],[目标国家]]="魏",0,IF(表1_861218222426728894100[[#This Row],[目标国家]]="蜀",1,2))</f>
        <v>1</v>
      </c>
      <c r="S54" s="20">
        <v>2130</v>
      </c>
      <c r="T54" s="20">
        <v>0</v>
      </c>
      <c r="U54" s="20">
        <v>80509</v>
      </c>
      <c r="V54" s="20">
        <v>2203</v>
      </c>
      <c r="W54" s="434">
        <v>274998</v>
      </c>
      <c r="X54" s="33" t="str">
        <f>"{"&amp;"'coin':"&amp;表1_861218222426728894100[[#This Row],[补偿Coin]]&amp;",'"&amp;配置!$A$2&amp;"':"&amp;表1_861218222426728894100[[#This Row],[补偿辎重]]&amp;"},"</f>
        <v>{'coin':1000,'item036':10},</v>
      </c>
      <c r="Y54" s="34" t="str">
        <f>"            'to_zone':'"&amp;表1_861218222426728894100[[#This Row],[目标区服]]&amp;"',
            'reward':"&amp;表1_861218222426728894100[[#This Row],[辅助导出]]&amp;"
            'country':["&amp;R53&amp;","&amp;R54&amp;","&amp;R55&amp;"],"</f>
        <v>            'to_zone':'h1_586',
            'reward':{'coin':1000,'item036':10},
            'country':[2,1,0],</v>
      </c>
    </row>
    <row r="55" customHeight="1" spans="1:25">
      <c r="A55" s="17">
        <v>5193</v>
      </c>
      <c r="B55" s="17">
        <f>VLOOKUP(表1_861218222426728894100[[#This Row],[区服]],$P$143:$Q$190,2,FALSE)</f>
        <v>45</v>
      </c>
      <c r="C55" s="45" t="s">
        <v>230</v>
      </c>
      <c r="D55" s="19" t="str">
        <f>表1_861218222426728894100[[#This Row],[目标国家]]</f>
        <v>魏</v>
      </c>
      <c r="E55" s="20">
        <f>(VLOOKUP(表1_861218222426728894100[[#This Row],[目标区服]],$R$143:$S$169,2,FALSE)-表1_861218222426728894100[[#This Row],[开服天数]])*配置!$B$1</f>
        <v>1000</v>
      </c>
      <c r="F55" s="20">
        <f>表1_861218222426728894100[[#This Row],[补偿Coin]]*(表1_861218222426728894100[[#This Row],[活跃高战玩家数]]+表1_861218222426728894100[[#This Row],[活跃中坚玩家数]])</f>
        <v>19000</v>
      </c>
      <c r="G55" s="20">
        <f>(VLOOKUP(表1_861218222426728894100[[#This Row],[目标区服]],$R$143:$S$174,2,FALSE)-表1_861218222426728894100[[#This Row],[开服天数]])*配置!$B$2</f>
        <v>10</v>
      </c>
      <c r="H55" s="19" t="s">
        <v>27</v>
      </c>
      <c r="I55" s="19">
        <f>IF(表1_861218222426728894100[[#This Row],[原国家]]="魏",0,IF(表1_861218222426728894100[[#This Row],[原国家]]="蜀",1,2))</f>
        <v>2</v>
      </c>
      <c r="J55" s="20">
        <v>9</v>
      </c>
      <c r="K55" s="20">
        <v>295</v>
      </c>
      <c r="L55" s="20">
        <v>9</v>
      </c>
      <c r="M55" s="20">
        <v>10</v>
      </c>
      <c r="N55" s="20">
        <v>134564</v>
      </c>
      <c r="O55" s="20">
        <v>1807699</v>
      </c>
      <c r="P55" s="26">
        <v>15712551</v>
      </c>
      <c r="Q55" s="31" t="s">
        <v>25</v>
      </c>
      <c r="R55" s="19">
        <f>IF(表1_861218222426728894100[[#This Row],[目标国家]]="魏",0,IF(表1_861218222426728894100[[#This Row],[目标国家]]="蜀",1,2))</f>
        <v>0</v>
      </c>
      <c r="S55" s="20">
        <v>17926</v>
      </c>
      <c r="T55" s="20">
        <v>0</v>
      </c>
      <c r="U55" s="20">
        <v>366647</v>
      </c>
      <c r="V55" s="20">
        <v>8622</v>
      </c>
      <c r="W55" s="434">
        <v>561170</v>
      </c>
      <c r="X55" s="33" t="str">
        <f>"{"&amp;"'coin':"&amp;表1_861218222426728894100[[#This Row],[补偿Coin]]&amp;",'"&amp;配置!$A$2&amp;"':"&amp;表1_861218222426728894100[[#This Row],[补偿辎重]]&amp;"},"</f>
        <v>{'coin':1000,'item036':10},</v>
      </c>
      <c r="Y55" s="34" t="str">
        <f t="shared" si="5"/>
        <v>      },</v>
      </c>
    </row>
    <row r="56" customHeight="1" spans="1:25">
      <c r="A56" s="214">
        <v>5194</v>
      </c>
      <c r="B56" s="214">
        <f>VLOOKUP(表1_861218222426728894100[[#This Row],[区服]],$P$143:$Q$190,2,FALSE)</f>
        <v>45</v>
      </c>
      <c r="C56" s="308" t="s">
        <v>231</v>
      </c>
      <c r="D56" s="216" t="str">
        <f>表1_861218222426728894100[[#This Row],[目标国家]]</f>
        <v>蜀</v>
      </c>
      <c r="E56" s="217">
        <f>(VLOOKUP(表1_861218222426728894100[[#This Row],[目标区服]],$R$143:$S$169,2,FALSE)-表1_861218222426728894100[[#This Row],[开服天数]])*配置!$B$1</f>
        <v>1000</v>
      </c>
      <c r="F56" s="217">
        <f>表1_861218222426728894100[[#This Row],[补偿Coin]]*(表1_861218222426728894100[[#This Row],[活跃高战玩家数]]+表1_861218222426728894100[[#This Row],[活跃中坚玩家数]])</f>
        <v>10000</v>
      </c>
      <c r="G56" s="217">
        <f>(VLOOKUP(表1_861218222426728894100[[#This Row],[目标区服]],$R$143:$S$174,2,FALSE)-表1_861218222426728894100[[#This Row],[开服天数]])*配置!$B$2</f>
        <v>10</v>
      </c>
      <c r="H56" s="216" t="s">
        <v>25</v>
      </c>
      <c r="I56" s="216">
        <f>IF(表1_861218222426728894100[[#This Row],[原国家]]="魏",0,IF(表1_861218222426728894100[[#This Row],[原国家]]="蜀",1,2))</f>
        <v>0</v>
      </c>
      <c r="J56" s="217">
        <v>0</v>
      </c>
      <c r="K56" s="217">
        <v>69</v>
      </c>
      <c r="L56" s="217">
        <v>1</v>
      </c>
      <c r="M56" s="217">
        <v>9</v>
      </c>
      <c r="N56" s="217">
        <v>47612</v>
      </c>
      <c r="O56" s="217">
        <v>1724393</v>
      </c>
      <c r="P56" s="334">
        <v>6020144</v>
      </c>
      <c r="Q56" s="31" t="s">
        <v>26</v>
      </c>
      <c r="R56" s="216">
        <f>IF(表1_861218222426728894100[[#This Row],[目标国家]]="魏",0,IF(表1_861218222426728894100[[#This Row],[目标国家]]="蜀",1,2))</f>
        <v>1</v>
      </c>
      <c r="S56" s="217">
        <v>19150</v>
      </c>
      <c r="T56" s="217">
        <v>0</v>
      </c>
      <c r="U56" s="217">
        <v>81022</v>
      </c>
      <c r="V56" s="217">
        <v>3869</v>
      </c>
      <c r="W56" s="428">
        <v>534466</v>
      </c>
      <c r="X56" s="249" t="str">
        <f>"{"&amp;"'coin':"&amp;表1_861218222426728894100[[#This Row],[补偿Coin]]&amp;",'"&amp;配置!$A$2&amp;"':"&amp;表1_861218222426728894100[[#This Row],[补偿辎重]]&amp;"},"</f>
        <v>{'coin':1000,'item036':10},</v>
      </c>
      <c r="Y56" s="251" t="str">
        <f>"      '"&amp;表1_861218222426728894100[[#This Row],[区服]]&amp;"':{"</f>
        <v>      '5194':{</v>
      </c>
    </row>
    <row r="57" customHeight="1" spans="1:25">
      <c r="A57" s="214">
        <v>5194</v>
      </c>
      <c r="B57" s="214">
        <f>VLOOKUP(表1_861218222426728894100[[#This Row],[区服]],$P$143:$Q$190,2,FALSE)</f>
        <v>45</v>
      </c>
      <c r="C57" s="308" t="s">
        <v>231</v>
      </c>
      <c r="D57" s="216" t="str">
        <f>表1_861218222426728894100[[#This Row],[目标国家]]</f>
        <v>魏</v>
      </c>
      <c r="E57" s="217">
        <f>(VLOOKUP(表1_861218222426728894100[[#This Row],[目标区服]],$R$143:$S$169,2,FALSE)-表1_861218222426728894100[[#This Row],[开服天数]])*配置!$B$1</f>
        <v>1000</v>
      </c>
      <c r="F57" s="217">
        <f>表1_861218222426728894100[[#This Row],[补偿Coin]]*(表1_861218222426728894100[[#This Row],[活跃高战玩家数]]+表1_861218222426728894100[[#This Row],[活跃中坚玩家数]])</f>
        <v>19000</v>
      </c>
      <c r="G57" s="217">
        <f>(VLOOKUP(表1_861218222426728894100[[#This Row],[目标区服]],$R$143:$S$174,2,FALSE)-表1_861218222426728894100[[#This Row],[开服天数]])*配置!$B$2</f>
        <v>10</v>
      </c>
      <c r="H57" s="216" t="s">
        <v>26</v>
      </c>
      <c r="I57" s="216">
        <f>IF(表1_861218222426728894100[[#This Row],[原国家]]="魏",0,IF(表1_861218222426728894100[[#This Row],[原国家]]="蜀",1,2))</f>
        <v>1</v>
      </c>
      <c r="J57" s="217">
        <v>6</v>
      </c>
      <c r="K57" s="217">
        <v>224</v>
      </c>
      <c r="L57" s="217">
        <v>7</v>
      </c>
      <c r="M57" s="217">
        <v>12</v>
      </c>
      <c r="N57" s="217">
        <v>134768</v>
      </c>
      <c r="O57" s="217">
        <v>3318016</v>
      </c>
      <c r="P57" s="334">
        <v>21106291</v>
      </c>
      <c r="Q57" s="31" t="s">
        <v>25</v>
      </c>
      <c r="R57" s="216">
        <f>IF(表1_861218222426728894100[[#This Row],[目标国家]]="魏",0,IF(表1_861218222426728894100[[#This Row],[目标国家]]="蜀",1,2))</f>
        <v>0</v>
      </c>
      <c r="S57" s="217">
        <v>110962</v>
      </c>
      <c r="T57" s="217">
        <v>0</v>
      </c>
      <c r="U57" s="217">
        <v>474286</v>
      </c>
      <c r="V57" s="217">
        <v>12508</v>
      </c>
      <c r="W57" s="384">
        <v>994012</v>
      </c>
      <c r="X57" s="249" t="str">
        <f>"{"&amp;"'coin':"&amp;表1_861218222426728894100[[#This Row],[补偿Coin]]&amp;",'"&amp;配置!$A$2&amp;"':"&amp;表1_861218222426728894100[[#This Row],[补偿辎重]]&amp;"},"</f>
        <v>{'coin':1000,'item036':10},</v>
      </c>
      <c r="Y57" s="251" t="str">
        <f>"            'to_zone':'"&amp;表1_861218222426728894100[[#This Row],[目标区服]]&amp;"',
            'reward':"&amp;表1_861218222426728894100[[#This Row],[辅助导出]]&amp;"
            'country':["&amp;R56&amp;","&amp;R57&amp;","&amp;R58&amp;"],"</f>
        <v>            'to_zone':'h1_587',
            'reward':{'coin':1000,'item036':10},
            'country':[1,0,2],</v>
      </c>
    </row>
    <row r="58" customHeight="1" spans="1:25">
      <c r="A58" s="214">
        <v>5194</v>
      </c>
      <c r="B58" s="214">
        <f>VLOOKUP(表1_861218222426728894100[[#This Row],[区服]],$P$143:$Q$190,2,FALSE)</f>
        <v>45</v>
      </c>
      <c r="C58" s="308" t="s">
        <v>231</v>
      </c>
      <c r="D58" s="216" t="str">
        <f>表1_861218222426728894100[[#This Row],[目标国家]]</f>
        <v>吴</v>
      </c>
      <c r="E58" s="217">
        <f>(VLOOKUP(表1_861218222426728894100[[#This Row],[目标区服]],$R$143:$S$169,2,FALSE)-表1_861218222426728894100[[#This Row],[开服天数]])*配置!$B$1</f>
        <v>1000</v>
      </c>
      <c r="F58" s="217">
        <f>表1_861218222426728894100[[#This Row],[补偿Coin]]*(表1_861218222426728894100[[#This Row],[活跃高战玩家数]]+表1_861218222426728894100[[#This Row],[活跃中坚玩家数]])</f>
        <v>13000</v>
      </c>
      <c r="G58" s="217">
        <f>(VLOOKUP(表1_861218222426728894100[[#This Row],[目标区服]],$R$143:$S$174,2,FALSE)-表1_861218222426728894100[[#This Row],[开服天数]])*配置!$B$2</f>
        <v>10</v>
      </c>
      <c r="H58" s="216" t="s">
        <v>27</v>
      </c>
      <c r="I58" s="216">
        <f>IF(表1_861218222426728894100[[#This Row],[原国家]]="魏",0,IF(表1_861218222426728894100[[#This Row],[原国家]]="蜀",1,2))</f>
        <v>2</v>
      </c>
      <c r="J58" s="217">
        <v>3</v>
      </c>
      <c r="K58" s="217">
        <v>102</v>
      </c>
      <c r="L58" s="217">
        <v>2</v>
      </c>
      <c r="M58" s="217">
        <v>11</v>
      </c>
      <c r="N58" s="217">
        <v>68128</v>
      </c>
      <c r="O58" s="217">
        <v>1861365</v>
      </c>
      <c r="P58" s="334">
        <v>7903188</v>
      </c>
      <c r="Q58" s="31" t="s">
        <v>27</v>
      </c>
      <c r="R58" s="216">
        <f>IF(表1_861218222426728894100[[#This Row],[目标国家]]="魏",0,IF(表1_861218222426728894100[[#This Row],[目标国家]]="蜀",1,2))</f>
        <v>2</v>
      </c>
      <c r="S58" s="217">
        <v>14718</v>
      </c>
      <c r="T58" s="217">
        <v>0</v>
      </c>
      <c r="U58" s="217">
        <v>121807</v>
      </c>
      <c r="V58" s="217">
        <v>4814</v>
      </c>
      <c r="W58" s="428">
        <v>582343</v>
      </c>
      <c r="X58" s="249" t="str">
        <f>"{"&amp;"'coin':"&amp;表1_861218222426728894100[[#This Row],[补偿Coin]]&amp;",'"&amp;配置!$A$2&amp;"':"&amp;表1_861218222426728894100[[#This Row],[补偿辎重]]&amp;"},"</f>
        <v>{'coin':1000,'item036':10},</v>
      </c>
      <c r="Y58" s="251" t="str">
        <f t="shared" si="4"/>
        <v>      },</v>
      </c>
    </row>
    <row r="59" customHeight="1" spans="1:25">
      <c r="A59" s="367">
        <v>5195</v>
      </c>
      <c r="B59" s="214">
        <f>VLOOKUP(表1_861218222426728894100[[#This Row],[区服]],$P$143:$Q$190,2,FALSE)</f>
        <v>45</v>
      </c>
      <c r="C59" s="308" t="s">
        <v>231</v>
      </c>
      <c r="D59" s="216" t="str">
        <f>表1_861218222426728894100[[#This Row],[目标国家]]</f>
        <v>魏</v>
      </c>
      <c r="E59" s="413">
        <f>(VLOOKUP(表1_861218222426728894100[[#This Row],[目标区服]],$R$143:$S$169,2,FALSE)-表1_861218222426728894100[[#This Row],[开服天数]])*配置!$B$1</f>
        <v>1000</v>
      </c>
      <c r="F59" s="217">
        <f>表1_861218222426728894100[[#This Row],[补偿Coin]]*(表1_861218222426728894100[[#This Row],[活跃高战玩家数]]+表1_861218222426728894100[[#This Row],[活跃中坚玩家数]])</f>
        <v>15000</v>
      </c>
      <c r="G59" s="368">
        <f>(VLOOKUP(表1_861218222426728894100[[#This Row],[目标区服]],$R$143:$S$174,2,FALSE)-表1_861218222426728894100[[#This Row],[开服天数]])*配置!$B$2</f>
        <v>10</v>
      </c>
      <c r="H59" s="216" t="s">
        <v>25</v>
      </c>
      <c r="I59" s="377">
        <f>IF(表1_861218222426728894100[[#This Row],[原国家]]="魏",0,IF(表1_861218222426728894100[[#This Row],[原国家]]="蜀",1,2))</f>
        <v>0</v>
      </c>
      <c r="J59" s="217">
        <v>5</v>
      </c>
      <c r="K59" s="217">
        <v>206</v>
      </c>
      <c r="L59" s="217">
        <v>5</v>
      </c>
      <c r="M59" s="217">
        <v>10</v>
      </c>
      <c r="N59" s="217">
        <v>98023</v>
      </c>
      <c r="O59" s="378">
        <v>2175490</v>
      </c>
      <c r="P59" s="334">
        <v>10889886</v>
      </c>
      <c r="Q59" s="31" t="s">
        <v>25</v>
      </c>
      <c r="R59" s="216">
        <f>IF(表1_861218222426728894100[[#This Row],[目标国家]]="魏",0,IF(表1_861218222426728894100[[#This Row],[目标国家]]="蜀",1,2))</f>
        <v>0</v>
      </c>
      <c r="S59" s="217">
        <v>10152</v>
      </c>
      <c r="T59" s="217">
        <v>0</v>
      </c>
      <c r="U59" s="217">
        <v>553372</v>
      </c>
      <c r="V59" s="217">
        <v>6895</v>
      </c>
      <c r="W59" s="429">
        <v>615805</v>
      </c>
      <c r="X59" s="382" t="str">
        <f>"{"&amp;"'coin':"&amp;表1_861218222426728894100[[#This Row],[补偿Coin]]&amp;",'"&amp;配置!$A$2&amp;"':"&amp;表1_861218222426728894100[[#This Row],[补偿辎重]]&amp;"},"</f>
        <v>{'coin':1000,'item036':10},</v>
      </c>
      <c r="Y59" s="251" t="str">
        <f>"      '"&amp;表1_861218222426728894100[[#This Row],[区服]]&amp;"':{"</f>
        <v>      '5195':{</v>
      </c>
    </row>
    <row r="60" customHeight="1" spans="1:25">
      <c r="A60" s="367">
        <v>5195</v>
      </c>
      <c r="B60" s="214">
        <f>VLOOKUP(表1_861218222426728894100[[#This Row],[区服]],$P$143:$Q$190,2,FALSE)</f>
        <v>45</v>
      </c>
      <c r="C60" s="308" t="s">
        <v>231</v>
      </c>
      <c r="D60" s="216" t="str">
        <f>表1_861218222426728894100[[#This Row],[目标国家]]</f>
        <v>蜀</v>
      </c>
      <c r="E60" s="413">
        <f>(VLOOKUP(表1_861218222426728894100[[#This Row],[目标区服]],$R$143:$S$169,2,FALSE)-表1_861218222426728894100[[#This Row],[开服天数]])*配置!$B$1</f>
        <v>1000</v>
      </c>
      <c r="F60" s="217">
        <f>表1_861218222426728894100[[#This Row],[补偿Coin]]*(表1_861218222426728894100[[#This Row],[活跃高战玩家数]]+表1_861218222426728894100[[#This Row],[活跃中坚玩家数]])</f>
        <v>8000</v>
      </c>
      <c r="G60" s="368">
        <f>(VLOOKUP(表1_861218222426728894100[[#This Row],[目标区服]],$R$143:$S$174,2,FALSE)-表1_861218222426728894100[[#This Row],[开服天数]])*配置!$B$2</f>
        <v>10</v>
      </c>
      <c r="H60" s="216" t="s">
        <v>26</v>
      </c>
      <c r="I60" s="377">
        <f>IF(表1_861218222426728894100[[#This Row],[原国家]]="魏",0,IF(表1_861218222426728894100[[#This Row],[原国家]]="蜀",1,2))</f>
        <v>1</v>
      </c>
      <c r="J60" s="217">
        <v>1</v>
      </c>
      <c r="K60" s="217">
        <v>88</v>
      </c>
      <c r="L60" s="217">
        <v>3</v>
      </c>
      <c r="M60" s="217">
        <v>5</v>
      </c>
      <c r="N60" s="217">
        <v>44687</v>
      </c>
      <c r="O60" s="378">
        <v>1273534</v>
      </c>
      <c r="P60" s="334">
        <v>4283668</v>
      </c>
      <c r="Q60" s="31" t="s">
        <v>26</v>
      </c>
      <c r="R60" s="216">
        <f>IF(表1_861218222426728894100[[#This Row],[目标国家]]="魏",0,IF(表1_861218222426728894100[[#This Row],[目标国家]]="蜀",1,2))</f>
        <v>1</v>
      </c>
      <c r="S60" s="217">
        <v>5768</v>
      </c>
      <c r="T60" s="217">
        <v>0</v>
      </c>
      <c r="U60" s="217">
        <v>140532</v>
      </c>
      <c r="V60" s="217">
        <v>3148</v>
      </c>
      <c r="W60" s="429">
        <v>516375</v>
      </c>
      <c r="X60" s="382" t="str">
        <f>"{"&amp;"'coin':"&amp;表1_861218222426728894100[[#This Row],[补偿Coin]]&amp;",'"&amp;配置!$A$2&amp;"':"&amp;表1_861218222426728894100[[#This Row],[补偿辎重]]&amp;"},"</f>
        <v>{'coin':1000,'item036':10},</v>
      </c>
      <c r="Y60" s="251" t="str">
        <f>"            'to_zone':'"&amp;表1_861218222426728894100[[#This Row],[目标区服]]&amp;"',
            'reward':"&amp;表1_861218222426728894100[[#This Row],[辅助导出]]&amp;"
            'country':["&amp;R59&amp;","&amp;R60&amp;","&amp;R61&amp;"],"</f>
        <v>            'to_zone':'h1_587',
            'reward':{'coin':1000,'item036':10},
            'country':[0,1,2],</v>
      </c>
    </row>
    <row r="61" customHeight="1" spans="1:25">
      <c r="A61" s="367">
        <v>5195</v>
      </c>
      <c r="B61" s="214">
        <f>VLOOKUP(表1_861218222426728894100[[#This Row],[区服]],$P$143:$Q$190,2,FALSE)</f>
        <v>45</v>
      </c>
      <c r="C61" s="308" t="s">
        <v>231</v>
      </c>
      <c r="D61" s="216" t="str">
        <f>表1_861218222426728894100[[#This Row],[目标国家]]</f>
        <v>吴</v>
      </c>
      <c r="E61" s="413">
        <f>(VLOOKUP(表1_861218222426728894100[[#This Row],[目标区服]],$R$143:$S$169,2,FALSE)-表1_861218222426728894100[[#This Row],[开服天数]])*配置!$B$1</f>
        <v>1000</v>
      </c>
      <c r="F61" s="217">
        <f>表1_861218222426728894100[[#This Row],[补偿Coin]]*(表1_861218222426728894100[[#This Row],[活跃高战玩家数]]+表1_861218222426728894100[[#This Row],[活跃中坚玩家数]])</f>
        <v>12000</v>
      </c>
      <c r="G61" s="368">
        <f>(VLOOKUP(表1_861218222426728894100[[#This Row],[目标区服]],$R$143:$S$174,2,FALSE)-表1_861218222426728894100[[#This Row],[开服天数]])*配置!$B$2</f>
        <v>10</v>
      </c>
      <c r="H61" s="216" t="s">
        <v>27</v>
      </c>
      <c r="I61" s="377">
        <f>IF(表1_861218222426728894100[[#This Row],[原国家]]="魏",0,IF(表1_861218222426728894100[[#This Row],[原国家]]="蜀",1,2))</f>
        <v>2</v>
      </c>
      <c r="J61" s="217">
        <v>3</v>
      </c>
      <c r="K61" s="217">
        <v>101</v>
      </c>
      <c r="L61" s="217">
        <v>2</v>
      </c>
      <c r="M61" s="217">
        <v>10</v>
      </c>
      <c r="N61" s="217">
        <v>77646</v>
      </c>
      <c r="O61" s="378">
        <v>1420190</v>
      </c>
      <c r="P61" s="334">
        <v>7306890</v>
      </c>
      <c r="Q61" s="31" t="s">
        <v>27</v>
      </c>
      <c r="R61" s="216">
        <f>IF(表1_861218222426728894100[[#This Row],[目标国家]]="魏",0,IF(表1_861218222426728894100[[#This Row],[目标国家]]="蜀",1,2))</f>
        <v>2</v>
      </c>
      <c r="S61" s="217">
        <v>9336</v>
      </c>
      <c r="T61" s="217">
        <v>0</v>
      </c>
      <c r="U61" s="217">
        <v>38556</v>
      </c>
      <c r="V61" s="217">
        <v>4148</v>
      </c>
      <c r="W61" s="429">
        <v>403601</v>
      </c>
      <c r="X61" s="382" t="str">
        <f>"{"&amp;"'coin':"&amp;表1_861218222426728894100[[#This Row],[补偿Coin]]&amp;",'"&amp;配置!$A$2&amp;"':"&amp;表1_861218222426728894100[[#This Row],[补偿辎重]]&amp;"},"</f>
        <v>{'coin':1000,'item036':10},</v>
      </c>
      <c r="Y61" s="251" t="str">
        <f t="shared" si="5"/>
        <v>      },</v>
      </c>
    </row>
    <row r="62" customHeight="1" spans="1:25">
      <c r="A62" s="367">
        <v>5196</v>
      </c>
      <c r="B62" s="214">
        <f>VLOOKUP(表1_861218222426728894100[[#This Row],[区服]],$P$143:$Q$190,2,FALSE)</f>
        <v>45</v>
      </c>
      <c r="C62" s="308" t="s">
        <v>231</v>
      </c>
      <c r="D62" s="216" t="str">
        <f>表1_861218222426728894100[[#This Row],[目标国家]]</f>
        <v>魏</v>
      </c>
      <c r="E62" s="413">
        <f>(VLOOKUP(表1_861218222426728894100[[#This Row],[目标区服]],$R$143:$S$169,2,FALSE)-表1_861218222426728894100[[#This Row],[开服天数]])*配置!$B$1</f>
        <v>1000</v>
      </c>
      <c r="F62" s="217">
        <f>表1_861218222426728894100[[#This Row],[补偿Coin]]*(表1_861218222426728894100[[#This Row],[活跃高战玩家数]]+表1_861218222426728894100[[#This Row],[活跃中坚玩家数]])</f>
        <v>16000</v>
      </c>
      <c r="G62" s="368">
        <f>(VLOOKUP(表1_861218222426728894100[[#This Row],[目标区服]],$R$143:$S$174,2,FALSE)-表1_861218222426728894100[[#This Row],[开服天数]])*配置!$B$2</f>
        <v>10</v>
      </c>
      <c r="H62" s="216" t="s">
        <v>25</v>
      </c>
      <c r="I62" s="377">
        <f>IF(表1_861218222426728894100[[#This Row],[原国家]]="魏",0,IF(表1_861218222426728894100[[#This Row],[原国家]]="蜀",1,2))</f>
        <v>0</v>
      </c>
      <c r="J62" s="217">
        <v>3</v>
      </c>
      <c r="K62" s="217">
        <v>91</v>
      </c>
      <c r="L62" s="217">
        <v>1</v>
      </c>
      <c r="M62" s="217">
        <v>15</v>
      </c>
      <c r="N62" s="217">
        <v>81203</v>
      </c>
      <c r="O62" s="378">
        <v>1905869</v>
      </c>
      <c r="P62" s="334">
        <v>12687419</v>
      </c>
      <c r="Q62" s="31" t="s">
        <v>25</v>
      </c>
      <c r="R62" s="216">
        <f>IF(表1_861218222426728894100[[#This Row],[目标国家]]="魏",0,IF(表1_861218222426728894100[[#This Row],[目标国家]]="蜀",1,2))</f>
        <v>0</v>
      </c>
      <c r="S62" s="217">
        <v>30944</v>
      </c>
      <c r="T62" s="217">
        <v>0</v>
      </c>
      <c r="U62" s="217">
        <v>138662</v>
      </c>
      <c r="V62" s="217">
        <v>5788</v>
      </c>
      <c r="W62" s="429">
        <v>654235</v>
      </c>
      <c r="X62" s="382" t="str">
        <f>"{"&amp;"'coin':"&amp;表1_861218222426728894100[[#This Row],[补偿Coin]]&amp;",'"&amp;配置!$A$2&amp;"':"&amp;表1_861218222426728894100[[#This Row],[补偿辎重]]&amp;"},"</f>
        <v>{'coin':1000,'item036':10},</v>
      </c>
      <c r="Y62" s="251" t="str">
        <f>"      '"&amp;表1_861218222426728894100[[#This Row],[区服]]&amp;"':{"</f>
        <v>      '5196':{</v>
      </c>
    </row>
    <row r="63" customHeight="1" spans="1:25">
      <c r="A63" s="367">
        <v>5196</v>
      </c>
      <c r="B63" s="214">
        <f>VLOOKUP(表1_861218222426728894100[[#This Row],[区服]],$P$143:$Q$190,2,FALSE)</f>
        <v>45</v>
      </c>
      <c r="C63" s="308" t="s">
        <v>231</v>
      </c>
      <c r="D63" s="216" t="str">
        <f>表1_861218222426728894100[[#This Row],[目标国家]]</f>
        <v>蜀</v>
      </c>
      <c r="E63" s="413">
        <f>(VLOOKUP(表1_861218222426728894100[[#This Row],[目标区服]],$R$143:$S$169,2,FALSE)-表1_861218222426728894100[[#This Row],[开服天数]])*配置!$B$1</f>
        <v>1000</v>
      </c>
      <c r="F63" s="217">
        <f>表1_861218222426728894100[[#This Row],[补偿Coin]]*(表1_861218222426728894100[[#This Row],[活跃高战玩家数]]+表1_861218222426728894100[[#This Row],[活跃中坚玩家数]])</f>
        <v>13000</v>
      </c>
      <c r="G63" s="368">
        <f>(VLOOKUP(表1_861218222426728894100[[#This Row],[目标区服]],$R$143:$S$174,2,FALSE)-表1_861218222426728894100[[#This Row],[开服天数]])*配置!$B$2</f>
        <v>10</v>
      </c>
      <c r="H63" s="216" t="s">
        <v>26</v>
      </c>
      <c r="I63" s="377">
        <f>IF(表1_861218222426728894100[[#This Row],[原国家]]="魏",0,IF(表1_861218222426728894100[[#This Row],[原国家]]="蜀",1,2))</f>
        <v>1</v>
      </c>
      <c r="J63" s="217">
        <v>4</v>
      </c>
      <c r="K63" s="217">
        <v>185</v>
      </c>
      <c r="L63" s="217">
        <v>2</v>
      </c>
      <c r="M63" s="217">
        <v>11</v>
      </c>
      <c r="N63" s="217">
        <v>58779</v>
      </c>
      <c r="O63" s="378">
        <v>2592204</v>
      </c>
      <c r="P63" s="334">
        <v>10820716</v>
      </c>
      <c r="Q63" s="31" t="s">
        <v>26</v>
      </c>
      <c r="R63" s="216">
        <f>IF(表1_861218222426728894100[[#This Row],[目标国家]]="魏",0,IF(表1_861218222426728894100[[#This Row],[目标国家]]="蜀",1,2))</f>
        <v>1</v>
      </c>
      <c r="S63" s="217">
        <v>51514</v>
      </c>
      <c r="T63" s="217">
        <v>0</v>
      </c>
      <c r="U63" s="217">
        <v>159222</v>
      </c>
      <c r="V63" s="217">
        <v>7843</v>
      </c>
      <c r="W63" s="435">
        <v>1042309</v>
      </c>
      <c r="X63" s="382" t="str">
        <f>"{"&amp;"'coin':"&amp;表1_861218222426728894100[[#This Row],[补偿Coin]]&amp;",'"&amp;配置!$A$2&amp;"':"&amp;表1_861218222426728894100[[#This Row],[补偿辎重]]&amp;"},"</f>
        <v>{'coin':1000,'item036':10},</v>
      </c>
      <c r="Y63" s="251" t="str">
        <f>"            'to_zone':'"&amp;表1_861218222426728894100[[#This Row],[目标区服]]&amp;"',
            'reward':"&amp;表1_861218222426728894100[[#This Row],[辅助导出]]&amp;"
            'country':["&amp;R62&amp;","&amp;R63&amp;","&amp;R64&amp;"],"</f>
        <v>            'to_zone':'h1_587',
            'reward':{'coin':1000,'item036':10},
            'country':[0,1,2],</v>
      </c>
    </row>
    <row r="64" customHeight="1" spans="1:25">
      <c r="A64" s="367">
        <v>5196</v>
      </c>
      <c r="B64" s="214">
        <f>VLOOKUP(表1_861218222426728894100[[#This Row],[区服]],$P$143:$Q$190,2,FALSE)</f>
        <v>45</v>
      </c>
      <c r="C64" s="308" t="s">
        <v>231</v>
      </c>
      <c r="D64" s="216" t="str">
        <f>表1_861218222426728894100[[#This Row],[目标国家]]</f>
        <v>吴</v>
      </c>
      <c r="E64" s="413">
        <f>(VLOOKUP(表1_861218222426728894100[[#This Row],[目标区服]],$R$143:$S$169,2,FALSE)-表1_861218222426728894100[[#This Row],[开服天数]])*配置!$B$1</f>
        <v>1000</v>
      </c>
      <c r="F64" s="217">
        <f>表1_861218222426728894100[[#This Row],[补偿Coin]]*(表1_861218222426728894100[[#This Row],[活跃高战玩家数]]+表1_861218222426728894100[[#This Row],[活跃中坚玩家数]])</f>
        <v>19000</v>
      </c>
      <c r="G64" s="368">
        <f>(VLOOKUP(表1_861218222426728894100[[#This Row],[目标区服]],$R$143:$S$174,2,FALSE)-表1_861218222426728894100[[#This Row],[开服天数]])*配置!$B$2</f>
        <v>10</v>
      </c>
      <c r="H64" s="216" t="s">
        <v>27</v>
      </c>
      <c r="I64" s="377">
        <f>IF(表1_861218222426728894100[[#This Row],[原国家]]="魏",0,IF(表1_861218222426728894100[[#This Row],[原国家]]="蜀",1,2))</f>
        <v>2</v>
      </c>
      <c r="J64" s="217">
        <v>2</v>
      </c>
      <c r="K64" s="217">
        <v>119</v>
      </c>
      <c r="L64" s="217">
        <v>6</v>
      </c>
      <c r="M64" s="217">
        <v>13</v>
      </c>
      <c r="N64" s="217">
        <v>118490</v>
      </c>
      <c r="O64" s="378">
        <v>3174352</v>
      </c>
      <c r="P64" s="334">
        <v>20198816</v>
      </c>
      <c r="Q64" s="31" t="s">
        <v>27</v>
      </c>
      <c r="R64" s="216">
        <f>IF(表1_861218222426728894100[[#This Row],[目标国家]]="魏",0,IF(表1_861218222426728894100[[#This Row],[目标国家]]="蜀",1,2))</f>
        <v>2</v>
      </c>
      <c r="S64" s="217">
        <v>74984</v>
      </c>
      <c r="T64" s="217">
        <v>0</v>
      </c>
      <c r="U64" s="217">
        <v>639696</v>
      </c>
      <c r="V64" s="217">
        <v>9746</v>
      </c>
      <c r="W64" s="435">
        <v>908115</v>
      </c>
      <c r="X64" s="382" t="str">
        <f>"{"&amp;"'coin':"&amp;表1_861218222426728894100[[#This Row],[补偿Coin]]&amp;",'"&amp;配置!$A$2&amp;"':"&amp;表1_861218222426728894100[[#This Row],[补偿辎重]]&amp;"},"</f>
        <v>{'coin':1000,'item036':10},</v>
      </c>
      <c r="Y64" s="251" t="str">
        <f t="shared" si="4"/>
        <v>      },</v>
      </c>
    </row>
    <row r="65" customHeight="1" spans="1:25">
      <c r="A65" s="367">
        <v>5197</v>
      </c>
      <c r="B65" s="214">
        <f>VLOOKUP(表1_861218222426728894100[[#This Row],[区服]],$P$143:$Q$190,2,FALSE)</f>
        <v>45</v>
      </c>
      <c r="C65" s="308" t="s">
        <v>231</v>
      </c>
      <c r="D65" s="216" t="str">
        <f>表1_861218222426728894100[[#This Row],[目标国家]]</f>
        <v>蜀</v>
      </c>
      <c r="E65" s="413">
        <f>(VLOOKUP(表1_861218222426728894100[[#This Row],[目标区服]],$R$143:$S$169,2,FALSE)-表1_861218222426728894100[[#This Row],[开服天数]])*配置!$B$1</f>
        <v>1000</v>
      </c>
      <c r="F65" s="217">
        <f>表1_861218222426728894100[[#This Row],[补偿Coin]]*(表1_861218222426728894100[[#This Row],[活跃高战玩家数]]+表1_861218222426728894100[[#This Row],[活跃中坚玩家数]])</f>
        <v>11000</v>
      </c>
      <c r="G65" s="368">
        <f>(VLOOKUP(表1_861218222426728894100[[#This Row],[目标区服]],$R$143:$S$174,2,FALSE)-表1_861218222426728894100[[#This Row],[开服天数]])*配置!$B$2</f>
        <v>10</v>
      </c>
      <c r="H65" s="216" t="s">
        <v>25</v>
      </c>
      <c r="I65" s="377">
        <f>IF(表1_861218222426728894100[[#This Row],[原国家]]="魏",0,IF(表1_861218222426728894100[[#This Row],[原国家]]="蜀",1,2))</f>
        <v>0</v>
      </c>
      <c r="J65" s="217">
        <v>0</v>
      </c>
      <c r="K65" s="217">
        <v>47</v>
      </c>
      <c r="L65" s="217">
        <v>0</v>
      </c>
      <c r="M65" s="217">
        <v>11</v>
      </c>
      <c r="N65" s="217">
        <v>26819</v>
      </c>
      <c r="O65" s="378">
        <v>720739</v>
      </c>
      <c r="P65" s="334">
        <v>4235373</v>
      </c>
      <c r="Q65" s="31" t="s">
        <v>26</v>
      </c>
      <c r="R65" s="216">
        <f>IF(表1_861218222426728894100[[#This Row],[目标国家]]="魏",0,IF(表1_861218222426728894100[[#This Row],[目标国家]]="蜀",1,2))</f>
        <v>1</v>
      </c>
      <c r="S65" s="217">
        <v>2454</v>
      </c>
      <c r="T65" s="217">
        <v>0</v>
      </c>
      <c r="U65" s="217">
        <v>56301</v>
      </c>
      <c r="V65" s="217">
        <v>1850</v>
      </c>
      <c r="W65" s="429">
        <v>203084</v>
      </c>
      <c r="X65" s="382" t="str">
        <f>"{"&amp;"'coin':"&amp;表1_861218222426728894100[[#This Row],[补偿Coin]]&amp;",'"&amp;配置!$A$2&amp;"':"&amp;表1_861218222426728894100[[#This Row],[补偿辎重]]&amp;"},"</f>
        <v>{'coin':1000,'item036':10},</v>
      </c>
      <c r="Y65" s="251" t="str">
        <f>"      '"&amp;表1_861218222426728894100[[#This Row],[区服]]&amp;"':{"</f>
        <v>      '5197':{</v>
      </c>
    </row>
    <row r="66" customHeight="1" spans="1:25">
      <c r="A66" s="367">
        <v>5197</v>
      </c>
      <c r="B66" s="214">
        <f>VLOOKUP(表1_861218222426728894100[[#This Row],[区服]],$P$143:$Q$190,2,FALSE)</f>
        <v>45</v>
      </c>
      <c r="C66" s="308" t="s">
        <v>231</v>
      </c>
      <c r="D66" s="216" t="str">
        <f>表1_861218222426728894100[[#This Row],[目标国家]]</f>
        <v>蜀</v>
      </c>
      <c r="E66" s="413">
        <f>(VLOOKUP(表1_861218222426728894100[[#This Row],[目标区服]],$R$143:$S$169,2,FALSE)-表1_861218222426728894100[[#This Row],[开服天数]])*配置!$B$1</f>
        <v>1000</v>
      </c>
      <c r="F66" s="217">
        <f>表1_861218222426728894100[[#This Row],[补偿Coin]]*(表1_861218222426728894100[[#This Row],[活跃高战玩家数]]+表1_861218222426728894100[[#This Row],[活跃中坚玩家数]])</f>
        <v>26000</v>
      </c>
      <c r="G66" s="368">
        <f>(VLOOKUP(表1_861218222426728894100[[#This Row],[目标区服]],$R$143:$S$174,2,FALSE)-表1_861218222426728894100[[#This Row],[开服天数]])*配置!$B$2</f>
        <v>10</v>
      </c>
      <c r="H66" s="216" t="s">
        <v>26</v>
      </c>
      <c r="I66" s="377">
        <f>IF(表1_861218222426728894100[[#This Row],[原国家]]="魏",0,IF(表1_861218222426728894100[[#This Row],[原国家]]="蜀",1,2))</f>
        <v>1</v>
      </c>
      <c r="J66" s="217">
        <v>7</v>
      </c>
      <c r="K66" s="217">
        <v>260</v>
      </c>
      <c r="L66" s="217">
        <v>5</v>
      </c>
      <c r="M66" s="217">
        <v>21</v>
      </c>
      <c r="N66" s="217">
        <v>140065</v>
      </c>
      <c r="O66" s="378">
        <v>2031891</v>
      </c>
      <c r="P66" s="334">
        <v>19465148</v>
      </c>
      <c r="Q66" s="31" t="s">
        <v>26</v>
      </c>
      <c r="R66" s="216">
        <f>IF(表1_861218222426728894100[[#This Row],[目标国家]]="魏",0,IF(表1_861218222426728894100[[#This Row],[目标国家]]="蜀",1,2))</f>
        <v>1</v>
      </c>
      <c r="S66" s="217">
        <v>48124</v>
      </c>
      <c r="T66" s="217">
        <v>0</v>
      </c>
      <c r="U66" s="217">
        <v>379274</v>
      </c>
      <c r="V66" s="217">
        <v>9612</v>
      </c>
      <c r="W66" s="429">
        <v>619893</v>
      </c>
      <c r="X66" s="382" t="str">
        <f>"{"&amp;"'coin':"&amp;表1_861218222426728894100[[#This Row],[补偿Coin]]&amp;",'"&amp;配置!$A$2&amp;"':"&amp;表1_861218222426728894100[[#This Row],[补偿辎重]]&amp;"},"</f>
        <v>{'coin':1000,'item036':10},</v>
      </c>
      <c r="Y66" s="251" t="str">
        <f>"            'to_zone':'"&amp;表1_861218222426728894100[[#This Row],[目标区服]]&amp;"',
            'reward':"&amp;表1_861218222426728894100[[#This Row],[辅助导出]]&amp;"
            'country':["&amp;R65&amp;","&amp;R66&amp;","&amp;R67&amp;"],"</f>
        <v>            'to_zone':'h1_587',
            'reward':{'coin':1000,'item036':10},
            'country':[1,1,2],</v>
      </c>
    </row>
    <row r="67" customHeight="1" spans="1:25">
      <c r="A67" s="367">
        <v>5197</v>
      </c>
      <c r="B67" s="214">
        <f>VLOOKUP(表1_861218222426728894100[[#This Row],[区服]],$P$143:$Q$190,2,FALSE)</f>
        <v>45</v>
      </c>
      <c r="C67" s="308" t="s">
        <v>231</v>
      </c>
      <c r="D67" s="216" t="str">
        <f>表1_861218222426728894100[[#This Row],[目标国家]]</f>
        <v>吴</v>
      </c>
      <c r="E67" s="413">
        <f>(VLOOKUP(表1_861218222426728894100[[#This Row],[目标区服]],$R$143:$S$169,2,FALSE)-表1_861218222426728894100[[#This Row],[开服天数]])*配置!$B$1</f>
        <v>1000</v>
      </c>
      <c r="F67" s="217">
        <f>表1_861218222426728894100[[#This Row],[补偿Coin]]*(表1_861218222426728894100[[#This Row],[活跃高战玩家数]]+表1_861218222426728894100[[#This Row],[活跃中坚玩家数]])</f>
        <v>18000</v>
      </c>
      <c r="G67" s="368">
        <f>(VLOOKUP(表1_861218222426728894100[[#This Row],[目标区服]],$R$143:$S$174,2,FALSE)-表1_861218222426728894100[[#This Row],[开服天数]])*配置!$B$2</f>
        <v>10</v>
      </c>
      <c r="H67" s="216" t="s">
        <v>27</v>
      </c>
      <c r="I67" s="377">
        <f>IF(表1_861218222426728894100[[#This Row],[原国家]]="魏",0,IF(表1_861218222426728894100[[#This Row],[原国家]]="蜀",1,2))</f>
        <v>2</v>
      </c>
      <c r="J67" s="217">
        <v>2</v>
      </c>
      <c r="K67" s="217">
        <v>88</v>
      </c>
      <c r="L67" s="217">
        <v>3</v>
      </c>
      <c r="M67" s="217">
        <v>15</v>
      </c>
      <c r="N67" s="217">
        <v>95314</v>
      </c>
      <c r="O67" s="378">
        <v>1692833</v>
      </c>
      <c r="P67" s="334">
        <v>12762858</v>
      </c>
      <c r="Q67" s="31" t="s">
        <v>27</v>
      </c>
      <c r="R67" s="216">
        <f>IF(表1_861218222426728894100[[#This Row],[目标国家]]="魏",0,IF(表1_861218222426728894100[[#This Row],[目标国家]]="蜀",1,2))</f>
        <v>2</v>
      </c>
      <c r="S67" s="217">
        <v>23420</v>
      </c>
      <c r="T67" s="217">
        <v>0</v>
      </c>
      <c r="U67" s="217">
        <v>225974</v>
      </c>
      <c r="V67" s="217">
        <v>5341</v>
      </c>
      <c r="W67" s="429">
        <v>485750</v>
      </c>
      <c r="X67" s="382" t="str">
        <f>"{"&amp;"'coin':"&amp;表1_861218222426728894100[[#This Row],[补偿Coin]]&amp;",'"&amp;配置!$A$2&amp;"':"&amp;表1_861218222426728894100[[#This Row],[补偿辎重]]&amp;"},"</f>
        <v>{'coin':1000,'item036':10},</v>
      </c>
      <c r="Y67" s="251" t="str">
        <f t="shared" si="5"/>
        <v>      },</v>
      </c>
    </row>
    <row r="68" customHeight="1" spans="1:25">
      <c r="A68" s="314">
        <v>5198</v>
      </c>
      <c r="B68" s="91">
        <f>VLOOKUP(表1_861218222426728894100[[#This Row],[区服]],$P$143:$Q$190,2,FALSE)</f>
        <v>45</v>
      </c>
      <c r="C68" s="177" t="s">
        <v>232</v>
      </c>
      <c r="D68" s="93" t="str">
        <f>表1_861218222426728894100[[#This Row],[目标国家]]</f>
        <v>魏</v>
      </c>
      <c r="E68" s="417">
        <f>(VLOOKUP(表1_861218222426728894100[[#This Row],[目标区服]],$R$143:$S$169,2,FALSE)-表1_861218222426728894100[[#This Row],[开服天数]])*配置!$B$1</f>
        <v>1000</v>
      </c>
      <c r="F68" s="95">
        <f>表1_861218222426728894100[[#This Row],[补偿Coin]]*(表1_861218222426728894100[[#This Row],[活跃高战玩家数]]+表1_861218222426728894100[[#This Row],[活跃中坚玩家数]])</f>
        <v>21000</v>
      </c>
      <c r="G68" s="418">
        <f>(VLOOKUP(表1_861218222426728894100[[#This Row],[目标区服]],$R$143:$S$174,2,FALSE)-表1_861218222426728894100[[#This Row],[开服天数]])*配置!$B$2</f>
        <v>10</v>
      </c>
      <c r="H68" s="93" t="s">
        <v>25</v>
      </c>
      <c r="I68" s="423">
        <f>IF(表1_861218222426728894100[[#This Row],[原国家]]="魏",0,IF(表1_861218222426728894100[[#This Row],[原国家]]="蜀",1,2))</f>
        <v>0</v>
      </c>
      <c r="J68" s="95">
        <v>5</v>
      </c>
      <c r="K68" s="95">
        <v>174</v>
      </c>
      <c r="L68" s="95">
        <v>5</v>
      </c>
      <c r="M68" s="95">
        <v>16</v>
      </c>
      <c r="N68" s="95">
        <v>114868</v>
      </c>
      <c r="O68" s="424">
        <v>2513664</v>
      </c>
      <c r="P68" s="326">
        <v>17642317</v>
      </c>
      <c r="Q68" s="31" t="s">
        <v>25</v>
      </c>
      <c r="R68" s="93">
        <f>IF(表1_861218222426728894100[[#This Row],[目标国家]]="魏",0,IF(表1_861218222426728894100[[#This Row],[目标国家]]="蜀",1,2))</f>
        <v>0</v>
      </c>
      <c r="S68" s="95">
        <v>49636</v>
      </c>
      <c r="T68" s="95">
        <v>0</v>
      </c>
      <c r="U68" s="95">
        <v>215858</v>
      </c>
      <c r="V68" s="95">
        <v>8689</v>
      </c>
      <c r="W68" s="440">
        <v>728340</v>
      </c>
      <c r="X68" s="433" t="str">
        <f>"{"&amp;"'coin':"&amp;表1_861218222426728894100[[#This Row],[补偿Coin]]&amp;",'"&amp;配置!$A$2&amp;"':"&amp;表1_861218222426728894100[[#This Row],[补偿辎重]]&amp;"},"</f>
        <v>{'coin':1000,'item036':10},</v>
      </c>
      <c r="Y68" s="138" t="str">
        <f>"      '"&amp;表1_861218222426728894100[[#This Row],[区服]]&amp;"':{"</f>
        <v>      '5198':{</v>
      </c>
    </row>
    <row r="69" customHeight="1" spans="1:25">
      <c r="A69" s="314">
        <v>5198</v>
      </c>
      <c r="B69" s="91">
        <f>VLOOKUP(表1_861218222426728894100[[#This Row],[区服]],$P$143:$Q$190,2,FALSE)</f>
        <v>45</v>
      </c>
      <c r="C69" s="177" t="s">
        <v>232</v>
      </c>
      <c r="D69" s="93" t="str">
        <f>表1_861218222426728894100[[#This Row],[目标国家]]</f>
        <v>魏</v>
      </c>
      <c r="E69" s="417">
        <f>(VLOOKUP(表1_861218222426728894100[[#This Row],[目标区服]],$R$143:$S$169,2,FALSE)-表1_861218222426728894100[[#This Row],[开服天数]])*配置!$B$1</f>
        <v>1000</v>
      </c>
      <c r="F69" s="95">
        <f>表1_861218222426728894100[[#This Row],[补偿Coin]]*(表1_861218222426728894100[[#This Row],[活跃高战玩家数]]+表1_861218222426728894100[[#This Row],[活跃中坚玩家数]])</f>
        <v>23000</v>
      </c>
      <c r="G69" s="418">
        <f>(VLOOKUP(表1_861218222426728894100[[#This Row],[目标区服]],$R$143:$S$174,2,FALSE)-表1_861218222426728894100[[#This Row],[开服天数]])*配置!$B$2</f>
        <v>10</v>
      </c>
      <c r="H69" s="93" t="s">
        <v>26</v>
      </c>
      <c r="I69" s="423">
        <f>IF(表1_861218222426728894100[[#This Row],[原国家]]="魏",0,IF(表1_861218222426728894100[[#This Row],[原国家]]="蜀",1,2))</f>
        <v>1</v>
      </c>
      <c r="J69" s="95">
        <v>2</v>
      </c>
      <c r="K69" s="95">
        <v>139</v>
      </c>
      <c r="L69" s="95">
        <v>3</v>
      </c>
      <c r="M69" s="95">
        <v>20</v>
      </c>
      <c r="N69" s="95">
        <v>103260</v>
      </c>
      <c r="O69" s="424">
        <v>1942707</v>
      </c>
      <c r="P69" s="326">
        <v>14590906</v>
      </c>
      <c r="Q69" s="31" t="s">
        <v>25</v>
      </c>
      <c r="R69" s="93">
        <f>IF(表1_861218222426728894100[[#This Row],[目标国家]]="魏",0,IF(表1_861218222426728894100[[#This Row],[目标国家]]="蜀",1,2))</f>
        <v>0</v>
      </c>
      <c r="S69" s="95">
        <v>26326</v>
      </c>
      <c r="T69" s="95">
        <v>0</v>
      </c>
      <c r="U69" s="95">
        <v>231696</v>
      </c>
      <c r="V69" s="95">
        <v>6413</v>
      </c>
      <c r="W69" s="432">
        <v>593045</v>
      </c>
      <c r="X69" s="433" t="str">
        <f>"{"&amp;"'coin':"&amp;表1_861218222426728894100[[#This Row],[补偿Coin]]&amp;",'"&amp;配置!$A$2&amp;"':"&amp;表1_861218222426728894100[[#This Row],[补偿辎重]]&amp;"},"</f>
        <v>{'coin':1000,'item036':10},</v>
      </c>
      <c r="Y69" s="138" t="str">
        <f>"            'to_zone':'"&amp;表1_861218222426728894100[[#This Row],[目标区服]]&amp;"',
            'reward':"&amp;表1_861218222426728894100[[#This Row],[辅助导出]]&amp;"
            'country':["&amp;R68&amp;","&amp;R69&amp;","&amp;R70&amp;"],"</f>
        <v>            'to_zone':'h1_588',
            'reward':{'coin':1000,'item036':10},
            'country':[0,0,2],</v>
      </c>
    </row>
    <row r="70" customHeight="1" spans="1:25">
      <c r="A70" s="314">
        <v>5198</v>
      </c>
      <c r="B70" s="91">
        <f>VLOOKUP(表1_861218222426728894100[[#This Row],[区服]],$P$143:$Q$190,2,FALSE)</f>
        <v>45</v>
      </c>
      <c r="C70" s="177" t="s">
        <v>232</v>
      </c>
      <c r="D70" s="93" t="str">
        <f>表1_861218222426728894100[[#This Row],[目标国家]]</f>
        <v>吴</v>
      </c>
      <c r="E70" s="417">
        <f>(VLOOKUP(表1_861218222426728894100[[#This Row],[目标区服]],$R$143:$S$169,2,FALSE)-表1_861218222426728894100[[#This Row],[开服天数]])*配置!$B$1</f>
        <v>1000</v>
      </c>
      <c r="F70" s="95">
        <f>表1_861218222426728894100[[#This Row],[补偿Coin]]*(表1_861218222426728894100[[#This Row],[活跃高战玩家数]]+表1_861218222426728894100[[#This Row],[活跃中坚玩家数]])</f>
        <v>14000</v>
      </c>
      <c r="G70" s="418">
        <f>(VLOOKUP(表1_861218222426728894100[[#This Row],[目标区服]],$R$143:$S$174,2,FALSE)-表1_861218222426728894100[[#This Row],[开服天数]])*配置!$B$2</f>
        <v>10</v>
      </c>
      <c r="H70" s="93" t="s">
        <v>27</v>
      </c>
      <c r="I70" s="423">
        <f>IF(表1_861218222426728894100[[#This Row],[原国家]]="魏",0,IF(表1_861218222426728894100[[#This Row],[原国家]]="蜀",1,2))</f>
        <v>2</v>
      </c>
      <c r="J70" s="95">
        <v>2</v>
      </c>
      <c r="K70" s="95">
        <v>82</v>
      </c>
      <c r="L70" s="95">
        <v>1</v>
      </c>
      <c r="M70" s="95">
        <v>13</v>
      </c>
      <c r="N70" s="95">
        <v>67728</v>
      </c>
      <c r="O70" s="424">
        <v>1486781</v>
      </c>
      <c r="P70" s="326">
        <v>9058728</v>
      </c>
      <c r="Q70" s="31" t="s">
        <v>27</v>
      </c>
      <c r="R70" s="93">
        <f>IF(表1_861218222426728894100[[#This Row],[目标国家]]="魏",0,IF(表1_861218222426728894100[[#This Row],[目标国家]]="蜀",1,2))</f>
        <v>2</v>
      </c>
      <c r="S70" s="95">
        <v>8066</v>
      </c>
      <c r="T70" s="95">
        <v>0</v>
      </c>
      <c r="U70" s="95">
        <v>102834</v>
      </c>
      <c r="V70" s="95">
        <v>4044</v>
      </c>
      <c r="W70" s="432">
        <v>427348</v>
      </c>
      <c r="X70" s="433" t="str">
        <f>"{"&amp;"'coin':"&amp;表1_861218222426728894100[[#This Row],[补偿Coin]]&amp;",'"&amp;配置!$A$2&amp;"':"&amp;表1_861218222426728894100[[#This Row],[补偿辎重]]&amp;"},"</f>
        <v>{'coin':1000,'item036':10},</v>
      </c>
      <c r="Y70" s="138" t="str">
        <f t="shared" si="4"/>
        <v>      },</v>
      </c>
    </row>
    <row r="71" customHeight="1" spans="1:25">
      <c r="A71" s="314">
        <v>5199</v>
      </c>
      <c r="B71" s="91">
        <f>VLOOKUP(表1_861218222426728894100[[#This Row],[区服]],$P$143:$Q$190,2,FALSE)</f>
        <v>44</v>
      </c>
      <c r="C71" s="177" t="s">
        <v>232</v>
      </c>
      <c r="D71" s="93" t="str">
        <f>表1_861218222426728894100[[#This Row],[目标国家]]</f>
        <v>蜀</v>
      </c>
      <c r="E71" s="417">
        <f>(VLOOKUP(表1_861218222426728894100[[#This Row],[目标区服]],$R$143:$S$169,2,FALSE)-表1_861218222426728894100[[#This Row],[开服天数]])*配置!$B$1</f>
        <v>1500</v>
      </c>
      <c r="F71" s="95">
        <f>表1_861218222426728894100[[#This Row],[补偿Coin]]*(表1_861218222426728894100[[#This Row],[活跃高战玩家数]]+表1_861218222426728894100[[#This Row],[活跃中坚玩家数]])</f>
        <v>22500</v>
      </c>
      <c r="G71" s="418">
        <f>(VLOOKUP(表1_861218222426728894100[[#This Row],[目标区服]],$R$143:$S$174,2,FALSE)-表1_861218222426728894100[[#This Row],[开服天数]])*配置!$B$2</f>
        <v>15</v>
      </c>
      <c r="H71" s="93" t="s">
        <v>25</v>
      </c>
      <c r="I71" s="423">
        <f>IF(表1_861218222426728894100[[#This Row],[原国家]]="魏",0,IF(表1_861218222426728894100[[#This Row],[原国家]]="蜀",1,2))</f>
        <v>0</v>
      </c>
      <c r="J71" s="95">
        <v>2</v>
      </c>
      <c r="K71" s="95">
        <v>72</v>
      </c>
      <c r="L71" s="95">
        <v>2</v>
      </c>
      <c r="M71" s="95">
        <v>13</v>
      </c>
      <c r="N71" s="95">
        <v>75512</v>
      </c>
      <c r="O71" s="424">
        <v>1742447</v>
      </c>
      <c r="P71" s="326">
        <v>10144937</v>
      </c>
      <c r="Q71" s="31" t="s">
        <v>26</v>
      </c>
      <c r="R71" s="93">
        <f>IF(表1_861218222426728894100[[#This Row],[目标国家]]="魏",0,IF(表1_861218222426728894100[[#This Row],[目标国家]]="蜀",1,2))</f>
        <v>1</v>
      </c>
      <c r="S71" s="95">
        <v>22570</v>
      </c>
      <c r="T71" s="95">
        <v>0</v>
      </c>
      <c r="U71" s="95">
        <v>180167</v>
      </c>
      <c r="V71" s="95">
        <v>4821</v>
      </c>
      <c r="W71" s="440">
        <v>700659</v>
      </c>
      <c r="X71" s="433" t="str">
        <f>"{"&amp;"'coin':"&amp;表1_861218222426728894100[[#This Row],[补偿Coin]]&amp;",'"&amp;配置!$A$2&amp;"':"&amp;表1_861218222426728894100[[#This Row],[补偿辎重]]&amp;"},"</f>
        <v>{'coin':1500,'item036':15},</v>
      </c>
      <c r="Y71" s="138" t="str">
        <f>"      '"&amp;表1_861218222426728894100[[#This Row],[区服]]&amp;"':{"</f>
        <v>      '5199':{</v>
      </c>
    </row>
    <row r="72" customHeight="1" spans="1:25">
      <c r="A72" s="314">
        <v>5199</v>
      </c>
      <c r="B72" s="91">
        <f>VLOOKUP(表1_861218222426728894100[[#This Row],[区服]],$P$143:$Q$190,2,FALSE)</f>
        <v>44</v>
      </c>
      <c r="C72" s="177" t="s">
        <v>232</v>
      </c>
      <c r="D72" s="93" t="str">
        <f>表1_861218222426728894100[[#This Row],[目标国家]]</f>
        <v>蜀</v>
      </c>
      <c r="E72" s="417">
        <f>(VLOOKUP(表1_861218222426728894100[[#This Row],[目标区服]],$R$143:$S$169,2,FALSE)-表1_861218222426728894100[[#This Row],[开服天数]])*配置!$B$1</f>
        <v>1500</v>
      </c>
      <c r="F72" s="95">
        <f>表1_861218222426728894100[[#This Row],[补偿Coin]]*(表1_861218222426728894100[[#This Row],[活跃高战玩家数]]+表1_861218222426728894100[[#This Row],[活跃中坚玩家数]])</f>
        <v>27000</v>
      </c>
      <c r="G72" s="418">
        <f>(VLOOKUP(表1_861218222426728894100[[#This Row],[目标区服]],$R$143:$S$174,2,FALSE)-表1_861218222426728894100[[#This Row],[开服天数]])*配置!$B$2</f>
        <v>15</v>
      </c>
      <c r="H72" s="93" t="s">
        <v>26</v>
      </c>
      <c r="I72" s="423">
        <f>IF(表1_861218222426728894100[[#This Row],[原国家]]="魏",0,IF(表1_861218222426728894100[[#This Row],[原国家]]="蜀",1,2))</f>
        <v>1</v>
      </c>
      <c r="J72" s="95">
        <v>2</v>
      </c>
      <c r="K72" s="95">
        <v>119</v>
      </c>
      <c r="L72" s="95">
        <v>4</v>
      </c>
      <c r="M72" s="95">
        <v>14</v>
      </c>
      <c r="N72" s="95">
        <v>89176</v>
      </c>
      <c r="O72" s="424">
        <v>1811912</v>
      </c>
      <c r="P72" s="326">
        <v>11984456</v>
      </c>
      <c r="Q72" s="31" t="s">
        <v>26</v>
      </c>
      <c r="R72" s="93">
        <f>IF(表1_861218222426728894100[[#This Row],[目标国家]]="魏",0,IF(表1_861218222426728894100[[#This Row],[目标国家]]="蜀",1,2))</f>
        <v>1</v>
      </c>
      <c r="S72" s="95">
        <v>15244</v>
      </c>
      <c r="T72" s="95">
        <v>0</v>
      </c>
      <c r="U72" s="95">
        <v>292541</v>
      </c>
      <c r="V72" s="95">
        <v>5449</v>
      </c>
      <c r="W72" s="432">
        <v>683281</v>
      </c>
      <c r="X72" s="433" t="str">
        <f>"{"&amp;"'coin':"&amp;表1_861218222426728894100[[#This Row],[补偿Coin]]&amp;",'"&amp;配置!$A$2&amp;"':"&amp;表1_861218222426728894100[[#This Row],[补偿辎重]]&amp;"},"</f>
        <v>{'coin':1500,'item036':15},</v>
      </c>
      <c r="Y72" s="138" t="str">
        <f>"            'to_zone':'"&amp;表1_861218222426728894100[[#This Row],[目标区服]]&amp;"',
            'reward':"&amp;表1_861218222426728894100[[#This Row],[辅助导出]]&amp;"
            'country':["&amp;R71&amp;","&amp;R72&amp;","&amp;R73&amp;"],"</f>
        <v>            'to_zone':'h1_588',
            'reward':{'coin':1500,'item036':15},
            'country':[1,1,2],</v>
      </c>
    </row>
    <row r="73" customHeight="1" spans="1:25">
      <c r="A73" s="314">
        <v>5199</v>
      </c>
      <c r="B73" s="91">
        <f>VLOOKUP(表1_861218222426728894100[[#This Row],[区服]],$P$143:$Q$190,2,FALSE)</f>
        <v>44</v>
      </c>
      <c r="C73" s="177" t="s">
        <v>232</v>
      </c>
      <c r="D73" s="93" t="str">
        <f>表1_861218222426728894100[[#This Row],[目标国家]]</f>
        <v>吴</v>
      </c>
      <c r="E73" s="417">
        <f>(VLOOKUP(表1_861218222426728894100[[#This Row],[目标区服]],$R$143:$S$169,2,FALSE)-表1_861218222426728894100[[#This Row],[开服天数]])*配置!$B$1</f>
        <v>1500</v>
      </c>
      <c r="F73" s="95">
        <f>表1_861218222426728894100[[#This Row],[补偿Coin]]*(表1_861218222426728894100[[#This Row],[活跃高战玩家数]]+表1_861218222426728894100[[#This Row],[活跃中坚玩家数]])</f>
        <v>31500</v>
      </c>
      <c r="G73" s="418">
        <f>(VLOOKUP(表1_861218222426728894100[[#This Row],[目标区服]],$R$143:$S$174,2,FALSE)-表1_861218222426728894100[[#This Row],[开服天数]])*配置!$B$2</f>
        <v>15</v>
      </c>
      <c r="H73" s="93" t="s">
        <v>27</v>
      </c>
      <c r="I73" s="423">
        <f>IF(表1_861218222426728894100[[#This Row],[原国家]]="魏",0,IF(表1_861218222426728894100[[#This Row],[原国家]]="蜀",1,2))</f>
        <v>2</v>
      </c>
      <c r="J73" s="95">
        <v>5</v>
      </c>
      <c r="K73" s="95">
        <v>204</v>
      </c>
      <c r="L73" s="95">
        <v>4</v>
      </c>
      <c r="M73" s="95">
        <v>17</v>
      </c>
      <c r="N73" s="95">
        <v>108708</v>
      </c>
      <c r="O73" s="424">
        <v>2630983</v>
      </c>
      <c r="P73" s="326">
        <v>16834661</v>
      </c>
      <c r="Q73" s="31" t="s">
        <v>27</v>
      </c>
      <c r="R73" s="93">
        <f>IF(表1_861218222426728894100[[#This Row],[目标国家]]="魏",0,IF(表1_861218222426728894100[[#This Row],[目标国家]]="蜀",1,2))</f>
        <v>2</v>
      </c>
      <c r="S73" s="95">
        <v>82814</v>
      </c>
      <c r="T73" s="95">
        <v>0</v>
      </c>
      <c r="U73" s="95">
        <v>341411</v>
      </c>
      <c r="V73" s="95">
        <v>10053</v>
      </c>
      <c r="W73" s="440">
        <v>819341</v>
      </c>
      <c r="X73" s="433" t="str">
        <f>"{"&amp;"'coin':"&amp;表1_861218222426728894100[[#This Row],[补偿Coin]]&amp;",'"&amp;配置!$A$2&amp;"':"&amp;表1_861218222426728894100[[#This Row],[补偿辎重]]&amp;"},"</f>
        <v>{'coin':1500,'item036':15},</v>
      </c>
      <c r="Y73" s="138" t="str">
        <f t="shared" si="5"/>
        <v>      },</v>
      </c>
    </row>
    <row r="74" customHeight="1" spans="1:25">
      <c r="A74" s="91">
        <v>5200</v>
      </c>
      <c r="B74" s="91">
        <f>VLOOKUP(表1_861218222426728894100[[#This Row],[区服]],$P$143:$Q$190,2,FALSE)</f>
        <v>44</v>
      </c>
      <c r="C74" s="177" t="s">
        <v>232</v>
      </c>
      <c r="D74" s="313" t="str">
        <f>表1_861218222426728894100[[#This Row],[目标国家]]</f>
        <v>吴</v>
      </c>
      <c r="E74" s="94">
        <f>(VLOOKUP(表1_861218222426728894100[[#This Row],[目标区服]],$R$143:$S$169,2,FALSE)-表1_861218222426728894100[[#This Row],[开服天数]])*配置!$B$1</f>
        <v>1500</v>
      </c>
      <c r="F74" s="94">
        <f>表1_861218222426728894100[[#This Row],[补偿Coin]]*(表1_861218222426728894100[[#This Row],[活跃高战玩家数]]+表1_861218222426728894100[[#This Row],[活跃中坚玩家数]])</f>
        <v>16500</v>
      </c>
      <c r="G74" s="94">
        <f>(VLOOKUP(表1_861218222426728894100[[#This Row],[目标区服]],$R$143:$S$174,2,FALSE)-表1_861218222426728894100[[#This Row],[开服天数]])*配置!$B$2</f>
        <v>15</v>
      </c>
      <c r="H74" s="93" t="s">
        <v>25</v>
      </c>
      <c r="I74" s="93">
        <f>IF(表1_861218222426728894100[[#This Row],[原国家]]="魏",0,IF(表1_861218222426728894100[[#This Row],[原国家]]="蜀",1,2))</f>
        <v>0</v>
      </c>
      <c r="J74" s="95">
        <v>2</v>
      </c>
      <c r="K74" s="95">
        <v>67</v>
      </c>
      <c r="L74" s="95">
        <v>1</v>
      </c>
      <c r="M74" s="95">
        <v>10</v>
      </c>
      <c r="N74" s="95">
        <v>44494</v>
      </c>
      <c r="O74" s="95">
        <v>1230151</v>
      </c>
      <c r="P74" s="326">
        <v>5287349</v>
      </c>
      <c r="Q74" s="31" t="s">
        <v>27</v>
      </c>
      <c r="R74" s="93">
        <f>IF(表1_861218222426728894100[[#This Row],[目标国家]]="魏",0,IF(表1_861218222426728894100[[#This Row],[目标国家]]="蜀",1,2))</f>
        <v>2</v>
      </c>
      <c r="S74" s="95">
        <v>1656</v>
      </c>
      <c r="T74" s="95">
        <v>0</v>
      </c>
      <c r="U74" s="95">
        <v>151490</v>
      </c>
      <c r="V74" s="95">
        <v>2976</v>
      </c>
      <c r="W74" s="441">
        <v>441182</v>
      </c>
      <c r="X74" s="140" t="str">
        <f>"{"&amp;"'coin':"&amp;表1_861218222426728894100[[#This Row],[补偿Coin]]&amp;",'"&amp;配置!$A$2&amp;"':"&amp;表1_861218222426728894100[[#This Row],[补偿辎重]]&amp;"},"</f>
        <v>{'coin':1500,'item036':15},</v>
      </c>
      <c r="Y74" s="138" t="str">
        <f>"      '"&amp;表1_861218222426728894100[[#This Row],[区服]]&amp;"':{"</f>
        <v>      '5200':{</v>
      </c>
    </row>
    <row r="75" customHeight="1" spans="1:25">
      <c r="A75" s="91">
        <v>5200</v>
      </c>
      <c r="B75" s="91">
        <f>VLOOKUP(表1_861218222426728894100[[#This Row],[区服]],$P$143:$Q$190,2,FALSE)</f>
        <v>44</v>
      </c>
      <c r="C75" s="177" t="s">
        <v>232</v>
      </c>
      <c r="D75" s="93" t="str">
        <f>表1_861218222426728894100[[#This Row],[目标国家]]</f>
        <v>蜀</v>
      </c>
      <c r="E75" s="95">
        <f>(VLOOKUP(表1_861218222426728894100[[#This Row],[目标区服]],$R$143:$S$169,2,FALSE)-表1_861218222426728894100[[#This Row],[开服天数]])*配置!$B$1</f>
        <v>1500</v>
      </c>
      <c r="F75" s="95">
        <f>表1_861218222426728894100[[#This Row],[补偿Coin]]*(表1_861218222426728894100[[#This Row],[活跃高战玩家数]]+表1_861218222426728894100[[#This Row],[活跃中坚玩家数]])</f>
        <v>34500</v>
      </c>
      <c r="G75" s="95">
        <f>(VLOOKUP(表1_861218222426728894100[[#This Row],[目标区服]],$R$143:$S$174,2,FALSE)-表1_861218222426728894100[[#This Row],[开服天数]])*配置!$B$2</f>
        <v>15</v>
      </c>
      <c r="H75" s="93" t="s">
        <v>26</v>
      </c>
      <c r="I75" s="93">
        <f>IF(表1_861218222426728894100[[#This Row],[原国家]]="魏",0,IF(表1_861218222426728894100[[#This Row],[原国家]]="蜀",1,2))</f>
        <v>1</v>
      </c>
      <c r="J75" s="95">
        <v>3</v>
      </c>
      <c r="K75" s="95">
        <v>165</v>
      </c>
      <c r="L75" s="95">
        <v>7</v>
      </c>
      <c r="M75" s="95">
        <v>16</v>
      </c>
      <c r="N75" s="95">
        <v>133128</v>
      </c>
      <c r="O75" s="95">
        <v>1667773</v>
      </c>
      <c r="P75" s="326">
        <v>15857302</v>
      </c>
      <c r="Q75" s="31" t="s">
        <v>26</v>
      </c>
      <c r="R75" s="93">
        <f>IF(表1_861218222426728894100[[#This Row],[目标国家]]="魏",0,IF(表1_861218222426728894100[[#This Row],[目标国家]]="蜀",1,2))</f>
        <v>1</v>
      </c>
      <c r="S75" s="95">
        <v>7644</v>
      </c>
      <c r="T75" s="95">
        <v>0</v>
      </c>
      <c r="U75" s="95">
        <v>195584</v>
      </c>
      <c r="V75" s="95">
        <v>6196</v>
      </c>
      <c r="W75" s="441">
        <v>563367</v>
      </c>
      <c r="X75" s="140" t="str">
        <f>"{"&amp;"'coin':"&amp;表1_861218222426728894100[[#This Row],[补偿Coin]]&amp;",'"&amp;配置!$A$2&amp;"':"&amp;表1_861218222426728894100[[#This Row],[补偿辎重]]&amp;"},"</f>
        <v>{'coin':1500,'item036':15},</v>
      </c>
      <c r="Y75" s="138" t="str">
        <f>"            'to_zone':'"&amp;表1_861218222426728894100[[#This Row],[目标区服]]&amp;"',
            'reward':"&amp;表1_861218222426728894100[[#This Row],[辅助导出]]&amp;"
            'country':["&amp;R74&amp;","&amp;R75&amp;","&amp;R76&amp;"],"</f>
        <v>            'to_zone':'h1_588',
            'reward':{'coin':1500,'item036':15},
            'country':[2,1,1],</v>
      </c>
    </row>
    <row r="76" customHeight="1" spans="1:25">
      <c r="A76" s="91">
        <v>5200</v>
      </c>
      <c r="B76" s="91">
        <f>VLOOKUP(表1_861218222426728894100[[#This Row],[区服]],$P$143:$Q$190,2,FALSE)</f>
        <v>44</v>
      </c>
      <c r="C76" s="177" t="s">
        <v>232</v>
      </c>
      <c r="D76" s="93" t="str">
        <f>表1_861218222426728894100[[#This Row],[目标国家]]</f>
        <v>蜀</v>
      </c>
      <c r="E76" s="95">
        <f>(VLOOKUP(表1_861218222426728894100[[#This Row],[目标区服]],$R$143:$S$169,2,FALSE)-表1_861218222426728894100[[#This Row],[开服天数]])*配置!$B$1</f>
        <v>1500</v>
      </c>
      <c r="F76" s="95">
        <f>表1_861218222426728894100[[#This Row],[补偿Coin]]*(表1_861218222426728894100[[#This Row],[活跃高战玩家数]]+表1_861218222426728894100[[#This Row],[活跃中坚玩家数]])</f>
        <v>19500</v>
      </c>
      <c r="G76" s="95">
        <f>(VLOOKUP(表1_861218222426728894100[[#This Row],[目标区服]],$R$143:$S$174,2,FALSE)-表1_861218222426728894100[[#This Row],[开服天数]])*配置!$B$2</f>
        <v>15</v>
      </c>
      <c r="H76" s="93" t="s">
        <v>27</v>
      </c>
      <c r="I76" s="93">
        <f>IF(表1_861218222426728894100[[#This Row],[原国家]]="魏",0,IF(表1_861218222426728894100[[#This Row],[原国家]]="蜀",1,2))</f>
        <v>2</v>
      </c>
      <c r="J76" s="95">
        <v>4</v>
      </c>
      <c r="K76" s="95">
        <v>163</v>
      </c>
      <c r="L76" s="95">
        <v>2</v>
      </c>
      <c r="M76" s="95">
        <v>11</v>
      </c>
      <c r="N76" s="95">
        <v>77236</v>
      </c>
      <c r="O76" s="95">
        <v>1716341</v>
      </c>
      <c r="P76" s="326">
        <v>9913395</v>
      </c>
      <c r="Q76" s="31" t="s">
        <v>26</v>
      </c>
      <c r="R76" s="93">
        <f>IF(表1_861218222426728894100[[#This Row],[目标国家]]="魏",0,IF(表1_861218222426728894100[[#This Row],[目标国家]]="蜀",1,2))</f>
        <v>1</v>
      </c>
      <c r="S76" s="95">
        <v>44246</v>
      </c>
      <c r="T76" s="95">
        <v>0</v>
      </c>
      <c r="U76" s="95">
        <v>283147</v>
      </c>
      <c r="V76" s="95">
        <v>6592</v>
      </c>
      <c r="W76" s="441">
        <v>678174</v>
      </c>
      <c r="X76" s="140" t="str">
        <f>"{"&amp;"'coin':"&amp;表1_861218222426728894100[[#This Row],[补偿Coin]]&amp;",'"&amp;配置!$A$2&amp;"':"&amp;表1_861218222426728894100[[#This Row],[补偿辎重]]&amp;"},"</f>
        <v>{'coin':1500,'item036':15},</v>
      </c>
      <c r="Y76" s="138" t="str">
        <f t="shared" si="4"/>
        <v>      },</v>
      </c>
    </row>
    <row r="77" customHeight="1" spans="1:25">
      <c r="A77" s="204">
        <v>5201</v>
      </c>
      <c r="B77" s="205">
        <f>VLOOKUP(表1_861218222426728894100[[#This Row],[区服]],$P$143:$Q$190,2,FALSE)</f>
        <v>44</v>
      </c>
      <c r="C77" s="220" t="s">
        <v>233</v>
      </c>
      <c r="D77" s="207" t="str">
        <f>表1_861218222426728894100[[#This Row],[目标国家]]</f>
        <v>魏</v>
      </c>
      <c r="E77" s="208">
        <f>(VLOOKUP(表1_861218222426728894100[[#This Row],[目标区服]],$R$143:$S$169,2,FALSE)-表1_861218222426728894100[[#This Row],[开服天数]])*配置!$B$1</f>
        <v>1000</v>
      </c>
      <c r="F77" s="208">
        <f>表1_861218222426728894100[[#This Row],[补偿Coin]]*(表1_861218222426728894100[[#This Row],[活跃高战玩家数]]+表1_861218222426728894100[[#This Row],[活跃中坚玩家数]])</f>
        <v>20000</v>
      </c>
      <c r="G77" s="208">
        <f>(VLOOKUP(表1_861218222426728894100[[#This Row],[目标区服]],$R$143:$S$174,2,FALSE)-表1_861218222426728894100[[#This Row],[开服天数]])*配置!$B$2</f>
        <v>10</v>
      </c>
      <c r="H77" s="207" t="s">
        <v>25</v>
      </c>
      <c r="I77" s="207">
        <f>IF(表1_861218222426728894100[[#This Row],[原国家]]="魏",0,IF(表1_861218222426728894100[[#This Row],[原国家]]="蜀",1,2))</f>
        <v>0</v>
      </c>
      <c r="J77" s="208">
        <v>3</v>
      </c>
      <c r="K77" s="208">
        <v>81</v>
      </c>
      <c r="L77" s="208">
        <v>2</v>
      </c>
      <c r="M77" s="208">
        <v>18</v>
      </c>
      <c r="N77" s="208">
        <v>76950</v>
      </c>
      <c r="O77" s="208">
        <v>1744545</v>
      </c>
      <c r="P77" s="347">
        <v>13991328</v>
      </c>
      <c r="Q77" s="31" t="s">
        <v>25</v>
      </c>
      <c r="R77" s="207">
        <f>IF(表1_861218222426728894100[[#This Row],[目标国家]]="魏",0,IF(表1_861218222426728894100[[#This Row],[目标国家]]="蜀",1,2))</f>
        <v>0</v>
      </c>
      <c r="S77" s="208">
        <v>13710</v>
      </c>
      <c r="T77" s="208">
        <v>0</v>
      </c>
      <c r="U77" s="208">
        <v>396438</v>
      </c>
      <c r="V77" s="208">
        <v>5247</v>
      </c>
      <c r="W77" s="442">
        <v>501765</v>
      </c>
      <c r="X77" s="303" t="str">
        <f>"{"&amp;"'coin':"&amp;表1_861218222426728894100[[#This Row],[补偿Coin]]&amp;",'"&amp;配置!$A$2&amp;"':"&amp;表1_861218222426728894100[[#This Row],[补偿辎重]]&amp;"},"</f>
        <v>{'coin':1000,'item036':10},</v>
      </c>
      <c r="Y77" s="305" t="str">
        <f>"      '"&amp;表1_861218222426728894100[[#This Row],[区服]]&amp;"':{"</f>
        <v>      '5201':{</v>
      </c>
    </row>
    <row r="78" customHeight="1" spans="1:25">
      <c r="A78" s="204">
        <v>5201</v>
      </c>
      <c r="B78" s="205">
        <f>VLOOKUP(表1_861218222426728894100[[#This Row],[区服]],$P$143:$Q$190,2,FALSE)</f>
        <v>44</v>
      </c>
      <c r="C78" s="220" t="s">
        <v>233</v>
      </c>
      <c r="D78" s="207" t="str">
        <f>表1_861218222426728894100[[#This Row],[目标国家]]</f>
        <v>魏</v>
      </c>
      <c r="E78" s="208">
        <f>(VLOOKUP(表1_861218222426728894100[[#This Row],[目标区服]],$R$143:$S$169,2,FALSE)-表1_861218222426728894100[[#This Row],[开服天数]])*配置!$B$1</f>
        <v>1000</v>
      </c>
      <c r="F78" s="208">
        <f>表1_861218222426728894100[[#This Row],[补偿Coin]]*(表1_861218222426728894100[[#This Row],[活跃高战玩家数]]+表1_861218222426728894100[[#This Row],[活跃中坚玩家数]])</f>
        <v>31000</v>
      </c>
      <c r="G78" s="208">
        <f>(VLOOKUP(表1_861218222426728894100[[#This Row],[目标区服]],$R$143:$S$174,2,FALSE)-表1_861218222426728894100[[#This Row],[开服天数]])*配置!$B$2</f>
        <v>10</v>
      </c>
      <c r="H78" s="207" t="s">
        <v>26</v>
      </c>
      <c r="I78" s="207">
        <f>IF(表1_861218222426728894100[[#This Row],[原国家]]="魏",0,IF(表1_861218222426728894100[[#This Row],[原国家]]="蜀",1,2))</f>
        <v>1</v>
      </c>
      <c r="J78" s="208">
        <v>3</v>
      </c>
      <c r="K78" s="208">
        <v>207</v>
      </c>
      <c r="L78" s="208">
        <v>6</v>
      </c>
      <c r="M78" s="208">
        <v>25</v>
      </c>
      <c r="N78" s="208">
        <v>135893</v>
      </c>
      <c r="O78" s="208">
        <v>2225047</v>
      </c>
      <c r="P78" s="347">
        <v>24047064</v>
      </c>
      <c r="Q78" s="31" t="s">
        <v>25</v>
      </c>
      <c r="R78" s="207">
        <f>IF(表1_861218222426728894100[[#This Row],[目标国家]]="魏",0,IF(表1_861218222426728894100[[#This Row],[目标国家]]="蜀",1,2))</f>
        <v>0</v>
      </c>
      <c r="S78" s="208">
        <v>53230</v>
      </c>
      <c r="T78" s="208">
        <v>0</v>
      </c>
      <c r="U78" s="208">
        <v>395086</v>
      </c>
      <c r="V78" s="208">
        <v>9473</v>
      </c>
      <c r="W78" s="442">
        <v>674833</v>
      </c>
      <c r="X78" s="303" t="str">
        <f>"{"&amp;"'coin':"&amp;表1_861218222426728894100[[#This Row],[补偿Coin]]&amp;",'"&amp;配置!$A$2&amp;"':"&amp;表1_861218222426728894100[[#This Row],[补偿辎重]]&amp;"},"</f>
        <v>{'coin':1000,'item036':10},</v>
      </c>
      <c r="Y78" s="305" t="str">
        <f>"            'to_zone':'"&amp;表1_861218222426728894100[[#This Row],[目标区服]]&amp;"',
            'reward':"&amp;表1_861218222426728894100[[#This Row],[辅助导出]]&amp;"
            'country':["&amp;R77&amp;","&amp;R78&amp;","&amp;R79&amp;"],"</f>
        <v>            'to_zone':'h1_589',
            'reward':{'coin':1000,'item036':10},
            'country':[0,0,2],</v>
      </c>
    </row>
    <row r="79" customHeight="1" spans="1:25">
      <c r="A79" s="204">
        <v>5201</v>
      </c>
      <c r="B79" s="205">
        <f>VLOOKUP(表1_861218222426728894100[[#This Row],[区服]],$P$143:$Q$190,2,FALSE)</f>
        <v>44</v>
      </c>
      <c r="C79" s="220" t="s">
        <v>233</v>
      </c>
      <c r="D79" s="207" t="str">
        <f>表1_861218222426728894100[[#This Row],[目标国家]]</f>
        <v>吴</v>
      </c>
      <c r="E79" s="208">
        <f>(VLOOKUP(表1_861218222426728894100[[#This Row],[目标区服]],$R$143:$S$169,2,FALSE)-表1_861218222426728894100[[#This Row],[开服天数]])*配置!$B$1</f>
        <v>1000</v>
      </c>
      <c r="F79" s="208">
        <f>表1_861218222426728894100[[#This Row],[补偿Coin]]*(表1_861218222426728894100[[#This Row],[活跃高战玩家数]]+表1_861218222426728894100[[#This Row],[活跃中坚玩家数]])</f>
        <v>21000</v>
      </c>
      <c r="G79" s="208">
        <f>(VLOOKUP(表1_861218222426728894100[[#This Row],[目标区服]],$R$143:$S$174,2,FALSE)-表1_861218222426728894100[[#This Row],[开服天数]])*配置!$B$2</f>
        <v>10</v>
      </c>
      <c r="H79" s="207" t="s">
        <v>27</v>
      </c>
      <c r="I79" s="207">
        <f>IF(表1_861218222426728894100[[#This Row],[原国家]]="魏",0,IF(表1_861218222426728894100[[#This Row],[原国家]]="蜀",1,2))</f>
        <v>2</v>
      </c>
      <c r="J79" s="208">
        <v>3</v>
      </c>
      <c r="K79" s="208">
        <v>107</v>
      </c>
      <c r="L79" s="208">
        <v>2</v>
      </c>
      <c r="M79" s="208">
        <v>19</v>
      </c>
      <c r="N79" s="208">
        <v>88466</v>
      </c>
      <c r="O79" s="208">
        <v>1930953</v>
      </c>
      <c r="P79" s="347">
        <v>15853406</v>
      </c>
      <c r="Q79" s="31" t="s">
        <v>27</v>
      </c>
      <c r="R79" s="207">
        <f>IF(表1_861218222426728894100[[#This Row],[目标国家]]="魏",0,IF(表1_861218222426728894100[[#This Row],[目标国家]]="蜀",1,2))</f>
        <v>2</v>
      </c>
      <c r="S79" s="208">
        <v>8148</v>
      </c>
      <c r="T79" s="208">
        <v>28572</v>
      </c>
      <c r="U79" s="208">
        <v>277966</v>
      </c>
      <c r="V79" s="208">
        <v>5997</v>
      </c>
      <c r="W79" s="442">
        <v>524097</v>
      </c>
      <c r="X79" s="303" t="str">
        <f>"{"&amp;"'coin':"&amp;表1_861218222426728894100[[#This Row],[补偿Coin]]&amp;",'"&amp;配置!$A$2&amp;"':"&amp;表1_861218222426728894100[[#This Row],[补偿辎重]]&amp;"},"</f>
        <v>{'coin':1000,'item036':10},</v>
      </c>
      <c r="Y79" s="305" t="str">
        <f t="shared" si="5"/>
        <v>      },</v>
      </c>
    </row>
    <row r="80" customHeight="1" spans="1:25">
      <c r="A80" s="204">
        <v>5202</v>
      </c>
      <c r="B80" s="205">
        <f>VLOOKUP(表1_861218222426728894100[[#This Row],[区服]],$P$143:$Q$190,2,FALSE)</f>
        <v>44</v>
      </c>
      <c r="C80" s="220" t="s">
        <v>233</v>
      </c>
      <c r="D80" s="207" t="str">
        <f>表1_861218222426728894100[[#This Row],[目标国家]]</f>
        <v>蜀</v>
      </c>
      <c r="E80" s="208">
        <f>(VLOOKUP(表1_861218222426728894100[[#This Row],[目标区服]],$R$143:$S$169,2,FALSE)-表1_861218222426728894100[[#This Row],[开服天数]])*配置!$B$1</f>
        <v>1000</v>
      </c>
      <c r="F80" s="208">
        <f>表1_861218222426728894100[[#This Row],[补偿Coin]]*(表1_861218222426728894100[[#This Row],[活跃高战玩家数]]+表1_861218222426728894100[[#This Row],[活跃中坚玩家数]])</f>
        <v>15000</v>
      </c>
      <c r="G80" s="209">
        <f>(VLOOKUP(表1_861218222426728894100[[#This Row],[目标区服]],$R$143:$S$174,2,FALSE)-表1_861218222426728894100[[#This Row],[开服天数]])*配置!$B$2</f>
        <v>10</v>
      </c>
      <c r="H80" s="207" t="s">
        <v>25</v>
      </c>
      <c r="I80" s="230">
        <f>IF(表1_861218222426728894100[[#This Row],[原国家]]="魏",0,IF(表1_861218222426728894100[[#This Row],[原国家]]="蜀",1,2))</f>
        <v>0</v>
      </c>
      <c r="J80" s="208">
        <v>0</v>
      </c>
      <c r="K80" s="208">
        <v>76</v>
      </c>
      <c r="L80" s="208">
        <v>3</v>
      </c>
      <c r="M80" s="208">
        <v>12</v>
      </c>
      <c r="N80" s="208">
        <v>68387</v>
      </c>
      <c r="O80" s="438">
        <v>1910583</v>
      </c>
      <c r="P80" s="347">
        <v>10883976</v>
      </c>
      <c r="Q80" s="31" t="s">
        <v>26</v>
      </c>
      <c r="R80" s="207">
        <f>IF(表1_861218222426728894100[[#This Row],[目标国家]]="魏",0,IF(表1_861218222426728894100[[#This Row],[目标国家]]="蜀",1,2))</f>
        <v>1</v>
      </c>
      <c r="S80" s="208">
        <v>22226</v>
      </c>
      <c r="T80" s="208">
        <v>0</v>
      </c>
      <c r="U80" s="208">
        <v>305861</v>
      </c>
      <c r="V80" s="208">
        <v>4920</v>
      </c>
      <c r="W80" s="443">
        <v>517859</v>
      </c>
      <c r="X80" s="241" t="str">
        <f>"{"&amp;"'coin':"&amp;表1_861218222426728894100[[#This Row],[补偿Coin]]&amp;",'"&amp;配置!$A$2&amp;"':"&amp;表1_861218222426728894100[[#This Row],[补偿辎重]]&amp;"},"</f>
        <v>{'coin':1000,'item036':10},</v>
      </c>
      <c r="Y80" s="241" t="str">
        <f>"      '"&amp;表1_861218222426728894100[[#This Row],[区服]]&amp;"':{"</f>
        <v>      '5202':{</v>
      </c>
    </row>
    <row r="81" customHeight="1" spans="1:25">
      <c r="A81" s="204">
        <v>5202</v>
      </c>
      <c r="B81" s="205">
        <f>VLOOKUP(表1_861218222426728894100[[#This Row],[区服]],$P$143:$Q$190,2,FALSE)</f>
        <v>44</v>
      </c>
      <c r="C81" s="220" t="s">
        <v>233</v>
      </c>
      <c r="D81" s="207" t="str">
        <f>表1_861218222426728894100[[#This Row],[目标国家]]</f>
        <v>吴</v>
      </c>
      <c r="E81" s="208">
        <f>(VLOOKUP(表1_861218222426728894100[[#This Row],[目标区服]],$R$143:$S$169,2,FALSE)-表1_861218222426728894100[[#This Row],[开服天数]])*配置!$B$1</f>
        <v>1000</v>
      </c>
      <c r="F81" s="208">
        <f>表1_861218222426728894100[[#This Row],[补偿Coin]]*(表1_861218222426728894100[[#This Row],[活跃高战玩家数]]+表1_861218222426728894100[[#This Row],[活跃中坚玩家数]])</f>
        <v>37000</v>
      </c>
      <c r="G81" s="209">
        <f>(VLOOKUP(表1_861218222426728894100[[#This Row],[目标区服]],$R$143:$S$174,2,FALSE)-表1_861218222426728894100[[#This Row],[开服天数]])*配置!$B$2</f>
        <v>10</v>
      </c>
      <c r="H81" s="207" t="s">
        <v>26</v>
      </c>
      <c r="I81" s="230">
        <f>IF(表1_861218222426728894100[[#This Row],[原国家]]="魏",0,IF(表1_861218222426728894100[[#This Row],[原国家]]="蜀",1,2))</f>
        <v>1</v>
      </c>
      <c r="J81" s="208">
        <v>8</v>
      </c>
      <c r="K81" s="208">
        <v>249</v>
      </c>
      <c r="L81" s="208">
        <v>5</v>
      </c>
      <c r="M81" s="208">
        <v>32</v>
      </c>
      <c r="N81" s="208">
        <v>166862</v>
      </c>
      <c r="O81" s="438">
        <v>3027853</v>
      </c>
      <c r="P81" s="347">
        <v>28342197</v>
      </c>
      <c r="Q81" s="31" t="s">
        <v>27</v>
      </c>
      <c r="R81" s="207">
        <f>IF(表1_861218222426728894100[[#This Row],[目标国家]]="魏",0,IF(表1_861218222426728894100[[#This Row],[目标国家]]="蜀",1,2))</f>
        <v>2</v>
      </c>
      <c r="S81" s="208">
        <v>76692</v>
      </c>
      <c r="T81" s="208">
        <v>0</v>
      </c>
      <c r="U81" s="208">
        <v>566376</v>
      </c>
      <c r="V81" s="208">
        <v>12570</v>
      </c>
      <c r="W81" s="444">
        <v>1034697</v>
      </c>
      <c r="X81" s="241" t="str">
        <f>"{"&amp;"'coin':"&amp;表1_861218222426728894100[[#This Row],[补偿Coin]]&amp;",'"&amp;配置!$A$2&amp;"':"&amp;表1_861218222426728894100[[#This Row],[补偿辎重]]&amp;"},"</f>
        <v>{'coin':1000,'item036':10},</v>
      </c>
      <c r="Y81" s="241" t="str">
        <f>"            'to_zone':'"&amp;表1_861218222426728894100[[#This Row],[目标区服]]&amp;"',
            'reward':"&amp;表1_861218222426728894100[[#This Row],[辅助导出]]&amp;"
            'country':["&amp;R80&amp;","&amp;R81&amp;","&amp;R82&amp;"],"</f>
        <v>            'to_zone':'h1_589',
            'reward':{'coin':1000,'item036':10},
            'country':[1,2,1],</v>
      </c>
    </row>
    <row r="82" customHeight="1" spans="1:25">
      <c r="A82" s="204">
        <v>5202</v>
      </c>
      <c r="B82" s="205">
        <f>VLOOKUP(表1_861218222426728894100[[#This Row],[区服]],$P$143:$Q$190,2,FALSE)</f>
        <v>44</v>
      </c>
      <c r="C82" s="220" t="s">
        <v>233</v>
      </c>
      <c r="D82" s="207" t="str">
        <f>表1_861218222426728894100[[#This Row],[目标国家]]</f>
        <v>蜀</v>
      </c>
      <c r="E82" s="208">
        <f>(VLOOKUP(表1_861218222426728894100[[#This Row],[目标区服]],$R$143:$S$169,2,FALSE)-表1_861218222426728894100[[#This Row],[开服天数]])*配置!$B$1</f>
        <v>1000</v>
      </c>
      <c r="F82" s="208">
        <f>表1_861218222426728894100[[#This Row],[补偿Coin]]*(表1_861218222426728894100[[#This Row],[活跃高战玩家数]]+表1_861218222426728894100[[#This Row],[活跃中坚玩家数]])</f>
        <v>12000</v>
      </c>
      <c r="G82" s="209">
        <f>(VLOOKUP(表1_861218222426728894100[[#This Row],[目标区服]],$R$143:$S$174,2,FALSE)-表1_861218222426728894100[[#This Row],[开服天数]])*配置!$B$2</f>
        <v>10</v>
      </c>
      <c r="H82" s="207" t="s">
        <v>27</v>
      </c>
      <c r="I82" s="230">
        <f>IF(表1_861218222426728894100[[#This Row],[原国家]]="魏",0,IF(表1_861218222426728894100[[#This Row],[原国家]]="蜀",1,2))</f>
        <v>2</v>
      </c>
      <c r="J82" s="208">
        <v>1</v>
      </c>
      <c r="K82" s="208">
        <v>70</v>
      </c>
      <c r="L82" s="208">
        <v>1</v>
      </c>
      <c r="M82" s="208">
        <v>11</v>
      </c>
      <c r="N82" s="208">
        <v>41893</v>
      </c>
      <c r="O82" s="438">
        <v>1184193</v>
      </c>
      <c r="P82" s="347">
        <v>6804269</v>
      </c>
      <c r="Q82" s="31" t="s">
        <v>26</v>
      </c>
      <c r="R82" s="207">
        <f>IF(表1_861218222426728894100[[#This Row],[目标国家]]="魏",0,IF(表1_861218222426728894100[[#This Row],[目标国家]]="蜀",1,2))</f>
        <v>1</v>
      </c>
      <c r="S82" s="208">
        <v>9926</v>
      </c>
      <c r="T82" s="208">
        <v>0</v>
      </c>
      <c r="U82" s="208">
        <v>102046</v>
      </c>
      <c r="V82" s="208">
        <v>3222</v>
      </c>
      <c r="W82" s="443">
        <v>330707</v>
      </c>
      <c r="X82" s="241" t="str">
        <f>"{"&amp;"'coin':"&amp;表1_861218222426728894100[[#This Row],[补偿Coin]]&amp;",'"&amp;配置!$A$2&amp;"':"&amp;表1_861218222426728894100[[#This Row],[补偿辎重]]&amp;"},"</f>
        <v>{'coin':1000,'item036':10},</v>
      </c>
      <c r="Y82" s="241" t="str">
        <f t="shared" si="4"/>
        <v>      },</v>
      </c>
    </row>
    <row r="83" customHeight="1" spans="1:25">
      <c r="A83" s="204">
        <v>5203</v>
      </c>
      <c r="B83" s="205">
        <f>VLOOKUP(表1_861218222426728894100[[#This Row],[区服]],$P$143:$Q$190,2,FALSE)</f>
        <v>44</v>
      </c>
      <c r="C83" s="220" t="s">
        <v>233</v>
      </c>
      <c r="D83" s="207" t="str">
        <f>表1_861218222426728894100[[#This Row],[目标国家]]</f>
        <v>魏</v>
      </c>
      <c r="E83" s="208">
        <f>(VLOOKUP(表1_861218222426728894100[[#This Row],[目标区服]],$R$143:$S$169,2,FALSE)-表1_861218222426728894100[[#This Row],[开服天数]])*配置!$B$1</f>
        <v>1000</v>
      </c>
      <c r="F83" s="208">
        <f>表1_861218222426728894100[[#This Row],[补偿Coin]]*(表1_861218222426728894100[[#This Row],[活跃高战玩家数]]+表1_861218222426728894100[[#This Row],[活跃中坚玩家数]])</f>
        <v>28000</v>
      </c>
      <c r="G83" s="209">
        <f>(VLOOKUP(表1_861218222426728894100[[#This Row],[目标区服]],$R$143:$S$174,2,FALSE)-表1_861218222426728894100[[#This Row],[开服天数]])*配置!$B$2</f>
        <v>10</v>
      </c>
      <c r="H83" s="207" t="s">
        <v>25</v>
      </c>
      <c r="I83" s="230">
        <f>IF(表1_861218222426728894100[[#This Row],[原国家]]="魏",0,IF(表1_861218222426728894100[[#This Row],[原国家]]="蜀",1,2))</f>
        <v>0</v>
      </c>
      <c r="J83" s="208">
        <v>4</v>
      </c>
      <c r="K83" s="208">
        <v>143</v>
      </c>
      <c r="L83" s="208">
        <v>4</v>
      </c>
      <c r="M83" s="208">
        <v>24</v>
      </c>
      <c r="N83" s="208">
        <v>103649</v>
      </c>
      <c r="O83" s="438">
        <v>2587014</v>
      </c>
      <c r="P83" s="347">
        <v>22552924</v>
      </c>
      <c r="Q83" s="31" t="s">
        <v>25</v>
      </c>
      <c r="R83" s="207">
        <f>IF(表1_861218222426728894100[[#This Row],[目标国家]]="魏",0,IF(表1_861218222426728894100[[#This Row],[目标国家]]="蜀",1,2))</f>
        <v>0</v>
      </c>
      <c r="S83" s="208">
        <v>53558</v>
      </c>
      <c r="T83" s="208">
        <v>0</v>
      </c>
      <c r="U83" s="208">
        <v>494473</v>
      </c>
      <c r="V83" s="208">
        <v>9044</v>
      </c>
      <c r="W83" s="444">
        <v>730797</v>
      </c>
      <c r="X83" s="241" t="str">
        <f>"{"&amp;"'coin':"&amp;表1_861218222426728894100[[#This Row],[补偿Coin]]&amp;",'"&amp;配置!$A$2&amp;"':"&amp;表1_861218222426728894100[[#This Row],[补偿辎重]]&amp;"},"</f>
        <v>{'coin':1000,'item036':10},</v>
      </c>
      <c r="Y83" s="241" t="str">
        <f>"      '"&amp;表1_861218222426728894100[[#This Row],[区服]]&amp;"':{"</f>
        <v>      '5203':{</v>
      </c>
    </row>
    <row r="84" customHeight="1" spans="1:25">
      <c r="A84" s="204">
        <v>5203</v>
      </c>
      <c r="B84" s="205">
        <f>VLOOKUP(表1_861218222426728894100[[#This Row],[区服]],$P$143:$Q$190,2,FALSE)</f>
        <v>44</v>
      </c>
      <c r="C84" s="220" t="s">
        <v>233</v>
      </c>
      <c r="D84" s="207" t="str">
        <f>表1_861218222426728894100[[#This Row],[目标国家]]</f>
        <v>蜀</v>
      </c>
      <c r="E84" s="208">
        <f>(VLOOKUP(表1_861218222426728894100[[#This Row],[目标区服]],$R$143:$S$169,2,FALSE)-表1_861218222426728894100[[#This Row],[开服天数]])*配置!$B$1</f>
        <v>1000</v>
      </c>
      <c r="F84" s="208">
        <f>表1_861218222426728894100[[#This Row],[补偿Coin]]*(表1_861218222426728894100[[#This Row],[活跃高战玩家数]]+表1_861218222426728894100[[#This Row],[活跃中坚玩家数]])</f>
        <v>31000</v>
      </c>
      <c r="G84" s="209">
        <f>(VLOOKUP(表1_861218222426728894100[[#This Row],[目标区服]],$R$143:$S$174,2,FALSE)-表1_861218222426728894100[[#This Row],[开服天数]])*配置!$B$2</f>
        <v>10</v>
      </c>
      <c r="H84" s="207" t="s">
        <v>26</v>
      </c>
      <c r="I84" s="230">
        <f>IF(表1_861218222426728894100[[#This Row],[原国家]]="魏",0,IF(表1_861218222426728894100[[#This Row],[原国家]]="蜀",1,2))</f>
        <v>1</v>
      </c>
      <c r="J84" s="208">
        <v>3</v>
      </c>
      <c r="K84" s="208">
        <v>162</v>
      </c>
      <c r="L84" s="208">
        <v>4</v>
      </c>
      <c r="M84" s="208">
        <v>27</v>
      </c>
      <c r="N84" s="208">
        <v>123971</v>
      </c>
      <c r="O84" s="438">
        <v>3424680</v>
      </c>
      <c r="P84" s="347">
        <v>28322131</v>
      </c>
      <c r="Q84" s="31" t="s">
        <v>26</v>
      </c>
      <c r="R84" s="207">
        <f>IF(表1_861218222426728894100[[#This Row],[目标国家]]="魏",0,IF(表1_861218222426728894100[[#This Row],[目标国家]]="蜀",1,2))</f>
        <v>1</v>
      </c>
      <c r="S84" s="208">
        <v>123134</v>
      </c>
      <c r="T84" s="208">
        <v>0</v>
      </c>
      <c r="U84" s="208">
        <v>500795</v>
      </c>
      <c r="V84" s="208">
        <v>12741</v>
      </c>
      <c r="W84" s="444">
        <v>995948</v>
      </c>
      <c r="X84" s="241" t="str">
        <f>"{"&amp;"'coin':"&amp;表1_861218222426728894100[[#This Row],[补偿Coin]]&amp;",'"&amp;配置!$A$2&amp;"':"&amp;表1_861218222426728894100[[#This Row],[补偿辎重]]&amp;"},"</f>
        <v>{'coin':1000,'item036':10},</v>
      </c>
      <c r="Y84" s="241" t="str">
        <f>"            'to_zone':'"&amp;表1_861218222426728894100[[#This Row],[目标区服]]&amp;"',
            'reward':"&amp;表1_861218222426728894100[[#This Row],[辅助导出]]&amp;"
            'country':["&amp;R83&amp;","&amp;R84&amp;","&amp;R85&amp;"],"</f>
        <v>            'to_zone':'h1_589',
            'reward':{'coin':1000,'item036':10},
            'country':[0,1,2],</v>
      </c>
    </row>
    <row r="85" customHeight="1" spans="1:25">
      <c r="A85" s="204">
        <v>5203</v>
      </c>
      <c r="B85" s="205">
        <f>VLOOKUP(表1_861218222426728894100[[#This Row],[区服]],$P$143:$Q$190,2,FALSE)</f>
        <v>44</v>
      </c>
      <c r="C85" s="220" t="s">
        <v>233</v>
      </c>
      <c r="D85" s="207" t="str">
        <f>表1_861218222426728894100[[#This Row],[目标国家]]</f>
        <v>吴</v>
      </c>
      <c r="E85" s="208">
        <f>(VLOOKUP(表1_861218222426728894100[[#This Row],[目标区服]],$R$143:$S$169,2,FALSE)-表1_861218222426728894100[[#This Row],[开服天数]])*配置!$B$1</f>
        <v>1000</v>
      </c>
      <c r="F85" s="208">
        <f>表1_861218222426728894100[[#This Row],[补偿Coin]]*(表1_861218222426728894100[[#This Row],[活跃高战玩家数]]+表1_861218222426728894100[[#This Row],[活跃中坚玩家数]])</f>
        <v>19000</v>
      </c>
      <c r="G85" s="209">
        <f>(VLOOKUP(表1_861218222426728894100[[#This Row],[目标区服]],$R$143:$S$174,2,FALSE)-表1_861218222426728894100[[#This Row],[开服天数]])*配置!$B$2</f>
        <v>10</v>
      </c>
      <c r="H85" s="207" t="s">
        <v>27</v>
      </c>
      <c r="I85" s="230">
        <f>IF(表1_861218222426728894100[[#This Row],[原国家]]="魏",0,IF(表1_861218222426728894100[[#This Row],[原国家]]="蜀",1,2))</f>
        <v>2</v>
      </c>
      <c r="J85" s="208">
        <v>2</v>
      </c>
      <c r="K85" s="208">
        <v>90</v>
      </c>
      <c r="L85" s="208">
        <v>2</v>
      </c>
      <c r="M85" s="208">
        <v>17</v>
      </c>
      <c r="N85" s="208">
        <v>79415</v>
      </c>
      <c r="O85" s="438">
        <v>2272601</v>
      </c>
      <c r="P85" s="347">
        <v>15951812</v>
      </c>
      <c r="Q85" s="31" t="s">
        <v>27</v>
      </c>
      <c r="R85" s="207">
        <f>IF(表1_861218222426728894100[[#This Row],[目标国家]]="魏",0,IF(表1_861218222426728894100[[#This Row],[目标国家]]="蜀",1,2))</f>
        <v>2</v>
      </c>
      <c r="S85" s="208">
        <v>24586</v>
      </c>
      <c r="T85" s="208">
        <v>0</v>
      </c>
      <c r="U85" s="208">
        <v>315052</v>
      </c>
      <c r="V85" s="208">
        <v>6259</v>
      </c>
      <c r="W85" s="443">
        <v>641591</v>
      </c>
      <c r="X85" s="241" t="str">
        <f>"{"&amp;"'coin':"&amp;表1_861218222426728894100[[#This Row],[补偿Coin]]&amp;",'"&amp;配置!$A$2&amp;"':"&amp;表1_861218222426728894100[[#This Row],[补偿辎重]]&amp;"},"</f>
        <v>{'coin':1000,'item036':10},</v>
      </c>
      <c r="Y85" s="241" t="str">
        <f t="shared" ref="Y85" si="6">"      },"</f>
        <v>      },</v>
      </c>
    </row>
    <row r="86" customHeight="1" spans="1:25">
      <c r="A86" s="197">
        <v>5204</v>
      </c>
      <c r="B86" s="197">
        <f>VLOOKUP(表1_861218222426728894100[[#This Row],[区服]],$P$143:$Q$190,2,FALSE)</f>
        <v>43</v>
      </c>
      <c r="C86" s="436" t="s">
        <v>234</v>
      </c>
      <c r="D86" s="201" t="str">
        <f>表1_861218222426728894100[[#This Row],[目标国家]]</f>
        <v>吴</v>
      </c>
      <c r="E86" s="203">
        <f>(VLOOKUP(表1_861218222426728894100[[#This Row],[目标区服]],$R$143:$S$169,2,FALSE)-表1_861218222426728894100[[#This Row],[开服天数]])*配置!$B$1</f>
        <v>1000</v>
      </c>
      <c r="F86" s="203">
        <f>表1_861218222426728894100[[#This Row],[补偿Coin]]*(表1_861218222426728894100[[#This Row],[活跃高战玩家数]]+表1_861218222426728894100[[#This Row],[活跃中坚玩家数]])</f>
        <v>8000</v>
      </c>
      <c r="G86" s="203">
        <f>(VLOOKUP(表1_861218222426728894100[[#This Row],[目标区服]],$R$143:$S$174,2,FALSE)-表1_861218222426728894100[[#This Row],[开服天数]])*配置!$B$2</f>
        <v>10</v>
      </c>
      <c r="H86" s="201" t="s">
        <v>25</v>
      </c>
      <c r="I86" s="201">
        <f>IF(表1_861218222426728894100[[#This Row],[原国家]]="魏",0,IF(表1_861218222426728894100[[#This Row],[原国家]]="蜀",1,2))</f>
        <v>0</v>
      </c>
      <c r="J86" s="203">
        <v>0</v>
      </c>
      <c r="K86" s="203">
        <v>43</v>
      </c>
      <c r="L86" s="203">
        <v>0</v>
      </c>
      <c r="M86" s="203">
        <v>8</v>
      </c>
      <c r="N86" s="203">
        <v>28732</v>
      </c>
      <c r="O86" s="203">
        <v>946484</v>
      </c>
      <c r="P86" s="439">
        <v>3816468</v>
      </c>
      <c r="Q86" s="31" t="s">
        <v>27</v>
      </c>
      <c r="R86" s="201">
        <f>IF(表1_861218222426728894100[[#This Row],[目标国家]]="魏",0,IF(表1_861218222426728894100[[#This Row],[目标国家]]="蜀",1,2))</f>
        <v>2</v>
      </c>
      <c r="S86" s="203">
        <v>610</v>
      </c>
      <c r="T86" s="203">
        <v>0</v>
      </c>
      <c r="U86" s="203">
        <v>118829</v>
      </c>
      <c r="V86" s="203">
        <v>1979</v>
      </c>
      <c r="W86" s="445">
        <v>357898</v>
      </c>
      <c r="X86" s="237" t="str">
        <f>"{"&amp;"'coin':"&amp;表1_861218222426728894100[[#This Row],[补偿Coin]]&amp;",'"&amp;配置!$A$2&amp;"':"&amp;表1_861218222426728894100[[#This Row],[补偿辎重]]&amp;"},"</f>
        <v>{'coin':1000,'item036':10},</v>
      </c>
      <c r="Y86" s="253" t="str">
        <f>"      '"&amp;表1_861218222426728894100[[#This Row],[区服]]&amp;"':{"</f>
        <v>      '5204':{</v>
      </c>
    </row>
    <row r="87" customHeight="1" spans="1:25">
      <c r="A87" s="197">
        <v>5204</v>
      </c>
      <c r="B87" s="197">
        <f>VLOOKUP(表1_861218222426728894100[[#This Row],[区服]],$P$143:$Q$190,2,FALSE)</f>
        <v>43</v>
      </c>
      <c r="C87" s="436" t="s">
        <v>234</v>
      </c>
      <c r="D87" s="201" t="str">
        <f>表1_861218222426728894100[[#This Row],[目标国家]]</f>
        <v>蜀</v>
      </c>
      <c r="E87" s="203">
        <f>(VLOOKUP(表1_861218222426728894100[[#This Row],[目标区服]],$R$143:$S$169,2,FALSE)-表1_861218222426728894100[[#This Row],[开服天数]])*配置!$B$1</f>
        <v>1000</v>
      </c>
      <c r="F87" s="203">
        <f>表1_861218222426728894100[[#This Row],[补偿Coin]]*(表1_861218222426728894100[[#This Row],[活跃高战玩家数]]+表1_861218222426728894100[[#This Row],[活跃中坚玩家数]])</f>
        <v>23000</v>
      </c>
      <c r="G87" s="203">
        <f>(VLOOKUP(表1_861218222426728894100[[#This Row],[目标区服]],$R$143:$S$174,2,FALSE)-表1_861218222426728894100[[#This Row],[开服天数]])*配置!$B$2</f>
        <v>10</v>
      </c>
      <c r="H87" s="201" t="s">
        <v>26</v>
      </c>
      <c r="I87" s="201">
        <f>IF(表1_861218222426728894100[[#This Row],[原国家]]="魏",0,IF(表1_861218222426728894100[[#This Row],[原国家]]="蜀",1,2))</f>
        <v>1</v>
      </c>
      <c r="J87" s="203">
        <v>3</v>
      </c>
      <c r="K87" s="203">
        <v>165</v>
      </c>
      <c r="L87" s="203">
        <v>3</v>
      </c>
      <c r="M87" s="203">
        <v>20</v>
      </c>
      <c r="N87" s="203">
        <v>113296</v>
      </c>
      <c r="O87" s="203">
        <v>1664210</v>
      </c>
      <c r="P87" s="439">
        <v>14473892</v>
      </c>
      <c r="Q87" s="31" t="s">
        <v>26</v>
      </c>
      <c r="R87" s="201">
        <f>IF(表1_861218222426728894100[[#This Row],[目标国家]]="魏",0,IF(表1_861218222426728894100[[#This Row],[目标国家]]="蜀",1,2))</f>
        <v>1</v>
      </c>
      <c r="S87" s="203">
        <v>13246</v>
      </c>
      <c r="T87" s="203">
        <v>0</v>
      </c>
      <c r="U87" s="203">
        <v>270228</v>
      </c>
      <c r="V87" s="203">
        <v>6160</v>
      </c>
      <c r="W87" s="445">
        <v>483313</v>
      </c>
      <c r="X87" s="237" t="str">
        <f>"{"&amp;"'coin':"&amp;表1_861218222426728894100[[#This Row],[补偿Coin]]&amp;",'"&amp;配置!$A$2&amp;"':"&amp;表1_861218222426728894100[[#This Row],[补偿辎重]]&amp;"},"</f>
        <v>{'coin':1000,'item036':10},</v>
      </c>
      <c r="Y87" s="253" t="str">
        <f>"            'to_zone':'"&amp;表1_861218222426728894100[[#This Row],[目标区服]]&amp;"',
            'reward':"&amp;表1_861218222426728894100[[#This Row],[辅助导出]]&amp;"
            'country':["&amp;R86&amp;","&amp;R87&amp;","&amp;R88&amp;"],"</f>
        <v>            'to_zone':'h1_590',
            'reward':{'coin':1000,'item036':10},
            'country':[2,1,0],</v>
      </c>
    </row>
    <row r="88" customHeight="1" spans="1:25">
      <c r="A88" s="197">
        <v>5204</v>
      </c>
      <c r="B88" s="197">
        <f>VLOOKUP(表1_861218222426728894100[[#This Row],[区服]],$P$143:$Q$190,2,FALSE)</f>
        <v>43</v>
      </c>
      <c r="C88" s="436" t="s">
        <v>234</v>
      </c>
      <c r="D88" s="201" t="str">
        <f>表1_861218222426728894100[[#This Row],[目标国家]]</f>
        <v>魏</v>
      </c>
      <c r="E88" s="203">
        <f>(VLOOKUP(表1_861218222426728894100[[#This Row],[目标区服]],$R$143:$S$169,2,FALSE)-表1_861218222426728894100[[#This Row],[开服天数]])*配置!$B$1</f>
        <v>1000</v>
      </c>
      <c r="F88" s="203">
        <f>表1_861218222426728894100[[#This Row],[补偿Coin]]*(表1_861218222426728894100[[#This Row],[活跃高战玩家数]]+表1_861218222426728894100[[#This Row],[活跃中坚玩家数]])</f>
        <v>29000</v>
      </c>
      <c r="G88" s="203">
        <f>(VLOOKUP(表1_861218222426728894100[[#This Row],[目标区服]],$R$143:$S$174,2,FALSE)-表1_861218222426728894100[[#This Row],[开服天数]])*配置!$B$2</f>
        <v>10</v>
      </c>
      <c r="H88" s="201" t="s">
        <v>27</v>
      </c>
      <c r="I88" s="201">
        <f>IF(表1_861218222426728894100[[#This Row],[原国家]]="魏",0,IF(表1_861218222426728894100[[#This Row],[原国家]]="蜀",1,2))</f>
        <v>2</v>
      </c>
      <c r="J88" s="203">
        <v>6</v>
      </c>
      <c r="K88" s="203">
        <v>187</v>
      </c>
      <c r="L88" s="203">
        <v>6</v>
      </c>
      <c r="M88" s="203">
        <v>23</v>
      </c>
      <c r="N88" s="203">
        <v>159001</v>
      </c>
      <c r="O88" s="203">
        <v>2095172</v>
      </c>
      <c r="P88" s="439">
        <v>21614916</v>
      </c>
      <c r="Q88" s="31" t="s">
        <v>25</v>
      </c>
      <c r="R88" s="201">
        <f>IF(表1_861218222426728894100[[#This Row],[目标国家]]="魏",0,IF(表1_861218222426728894100[[#This Row],[目标国家]]="蜀",1,2))</f>
        <v>0</v>
      </c>
      <c r="S88" s="203">
        <v>85726</v>
      </c>
      <c r="T88" s="203">
        <v>0</v>
      </c>
      <c r="U88" s="203">
        <v>945943</v>
      </c>
      <c r="V88" s="203">
        <v>10566</v>
      </c>
      <c r="W88" s="446">
        <v>851753</v>
      </c>
      <c r="X88" s="237" t="str">
        <f>"{"&amp;"'coin':"&amp;表1_861218222426728894100[[#This Row],[补偿Coin]]&amp;",'"&amp;配置!$A$2&amp;"':"&amp;表1_861218222426728894100[[#This Row],[补偿辎重]]&amp;"},"</f>
        <v>{'coin':1000,'item036':10},</v>
      </c>
      <c r="Y88" s="253" t="str">
        <f t="shared" ref="Y88:Y118" si="7">"      },"</f>
        <v>      },</v>
      </c>
    </row>
    <row r="89" customHeight="1" spans="1:25">
      <c r="A89" s="197">
        <v>5205</v>
      </c>
      <c r="B89" s="197">
        <f>VLOOKUP(表1_861218222426728894100[[#This Row],[区服]],$P$143:$Q$190,2,FALSE)</f>
        <v>43</v>
      </c>
      <c r="C89" s="436" t="s">
        <v>234</v>
      </c>
      <c r="D89" s="201" t="str">
        <f>表1_861218222426728894100[[#This Row],[目标国家]]</f>
        <v>魏</v>
      </c>
      <c r="E89" s="203">
        <f>(VLOOKUP(表1_861218222426728894100[[#This Row],[目标区服]],$R$143:$S$169,2,FALSE)-表1_861218222426728894100[[#This Row],[开服天数]])*配置!$B$1</f>
        <v>1000</v>
      </c>
      <c r="F89" s="203">
        <f>表1_861218222426728894100[[#This Row],[补偿Coin]]*(表1_861218222426728894100[[#This Row],[活跃高战玩家数]]+表1_861218222426728894100[[#This Row],[活跃中坚玩家数]])</f>
        <v>11000</v>
      </c>
      <c r="G89" s="203">
        <f>(VLOOKUP(表1_861218222426728894100[[#This Row],[目标区服]],$R$143:$S$174,2,FALSE)-表1_861218222426728894100[[#This Row],[开服天数]])*配置!$B$2</f>
        <v>10</v>
      </c>
      <c r="H89" s="201" t="s">
        <v>25</v>
      </c>
      <c r="I89" s="201">
        <f>IF(表1_861218222426728894100[[#This Row],[原国家]]="魏",0,IF(表1_861218222426728894100[[#This Row],[原国家]]="蜀",1,2))</f>
        <v>0</v>
      </c>
      <c r="J89" s="203">
        <v>0</v>
      </c>
      <c r="K89" s="203">
        <v>24</v>
      </c>
      <c r="L89" s="203">
        <v>0</v>
      </c>
      <c r="M89" s="203">
        <v>11</v>
      </c>
      <c r="N89" s="203">
        <v>35939</v>
      </c>
      <c r="O89" s="203">
        <v>562042</v>
      </c>
      <c r="P89" s="439">
        <v>3595588</v>
      </c>
      <c r="Q89" s="31" t="s">
        <v>25</v>
      </c>
      <c r="R89" s="201">
        <f>IF(表1_861218222426728894100[[#This Row],[目标国家]]="魏",0,IF(表1_861218222426728894100[[#This Row],[目标国家]]="蜀",1,2))</f>
        <v>0</v>
      </c>
      <c r="S89" s="203">
        <v>2156</v>
      </c>
      <c r="T89" s="203">
        <v>0</v>
      </c>
      <c r="U89" s="203">
        <v>145389</v>
      </c>
      <c r="V89" s="203">
        <v>1478</v>
      </c>
      <c r="W89" s="445">
        <v>155013</v>
      </c>
      <c r="X89" s="237" t="str">
        <f>"{"&amp;"'coin':"&amp;表1_861218222426728894100[[#This Row],[补偿Coin]]&amp;",'"&amp;配置!$A$2&amp;"':"&amp;表1_861218222426728894100[[#This Row],[补偿辎重]]&amp;"},"</f>
        <v>{'coin':1000,'item036':10},</v>
      </c>
      <c r="Y89" s="253" t="str">
        <f>"      '"&amp;表1_861218222426728894100[[#This Row],[区服]]&amp;"':{"</f>
        <v>      '5205':{</v>
      </c>
    </row>
    <row r="90" customHeight="1" spans="1:25">
      <c r="A90" s="197">
        <v>5205</v>
      </c>
      <c r="B90" s="197">
        <f>VLOOKUP(表1_861218222426728894100[[#This Row],[区服]],$P$143:$Q$190,2,FALSE)</f>
        <v>43</v>
      </c>
      <c r="C90" s="436" t="s">
        <v>234</v>
      </c>
      <c r="D90" s="201" t="str">
        <f>表1_861218222426728894100[[#This Row],[目标国家]]</f>
        <v>吴</v>
      </c>
      <c r="E90" s="203">
        <f>(VLOOKUP(表1_861218222426728894100[[#This Row],[目标区服]],$R$143:$S$169,2,FALSE)-表1_861218222426728894100[[#This Row],[开服天数]])*配置!$B$1</f>
        <v>1000</v>
      </c>
      <c r="F90" s="203">
        <f>表1_861218222426728894100[[#This Row],[补偿Coin]]*(表1_861218222426728894100[[#This Row],[活跃高战玩家数]]+表1_861218222426728894100[[#This Row],[活跃中坚玩家数]])</f>
        <v>8000</v>
      </c>
      <c r="G90" s="203">
        <f>(VLOOKUP(表1_861218222426728894100[[#This Row],[目标区服]],$R$143:$S$174,2,FALSE)-表1_861218222426728894100[[#This Row],[开服天数]])*配置!$B$2</f>
        <v>10</v>
      </c>
      <c r="H90" s="201" t="s">
        <v>26</v>
      </c>
      <c r="I90" s="201">
        <f>IF(表1_861218222426728894100[[#This Row],[原国家]]="魏",0,IF(表1_861218222426728894100[[#This Row],[原国家]]="蜀",1,2))</f>
        <v>1</v>
      </c>
      <c r="J90" s="203">
        <v>0</v>
      </c>
      <c r="K90" s="203">
        <v>26</v>
      </c>
      <c r="L90" s="203">
        <v>0</v>
      </c>
      <c r="M90" s="203">
        <v>8</v>
      </c>
      <c r="N90" s="203">
        <v>21520</v>
      </c>
      <c r="O90" s="203">
        <v>473092</v>
      </c>
      <c r="P90" s="439">
        <v>2272253</v>
      </c>
      <c r="Q90" s="31" t="s">
        <v>27</v>
      </c>
      <c r="R90" s="201">
        <f>IF(表1_861218222426728894100[[#This Row],[目标国家]]="魏",0,IF(表1_861218222426728894100[[#This Row],[目标国家]]="蜀",1,2))</f>
        <v>2</v>
      </c>
      <c r="S90" s="203">
        <v>450</v>
      </c>
      <c r="T90" s="203">
        <v>0</v>
      </c>
      <c r="U90" s="203">
        <v>43639</v>
      </c>
      <c r="V90" s="203">
        <v>1103</v>
      </c>
      <c r="W90" s="445">
        <v>285747</v>
      </c>
      <c r="X90" s="237" t="str">
        <f>"{"&amp;"'coin':"&amp;表1_861218222426728894100[[#This Row],[补偿Coin]]&amp;",'"&amp;配置!$A$2&amp;"':"&amp;表1_861218222426728894100[[#This Row],[补偿辎重]]&amp;"},"</f>
        <v>{'coin':1000,'item036':10},</v>
      </c>
      <c r="Y90" s="253" t="str">
        <f>"            'to_zone':'"&amp;表1_861218222426728894100[[#This Row],[目标区服]]&amp;"',
            'reward':"&amp;表1_861218222426728894100[[#This Row],[辅助导出]]&amp;"
            'country':["&amp;R89&amp;","&amp;R90&amp;","&amp;R91&amp;"],"</f>
        <v>            'to_zone':'h1_590',
            'reward':{'coin':1000,'item036':10},
            'country':[0,2,2],</v>
      </c>
    </row>
    <row r="91" customHeight="1" spans="1:25">
      <c r="A91" s="197">
        <v>5205</v>
      </c>
      <c r="B91" s="197">
        <f>VLOOKUP(表1_861218222426728894100[[#This Row],[区服]],$P$143:$Q$190,2,FALSE)</f>
        <v>43</v>
      </c>
      <c r="C91" s="436" t="s">
        <v>234</v>
      </c>
      <c r="D91" s="201" t="str">
        <f>表1_861218222426728894100[[#This Row],[目标国家]]</f>
        <v>吴</v>
      </c>
      <c r="E91" s="203">
        <f>(VLOOKUP(表1_861218222426728894100[[#This Row],[目标区服]],$R$143:$S$169,2,FALSE)-表1_861218222426728894100[[#This Row],[开服天数]])*配置!$B$1</f>
        <v>1000</v>
      </c>
      <c r="F91" s="203">
        <f>表1_861218222426728894100[[#This Row],[补偿Coin]]*(表1_861218222426728894100[[#This Row],[活跃高战玩家数]]+表1_861218222426728894100[[#This Row],[活跃中坚玩家数]])</f>
        <v>28000</v>
      </c>
      <c r="G91" s="203">
        <f>(VLOOKUP(表1_861218222426728894100[[#This Row],[目标区服]],$R$143:$S$174,2,FALSE)-表1_861218222426728894100[[#This Row],[开服天数]])*配置!$B$2</f>
        <v>10</v>
      </c>
      <c r="H91" s="201" t="s">
        <v>27</v>
      </c>
      <c r="I91" s="201">
        <f>IF(表1_861218222426728894100[[#This Row],[原国家]]="魏",0,IF(表1_861218222426728894100[[#This Row],[原国家]]="蜀",1,2))</f>
        <v>2</v>
      </c>
      <c r="J91" s="203">
        <v>9</v>
      </c>
      <c r="K91" s="203">
        <v>345</v>
      </c>
      <c r="L91" s="203">
        <v>10</v>
      </c>
      <c r="M91" s="203">
        <v>18</v>
      </c>
      <c r="N91" s="203">
        <v>190760</v>
      </c>
      <c r="O91" s="203">
        <v>3298207</v>
      </c>
      <c r="P91" s="439">
        <v>28795808</v>
      </c>
      <c r="Q91" s="31" t="s">
        <v>27</v>
      </c>
      <c r="R91" s="201">
        <f>IF(表1_861218222426728894100[[#This Row],[目标国家]]="魏",0,IF(表1_861218222426728894100[[#This Row],[目标国家]]="蜀",1,2))</f>
        <v>2</v>
      </c>
      <c r="S91" s="203">
        <v>96844</v>
      </c>
      <c r="T91" s="203">
        <v>0</v>
      </c>
      <c r="U91" s="203">
        <v>390836</v>
      </c>
      <c r="V91" s="203">
        <v>14582</v>
      </c>
      <c r="W91" s="446">
        <v>827272</v>
      </c>
      <c r="X91" s="237" t="str">
        <f>"{"&amp;"'coin':"&amp;表1_861218222426728894100[[#This Row],[补偿Coin]]&amp;",'"&amp;配置!$A$2&amp;"':"&amp;表1_861218222426728894100[[#This Row],[补偿辎重]]&amp;"},"</f>
        <v>{'coin':1000,'item036':10},</v>
      </c>
      <c r="Y91" s="253" t="str">
        <f t="shared" ref="Y91:Y115" si="8">"      },"</f>
        <v>      },</v>
      </c>
    </row>
    <row r="92" customHeight="1" spans="1:25">
      <c r="A92" s="197">
        <v>5206</v>
      </c>
      <c r="B92" s="197">
        <f>VLOOKUP(表1_861218222426728894100[[#This Row],[区服]],$P$143:$Q$190,2,FALSE)</f>
        <v>43</v>
      </c>
      <c r="C92" s="436" t="s">
        <v>234</v>
      </c>
      <c r="D92" s="201" t="str">
        <f>表1_861218222426728894100[[#This Row],[目标国家]]</f>
        <v>魏</v>
      </c>
      <c r="E92" s="203">
        <f>(VLOOKUP(表1_861218222426728894100[[#This Row],[目标区服]],$R$143:$S$169,2,FALSE)-表1_861218222426728894100[[#This Row],[开服天数]])*配置!$B$1</f>
        <v>1000</v>
      </c>
      <c r="F92" s="203">
        <f>表1_861218222426728894100[[#This Row],[补偿Coin]]*(表1_861218222426728894100[[#This Row],[活跃高战玩家数]]+表1_861218222426728894100[[#This Row],[活跃中坚玩家数]])</f>
        <v>20000</v>
      </c>
      <c r="G92" s="203">
        <f>(VLOOKUP(表1_861218222426728894100[[#This Row],[目标区服]],$R$143:$S$174,2,FALSE)-表1_861218222426728894100[[#This Row],[开服天数]])*配置!$B$2</f>
        <v>10</v>
      </c>
      <c r="H92" s="201" t="s">
        <v>25</v>
      </c>
      <c r="I92" s="201">
        <f>IF(表1_861218222426728894100[[#This Row],[原国家]]="魏",0,IF(表1_861218222426728894100[[#This Row],[原国家]]="蜀",1,2))</f>
        <v>0</v>
      </c>
      <c r="J92" s="203">
        <v>2</v>
      </c>
      <c r="K92" s="203">
        <v>103</v>
      </c>
      <c r="L92" s="203">
        <v>2</v>
      </c>
      <c r="M92" s="203">
        <v>18</v>
      </c>
      <c r="N92" s="203">
        <v>70634</v>
      </c>
      <c r="O92" s="203">
        <v>1778718</v>
      </c>
      <c r="P92" s="439">
        <v>12155606</v>
      </c>
      <c r="Q92" s="31" t="s">
        <v>25</v>
      </c>
      <c r="R92" s="201">
        <f>IF(表1_861218222426728894100[[#This Row],[目标国家]]="魏",0,IF(表1_861218222426728894100[[#This Row],[目标国家]]="蜀",1,2))</f>
        <v>0</v>
      </c>
      <c r="S92" s="203">
        <v>18060</v>
      </c>
      <c r="T92" s="203">
        <v>0</v>
      </c>
      <c r="U92" s="203">
        <v>124267</v>
      </c>
      <c r="V92" s="203">
        <v>5181</v>
      </c>
      <c r="W92" s="445">
        <v>573787</v>
      </c>
      <c r="X92" s="237" t="str">
        <f>"{"&amp;"'coin':"&amp;表1_861218222426728894100[[#This Row],[补偿Coin]]&amp;",'"&amp;配置!$A$2&amp;"':"&amp;表1_861218222426728894100[[#This Row],[补偿辎重]]&amp;"},"</f>
        <v>{'coin':1000,'item036':10},</v>
      </c>
      <c r="Y92" s="253" t="str">
        <f>"      '"&amp;表1_861218222426728894100[[#This Row],[区服]]&amp;"':{"</f>
        <v>      '5206':{</v>
      </c>
    </row>
    <row r="93" customHeight="1" spans="1:25">
      <c r="A93" s="197">
        <v>5206</v>
      </c>
      <c r="B93" s="197">
        <f>VLOOKUP(表1_861218222426728894100[[#This Row],[区服]],$P$143:$Q$190,2,FALSE)</f>
        <v>43</v>
      </c>
      <c r="C93" s="436" t="s">
        <v>234</v>
      </c>
      <c r="D93" s="201" t="str">
        <f>表1_861218222426728894100[[#This Row],[目标国家]]</f>
        <v>蜀</v>
      </c>
      <c r="E93" s="203">
        <f>(VLOOKUP(表1_861218222426728894100[[#This Row],[目标区服]],$R$143:$S$169,2,FALSE)-表1_861218222426728894100[[#This Row],[开服天数]])*配置!$B$1</f>
        <v>1000</v>
      </c>
      <c r="F93" s="203">
        <f>表1_861218222426728894100[[#This Row],[补偿Coin]]*(表1_861218222426728894100[[#This Row],[活跃高战玩家数]]+表1_861218222426728894100[[#This Row],[活跃中坚玩家数]])</f>
        <v>35000</v>
      </c>
      <c r="G93" s="203">
        <f>(VLOOKUP(表1_861218222426728894100[[#This Row],[目标区服]],$R$143:$S$174,2,FALSE)-表1_861218222426728894100[[#This Row],[开服天数]])*配置!$B$2</f>
        <v>10</v>
      </c>
      <c r="H93" s="201" t="s">
        <v>26</v>
      </c>
      <c r="I93" s="201">
        <f>IF(表1_861218222426728894100[[#This Row],[原国家]]="魏",0,IF(表1_861218222426728894100[[#This Row],[原国家]]="蜀",1,2))</f>
        <v>1</v>
      </c>
      <c r="J93" s="203">
        <v>7</v>
      </c>
      <c r="K93" s="203">
        <v>269</v>
      </c>
      <c r="L93" s="203">
        <v>7</v>
      </c>
      <c r="M93" s="203">
        <v>28</v>
      </c>
      <c r="N93" s="203">
        <v>170178</v>
      </c>
      <c r="O93" s="203">
        <v>2315940</v>
      </c>
      <c r="P93" s="439">
        <v>27534227</v>
      </c>
      <c r="Q93" s="31" t="s">
        <v>26</v>
      </c>
      <c r="R93" s="201">
        <f>IF(表1_861218222426728894100[[#This Row],[目标国家]]="魏",0,IF(表1_861218222426728894100[[#This Row],[目标国家]]="蜀",1,2))</f>
        <v>1</v>
      </c>
      <c r="S93" s="203">
        <v>84218</v>
      </c>
      <c r="T93" s="203">
        <v>0</v>
      </c>
      <c r="U93" s="203">
        <v>470938</v>
      </c>
      <c r="V93" s="203">
        <v>12072</v>
      </c>
      <c r="W93" s="446">
        <v>610739</v>
      </c>
      <c r="X93" s="237" t="str">
        <f>"{"&amp;"'coin':"&amp;表1_861218222426728894100[[#This Row],[补偿Coin]]&amp;",'"&amp;配置!$A$2&amp;"':"&amp;表1_861218222426728894100[[#This Row],[补偿辎重]]&amp;"},"</f>
        <v>{'coin':1000,'item036':10},</v>
      </c>
      <c r="Y93" s="253" t="str">
        <f>"            'to_zone':'"&amp;表1_861218222426728894100[[#This Row],[目标区服]]&amp;"',
            'reward':"&amp;表1_861218222426728894100[[#This Row],[辅助导出]]&amp;"
            'country':["&amp;R92&amp;","&amp;R93&amp;","&amp;R94&amp;"],"</f>
        <v>            'to_zone':'h1_590',
            'reward':{'coin':1000,'item036':10},
            'country':[0,1,0],</v>
      </c>
    </row>
    <row r="94" customHeight="1" spans="1:25">
      <c r="A94" s="197">
        <v>5206</v>
      </c>
      <c r="B94" s="197">
        <f>VLOOKUP(表1_861218222426728894100[[#This Row],[区服]],$P$143:$Q$190,2,FALSE)</f>
        <v>43</v>
      </c>
      <c r="C94" s="436" t="s">
        <v>234</v>
      </c>
      <c r="D94" s="201" t="str">
        <f>表1_861218222426728894100[[#This Row],[目标国家]]</f>
        <v>魏</v>
      </c>
      <c r="E94" s="203">
        <f>(VLOOKUP(表1_861218222426728894100[[#This Row],[目标区服]],$R$143:$S$169,2,FALSE)-表1_861218222426728894100[[#This Row],[开服天数]])*配置!$B$1</f>
        <v>1000</v>
      </c>
      <c r="F94" s="203">
        <f>表1_861218222426728894100[[#This Row],[补偿Coin]]*(表1_861218222426728894100[[#This Row],[活跃高战玩家数]]+表1_861218222426728894100[[#This Row],[活跃中坚玩家数]])</f>
        <v>14000</v>
      </c>
      <c r="G94" s="203">
        <f>(VLOOKUP(表1_861218222426728894100[[#This Row],[目标区服]],$R$143:$S$174,2,FALSE)-表1_861218222426728894100[[#This Row],[开服天数]])*配置!$B$2</f>
        <v>10</v>
      </c>
      <c r="H94" s="201" t="s">
        <v>27</v>
      </c>
      <c r="I94" s="201">
        <f>IF(表1_861218222426728894100[[#This Row],[原国家]]="魏",0,IF(表1_861218222426728894100[[#This Row],[原国家]]="蜀",1,2))</f>
        <v>2</v>
      </c>
      <c r="J94" s="203">
        <v>0</v>
      </c>
      <c r="K94" s="203">
        <v>23</v>
      </c>
      <c r="L94" s="203">
        <v>1</v>
      </c>
      <c r="M94" s="203">
        <v>13</v>
      </c>
      <c r="N94" s="203">
        <v>62538</v>
      </c>
      <c r="O94" s="203">
        <v>1286522</v>
      </c>
      <c r="P94" s="439">
        <v>8991705</v>
      </c>
      <c r="Q94" s="31" t="s">
        <v>25</v>
      </c>
      <c r="R94" s="201">
        <f>IF(表1_861218222426728894100[[#This Row],[目标国家]]="魏",0,IF(表1_861218222426728894100[[#This Row],[目标国家]]="蜀",1,2))</f>
        <v>0</v>
      </c>
      <c r="S94" s="203">
        <v>6922</v>
      </c>
      <c r="T94" s="203">
        <v>0</v>
      </c>
      <c r="U94" s="203">
        <v>76515</v>
      </c>
      <c r="V94" s="203">
        <v>2974</v>
      </c>
      <c r="W94" s="445">
        <v>407458</v>
      </c>
      <c r="X94" s="237" t="str">
        <f>"{"&amp;"'coin':"&amp;表1_861218222426728894100[[#This Row],[补偿Coin]]&amp;",'"&amp;配置!$A$2&amp;"':"&amp;表1_861218222426728894100[[#This Row],[补偿辎重]]&amp;"},"</f>
        <v>{'coin':1000,'item036':10},</v>
      </c>
      <c r="Y94" s="253" t="str">
        <f t="shared" si="7"/>
        <v>      },</v>
      </c>
    </row>
    <row r="95" customHeight="1" spans="1:25">
      <c r="A95" s="259">
        <v>5207</v>
      </c>
      <c r="B95" s="210">
        <f>VLOOKUP(表1_861218222426728894100[[#This Row],[区服]],$P$143:$Q$190,2,FALSE)</f>
        <v>43</v>
      </c>
      <c r="C95" s="311" t="s">
        <v>235</v>
      </c>
      <c r="D95" s="212" t="str">
        <f>表1_861218222426728894100[[#This Row],[目标国家]]</f>
        <v>吴</v>
      </c>
      <c r="E95" s="437">
        <f>(VLOOKUP(表1_861218222426728894100[[#This Row],[目标区服]],$R$143:$S$169,2,FALSE)-表1_861218222426728894100[[#This Row],[开服天数]])*配置!$B$1</f>
        <v>1000</v>
      </c>
      <c r="F95" s="213">
        <f>表1_861218222426728894100[[#This Row],[补偿Coin]]*(表1_861218222426728894100[[#This Row],[活跃高战玩家数]]+表1_861218222426728894100[[#This Row],[活跃中坚玩家数]])</f>
        <v>17000</v>
      </c>
      <c r="G95" s="260">
        <f>(VLOOKUP(表1_861218222426728894100[[#This Row],[目标区服]],$R$143:$S$174,2,FALSE)-表1_861218222426728894100[[#This Row],[开服天数]])*配置!$B$2</f>
        <v>10</v>
      </c>
      <c r="H95" s="212" t="s">
        <v>25</v>
      </c>
      <c r="I95" s="268">
        <f>IF(表1_861218222426728894100[[#This Row],[原国家]]="魏",0,IF(表1_861218222426728894100[[#This Row],[原国家]]="蜀",1,2))</f>
        <v>0</v>
      </c>
      <c r="J95" s="213">
        <v>0</v>
      </c>
      <c r="K95" s="213">
        <v>37</v>
      </c>
      <c r="L95" s="213">
        <v>1</v>
      </c>
      <c r="M95" s="213">
        <v>16</v>
      </c>
      <c r="N95" s="213">
        <v>73586</v>
      </c>
      <c r="O95" s="419">
        <v>1259075</v>
      </c>
      <c r="P95" s="420">
        <v>10395773</v>
      </c>
      <c r="Q95" s="31" t="s">
        <v>27</v>
      </c>
      <c r="R95" s="212">
        <f>IF(表1_861218222426728894100[[#This Row],[目标国家]]="魏",0,IF(表1_861218222426728894100[[#This Row],[目标国家]]="蜀",1,2))</f>
        <v>2</v>
      </c>
      <c r="S95" s="213">
        <v>15584</v>
      </c>
      <c r="T95" s="213">
        <v>0</v>
      </c>
      <c r="U95" s="213">
        <v>110550</v>
      </c>
      <c r="V95" s="213">
        <v>3559</v>
      </c>
      <c r="W95" s="447">
        <v>416128</v>
      </c>
      <c r="X95" s="278" t="str">
        <f>"{"&amp;"'coin':"&amp;表1_861218222426728894100[[#This Row],[补偿Coin]]&amp;",'"&amp;配置!$A$2&amp;"':"&amp;表1_861218222426728894100[[#This Row],[补偿辎重]]&amp;"},"</f>
        <v>{'coin':1000,'item036':10},</v>
      </c>
      <c r="Y95" s="254" t="str">
        <f>"      '"&amp;表1_861218222426728894100[[#This Row],[区服]]&amp;"':{"</f>
        <v>      '5207':{</v>
      </c>
    </row>
    <row r="96" customHeight="1" spans="1:25">
      <c r="A96" s="259">
        <v>5207</v>
      </c>
      <c r="B96" s="210">
        <f>VLOOKUP(表1_861218222426728894100[[#This Row],[区服]],$P$143:$Q$190,2,FALSE)</f>
        <v>43</v>
      </c>
      <c r="C96" s="311" t="s">
        <v>235</v>
      </c>
      <c r="D96" s="212" t="str">
        <f>表1_861218222426728894100[[#This Row],[目标国家]]</f>
        <v>蜀</v>
      </c>
      <c r="E96" s="437">
        <f>(VLOOKUP(表1_861218222426728894100[[#This Row],[目标区服]],$R$143:$S$169,2,FALSE)-表1_861218222426728894100[[#This Row],[开服天数]])*配置!$B$1</f>
        <v>1000</v>
      </c>
      <c r="F96" s="213">
        <f>表1_861218222426728894100[[#This Row],[补偿Coin]]*(表1_861218222426728894100[[#This Row],[活跃高战玩家数]]+表1_861218222426728894100[[#This Row],[活跃中坚玩家数]])</f>
        <v>24000</v>
      </c>
      <c r="G96" s="260">
        <f>(VLOOKUP(表1_861218222426728894100[[#This Row],[目标区服]],$R$143:$S$174,2,FALSE)-表1_861218222426728894100[[#This Row],[开服天数]])*配置!$B$2</f>
        <v>10</v>
      </c>
      <c r="H96" s="212" t="s">
        <v>26</v>
      </c>
      <c r="I96" s="268">
        <f>IF(表1_861218222426728894100[[#This Row],[原国家]]="魏",0,IF(表1_861218222426728894100[[#This Row],[原国家]]="蜀",1,2))</f>
        <v>1</v>
      </c>
      <c r="J96" s="213">
        <v>9</v>
      </c>
      <c r="K96" s="213">
        <v>329</v>
      </c>
      <c r="L96" s="213">
        <v>5</v>
      </c>
      <c r="M96" s="213">
        <v>19</v>
      </c>
      <c r="N96" s="213">
        <v>104619</v>
      </c>
      <c r="O96" s="419">
        <v>4568639</v>
      </c>
      <c r="P96" s="420">
        <v>23239075</v>
      </c>
      <c r="Q96" s="31" t="s">
        <v>26</v>
      </c>
      <c r="R96" s="212">
        <f>IF(表1_861218222426728894100[[#This Row],[目标国家]]="魏",0,IF(表1_861218222426728894100[[#This Row],[目标国家]]="蜀",1,2))</f>
        <v>1</v>
      </c>
      <c r="S96" s="213">
        <v>245604</v>
      </c>
      <c r="T96" s="213">
        <v>0</v>
      </c>
      <c r="U96" s="213">
        <v>884635</v>
      </c>
      <c r="V96" s="213">
        <v>19416</v>
      </c>
      <c r="W96" s="448">
        <v>1177510</v>
      </c>
      <c r="X96" s="278" t="str">
        <f>"{"&amp;"'coin':"&amp;表1_861218222426728894100[[#This Row],[补偿Coin]]&amp;",'"&amp;配置!$A$2&amp;"':"&amp;表1_861218222426728894100[[#This Row],[补偿辎重]]&amp;"},"</f>
        <v>{'coin':1000,'item036':10},</v>
      </c>
      <c r="Y96" s="254" t="str">
        <f>"            'to_zone':'"&amp;表1_861218222426728894100[[#This Row],[目标区服]]&amp;"',
            'reward':"&amp;表1_861218222426728894100[[#This Row],[辅助导出]]&amp;"
            'country':["&amp;R95&amp;","&amp;R96&amp;","&amp;R97&amp;"],"</f>
        <v>            'to_zone':'h1_591',
            'reward':{'coin':1000,'item036':10},
            'country':[2,1,2],</v>
      </c>
    </row>
    <row r="97" customHeight="1" spans="1:25">
      <c r="A97" s="259">
        <v>5207</v>
      </c>
      <c r="B97" s="210">
        <f>VLOOKUP(表1_861218222426728894100[[#This Row],[区服]],$P$143:$Q$190,2,FALSE)</f>
        <v>43</v>
      </c>
      <c r="C97" s="311" t="s">
        <v>235</v>
      </c>
      <c r="D97" s="212" t="str">
        <f>表1_861218222426728894100[[#This Row],[目标国家]]</f>
        <v>吴</v>
      </c>
      <c r="E97" s="437">
        <f>(VLOOKUP(表1_861218222426728894100[[#This Row],[目标区服]],$R$143:$S$169,2,FALSE)-表1_861218222426728894100[[#This Row],[开服天数]])*配置!$B$1</f>
        <v>1000</v>
      </c>
      <c r="F97" s="213">
        <f>表1_861218222426728894100[[#This Row],[补偿Coin]]*(表1_861218222426728894100[[#This Row],[活跃高战玩家数]]+表1_861218222426728894100[[#This Row],[活跃中坚玩家数]])</f>
        <v>19000</v>
      </c>
      <c r="G97" s="260">
        <f>(VLOOKUP(表1_861218222426728894100[[#This Row],[目标区服]],$R$143:$S$174,2,FALSE)-表1_861218222426728894100[[#This Row],[开服天数]])*配置!$B$2</f>
        <v>10</v>
      </c>
      <c r="H97" s="212" t="s">
        <v>27</v>
      </c>
      <c r="I97" s="268">
        <f>IF(表1_861218222426728894100[[#This Row],[原国家]]="魏",0,IF(表1_861218222426728894100[[#This Row],[原国家]]="蜀",1,2))</f>
        <v>2</v>
      </c>
      <c r="J97" s="213">
        <v>0</v>
      </c>
      <c r="K97" s="213">
        <v>29</v>
      </c>
      <c r="L97" s="213">
        <v>4</v>
      </c>
      <c r="M97" s="213">
        <v>15</v>
      </c>
      <c r="N97" s="213">
        <v>91200</v>
      </c>
      <c r="O97" s="419">
        <v>2342293</v>
      </c>
      <c r="P97" s="420">
        <v>14014821</v>
      </c>
      <c r="Q97" s="31" t="s">
        <v>27</v>
      </c>
      <c r="R97" s="212">
        <f>IF(表1_861218222426728894100[[#This Row],[目标国家]]="魏",0,IF(表1_861218222426728894100[[#This Row],[目标国家]]="蜀",1,2))</f>
        <v>2</v>
      </c>
      <c r="S97" s="213">
        <v>41478</v>
      </c>
      <c r="T97" s="213">
        <v>0</v>
      </c>
      <c r="U97" s="213">
        <v>173581</v>
      </c>
      <c r="V97" s="213">
        <v>5820</v>
      </c>
      <c r="W97" s="448">
        <v>688556</v>
      </c>
      <c r="X97" s="278" t="str">
        <f>"{"&amp;"'coin':"&amp;表1_861218222426728894100[[#This Row],[补偿Coin]]&amp;",'"&amp;配置!$A$2&amp;"':"&amp;表1_861218222426728894100[[#This Row],[补偿辎重]]&amp;"},"</f>
        <v>{'coin':1000,'item036':10},</v>
      </c>
      <c r="Y97" s="254" t="str">
        <f t="shared" si="8"/>
        <v>      },</v>
      </c>
    </row>
    <row r="98" customHeight="1" spans="1:25">
      <c r="A98" s="259">
        <v>5208</v>
      </c>
      <c r="B98" s="210">
        <f>VLOOKUP(表1_861218222426728894100[[#This Row],[区服]],$P$143:$Q$190,2,FALSE)</f>
        <v>43</v>
      </c>
      <c r="C98" s="311" t="s">
        <v>235</v>
      </c>
      <c r="D98" s="212" t="str">
        <f>表1_861218222426728894100[[#This Row],[目标国家]]</f>
        <v>魏</v>
      </c>
      <c r="E98" s="437">
        <f>(VLOOKUP(表1_861218222426728894100[[#This Row],[目标区服]],$R$143:$S$169,2,FALSE)-表1_861218222426728894100[[#This Row],[开服天数]])*配置!$B$1</f>
        <v>1000</v>
      </c>
      <c r="F98" s="213">
        <f>表1_861218222426728894100[[#This Row],[补偿Coin]]*(表1_861218222426728894100[[#This Row],[活跃高战玩家数]]+表1_861218222426728894100[[#This Row],[活跃中坚玩家数]])</f>
        <v>14000</v>
      </c>
      <c r="G98" s="260">
        <f>(VLOOKUP(表1_861218222426728894100[[#This Row],[目标区服]],$R$143:$S$174,2,FALSE)-表1_861218222426728894100[[#This Row],[开服天数]])*配置!$B$2</f>
        <v>10</v>
      </c>
      <c r="H98" s="212" t="s">
        <v>25</v>
      </c>
      <c r="I98" s="268">
        <f>IF(表1_861218222426728894100[[#This Row],[原国家]]="魏",0,IF(表1_861218222426728894100[[#This Row],[原国家]]="蜀",1,2))</f>
        <v>0</v>
      </c>
      <c r="J98" s="213">
        <v>0</v>
      </c>
      <c r="K98" s="213">
        <v>63</v>
      </c>
      <c r="L98" s="213">
        <v>4</v>
      </c>
      <c r="M98" s="213">
        <v>10</v>
      </c>
      <c r="N98" s="213">
        <v>85349</v>
      </c>
      <c r="O98" s="419">
        <v>1724527</v>
      </c>
      <c r="P98" s="420">
        <v>10502989</v>
      </c>
      <c r="Q98" s="31" t="s">
        <v>25</v>
      </c>
      <c r="R98" s="212">
        <f>IF(表1_861218222426728894100[[#This Row],[目标国家]]="魏",0,IF(表1_861218222426728894100[[#This Row],[目标国家]]="蜀",1,2))</f>
        <v>0</v>
      </c>
      <c r="S98" s="213">
        <v>50114</v>
      </c>
      <c r="T98" s="213">
        <v>0</v>
      </c>
      <c r="U98" s="213">
        <v>72413</v>
      </c>
      <c r="V98" s="213">
        <v>5371</v>
      </c>
      <c r="W98" s="447">
        <v>467844</v>
      </c>
      <c r="X98" s="278" t="str">
        <f>"{"&amp;"'coin':"&amp;表1_861218222426728894100[[#This Row],[补偿Coin]]&amp;",'"&amp;配置!$A$2&amp;"':"&amp;表1_861218222426728894100[[#This Row],[补偿辎重]]&amp;"},"</f>
        <v>{'coin':1000,'item036':10},</v>
      </c>
      <c r="Y98" s="254" t="str">
        <f>"      '"&amp;表1_861218222426728894100[[#This Row],[区服]]&amp;"':{"</f>
        <v>      '5208':{</v>
      </c>
    </row>
    <row r="99" customHeight="1" spans="1:25">
      <c r="A99" s="259">
        <v>5208</v>
      </c>
      <c r="B99" s="210">
        <f>VLOOKUP(表1_861218222426728894100[[#This Row],[区服]],$P$143:$Q$190,2,FALSE)</f>
        <v>43</v>
      </c>
      <c r="C99" s="311" t="s">
        <v>235</v>
      </c>
      <c r="D99" s="212" t="str">
        <f>表1_861218222426728894100[[#This Row],[目标国家]]</f>
        <v>吴</v>
      </c>
      <c r="E99" s="437">
        <f>(VLOOKUP(表1_861218222426728894100[[#This Row],[目标区服]],$R$143:$S$169,2,FALSE)-表1_861218222426728894100[[#This Row],[开服天数]])*配置!$B$1</f>
        <v>1000</v>
      </c>
      <c r="F99" s="213">
        <f>表1_861218222426728894100[[#This Row],[补偿Coin]]*(表1_861218222426728894100[[#This Row],[活跃高战玩家数]]+表1_861218222426728894100[[#This Row],[活跃中坚玩家数]])</f>
        <v>24000</v>
      </c>
      <c r="G99" s="260">
        <f>(VLOOKUP(表1_861218222426728894100[[#This Row],[目标区服]],$R$143:$S$174,2,FALSE)-表1_861218222426728894100[[#This Row],[开服天数]])*配置!$B$2</f>
        <v>10</v>
      </c>
      <c r="H99" s="212" t="s">
        <v>26</v>
      </c>
      <c r="I99" s="268">
        <f>IF(表1_861218222426728894100[[#This Row],[原国家]]="魏",0,IF(表1_861218222426728894100[[#This Row],[原国家]]="蜀",1,2))</f>
        <v>1</v>
      </c>
      <c r="J99" s="213">
        <v>7</v>
      </c>
      <c r="K99" s="213">
        <v>263</v>
      </c>
      <c r="L99" s="213">
        <v>5</v>
      </c>
      <c r="M99" s="213">
        <v>19</v>
      </c>
      <c r="N99" s="213">
        <v>133287</v>
      </c>
      <c r="O99" s="419">
        <v>2574084</v>
      </c>
      <c r="P99" s="420">
        <v>17882077</v>
      </c>
      <c r="Q99" s="31" t="s">
        <v>27</v>
      </c>
      <c r="R99" s="212">
        <f>IF(表1_861218222426728894100[[#This Row],[目标国家]]="魏",0,IF(表1_861218222426728894100[[#This Row],[目标国家]]="蜀",1,2))</f>
        <v>2</v>
      </c>
      <c r="S99" s="213">
        <v>79024</v>
      </c>
      <c r="T99" s="213">
        <v>0</v>
      </c>
      <c r="U99" s="213">
        <v>475392</v>
      </c>
      <c r="V99" s="213">
        <v>10967</v>
      </c>
      <c r="W99" s="447">
        <v>667843</v>
      </c>
      <c r="X99" s="278" t="str">
        <f>"{"&amp;"'coin':"&amp;表1_861218222426728894100[[#This Row],[补偿Coin]]&amp;",'"&amp;配置!$A$2&amp;"':"&amp;表1_861218222426728894100[[#This Row],[补偿辎重]]&amp;"},"</f>
        <v>{'coin':1000,'item036':10},</v>
      </c>
      <c r="Y99" s="254" t="str">
        <f>"            'to_zone':'"&amp;表1_861218222426728894100[[#This Row],[目标区服]]&amp;"',
            'reward':"&amp;表1_861218222426728894100[[#This Row],[辅助导出]]&amp;"
            'country':["&amp;R98&amp;","&amp;R99&amp;","&amp;R100&amp;"],"</f>
        <v>            'to_zone':'h1_591',
            'reward':{'coin':1000,'item036':10},
            'country':[0,2,1],</v>
      </c>
    </row>
    <row r="100" customHeight="1" spans="1:25">
      <c r="A100" s="259">
        <v>5208</v>
      </c>
      <c r="B100" s="210">
        <f>VLOOKUP(表1_861218222426728894100[[#This Row],[区服]],$P$143:$Q$190,2,FALSE)</f>
        <v>43</v>
      </c>
      <c r="C100" s="311" t="s">
        <v>235</v>
      </c>
      <c r="D100" s="212" t="str">
        <f>表1_861218222426728894100[[#This Row],[目标国家]]</f>
        <v>蜀</v>
      </c>
      <c r="E100" s="437">
        <f>(VLOOKUP(表1_861218222426728894100[[#This Row],[目标区服]],$R$143:$S$169,2,FALSE)-表1_861218222426728894100[[#This Row],[开服天数]])*配置!$B$1</f>
        <v>1000</v>
      </c>
      <c r="F100" s="213">
        <f>表1_861218222426728894100[[#This Row],[补偿Coin]]*(表1_861218222426728894100[[#This Row],[活跃高战玩家数]]+表1_861218222426728894100[[#This Row],[活跃中坚玩家数]])</f>
        <v>8000</v>
      </c>
      <c r="G100" s="260">
        <f>(VLOOKUP(表1_861218222426728894100[[#This Row],[目标区服]],$R$143:$S$174,2,FALSE)-表1_861218222426728894100[[#This Row],[开服天数]])*配置!$B$2</f>
        <v>10</v>
      </c>
      <c r="H100" s="212" t="s">
        <v>27</v>
      </c>
      <c r="I100" s="268">
        <f>IF(表1_861218222426728894100[[#This Row],[原国家]]="魏",0,IF(表1_861218222426728894100[[#This Row],[原国家]]="蜀",1,2))</f>
        <v>2</v>
      </c>
      <c r="J100" s="213">
        <v>2</v>
      </c>
      <c r="K100" s="213">
        <v>69</v>
      </c>
      <c r="L100" s="213">
        <v>0</v>
      </c>
      <c r="M100" s="213">
        <v>8</v>
      </c>
      <c r="N100" s="213">
        <v>29866</v>
      </c>
      <c r="O100" s="419">
        <v>897430</v>
      </c>
      <c r="P100" s="420">
        <v>3369607</v>
      </c>
      <c r="Q100" s="31" t="s">
        <v>26</v>
      </c>
      <c r="R100" s="212">
        <f>IF(表1_861218222426728894100[[#This Row],[目标国家]]="魏",0,IF(表1_861218222426728894100[[#This Row],[目标国家]]="蜀",1,2))</f>
        <v>1</v>
      </c>
      <c r="S100" s="213">
        <v>2142</v>
      </c>
      <c r="T100" s="213">
        <v>0</v>
      </c>
      <c r="U100" s="213">
        <v>36462</v>
      </c>
      <c r="V100" s="213">
        <v>2356</v>
      </c>
      <c r="W100" s="447">
        <v>332697</v>
      </c>
      <c r="X100" s="278" t="str">
        <f>"{"&amp;"'coin':"&amp;表1_861218222426728894100[[#This Row],[补偿Coin]]&amp;",'"&amp;配置!$A$2&amp;"':"&amp;表1_861218222426728894100[[#This Row],[补偿辎重]]&amp;"},"</f>
        <v>{'coin':1000,'item036':10},</v>
      </c>
      <c r="Y100" s="254" t="str">
        <f t="shared" si="7"/>
        <v>      },</v>
      </c>
    </row>
    <row r="101" customHeight="1" spans="1:25">
      <c r="A101" s="259">
        <v>5209</v>
      </c>
      <c r="B101" s="210">
        <f>VLOOKUP(表1_861218222426728894100[[#This Row],[区服]],$P$143:$Q$190,2,FALSE)</f>
        <v>42</v>
      </c>
      <c r="C101" s="311" t="s">
        <v>235</v>
      </c>
      <c r="D101" s="212" t="str">
        <f>表1_861218222426728894100[[#This Row],[目标国家]]</f>
        <v>魏</v>
      </c>
      <c r="E101" s="437">
        <f>(VLOOKUP(表1_861218222426728894100[[#This Row],[目标区服]],$R$143:$S$169,2,FALSE)-表1_861218222426728894100[[#This Row],[开服天数]])*配置!$B$1</f>
        <v>1500</v>
      </c>
      <c r="F101" s="213">
        <f>表1_861218222426728894100[[#This Row],[补偿Coin]]*(表1_861218222426728894100[[#This Row],[活跃高战玩家数]]+表1_861218222426728894100[[#This Row],[活跃中坚玩家数]])</f>
        <v>22500</v>
      </c>
      <c r="G101" s="260">
        <f>(VLOOKUP(表1_861218222426728894100[[#This Row],[目标区服]],$R$143:$S$174,2,FALSE)-表1_861218222426728894100[[#This Row],[开服天数]])*配置!$B$2</f>
        <v>15</v>
      </c>
      <c r="H101" s="212" t="s">
        <v>25</v>
      </c>
      <c r="I101" s="268">
        <f>IF(表1_861218222426728894100[[#This Row],[原国家]]="魏",0,IF(表1_861218222426728894100[[#This Row],[原国家]]="蜀",1,2))</f>
        <v>0</v>
      </c>
      <c r="J101" s="213">
        <v>2</v>
      </c>
      <c r="K101" s="213">
        <v>65</v>
      </c>
      <c r="L101" s="213">
        <v>2</v>
      </c>
      <c r="M101" s="213">
        <v>13</v>
      </c>
      <c r="N101" s="213">
        <v>76034</v>
      </c>
      <c r="O101" s="419">
        <v>1722706</v>
      </c>
      <c r="P101" s="420">
        <v>11595745</v>
      </c>
      <c r="Q101" s="31" t="s">
        <v>25</v>
      </c>
      <c r="R101" s="212">
        <f>IF(表1_861218222426728894100[[#This Row],[目标国家]]="魏",0,IF(表1_861218222426728894100[[#This Row],[目标国家]]="蜀",1,2))</f>
        <v>0</v>
      </c>
      <c r="S101" s="213">
        <v>25118</v>
      </c>
      <c r="T101" s="213">
        <v>0</v>
      </c>
      <c r="U101" s="213">
        <v>205461</v>
      </c>
      <c r="V101" s="213">
        <v>4968</v>
      </c>
      <c r="W101" s="447">
        <v>503308</v>
      </c>
      <c r="X101" s="278" t="str">
        <f>"{"&amp;"'coin':"&amp;表1_861218222426728894100[[#This Row],[补偿Coin]]&amp;",'"&amp;配置!$A$2&amp;"':"&amp;表1_861218222426728894100[[#This Row],[补偿辎重]]&amp;"},"</f>
        <v>{'coin':1500,'item036':15},</v>
      </c>
      <c r="Y101" s="254" t="str">
        <f>"      '"&amp;表1_861218222426728894100[[#This Row],[区服]]&amp;"':{"</f>
        <v>      '5209':{</v>
      </c>
    </row>
    <row r="102" customHeight="1" spans="1:25">
      <c r="A102" s="259">
        <v>5209</v>
      </c>
      <c r="B102" s="210">
        <f>VLOOKUP(表1_861218222426728894100[[#This Row],[区服]],$P$143:$Q$190,2,FALSE)</f>
        <v>42</v>
      </c>
      <c r="C102" s="311" t="s">
        <v>235</v>
      </c>
      <c r="D102" s="212" t="str">
        <f>表1_861218222426728894100[[#This Row],[目标国家]]</f>
        <v>魏</v>
      </c>
      <c r="E102" s="437">
        <f>(VLOOKUP(表1_861218222426728894100[[#This Row],[目标区服]],$R$143:$S$169,2,FALSE)-表1_861218222426728894100[[#This Row],[开服天数]])*配置!$B$1</f>
        <v>1500</v>
      </c>
      <c r="F102" s="213">
        <f>表1_861218222426728894100[[#This Row],[补偿Coin]]*(表1_861218222426728894100[[#This Row],[活跃高战玩家数]]+表1_861218222426728894100[[#This Row],[活跃中坚玩家数]])</f>
        <v>40500</v>
      </c>
      <c r="G102" s="260">
        <f>(VLOOKUP(表1_861218222426728894100[[#This Row],[目标区服]],$R$143:$S$174,2,FALSE)-表1_861218222426728894100[[#This Row],[开服天数]])*配置!$B$2</f>
        <v>15</v>
      </c>
      <c r="H102" s="212" t="s">
        <v>26</v>
      </c>
      <c r="I102" s="268">
        <f>IF(表1_861218222426728894100[[#This Row],[原国家]]="魏",0,IF(表1_861218222426728894100[[#This Row],[原国家]]="蜀",1,2))</f>
        <v>1</v>
      </c>
      <c r="J102" s="213">
        <v>4</v>
      </c>
      <c r="K102" s="213">
        <v>178</v>
      </c>
      <c r="L102" s="213">
        <v>6</v>
      </c>
      <c r="M102" s="213">
        <v>21</v>
      </c>
      <c r="N102" s="213">
        <v>144061</v>
      </c>
      <c r="O102" s="419">
        <v>2466064</v>
      </c>
      <c r="P102" s="420">
        <v>23422328</v>
      </c>
      <c r="Q102" s="31" t="s">
        <v>25</v>
      </c>
      <c r="R102" s="212">
        <f>IF(表1_861218222426728894100[[#This Row],[目标国家]]="魏",0,IF(表1_861218222426728894100[[#This Row],[目标国家]]="蜀",1,2))</f>
        <v>0</v>
      </c>
      <c r="S102" s="213">
        <v>61472</v>
      </c>
      <c r="T102" s="213">
        <v>0</v>
      </c>
      <c r="U102" s="213">
        <v>306610</v>
      </c>
      <c r="V102" s="213">
        <v>9706</v>
      </c>
      <c r="W102" s="447">
        <v>668123</v>
      </c>
      <c r="X102" s="278" t="str">
        <f>"{"&amp;"'coin':"&amp;表1_861218222426728894100[[#This Row],[补偿Coin]]&amp;",'"&amp;配置!$A$2&amp;"':"&amp;表1_861218222426728894100[[#This Row],[补偿辎重]]&amp;"},"</f>
        <v>{'coin':1500,'item036':15},</v>
      </c>
      <c r="Y102" s="254" t="str">
        <f>"            'to_zone':'"&amp;表1_861218222426728894100[[#This Row],[目标区服]]&amp;"',
            'reward':"&amp;表1_861218222426728894100[[#This Row],[辅助导出]]&amp;"
            'country':["&amp;R101&amp;","&amp;R102&amp;","&amp;R103&amp;"],"</f>
        <v>            'to_zone':'h1_591',
            'reward':{'coin':1500,'item036':15},
            'country':[0,0,0],</v>
      </c>
    </row>
    <row r="103" customHeight="1" spans="1:25">
      <c r="A103" s="259">
        <v>5209</v>
      </c>
      <c r="B103" s="210">
        <f>VLOOKUP(表1_861218222426728894100[[#This Row],[区服]],$P$143:$Q$190,2,FALSE)</f>
        <v>42</v>
      </c>
      <c r="C103" s="311" t="s">
        <v>235</v>
      </c>
      <c r="D103" s="212" t="str">
        <f>表1_861218222426728894100[[#This Row],[目标国家]]</f>
        <v>魏</v>
      </c>
      <c r="E103" s="437">
        <f>(VLOOKUP(表1_861218222426728894100[[#This Row],[目标区服]],$R$143:$S$169,2,FALSE)-表1_861218222426728894100[[#This Row],[开服天数]])*配置!$B$1</f>
        <v>1500</v>
      </c>
      <c r="F103" s="213">
        <f>表1_861218222426728894100[[#This Row],[补偿Coin]]*(表1_861218222426728894100[[#This Row],[活跃高战玩家数]]+表1_861218222426728894100[[#This Row],[活跃中坚玩家数]])</f>
        <v>22500</v>
      </c>
      <c r="G103" s="260">
        <f>(VLOOKUP(表1_861218222426728894100[[#This Row],[目标区服]],$R$143:$S$174,2,FALSE)-表1_861218222426728894100[[#This Row],[开服天数]])*配置!$B$2</f>
        <v>15</v>
      </c>
      <c r="H103" s="212" t="s">
        <v>27</v>
      </c>
      <c r="I103" s="268">
        <f>IF(表1_861218222426728894100[[#This Row],[原国家]]="魏",0,IF(表1_861218222426728894100[[#This Row],[原国家]]="蜀",1,2))</f>
        <v>2</v>
      </c>
      <c r="J103" s="213">
        <v>3</v>
      </c>
      <c r="K103" s="213">
        <v>152</v>
      </c>
      <c r="L103" s="213">
        <v>2</v>
      </c>
      <c r="M103" s="213">
        <v>13</v>
      </c>
      <c r="N103" s="213">
        <v>65594</v>
      </c>
      <c r="O103" s="419">
        <v>2027864</v>
      </c>
      <c r="P103" s="420">
        <v>11184069</v>
      </c>
      <c r="Q103" s="31" t="s">
        <v>25</v>
      </c>
      <c r="R103" s="212">
        <f>IF(表1_861218222426728894100[[#This Row],[目标国家]]="魏",0,IF(表1_861218222426728894100[[#This Row],[目标国家]]="蜀",1,2))</f>
        <v>0</v>
      </c>
      <c r="S103" s="213">
        <v>39732</v>
      </c>
      <c r="T103" s="213">
        <v>0</v>
      </c>
      <c r="U103" s="213">
        <v>155794</v>
      </c>
      <c r="V103" s="213">
        <v>6564</v>
      </c>
      <c r="W103" s="448">
        <v>654616</v>
      </c>
      <c r="X103" s="278" t="str">
        <f>"{"&amp;"'coin':"&amp;表1_861218222426728894100[[#This Row],[补偿Coin]]&amp;",'"&amp;配置!$A$2&amp;"':"&amp;表1_861218222426728894100[[#This Row],[补偿辎重]]&amp;"},"</f>
        <v>{'coin':1500,'item036':15},</v>
      </c>
      <c r="Y103" s="254" t="str">
        <f t="shared" si="8"/>
        <v>      },</v>
      </c>
    </row>
    <row r="104" customHeight="1" spans="1:25">
      <c r="A104" s="314">
        <v>5210</v>
      </c>
      <c r="B104" s="91">
        <f>VLOOKUP(表1_861218222426728894100[[#This Row],[区服]],$P$143:$Q$190,2,FALSE)</f>
        <v>42</v>
      </c>
      <c r="C104" s="177" t="s">
        <v>236</v>
      </c>
      <c r="D104" s="93" t="str">
        <f>表1_861218222426728894100[[#This Row],[目标国家]]</f>
        <v>魏</v>
      </c>
      <c r="E104" s="417">
        <f>(VLOOKUP(表1_861218222426728894100[[#This Row],[目标区服]],$R$143:$S$169,2,FALSE)-表1_861218222426728894100[[#This Row],[开服天数]])*配置!$B$1</f>
        <v>1000</v>
      </c>
      <c r="F104" s="95">
        <f>表1_861218222426728894100[[#This Row],[补偿Coin]]*(表1_861218222426728894100[[#This Row],[活跃高战玩家数]]+表1_861218222426728894100[[#This Row],[活跃中坚玩家数]])</f>
        <v>10000</v>
      </c>
      <c r="G104" s="418">
        <f>(VLOOKUP(表1_861218222426728894100[[#This Row],[目标区服]],$R$143:$S$174,2,FALSE)-表1_861218222426728894100[[#This Row],[开服天数]])*配置!$B$2</f>
        <v>10</v>
      </c>
      <c r="H104" s="93" t="s">
        <v>25</v>
      </c>
      <c r="I104" s="423">
        <f>IF(表1_861218222426728894100[[#This Row],[原国家]]="魏",0,IF(表1_861218222426728894100[[#This Row],[原国家]]="蜀",1,2))</f>
        <v>0</v>
      </c>
      <c r="J104" s="95">
        <v>0</v>
      </c>
      <c r="K104" s="95">
        <v>33</v>
      </c>
      <c r="L104" s="95">
        <v>0</v>
      </c>
      <c r="M104" s="95">
        <v>10</v>
      </c>
      <c r="N104" s="95">
        <v>42882</v>
      </c>
      <c r="O104" s="424">
        <v>902213</v>
      </c>
      <c r="P104" s="326">
        <v>3804082</v>
      </c>
      <c r="Q104" s="31" t="s">
        <v>25</v>
      </c>
      <c r="R104" s="93">
        <f>IF(表1_861218222426728894100[[#This Row],[目标国家]]="魏",0,IF(表1_861218222426728894100[[#This Row],[目标国家]]="蜀",1,2))</f>
        <v>0</v>
      </c>
      <c r="S104" s="95">
        <v>8624</v>
      </c>
      <c r="T104" s="95">
        <v>0</v>
      </c>
      <c r="U104" s="95">
        <v>120509</v>
      </c>
      <c r="V104" s="95">
        <v>2146</v>
      </c>
      <c r="W104" s="432">
        <v>291316</v>
      </c>
      <c r="X104" s="433" t="str">
        <f>"{"&amp;"'coin':"&amp;表1_861218222426728894100[[#This Row],[补偿Coin]]&amp;",'"&amp;配置!$A$2&amp;"':"&amp;表1_861218222426728894100[[#This Row],[补偿辎重]]&amp;"},"</f>
        <v>{'coin':1000,'item036':10},</v>
      </c>
      <c r="Y104" s="138" t="str">
        <f>"      '"&amp;表1_861218222426728894100[[#This Row],[区服]]&amp;"':{"</f>
        <v>      '5210':{</v>
      </c>
    </row>
    <row r="105" customHeight="1" spans="1:25">
      <c r="A105" s="314">
        <v>5210</v>
      </c>
      <c r="B105" s="91">
        <f>VLOOKUP(表1_861218222426728894100[[#This Row],[区服]],$P$143:$Q$190,2,FALSE)</f>
        <v>42</v>
      </c>
      <c r="C105" s="177" t="s">
        <v>236</v>
      </c>
      <c r="D105" s="93" t="str">
        <f>表1_861218222426728894100[[#This Row],[目标国家]]</f>
        <v>吴</v>
      </c>
      <c r="E105" s="417">
        <f>(VLOOKUP(表1_861218222426728894100[[#This Row],[目标区服]],$R$143:$S$169,2,FALSE)-表1_861218222426728894100[[#This Row],[开服天数]])*配置!$B$1</f>
        <v>1000</v>
      </c>
      <c r="F105" s="95">
        <f>表1_861218222426728894100[[#This Row],[补偿Coin]]*(表1_861218222426728894100[[#This Row],[活跃高战玩家数]]+表1_861218222426728894100[[#This Row],[活跃中坚玩家数]])</f>
        <v>21000</v>
      </c>
      <c r="G105" s="418">
        <f>(VLOOKUP(表1_861218222426728894100[[#This Row],[目标区服]],$R$143:$S$174,2,FALSE)-表1_861218222426728894100[[#This Row],[开服天数]])*配置!$B$2</f>
        <v>10</v>
      </c>
      <c r="H105" s="93" t="s">
        <v>26</v>
      </c>
      <c r="I105" s="423">
        <f>IF(表1_861218222426728894100[[#This Row],[原国家]]="魏",0,IF(表1_861218222426728894100[[#This Row],[原国家]]="蜀",1,2))</f>
        <v>1</v>
      </c>
      <c r="J105" s="95">
        <v>9</v>
      </c>
      <c r="K105" s="95">
        <v>327</v>
      </c>
      <c r="L105" s="95">
        <v>9</v>
      </c>
      <c r="M105" s="95">
        <v>12</v>
      </c>
      <c r="N105" s="95">
        <v>147021</v>
      </c>
      <c r="O105" s="424">
        <v>1806049</v>
      </c>
      <c r="P105" s="326">
        <v>16357427</v>
      </c>
      <c r="Q105" s="31" t="s">
        <v>27</v>
      </c>
      <c r="R105" s="93">
        <f>IF(表1_861218222426728894100[[#This Row],[目标国家]]="魏",0,IF(表1_861218222426728894100[[#This Row],[目标国家]]="蜀",1,2))</f>
        <v>2</v>
      </c>
      <c r="S105" s="95">
        <v>29382</v>
      </c>
      <c r="T105" s="95">
        <v>0</v>
      </c>
      <c r="U105" s="95">
        <v>434482</v>
      </c>
      <c r="V105" s="95">
        <v>9445</v>
      </c>
      <c r="W105" s="432">
        <v>517002</v>
      </c>
      <c r="X105" s="433" t="str">
        <f>"{"&amp;"'coin':"&amp;表1_861218222426728894100[[#This Row],[补偿Coin]]&amp;",'"&amp;配置!$A$2&amp;"':"&amp;表1_861218222426728894100[[#This Row],[补偿辎重]]&amp;"},"</f>
        <v>{'coin':1000,'item036':10},</v>
      </c>
      <c r="Y105" s="138" t="str">
        <f>"            'to_zone':'"&amp;表1_861218222426728894100[[#This Row],[目标区服]]&amp;"',
            'reward':"&amp;表1_861218222426728894100[[#This Row],[辅助导出]]&amp;"
            'country':["&amp;R104&amp;","&amp;R105&amp;","&amp;R106&amp;"],"</f>
        <v>            'to_zone':'h1_592',
            'reward':{'coin':1000,'item036':10},
            'country':[0,2,1],</v>
      </c>
    </row>
    <row r="106" customHeight="1" spans="1:25">
      <c r="A106" s="314">
        <v>5210</v>
      </c>
      <c r="B106" s="91">
        <f>VLOOKUP(表1_861218222426728894100[[#This Row],[区服]],$P$143:$Q$190,2,FALSE)</f>
        <v>42</v>
      </c>
      <c r="C106" s="177" t="s">
        <v>236</v>
      </c>
      <c r="D106" s="93" t="str">
        <f>表1_861218222426728894100[[#This Row],[目标国家]]</f>
        <v>蜀</v>
      </c>
      <c r="E106" s="417">
        <f>(VLOOKUP(表1_861218222426728894100[[#This Row],[目标区服]],$R$143:$S$169,2,FALSE)-表1_861218222426728894100[[#This Row],[开服天数]])*配置!$B$1</f>
        <v>1000</v>
      </c>
      <c r="F106" s="95">
        <f>表1_861218222426728894100[[#This Row],[补偿Coin]]*(表1_861218222426728894100[[#This Row],[活跃高战玩家数]]+表1_861218222426728894100[[#This Row],[活跃中坚玩家数]])</f>
        <v>8000</v>
      </c>
      <c r="G106" s="418">
        <f>(VLOOKUP(表1_861218222426728894100[[#This Row],[目标区服]],$R$143:$S$174,2,FALSE)-表1_861218222426728894100[[#This Row],[开服天数]])*配置!$B$2</f>
        <v>10</v>
      </c>
      <c r="H106" s="93" t="s">
        <v>27</v>
      </c>
      <c r="I106" s="423">
        <f>IF(表1_861218222426728894100[[#This Row],[原国家]]="魏",0,IF(表1_861218222426728894100[[#This Row],[原国家]]="蜀",1,2))</f>
        <v>2</v>
      </c>
      <c r="J106" s="95">
        <v>0</v>
      </c>
      <c r="K106" s="95">
        <v>35</v>
      </c>
      <c r="L106" s="95">
        <v>1</v>
      </c>
      <c r="M106" s="95">
        <v>7</v>
      </c>
      <c r="N106" s="95">
        <v>39854</v>
      </c>
      <c r="O106" s="424">
        <v>1098296</v>
      </c>
      <c r="P106" s="326">
        <v>3818474</v>
      </c>
      <c r="Q106" s="31" t="s">
        <v>26</v>
      </c>
      <c r="R106" s="93">
        <f>IF(表1_861218222426728894100[[#This Row],[目标国家]]="魏",0,IF(表1_861218222426728894100[[#This Row],[目标国家]]="蜀",1,2))</f>
        <v>1</v>
      </c>
      <c r="S106" s="95">
        <v>3344</v>
      </c>
      <c r="T106" s="95">
        <v>0</v>
      </c>
      <c r="U106" s="95">
        <v>42540</v>
      </c>
      <c r="V106" s="95">
        <v>2151</v>
      </c>
      <c r="W106" s="432">
        <v>354209</v>
      </c>
      <c r="X106" s="433" t="str">
        <f>"{"&amp;"'coin':"&amp;表1_861218222426728894100[[#This Row],[补偿Coin]]&amp;",'"&amp;配置!$A$2&amp;"':"&amp;表1_861218222426728894100[[#This Row],[补偿辎重]]&amp;"},"</f>
        <v>{'coin':1000,'item036':10},</v>
      </c>
      <c r="Y106" s="138" t="str">
        <f t="shared" si="7"/>
        <v>      },</v>
      </c>
    </row>
    <row r="107" customHeight="1" spans="1:25">
      <c r="A107" s="314">
        <v>5211</v>
      </c>
      <c r="B107" s="91">
        <f>VLOOKUP(表1_861218222426728894100[[#This Row],[区服]],$P$143:$Q$190,2,FALSE)</f>
        <v>42</v>
      </c>
      <c r="C107" s="177" t="s">
        <v>236</v>
      </c>
      <c r="D107" s="93" t="str">
        <f>表1_861218222426728894100[[#This Row],[目标国家]]</f>
        <v>魏</v>
      </c>
      <c r="E107" s="417">
        <f>(VLOOKUP(表1_861218222426728894100[[#This Row],[目标区服]],$R$143:$S$169,2,FALSE)-表1_861218222426728894100[[#This Row],[开服天数]])*配置!$B$1</f>
        <v>1000</v>
      </c>
      <c r="F107" s="95">
        <f>表1_861218222426728894100[[#This Row],[补偿Coin]]*(表1_861218222426728894100[[#This Row],[活跃高战玩家数]]+表1_861218222426728894100[[#This Row],[活跃中坚玩家数]])</f>
        <v>21000</v>
      </c>
      <c r="G107" s="418">
        <f>(VLOOKUP(表1_861218222426728894100[[#This Row],[目标区服]],$R$143:$S$174,2,FALSE)-表1_861218222426728894100[[#This Row],[开服天数]])*配置!$B$2</f>
        <v>10</v>
      </c>
      <c r="H107" s="93" t="s">
        <v>25</v>
      </c>
      <c r="I107" s="423">
        <f>IF(表1_861218222426728894100[[#This Row],[原国家]]="魏",0,IF(表1_861218222426728894100[[#This Row],[原国家]]="蜀",1,2))</f>
        <v>0</v>
      </c>
      <c r="J107" s="95">
        <v>9</v>
      </c>
      <c r="K107" s="95">
        <v>325</v>
      </c>
      <c r="L107" s="95">
        <v>8</v>
      </c>
      <c r="M107" s="95">
        <v>13</v>
      </c>
      <c r="N107" s="95">
        <v>145521</v>
      </c>
      <c r="O107" s="424">
        <v>3305776</v>
      </c>
      <c r="P107" s="326">
        <v>21521376</v>
      </c>
      <c r="Q107" s="31" t="s">
        <v>25</v>
      </c>
      <c r="R107" s="93">
        <f>IF(表1_861218222426728894100[[#This Row],[目标国家]]="魏",0,IF(表1_861218222426728894100[[#This Row],[目标国家]]="蜀",1,2))</f>
        <v>0</v>
      </c>
      <c r="S107" s="95">
        <v>90244</v>
      </c>
      <c r="T107" s="95">
        <v>0</v>
      </c>
      <c r="U107" s="95">
        <v>474694</v>
      </c>
      <c r="V107" s="95">
        <v>13280</v>
      </c>
      <c r="W107" s="440">
        <v>990765</v>
      </c>
      <c r="X107" s="433" t="str">
        <f>"{"&amp;"'coin':"&amp;表1_861218222426728894100[[#This Row],[补偿Coin]]&amp;",'"&amp;配置!$A$2&amp;"':"&amp;表1_861218222426728894100[[#This Row],[补偿辎重]]&amp;"},"</f>
        <v>{'coin':1000,'item036':10},</v>
      </c>
      <c r="Y107" s="138" t="str">
        <f>"      '"&amp;表1_861218222426728894100[[#This Row],[区服]]&amp;"':{"</f>
        <v>      '5211':{</v>
      </c>
    </row>
    <row r="108" customHeight="1" spans="1:25">
      <c r="A108" s="314">
        <v>5211</v>
      </c>
      <c r="B108" s="91">
        <f>VLOOKUP(表1_861218222426728894100[[#This Row],[区服]],$P$143:$Q$190,2,FALSE)</f>
        <v>42</v>
      </c>
      <c r="C108" s="177" t="s">
        <v>236</v>
      </c>
      <c r="D108" s="93" t="str">
        <f>表1_861218222426728894100[[#This Row],[目标国家]]</f>
        <v>蜀</v>
      </c>
      <c r="E108" s="417">
        <f>(VLOOKUP(表1_861218222426728894100[[#This Row],[目标区服]],$R$143:$S$169,2,FALSE)-表1_861218222426728894100[[#This Row],[开服天数]])*配置!$B$1</f>
        <v>1000</v>
      </c>
      <c r="F108" s="95">
        <f>表1_861218222426728894100[[#This Row],[补偿Coin]]*(表1_861218222426728894100[[#This Row],[活跃高战玩家数]]+表1_861218222426728894100[[#This Row],[活跃中坚玩家数]])</f>
        <v>10000</v>
      </c>
      <c r="G108" s="418">
        <f>(VLOOKUP(表1_861218222426728894100[[#This Row],[目标区服]],$R$143:$S$174,2,FALSE)-表1_861218222426728894100[[#This Row],[开服天数]])*配置!$B$2</f>
        <v>10</v>
      </c>
      <c r="H108" s="93" t="s">
        <v>26</v>
      </c>
      <c r="I108" s="423">
        <f>IF(表1_861218222426728894100[[#This Row],[原国家]]="魏",0,IF(表1_861218222426728894100[[#This Row],[原国家]]="蜀",1,2))</f>
        <v>1</v>
      </c>
      <c r="J108" s="95">
        <v>0</v>
      </c>
      <c r="K108" s="95">
        <v>47</v>
      </c>
      <c r="L108" s="95">
        <v>2</v>
      </c>
      <c r="M108" s="95">
        <v>8</v>
      </c>
      <c r="N108" s="95">
        <v>49691</v>
      </c>
      <c r="O108" s="424">
        <v>1349081</v>
      </c>
      <c r="P108" s="326">
        <v>5456391</v>
      </c>
      <c r="Q108" s="31" t="s">
        <v>26</v>
      </c>
      <c r="R108" s="93">
        <f>IF(表1_861218222426728894100[[#This Row],[目标国家]]="魏",0,IF(表1_861218222426728894100[[#This Row],[目标国家]]="蜀",1,2))</f>
        <v>1</v>
      </c>
      <c r="S108" s="95">
        <v>2980</v>
      </c>
      <c r="T108" s="95">
        <v>0</v>
      </c>
      <c r="U108" s="95">
        <v>103269</v>
      </c>
      <c r="V108" s="95">
        <v>2754</v>
      </c>
      <c r="W108" s="432">
        <v>432616</v>
      </c>
      <c r="X108" s="433" t="str">
        <f>"{"&amp;"'coin':"&amp;表1_861218222426728894100[[#This Row],[补偿Coin]]&amp;",'"&amp;配置!$A$2&amp;"':"&amp;表1_861218222426728894100[[#This Row],[补偿辎重]]&amp;"},"</f>
        <v>{'coin':1000,'item036':10},</v>
      </c>
      <c r="Y108" s="138" t="str">
        <f>"            'to_zone':'"&amp;表1_861218222426728894100[[#This Row],[目标区服]]&amp;"',
            'reward':"&amp;表1_861218222426728894100[[#This Row],[辅助导出]]&amp;"
            'country':["&amp;R107&amp;","&amp;R108&amp;","&amp;R109&amp;"],"</f>
        <v>            'to_zone':'h1_592',
            'reward':{'coin':1000,'item036':10},
            'country':[0,1,1],</v>
      </c>
    </row>
    <row r="109" customHeight="1" spans="1:25">
      <c r="A109" s="314">
        <v>5211</v>
      </c>
      <c r="B109" s="91">
        <f>VLOOKUP(表1_861218222426728894100[[#This Row],[区服]],$P$143:$Q$190,2,FALSE)</f>
        <v>42</v>
      </c>
      <c r="C109" s="177" t="s">
        <v>236</v>
      </c>
      <c r="D109" s="93" t="str">
        <f>表1_861218222426728894100[[#This Row],[目标国家]]</f>
        <v>蜀</v>
      </c>
      <c r="E109" s="417">
        <f>(VLOOKUP(表1_861218222426728894100[[#This Row],[目标区服]],$R$143:$S$169,2,FALSE)-表1_861218222426728894100[[#This Row],[开服天数]])*配置!$B$1</f>
        <v>1000</v>
      </c>
      <c r="F109" s="95">
        <f>表1_861218222426728894100[[#This Row],[补偿Coin]]*(表1_861218222426728894100[[#This Row],[活跃高战玩家数]]+表1_861218222426728894100[[#This Row],[活跃中坚玩家数]])</f>
        <v>4000</v>
      </c>
      <c r="G109" s="418">
        <f>(VLOOKUP(表1_861218222426728894100[[#This Row],[目标区服]],$R$143:$S$174,2,FALSE)-表1_861218222426728894100[[#This Row],[开服天数]])*配置!$B$2</f>
        <v>10</v>
      </c>
      <c r="H109" s="93" t="s">
        <v>27</v>
      </c>
      <c r="I109" s="423">
        <f>IF(表1_861218222426728894100[[#This Row],[原国家]]="魏",0,IF(表1_861218222426728894100[[#This Row],[原国家]]="蜀",1,2))</f>
        <v>2</v>
      </c>
      <c r="J109" s="95">
        <v>0</v>
      </c>
      <c r="K109" s="95">
        <v>23</v>
      </c>
      <c r="L109" s="95">
        <v>0</v>
      </c>
      <c r="M109" s="95">
        <v>4</v>
      </c>
      <c r="N109" s="95">
        <v>17626</v>
      </c>
      <c r="O109" s="424">
        <v>684948</v>
      </c>
      <c r="P109" s="326">
        <v>1906778</v>
      </c>
      <c r="Q109" s="31" t="s">
        <v>26</v>
      </c>
      <c r="R109" s="93">
        <f>IF(表1_861218222426728894100[[#This Row],[目标国家]]="魏",0,IF(表1_861218222426728894100[[#This Row],[目标国家]]="蜀",1,2))</f>
        <v>1</v>
      </c>
      <c r="S109" s="95">
        <v>4104</v>
      </c>
      <c r="T109" s="95">
        <v>0</v>
      </c>
      <c r="U109" s="95">
        <v>26488</v>
      </c>
      <c r="V109" s="95">
        <v>1330</v>
      </c>
      <c r="W109" s="432">
        <v>219318</v>
      </c>
      <c r="X109" s="433" t="str">
        <f>"{"&amp;"'coin':"&amp;表1_861218222426728894100[[#This Row],[补偿Coin]]&amp;",'"&amp;配置!$A$2&amp;"':"&amp;表1_861218222426728894100[[#This Row],[补偿辎重]]&amp;"},"</f>
        <v>{'coin':1000,'item036':10},</v>
      </c>
      <c r="Y109" s="138" t="str">
        <f t="shared" si="8"/>
        <v>      },</v>
      </c>
    </row>
    <row r="110" customHeight="1" spans="1:25">
      <c r="A110" s="91">
        <v>5212</v>
      </c>
      <c r="B110" s="91">
        <f>VLOOKUP(表1_861218222426728894100[[#This Row],[区服]],$P$143:$Q$190,2,FALSE)</f>
        <v>42</v>
      </c>
      <c r="C110" s="177" t="s">
        <v>236</v>
      </c>
      <c r="D110" s="313" t="str">
        <f>表1_861218222426728894100[[#This Row],[目标国家]]</f>
        <v>魏</v>
      </c>
      <c r="E110" s="94">
        <f>(VLOOKUP(表1_861218222426728894100[[#This Row],[目标区服]],$R$143:$S$169,2,FALSE)-表1_861218222426728894100[[#This Row],[开服天数]])*配置!$B$1</f>
        <v>1000</v>
      </c>
      <c r="F110" s="94">
        <f>表1_861218222426728894100[[#This Row],[补偿Coin]]*(表1_861218222426728894100[[#This Row],[活跃高战玩家数]]+表1_861218222426728894100[[#This Row],[活跃中坚玩家数]])</f>
        <v>7000</v>
      </c>
      <c r="G110" s="94">
        <f>(VLOOKUP(表1_861218222426728894100[[#This Row],[目标区服]],$R$143:$S$174,2,FALSE)-表1_861218222426728894100[[#This Row],[开服天数]])*配置!$B$2</f>
        <v>10</v>
      </c>
      <c r="H110" s="93" t="s">
        <v>25</v>
      </c>
      <c r="I110" s="93">
        <f>IF(表1_861218222426728894100[[#This Row],[原国家]]="魏",0,IF(表1_861218222426728894100[[#This Row],[原国家]]="蜀",1,2))</f>
        <v>0</v>
      </c>
      <c r="J110" s="95">
        <v>0</v>
      </c>
      <c r="K110" s="95">
        <v>30</v>
      </c>
      <c r="L110" s="95">
        <v>0</v>
      </c>
      <c r="M110" s="95">
        <v>7</v>
      </c>
      <c r="N110" s="95">
        <v>22482</v>
      </c>
      <c r="O110" s="95">
        <v>561373</v>
      </c>
      <c r="P110" s="326">
        <v>2458309</v>
      </c>
      <c r="Q110" s="31" t="s">
        <v>25</v>
      </c>
      <c r="R110" s="93">
        <f>IF(表1_861218222426728894100[[#This Row],[目标国家]]="魏",0,IF(表1_861218222426728894100[[#This Row],[目标国家]]="蜀",1,2))</f>
        <v>0</v>
      </c>
      <c r="S110" s="95">
        <v>4484</v>
      </c>
      <c r="T110" s="95">
        <v>0</v>
      </c>
      <c r="U110" s="95">
        <v>52489</v>
      </c>
      <c r="V110" s="95">
        <v>1380</v>
      </c>
      <c r="W110" s="441">
        <v>280908</v>
      </c>
      <c r="X110" s="140" t="str">
        <f>"{"&amp;"'coin':"&amp;表1_861218222426728894100[[#This Row],[补偿Coin]]&amp;",'"&amp;配置!$A$2&amp;"':"&amp;表1_861218222426728894100[[#This Row],[补偿辎重]]&amp;"},"</f>
        <v>{'coin':1000,'item036':10},</v>
      </c>
      <c r="Y110" s="138" t="str">
        <f>"      '"&amp;表1_861218222426728894100[[#This Row],[区服]]&amp;"':{"</f>
        <v>      '5212':{</v>
      </c>
    </row>
    <row r="111" customHeight="1" spans="1:25">
      <c r="A111" s="91">
        <v>5212</v>
      </c>
      <c r="B111" s="91">
        <f>VLOOKUP(表1_861218222426728894100[[#This Row],[区服]],$P$143:$Q$190,2,FALSE)</f>
        <v>42</v>
      </c>
      <c r="C111" s="177" t="s">
        <v>236</v>
      </c>
      <c r="D111" s="93" t="str">
        <f>表1_861218222426728894100[[#This Row],[目标国家]]</f>
        <v>蜀</v>
      </c>
      <c r="E111" s="95">
        <f>(VLOOKUP(表1_861218222426728894100[[#This Row],[目标区服]],$R$143:$S$169,2,FALSE)-表1_861218222426728894100[[#This Row],[开服天数]])*配置!$B$1</f>
        <v>1000</v>
      </c>
      <c r="F111" s="95">
        <f>表1_861218222426728894100[[#This Row],[补偿Coin]]*(表1_861218222426728894100[[#This Row],[活跃高战玩家数]]+表1_861218222426728894100[[#This Row],[活跃中坚玩家数]])</f>
        <v>23000</v>
      </c>
      <c r="G111" s="95">
        <f>(VLOOKUP(表1_861218222426728894100[[#This Row],[目标区服]],$R$143:$S$174,2,FALSE)-表1_861218222426728894100[[#This Row],[开服天数]])*配置!$B$2</f>
        <v>10</v>
      </c>
      <c r="H111" s="93" t="s">
        <v>26</v>
      </c>
      <c r="I111" s="93">
        <f>IF(表1_861218222426728894100[[#This Row],[原国家]]="魏",0,IF(表1_861218222426728894100[[#This Row],[原国家]]="蜀",1,2))</f>
        <v>1</v>
      </c>
      <c r="J111" s="95">
        <v>4</v>
      </c>
      <c r="K111" s="95">
        <v>189</v>
      </c>
      <c r="L111" s="95">
        <v>4</v>
      </c>
      <c r="M111" s="95">
        <v>19</v>
      </c>
      <c r="N111" s="95">
        <v>119770</v>
      </c>
      <c r="O111" s="95">
        <v>2137465</v>
      </c>
      <c r="P111" s="326">
        <v>15255713</v>
      </c>
      <c r="Q111" s="31" t="s">
        <v>26</v>
      </c>
      <c r="R111" s="93">
        <f>IF(表1_861218222426728894100[[#This Row],[目标国家]]="魏",0,IF(表1_861218222426728894100[[#This Row],[目标国家]]="蜀",1,2))</f>
        <v>1</v>
      </c>
      <c r="S111" s="95">
        <v>67682</v>
      </c>
      <c r="T111" s="95">
        <v>0</v>
      </c>
      <c r="U111" s="95">
        <v>463685</v>
      </c>
      <c r="V111" s="95">
        <v>8814</v>
      </c>
      <c r="W111" s="365">
        <v>710136</v>
      </c>
      <c r="X111" s="140" t="str">
        <f>"{"&amp;"'coin':"&amp;表1_861218222426728894100[[#This Row],[补偿Coin]]&amp;",'"&amp;配置!$A$2&amp;"':"&amp;表1_861218222426728894100[[#This Row],[补偿辎重]]&amp;"},"</f>
        <v>{'coin':1000,'item036':10},</v>
      </c>
      <c r="Y111" s="138" t="str">
        <f>"            'to_zone':'"&amp;表1_861218222426728894100[[#This Row],[目标区服]]&amp;"',
            'reward':"&amp;表1_861218222426728894100[[#This Row],[辅助导出]]&amp;"
            'country':["&amp;R110&amp;","&amp;R111&amp;","&amp;R112&amp;"],"</f>
        <v>            'to_zone':'h1_592',
            'reward':{'coin':1000,'item036':10},
            'country':[0,1,2],</v>
      </c>
    </row>
    <row r="112" customHeight="1" spans="1:25">
      <c r="A112" s="91">
        <v>5212</v>
      </c>
      <c r="B112" s="91">
        <f>VLOOKUP(表1_861218222426728894100[[#This Row],[区服]],$P$143:$Q$190,2,FALSE)</f>
        <v>42</v>
      </c>
      <c r="C112" s="177" t="s">
        <v>236</v>
      </c>
      <c r="D112" s="93" t="str">
        <f>表1_861218222426728894100[[#This Row],[目标国家]]</f>
        <v>吴</v>
      </c>
      <c r="E112" s="95">
        <f>(VLOOKUP(表1_861218222426728894100[[#This Row],[目标区服]],$R$143:$S$169,2,FALSE)-表1_861218222426728894100[[#This Row],[开服天数]])*配置!$B$1</f>
        <v>1000</v>
      </c>
      <c r="F112" s="95">
        <f>表1_861218222426728894100[[#This Row],[补偿Coin]]*(表1_861218222426728894100[[#This Row],[活跃高战玩家数]]+表1_861218222426728894100[[#This Row],[活跃中坚玩家数]])</f>
        <v>20000</v>
      </c>
      <c r="G112" s="95">
        <f>(VLOOKUP(表1_861218222426728894100[[#This Row],[目标区服]],$R$143:$S$174,2,FALSE)-表1_861218222426728894100[[#This Row],[开服天数]])*配置!$B$2</f>
        <v>10</v>
      </c>
      <c r="H112" s="93" t="s">
        <v>27</v>
      </c>
      <c r="I112" s="93">
        <f>IF(表1_861218222426728894100[[#This Row],[原国家]]="魏",0,IF(表1_861218222426728894100[[#This Row],[原国家]]="蜀",1,2))</f>
        <v>2</v>
      </c>
      <c r="J112" s="95">
        <v>5</v>
      </c>
      <c r="K112" s="95">
        <v>176</v>
      </c>
      <c r="L112" s="95">
        <v>5</v>
      </c>
      <c r="M112" s="95">
        <v>15</v>
      </c>
      <c r="N112" s="95">
        <v>123462</v>
      </c>
      <c r="O112" s="95">
        <v>2646020</v>
      </c>
      <c r="P112" s="326">
        <v>16541462</v>
      </c>
      <c r="Q112" s="31" t="s">
        <v>27</v>
      </c>
      <c r="R112" s="93">
        <f>IF(表1_861218222426728894100[[#This Row],[目标国家]]="魏",0,IF(表1_861218222426728894100[[#This Row],[目标国家]]="蜀",1,2))</f>
        <v>2</v>
      </c>
      <c r="S112" s="95">
        <v>68154</v>
      </c>
      <c r="T112" s="95">
        <v>0</v>
      </c>
      <c r="U112" s="95">
        <v>365067</v>
      </c>
      <c r="V112" s="95">
        <v>9404</v>
      </c>
      <c r="W112" s="365">
        <v>904146</v>
      </c>
      <c r="X112" s="140" t="str">
        <f>"{"&amp;"'coin':"&amp;表1_861218222426728894100[[#This Row],[补偿Coin]]&amp;",'"&amp;配置!$A$2&amp;"':"&amp;表1_861218222426728894100[[#This Row],[补偿辎重]]&amp;"},"</f>
        <v>{'coin':1000,'item036':10},</v>
      </c>
      <c r="Y112" s="138" t="str">
        <f t="shared" si="7"/>
        <v>      },</v>
      </c>
    </row>
    <row r="113" customHeight="1" spans="1:25">
      <c r="A113" s="314">
        <v>5213</v>
      </c>
      <c r="B113" s="91">
        <f>VLOOKUP(表1_861218222426728894100[[#This Row],[区服]],$P$143:$Q$190,2,FALSE)</f>
        <v>42</v>
      </c>
      <c r="C113" s="177" t="s">
        <v>236</v>
      </c>
      <c r="D113" s="93" t="str">
        <f>表1_861218222426728894100[[#This Row],[目标国家]]</f>
        <v>蜀</v>
      </c>
      <c r="E113" s="95">
        <f>(VLOOKUP(表1_861218222426728894100[[#This Row],[目标区服]],$R$143:$S$169,2,FALSE)-表1_861218222426728894100[[#This Row],[开服天数]])*配置!$B$1</f>
        <v>1000</v>
      </c>
      <c r="F113" s="95">
        <f>表1_861218222426728894100[[#This Row],[补偿Coin]]*(表1_861218222426728894100[[#This Row],[活跃高战玩家数]]+表1_861218222426728894100[[#This Row],[活跃中坚玩家数]])</f>
        <v>15000</v>
      </c>
      <c r="G113" s="95">
        <f>(VLOOKUP(表1_861218222426728894100[[#This Row],[目标区服]],$R$143:$S$174,2,FALSE)-表1_861218222426728894100[[#This Row],[开服天数]])*配置!$B$2</f>
        <v>10</v>
      </c>
      <c r="H113" s="93" t="s">
        <v>25</v>
      </c>
      <c r="I113" s="93">
        <f>IF(表1_861218222426728894100[[#This Row],[原国家]]="魏",0,IF(表1_861218222426728894100[[#This Row],[原国家]]="蜀",1,2))</f>
        <v>0</v>
      </c>
      <c r="J113" s="95">
        <v>4</v>
      </c>
      <c r="K113" s="95">
        <v>179</v>
      </c>
      <c r="L113" s="95">
        <v>4</v>
      </c>
      <c r="M113" s="95">
        <v>11</v>
      </c>
      <c r="N113" s="95">
        <v>83087</v>
      </c>
      <c r="O113" s="95">
        <v>2376644</v>
      </c>
      <c r="P113" s="326">
        <v>11579209</v>
      </c>
      <c r="Q113" s="31" t="s">
        <v>26</v>
      </c>
      <c r="R113" s="93">
        <f>IF(表1_861218222426728894100[[#This Row],[目标国家]]="魏",0,IF(表1_861218222426728894100[[#This Row],[目标国家]]="蜀",1,2))</f>
        <v>1</v>
      </c>
      <c r="S113" s="95">
        <v>48876</v>
      </c>
      <c r="T113" s="95">
        <v>0</v>
      </c>
      <c r="U113" s="95">
        <v>462856</v>
      </c>
      <c r="V113" s="95">
        <v>7837</v>
      </c>
      <c r="W113" s="441">
        <v>669272</v>
      </c>
      <c r="X113" s="140" t="str">
        <f>"{"&amp;"'coin':"&amp;表1_861218222426728894100[[#This Row],[补偿Coin]]&amp;",'"&amp;配置!$A$2&amp;"':"&amp;表1_861218222426728894100[[#This Row],[补偿辎重]]&amp;"},"</f>
        <v>{'coin':1000,'item036':10},</v>
      </c>
      <c r="Y113" s="138" t="str">
        <f>"      '"&amp;表1_861218222426728894100[[#This Row],[区服]]&amp;"':{"</f>
        <v>      '5213':{</v>
      </c>
    </row>
    <row r="114" customHeight="1" spans="1:25">
      <c r="A114" s="314">
        <v>5213</v>
      </c>
      <c r="B114" s="91">
        <f>VLOOKUP(表1_861218222426728894100[[#This Row],[区服]],$P$143:$Q$190,2,FALSE)</f>
        <v>42</v>
      </c>
      <c r="C114" s="177" t="s">
        <v>236</v>
      </c>
      <c r="D114" s="93" t="str">
        <f>表1_861218222426728894100[[#This Row],[目标国家]]</f>
        <v>魏</v>
      </c>
      <c r="E114" s="95">
        <f>(VLOOKUP(表1_861218222426728894100[[#This Row],[目标区服]],$R$143:$S$169,2,FALSE)-表1_861218222426728894100[[#This Row],[开服天数]])*配置!$B$1</f>
        <v>1000</v>
      </c>
      <c r="F114" s="95">
        <f>表1_861218222426728894100[[#This Row],[补偿Coin]]*(表1_861218222426728894100[[#This Row],[活跃高战玩家数]]+表1_861218222426728894100[[#This Row],[活跃中坚玩家数]])</f>
        <v>20000</v>
      </c>
      <c r="G114" s="95">
        <f>(VLOOKUP(表1_861218222426728894100[[#This Row],[目标区服]],$R$143:$S$174,2,FALSE)-表1_861218222426728894100[[#This Row],[开服天数]])*配置!$B$2</f>
        <v>10</v>
      </c>
      <c r="H114" s="93" t="s">
        <v>26</v>
      </c>
      <c r="I114" s="93">
        <f>IF(表1_861218222426728894100[[#This Row],[原国家]]="魏",0,IF(表1_861218222426728894100[[#This Row],[原国家]]="蜀",1,2))</f>
        <v>1</v>
      </c>
      <c r="J114" s="95">
        <v>3</v>
      </c>
      <c r="K114" s="95">
        <v>138</v>
      </c>
      <c r="L114" s="95">
        <v>3</v>
      </c>
      <c r="M114" s="95">
        <v>17</v>
      </c>
      <c r="N114" s="95">
        <v>119780</v>
      </c>
      <c r="O114" s="95">
        <v>1779096</v>
      </c>
      <c r="P114" s="326">
        <v>13254409</v>
      </c>
      <c r="Q114" s="31" t="s">
        <v>25</v>
      </c>
      <c r="R114" s="93">
        <f>IF(表1_861218222426728894100[[#This Row],[目标国家]]="魏",0,IF(表1_861218222426728894100[[#This Row],[目标国家]]="蜀",1,2))</f>
        <v>0</v>
      </c>
      <c r="S114" s="95">
        <v>17482</v>
      </c>
      <c r="T114" s="95">
        <v>0</v>
      </c>
      <c r="U114" s="95">
        <v>122436</v>
      </c>
      <c r="V114" s="95">
        <v>5969</v>
      </c>
      <c r="W114" s="441">
        <v>507961</v>
      </c>
      <c r="X114" s="140" t="str">
        <f>"{"&amp;"'coin':"&amp;表1_861218222426728894100[[#This Row],[补偿Coin]]&amp;",'"&amp;配置!$A$2&amp;"':"&amp;表1_861218222426728894100[[#This Row],[补偿辎重]]&amp;"},"</f>
        <v>{'coin':1000,'item036':10},</v>
      </c>
      <c r="Y114" s="138" t="str">
        <f>"            'to_zone':'"&amp;表1_861218222426728894100[[#This Row],[目标区服]]&amp;"',
            'reward':"&amp;表1_861218222426728894100[[#This Row],[辅助导出]]&amp;"
            'country':["&amp;R113&amp;","&amp;R114&amp;","&amp;R115&amp;"],"</f>
        <v>            'to_zone':'h1_592',
            'reward':{'coin':1000,'item036':10},
            'country':[1,0,2],</v>
      </c>
    </row>
    <row r="115" customHeight="1" spans="1:25">
      <c r="A115" s="314">
        <v>5213</v>
      </c>
      <c r="B115" s="91">
        <f>VLOOKUP(表1_861218222426728894100[[#This Row],[区服]],$P$143:$Q$190,2,FALSE)</f>
        <v>42</v>
      </c>
      <c r="C115" s="177" t="s">
        <v>236</v>
      </c>
      <c r="D115" s="93" t="str">
        <f>表1_861218222426728894100[[#This Row],[目标国家]]</f>
        <v>吴</v>
      </c>
      <c r="E115" s="95">
        <f>(VLOOKUP(表1_861218222426728894100[[#This Row],[目标区服]],$R$143:$S$169,2,FALSE)-表1_861218222426728894100[[#This Row],[开服天数]])*配置!$B$1</f>
        <v>1000</v>
      </c>
      <c r="F115" s="95">
        <f>表1_861218222426728894100[[#This Row],[补偿Coin]]*(表1_861218222426728894100[[#This Row],[活跃高战玩家数]]+表1_861218222426728894100[[#This Row],[活跃中坚玩家数]])</f>
        <v>12000</v>
      </c>
      <c r="G115" s="95">
        <f>(VLOOKUP(表1_861218222426728894100[[#This Row],[目标区服]],$R$143:$S$174,2,FALSE)-表1_861218222426728894100[[#This Row],[开服天数]])*配置!$B$2</f>
        <v>10</v>
      </c>
      <c r="H115" s="93" t="s">
        <v>27</v>
      </c>
      <c r="I115" s="93">
        <f>IF(表1_861218222426728894100[[#This Row],[原国家]]="魏",0,IF(表1_861218222426728894100[[#This Row],[原国家]]="蜀",1,2))</f>
        <v>2</v>
      </c>
      <c r="J115" s="95">
        <v>2</v>
      </c>
      <c r="K115" s="95">
        <v>78</v>
      </c>
      <c r="L115" s="95">
        <v>3</v>
      </c>
      <c r="M115" s="95">
        <v>9</v>
      </c>
      <c r="N115" s="95">
        <v>56136</v>
      </c>
      <c r="O115" s="95">
        <v>1848611</v>
      </c>
      <c r="P115" s="326">
        <v>7340782</v>
      </c>
      <c r="Q115" s="31" t="s">
        <v>27</v>
      </c>
      <c r="R115" s="93">
        <f>IF(表1_861218222426728894100[[#This Row],[目标国家]]="魏",0,IF(表1_861218222426728894100[[#This Row],[目标国家]]="蜀",1,2))</f>
        <v>2</v>
      </c>
      <c r="S115" s="95">
        <v>35322</v>
      </c>
      <c r="T115" s="95">
        <v>0</v>
      </c>
      <c r="U115" s="95">
        <v>79982</v>
      </c>
      <c r="V115" s="95">
        <v>4943</v>
      </c>
      <c r="W115" s="441">
        <v>562363</v>
      </c>
      <c r="X115" s="140" t="str">
        <f>"{"&amp;"'coin':"&amp;表1_861218222426728894100[[#This Row],[补偿Coin]]&amp;",'"&amp;配置!$A$2&amp;"':"&amp;表1_861218222426728894100[[#This Row],[补偿辎重]]&amp;"},"</f>
        <v>{'coin':1000,'item036':10},</v>
      </c>
      <c r="Y115" s="138" t="str">
        <f t="shared" si="8"/>
        <v>      },</v>
      </c>
    </row>
    <row r="116" customHeight="1" spans="1:25">
      <c r="A116" s="257">
        <v>5214</v>
      </c>
      <c r="B116" s="150">
        <f>VLOOKUP(表1_861218222426728894100[[#This Row],[区服]],$P$143:$Q$190,2,FALSE)</f>
        <v>42</v>
      </c>
      <c r="C116" s="186" t="s">
        <v>237</v>
      </c>
      <c r="D116" s="152" t="str">
        <f>表1_861218222426728894100[[#This Row],[目标国家]]</f>
        <v>魏</v>
      </c>
      <c r="E116" s="154">
        <f>(VLOOKUP(表1_861218222426728894100[[#This Row],[目标区服]],$R$143:$S$169,2,FALSE)-表1_861218222426728894100[[#This Row],[开服天数]])*配置!$B$1</f>
        <v>1000</v>
      </c>
      <c r="F116" s="154">
        <f>表1_861218222426728894100[[#This Row],[补偿Coin]]*(表1_861218222426728894100[[#This Row],[活跃高战玩家数]]+表1_861218222426728894100[[#This Row],[活跃中坚玩家数]])</f>
        <v>15000</v>
      </c>
      <c r="G116" s="258">
        <f>(VLOOKUP(表1_861218222426728894100[[#This Row],[目标区服]],$R$143:$S$174,2,FALSE)-表1_861218222426728894100[[#This Row],[开服天数]])*配置!$B$2</f>
        <v>10</v>
      </c>
      <c r="H116" s="152" t="s">
        <v>25</v>
      </c>
      <c r="I116" s="267">
        <f>IF(表1_861218222426728894100[[#This Row],[原国家]]="魏",0,IF(表1_861218222426728894100[[#This Row],[原国家]]="蜀",1,2))</f>
        <v>0</v>
      </c>
      <c r="J116" s="154">
        <v>0</v>
      </c>
      <c r="K116" s="154">
        <v>30</v>
      </c>
      <c r="L116" s="154">
        <v>3</v>
      </c>
      <c r="M116" s="154">
        <v>12</v>
      </c>
      <c r="N116" s="154">
        <v>63570</v>
      </c>
      <c r="O116" s="359">
        <v>1896206</v>
      </c>
      <c r="P116" s="328">
        <v>10331265</v>
      </c>
      <c r="Q116" s="31" t="s">
        <v>25</v>
      </c>
      <c r="R116" s="152">
        <f>IF(表1_861218222426728894100[[#This Row],[目标国家]]="魏",0,IF(表1_861218222426728894100[[#This Row],[目标国家]]="蜀",1,2))</f>
        <v>0</v>
      </c>
      <c r="S116" s="154">
        <v>29290</v>
      </c>
      <c r="T116" s="154">
        <v>0</v>
      </c>
      <c r="U116" s="154">
        <v>300331</v>
      </c>
      <c r="V116" s="154">
        <v>4576</v>
      </c>
      <c r="W116" s="449">
        <v>551482</v>
      </c>
      <c r="X116" s="277" t="str">
        <f>"{"&amp;"'coin':"&amp;表1_861218222426728894100[[#This Row],[补偿Coin]]&amp;",'"&amp;配置!$A$2&amp;"':"&amp;表1_861218222426728894100[[#This Row],[补偿辎重]]&amp;"},"</f>
        <v>{'coin':1000,'item036':10},</v>
      </c>
      <c r="Y116" s="277" t="str">
        <f>"      '"&amp;表1_861218222426728894100[[#This Row],[区服]]&amp;"':{"</f>
        <v>      '5214':{</v>
      </c>
    </row>
    <row r="117" customHeight="1" spans="1:25">
      <c r="A117" s="257">
        <v>5214</v>
      </c>
      <c r="B117" s="150">
        <f>VLOOKUP(表1_861218222426728894100[[#This Row],[区服]],$P$143:$Q$190,2,FALSE)</f>
        <v>42</v>
      </c>
      <c r="C117" s="186" t="s">
        <v>237</v>
      </c>
      <c r="D117" s="152" t="str">
        <f>表1_861218222426728894100[[#This Row],[目标国家]]</f>
        <v>吴</v>
      </c>
      <c r="E117" s="154">
        <f>(VLOOKUP(表1_861218222426728894100[[#This Row],[目标区服]],$R$143:$S$169,2,FALSE)-表1_861218222426728894100[[#This Row],[开服天数]])*配置!$B$1</f>
        <v>1000</v>
      </c>
      <c r="F117" s="154">
        <f>表1_861218222426728894100[[#This Row],[补偿Coin]]*(表1_861218222426728894100[[#This Row],[活跃高战玩家数]]+表1_861218222426728894100[[#This Row],[活跃中坚玩家数]])</f>
        <v>14000</v>
      </c>
      <c r="G117" s="258">
        <f>(VLOOKUP(表1_861218222426728894100[[#This Row],[目标区服]],$R$143:$S$174,2,FALSE)-表1_861218222426728894100[[#This Row],[开服天数]])*配置!$B$2</f>
        <v>10</v>
      </c>
      <c r="H117" s="152" t="s">
        <v>26</v>
      </c>
      <c r="I117" s="267">
        <f>IF(表1_861218222426728894100[[#This Row],[原国家]]="魏",0,IF(表1_861218222426728894100[[#This Row],[原国家]]="蜀",1,2))</f>
        <v>1</v>
      </c>
      <c r="J117" s="154">
        <v>0</v>
      </c>
      <c r="K117" s="154">
        <v>32</v>
      </c>
      <c r="L117" s="154">
        <v>1</v>
      </c>
      <c r="M117" s="154">
        <v>13</v>
      </c>
      <c r="N117" s="154">
        <v>51867</v>
      </c>
      <c r="O117" s="359">
        <v>1400437</v>
      </c>
      <c r="P117" s="328">
        <v>8328161</v>
      </c>
      <c r="Q117" s="31" t="s">
        <v>27</v>
      </c>
      <c r="R117" s="152">
        <f>IF(表1_861218222426728894100[[#This Row],[目标国家]]="魏",0,IF(表1_861218222426728894100[[#This Row],[目标国家]]="蜀",1,2))</f>
        <v>2</v>
      </c>
      <c r="S117" s="154">
        <v>13214</v>
      </c>
      <c r="T117" s="154">
        <v>0</v>
      </c>
      <c r="U117" s="154">
        <v>78734</v>
      </c>
      <c r="V117" s="154">
        <v>3248</v>
      </c>
      <c r="W117" s="449">
        <v>560223</v>
      </c>
      <c r="X117" s="277" t="str">
        <f>"{"&amp;"'coin':"&amp;表1_861218222426728894100[[#This Row],[补偿Coin]]&amp;",'"&amp;配置!$A$2&amp;"':"&amp;表1_861218222426728894100[[#This Row],[补偿辎重]]&amp;"},"</f>
        <v>{'coin':1000,'item036':10},</v>
      </c>
      <c r="Y117" s="277" t="str">
        <f>"            'to_zone':'"&amp;表1_861218222426728894100[[#This Row],[目标区服]]&amp;"',
            'reward':"&amp;表1_861218222426728894100[[#This Row],[辅助导出]]&amp;"
            'country':["&amp;R116&amp;","&amp;R117&amp;","&amp;R118&amp;"],"</f>
        <v>            'to_zone':'h1_593',
            'reward':{'coin':1000,'item036':10},
            'country':[0,2,1],</v>
      </c>
    </row>
    <row r="118" customHeight="1" spans="1:25">
      <c r="A118" s="257">
        <v>5214</v>
      </c>
      <c r="B118" s="150">
        <f>VLOOKUP(表1_861218222426728894100[[#This Row],[区服]],$P$143:$Q$190,2,FALSE)</f>
        <v>42</v>
      </c>
      <c r="C118" s="186" t="s">
        <v>237</v>
      </c>
      <c r="D118" s="152" t="str">
        <f>表1_861218222426728894100[[#This Row],[目标国家]]</f>
        <v>蜀</v>
      </c>
      <c r="E118" s="154">
        <f>(VLOOKUP(表1_861218222426728894100[[#This Row],[目标区服]],$R$143:$S$169,2,FALSE)-表1_861218222426728894100[[#This Row],[开服天数]])*配置!$B$1</f>
        <v>1000</v>
      </c>
      <c r="F118" s="154">
        <f>表1_861218222426728894100[[#This Row],[补偿Coin]]*(表1_861218222426728894100[[#This Row],[活跃高战玩家数]]+表1_861218222426728894100[[#This Row],[活跃中坚玩家数]])</f>
        <v>27000</v>
      </c>
      <c r="G118" s="258">
        <f>(VLOOKUP(表1_861218222426728894100[[#This Row],[目标区服]],$R$143:$S$174,2,FALSE)-表1_861218222426728894100[[#This Row],[开服天数]])*配置!$B$2</f>
        <v>10</v>
      </c>
      <c r="H118" s="152" t="s">
        <v>27</v>
      </c>
      <c r="I118" s="267">
        <f>IF(表1_861218222426728894100[[#This Row],[原国家]]="魏",0,IF(表1_861218222426728894100[[#This Row],[原国家]]="蜀",1,2))</f>
        <v>2</v>
      </c>
      <c r="J118" s="154">
        <v>9</v>
      </c>
      <c r="K118" s="154">
        <v>333</v>
      </c>
      <c r="L118" s="154">
        <v>6</v>
      </c>
      <c r="M118" s="154">
        <v>21</v>
      </c>
      <c r="N118" s="154">
        <v>159706</v>
      </c>
      <c r="O118" s="359">
        <v>3078227</v>
      </c>
      <c r="P118" s="328">
        <v>27641274</v>
      </c>
      <c r="Q118" s="31" t="s">
        <v>26</v>
      </c>
      <c r="R118" s="152">
        <f>IF(表1_861218222426728894100[[#This Row],[目标国家]]="魏",0,IF(表1_861218222426728894100[[#This Row],[目标国家]]="蜀",1,2))</f>
        <v>1</v>
      </c>
      <c r="S118" s="154">
        <v>134842</v>
      </c>
      <c r="T118" s="154">
        <v>0</v>
      </c>
      <c r="U118" s="154">
        <v>840950</v>
      </c>
      <c r="V118" s="154">
        <v>15336</v>
      </c>
      <c r="W118" s="363">
        <v>846460</v>
      </c>
      <c r="X118" s="277" t="str">
        <f>"{"&amp;"'coin':"&amp;表1_861218222426728894100[[#This Row],[补偿Coin]]&amp;",'"&amp;配置!$A$2&amp;"':"&amp;表1_861218222426728894100[[#This Row],[补偿辎重]]&amp;"},"</f>
        <v>{'coin':1000,'item036':10},</v>
      </c>
      <c r="Y118" s="277" t="str">
        <f t="shared" si="7"/>
        <v>      },</v>
      </c>
    </row>
    <row r="119" customHeight="1" spans="1:25">
      <c r="A119" s="257">
        <v>5215</v>
      </c>
      <c r="B119" s="150">
        <f>VLOOKUP(表1_861218222426728894100[[#This Row],[区服]],$P$143:$Q$190,2,FALSE)</f>
        <v>42</v>
      </c>
      <c r="C119" s="186" t="s">
        <v>237</v>
      </c>
      <c r="D119" s="152" t="str">
        <f>表1_861218222426728894100[[#This Row],[目标国家]]</f>
        <v>魏</v>
      </c>
      <c r="E119" s="154">
        <f>(VLOOKUP(表1_861218222426728894100[[#This Row],[目标区服]],$R$143:$S$169,2,FALSE)-表1_861218222426728894100[[#This Row],[开服天数]])*配置!$B$1</f>
        <v>1000</v>
      </c>
      <c r="F119" s="154">
        <f>表1_861218222426728894100[[#This Row],[补偿Coin]]*(表1_861218222426728894100[[#This Row],[活跃高战玩家数]]+表1_861218222426728894100[[#This Row],[活跃中坚玩家数]])</f>
        <v>15000</v>
      </c>
      <c r="G119" s="258">
        <f>(VLOOKUP(表1_861218222426728894100[[#This Row],[目标区服]],$R$143:$S$174,2,FALSE)-表1_861218222426728894100[[#This Row],[开服天数]])*配置!$B$2</f>
        <v>10</v>
      </c>
      <c r="H119" s="152" t="s">
        <v>25</v>
      </c>
      <c r="I119" s="267">
        <f>IF(表1_861218222426728894100[[#This Row],[原国家]]="魏",0,IF(表1_861218222426728894100[[#This Row],[原国家]]="蜀",1,2))</f>
        <v>0</v>
      </c>
      <c r="J119" s="154">
        <v>0</v>
      </c>
      <c r="K119" s="154">
        <v>19</v>
      </c>
      <c r="L119" s="154">
        <v>1</v>
      </c>
      <c r="M119" s="154">
        <v>14</v>
      </c>
      <c r="N119" s="154">
        <v>54474</v>
      </c>
      <c r="O119" s="359">
        <v>1300681</v>
      </c>
      <c r="P119" s="328">
        <v>6834866</v>
      </c>
      <c r="Q119" s="31" t="s">
        <v>25</v>
      </c>
      <c r="R119" s="152">
        <f>IF(表1_861218222426728894100[[#This Row],[目标国家]]="魏",0,IF(表1_861218222426728894100[[#This Row],[目标国家]]="蜀",1,2))</f>
        <v>0</v>
      </c>
      <c r="S119" s="154">
        <v>21206</v>
      </c>
      <c r="T119" s="154">
        <v>0</v>
      </c>
      <c r="U119" s="154">
        <v>70113</v>
      </c>
      <c r="V119" s="154">
        <v>3117</v>
      </c>
      <c r="W119" s="449">
        <v>439683</v>
      </c>
      <c r="X119" s="277" t="str">
        <f>"{"&amp;"'coin':"&amp;表1_861218222426728894100[[#This Row],[补偿Coin]]&amp;",'"&amp;配置!$A$2&amp;"':"&amp;表1_861218222426728894100[[#This Row],[补偿辎重]]&amp;"},"</f>
        <v>{'coin':1000,'item036':10},</v>
      </c>
      <c r="Y119" s="277" t="str">
        <f>"      '"&amp;表1_861218222426728894100[[#This Row],[区服]]&amp;"':{"</f>
        <v>      '5215':{</v>
      </c>
    </row>
    <row r="120" customHeight="1" spans="1:25">
      <c r="A120" s="257">
        <v>5215</v>
      </c>
      <c r="B120" s="150">
        <f>VLOOKUP(表1_861218222426728894100[[#This Row],[区服]],$P$143:$Q$190,2,FALSE)</f>
        <v>42</v>
      </c>
      <c r="C120" s="186" t="s">
        <v>237</v>
      </c>
      <c r="D120" s="152" t="str">
        <f>表1_861218222426728894100[[#This Row],[目标国家]]</f>
        <v>蜀</v>
      </c>
      <c r="E120" s="154">
        <f>(VLOOKUP(表1_861218222426728894100[[#This Row],[目标区服]],$R$143:$S$169,2,FALSE)-表1_861218222426728894100[[#This Row],[开服天数]])*配置!$B$1</f>
        <v>1000</v>
      </c>
      <c r="F120" s="154">
        <f>表1_861218222426728894100[[#This Row],[补偿Coin]]*(表1_861218222426728894100[[#This Row],[活跃高战玩家数]]+表1_861218222426728894100[[#This Row],[活跃中坚玩家数]])</f>
        <v>16000</v>
      </c>
      <c r="G120" s="258">
        <f>(VLOOKUP(表1_861218222426728894100[[#This Row],[目标区服]],$R$143:$S$174,2,FALSE)-表1_861218222426728894100[[#This Row],[开服天数]])*配置!$B$2</f>
        <v>10</v>
      </c>
      <c r="H120" s="152" t="s">
        <v>26</v>
      </c>
      <c r="I120" s="267">
        <f>IF(表1_861218222426728894100[[#This Row],[原国家]]="魏",0,IF(表1_861218222426728894100[[#This Row],[原国家]]="蜀",1,2))</f>
        <v>1</v>
      </c>
      <c r="J120" s="154">
        <v>0</v>
      </c>
      <c r="K120" s="154">
        <v>20</v>
      </c>
      <c r="L120" s="154">
        <v>2</v>
      </c>
      <c r="M120" s="154">
        <v>14</v>
      </c>
      <c r="N120" s="154">
        <v>74504</v>
      </c>
      <c r="O120" s="359">
        <v>1276124</v>
      </c>
      <c r="P120" s="328">
        <v>8283345</v>
      </c>
      <c r="Q120" s="31" t="s">
        <v>26</v>
      </c>
      <c r="R120" s="152">
        <f>IF(表1_861218222426728894100[[#This Row],[目标国家]]="魏",0,IF(表1_861218222426728894100[[#This Row],[目标国家]]="蜀",1,2))</f>
        <v>1</v>
      </c>
      <c r="S120" s="154">
        <v>7468</v>
      </c>
      <c r="T120" s="154">
        <v>0</v>
      </c>
      <c r="U120" s="154">
        <v>70270</v>
      </c>
      <c r="V120" s="154">
        <v>2936</v>
      </c>
      <c r="W120" s="449">
        <v>370724</v>
      </c>
      <c r="X120" s="277" t="str">
        <f>"{"&amp;"'coin':"&amp;表1_861218222426728894100[[#This Row],[补偿Coin]]&amp;",'"&amp;配置!$A$2&amp;"':"&amp;表1_861218222426728894100[[#This Row],[补偿辎重]]&amp;"},"</f>
        <v>{'coin':1000,'item036':10},</v>
      </c>
      <c r="Y120" s="277" t="str">
        <f>"            'to_zone':'"&amp;表1_861218222426728894100[[#This Row],[目标区服]]&amp;"',
            'reward':"&amp;表1_861218222426728894100[[#This Row],[辅助导出]]&amp;"
            'country':["&amp;R119&amp;","&amp;R120&amp;","&amp;R121&amp;"],"</f>
        <v>            'to_zone':'h1_593',
            'reward':{'coin':1000,'item036':10},
            'country':[0,1,2],</v>
      </c>
    </row>
    <row r="121" customHeight="1" spans="1:25">
      <c r="A121" s="257">
        <v>5215</v>
      </c>
      <c r="B121" s="150">
        <f>VLOOKUP(表1_861218222426728894100[[#This Row],[区服]],$P$143:$Q$190,2,FALSE)</f>
        <v>42</v>
      </c>
      <c r="C121" s="186" t="s">
        <v>237</v>
      </c>
      <c r="D121" s="152" t="str">
        <f>表1_861218222426728894100[[#This Row],[目标国家]]</f>
        <v>吴</v>
      </c>
      <c r="E121" s="154">
        <f>(VLOOKUP(表1_861218222426728894100[[#This Row],[目标区服]],$R$143:$S$169,2,FALSE)-表1_861218222426728894100[[#This Row],[开服天数]])*配置!$B$1</f>
        <v>1000</v>
      </c>
      <c r="F121" s="154">
        <f>表1_861218222426728894100[[#This Row],[补偿Coin]]*(表1_861218222426728894100[[#This Row],[活跃高战玩家数]]+表1_861218222426728894100[[#This Row],[活跃中坚玩家数]])</f>
        <v>27000</v>
      </c>
      <c r="G121" s="258">
        <f>(VLOOKUP(表1_861218222426728894100[[#This Row],[目标区服]],$R$143:$S$174,2,FALSE)-表1_861218222426728894100[[#This Row],[开服天数]])*配置!$B$2</f>
        <v>10</v>
      </c>
      <c r="H121" s="152" t="s">
        <v>27</v>
      </c>
      <c r="I121" s="267">
        <f>IF(表1_861218222426728894100[[#This Row],[原国家]]="魏",0,IF(表1_861218222426728894100[[#This Row],[原国家]]="蜀",1,2))</f>
        <v>2</v>
      </c>
      <c r="J121" s="154">
        <v>9</v>
      </c>
      <c r="K121" s="154">
        <v>356</v>
      </c>
      <c r="L121" s="154">
        <v>7</v>
      </c>
      <c r="M121" s="154">
        <v>20</v>
      </c>
      <c r="N121" s="154">
        <v>148827</v>
      </c>
      <c r="O121" s="359">
        <v>3361039</v>
      </c>
      <c r="P121" s="328">
        <v>21255973</v>
      </c>
      <c r="Q121" s="31" t="s">
        <v>27</v>
      </c>
      <c r="R121" s="152">
        <f>IF(表1_861218222426728894100[[#This Row],[目标国家]]="魏",0,IF(表1_861218222426728894100[[#This Row],[目标国家]]="蜀",1,2))</f>
        <v>2</v>
      </c>
      <c r="S121" s="154">
        <v>163828</v>
      </c>
      <c r="T121" s="154">
        <v>0</v>
      </c>
      <c r="U121" s="154">
        <v>1193246</v>
      </c>
      <c r="V121" s="154">
        <v>16202</v>
      </c>
      <c r="W121" s="363">
        <v>1087245</v>
      </c>
      <c r="X121" s="277" t="str">
        <f>"{"&amp;"'coin':"&amp;表1_861218222426728894100[[#This Row],[补偿Coin]]&amp;",'"&amp;配置!$A$2&amp;"':"&amp;表1_861218222426728894100[[#This Row],[补偿辎重]]&amp;"},"</f>
        <v>{'coin':1000,'item036':10},</v>
      </c>
      <c r="Y121" s="277" t="str">
        <f t="shared" ref="Y121" si="9">"      },"</f>
        <v>      },</v>
      </c>
    </row>
    <row r="122" customHeight="1" spans="1:25">
      <c r="A122" s="150">
        <v>5216</v>
      </c>
      <c r="B122" s="150">
        <f>VLOOKUP(表1_861218222426728894100[[#This Row],[区服]],$P$143:$Q$190,2,FALSE)</f>
        <v>41</v>
      </c>
      <c r="C122" s="186" t="s">
        <v>237</v>
      </c>
      <c r="D122" s="152" t="str">
        <f>表1_861218222426728894100[[#This Row],[目标国家]]</f>
        <v>魏</v>
      </c>
      <c r="E122" s="154">
        <f>(VLOOKUP(表1_861218222426728894100[[#This Row],[目标区服]],$R$143:$S$169,2,FALSE)-表1_861218222426728894100[[#This Row],[开服天数]])*配置!$B$1</f>
        <v>1500</v>
      </c>
      <c r="F122" s="154">
        <f>表1_861218222426728894100[[#This Row],[补偿Coin]]*(表1_861218222426728894100[[#This Row],[活跃高战玩家数]]+表1_861218222426728894100[[#This Row],[活跃中坚玩家数]])</f>
        <v>39000</v>
      </c>
      <c r="G122" s="154">
        <f>(VLOOKUP(表1_861218222426728894100[[#This Row],[目标区服]],$R$143:$S$174,2,FALSE)-表1_861218222426728894100[[#This Row],[开服天数]])*配置!$B$2</f>
        <v>15</v>
      </c>
      <c r="H122" s="152" t="s">
        <v>25</v>
      </c>
      <c r="I122" s="152">
        <f>IF(表1_861218222426728894100[[#This Row],[原国家]]="魏",0,IF(表1_861218222426728894100[[#This Row],[原国家]]="蜀",1,2))</f>
        <v>0</v>
      </c>
      <c r="J122" s="154">
        <v>8</v>
      </c>
      <c r="K122" s="154">
        <v>284</v>
      </c>
      <c r="L122" s="154">
        <v>7</v>
      </c>
      <c r="M122" s="154">
        <v>19</v>
      </c>
      <c r="N122" s="154">
        <v>145619</v>
      </c>
      <c r="O122" s="154">
        <v>2802933</v>
      </c>
      <c r="P122" s="328">
        <v>22287105</v>
      </c>
      <c r="Q122" s="31" t="s">
        <v>25</v>
      </c>
      <c r="R122" s="152">
        <f>IF(表1_861218222426728894100[[#This Row],[目标国家]]="魏",0,IF(表1_861218222426728894100[[#This Row],[目标国家]]="蜀",1,2))</f>
        <v>0</v>
      </c>
      <c r="S122" s="154">
        <v>109218</v>
      </c>
      <c r="T122" s="154">
        <v>0</v>
      </c>
      <c r="U122" s="154">
        <v>997525</v>
      </c>
      <c r="V122" s="154">
        <v>13175</v>
      </c>
      <c r="W122" s="364">
        <v>838684</v>
      </c>
      <c r="X122" s="196" t="str">
        <f>"{"&amp;"'coin':"&amp;表1_861218222426728894100[[#This Row],[补偿Coin]]&amp;",'"&amp;配置!$A$2&amp;"':"&amp;表1_861218222426728894100[[#This Row],[补偿辎重]]&amp;"},"</f>
        <v>{'coin':1500,'item036':15},</v>
      </c>
      <c r="Y122" s="194" t="str">
        <f>"      '"&amp;表1_861218222426728894100[[#This Row],[区服]]&amp;"':{"</f>
        <v>      '5216':{</v>
      </c>
    </row>
    <row r="123" customHeight="1" spans="1:25">
      <c r="A123" s="150">
        <v>5216</v>
      </c>
      <c r="B123" s="150">
        <f>VLOOKUP(表1_861218222426728894100[[#This Row],[区服]],$P$143:$Q$190,2,FALSE)</f>
        <v>41</v>
      </c>
      <c r="C123" s="186" t="s">
        <v>237</v>
      </c>
      <c r="D123" s="152" t="str">
        <f>表1_861218222426728894100[[#This Row],[目标国家]]</f>
        <v>蜀</v>
      </c>
      <c r="E123" s="154">
        <f>(VLOOKUP(表1_861218222426728894100[[#This Row],[目标区服]],$R$143:$S$169,2,FALSE)-表1_861218222426728894100[[#This Row],[开服天数]])*配置!$B$1</f>
        <v>1500</v>
      </c>
      <c r="F123" s="154">
        <f>表1_861218222426728894100[[#This Row],[补偿Coin]]*(表1_861218222426728894100[[#This Row],[活跃高战玩家数]]+表1_861218222426728894100[[#This Row],[活跃中坚玩家数]])</f>
        <v>15000</v>
      </c>
      <c r="G123" s="154">
        <f>(VLOOKUP(表1_861218222426728894100[[#This Row],[目标区服]],$R$143:$S$174,2,FALSE)-表1_861218222426728894100[[#This Row],[开服天数]])*配置!$B$2</f>
        <v>15</v>
      </c>
      <c r="H123" s="152" t="s">
        <v>26</v>
      </c>
      <c r="I123" s="152">
        <f>IF(表1_861218222426728894100[[#This Row],[原国家]]="魏",0,IF(表1_861218222426728894100[[#This Row],[原国家]]="蜀",1,2))</f>
        <v>1</v>
      </c>
      <c r="J123" s="154">
        <v>1</v>
      </c>
      <c r="K123" s="154">
        <v>64</v>
      </c>
      <c r="L123" s="154">
        <v>1</v>
      </c>
      <c r="M123" s="154">
        <v>9</v>
      </c>
      <c r="N123" s="154">
        <v>46681</v>
      </c>
      <c r="O123" s="154">
        <v>1298306</v>
      </c>
      <c r="P123" s="328">
        <v>5964717</v>
      </c>
      <c r="Q123" s="31" t="s">
        <v>26</v>
      </c>
      <c r="R123" s="152">
        <f>IF(表1_861218222426728894100[[#This Row],[目标国家]]="魏",0,IF(表1_861218222426728894100[[#This Row],[目标国家]]="蜀",1,2))</f>
        <v>1</v>
      </c>
      <c r="S123" s="154">
        <v>19490</v>
      </c>
      <c r="T123" s="154">
        <v>0</v>
      </c>
      <c r="U123" s="154">
        <v>110226</v>
      </c>
      <c r="V123" s="154">
        <v>3507</v>
      </c>
      <c r="W123" s="450">
        <v>418303</v>
      </c>
      <c r="X123" s="196" t="str">
        <f>"{"&amp;"'coin':"&amp;表1_861218222426728894100[[#This Row],[补偿Coin]]&amp;",'"&amp;配置!$A$2&amp;"':"&amp;表1_861218222426728894100[[#This Row],[补偿辎重]]&amp;"},"</f>
        <v>{'coin':1500,'item036':15},</v>
      </c>
      <c r="Y123" s="194" t="str">
        <f>"            'to_zone':'"&amp;表1_861218222426728894100[[#This Row],[目标区服]]&amp;"',
            'reward':"&amp;表1_861218222426728894100[[#This Row],[辅助导出]]&amp;"
            'country':["&amp;R122&amp;","&amp;R123&amp;","&amp;R124&amp;"],"</f>
        <v>            'to_zone':'h1_593',
            'reward':{'coin':1500,'item036':15},
            'country':[0,1,2],</v>
      </c>
    </row>
    <row r="124" customHeight="1" spans="1:25">
      <c r="A124" s="150">
        <v>5216</v>
      </c>
      <c r="B124" s="150">
        <f>VLOOKUP(表1_861218222426728894100[[#This Row],[区服]],$P$143:$Q$190,2,FALSE)</f>
        <v>41</v>
      </c>
      <c r="C124" s="186" t="s">
        <v>237</v>
      </c>
      <c r="D124" s="152" t="str">
        <f>表1_861218222426728894100[[#This Row],[目标国家]]</f>
        <v>吴</v>
      </c>
      <c r="E124" s="154">
        <f>(VLOOKUP(表1_861218222426728894100[[#This Row],[目标区服]],$R$143:$S$169,2,FALSE)-表1_861218222426728894100[[#This Row],[开服天数]])*配置!$B$1</f>
        <v>1500</v>
      </c>
      <c r="F124" s="154">
        <f>表1_861218222426728894100[[#This Row],[补偿Coin]]*(表1_861218222426728894100[[#This Row],[活跃高战玩家数]]+表1_861218222426728894100[[#This Row],[活跃中坚玩家数]])</f>
        <v>18000</v>
      </c>
      <c r="G124" s="154">
        <f>(VLOOKUP(表1_861218222426728894100[[#This Row],[目标区服]],$R$143:$S$174,2,FALSE)-表1_861218222426728894100[[#This Row],[开服天数]])*配置!$B$2</f>
        <v>15</v>
      </c>
      <c r="H124" s="152" t="s">
        <v>27</v>
      </c>
      <c r="I124" s="152">
        <f>IF(表1_861218222426728894100[[#This Row],[原国家]]="魏",0,IF(表1_861218222426728894100[[#This Row],[原国家]]="蜀",1,2))</f>
        <v>2</v>
      </c>
      <c r="J124" s="154">
        <v>0</v>
      </c>
      <c r="K124" s="154">
        <v>47</v>
      </c>
      <c r="L124" s="154">
        <v>1</v>
      </c>
      <c r="M124" s="154">
        <v>11</v>
      </c>
      <c r="N124" s="154">
        <v>55718</v>
      </c>
      <c r="O124" s="154">
        <v>1167391</v>
      </c>
      <c r="P124" s="328">
        <v>6594533</v>
      </c>
      <c r="Q124" s="31" t="s">
        <v>27</v>
      </c>
      <c r="R124" s="152">
        <f>IF(表1_861218222426728894100[[#This Row],[目标国家]]="魏",0,IF(表1_861218222426728894100[[#This Row],[目标国家]]="蜀",1,2))</f>
        <v>2</v>
      </c>
      <c r="S124" s="154">
        <v>7976</v>
      </c>
      <c r="T124" s="154">
        <v>0</v>
      </c>
      <c r="U124" s="154">
        <v>86436</v>
      </c>
      <c r="V124" s="154">
        <v>2857</v>
      </c>
      <c r="W124" s="450">
        <v>326443</v>
      </c>
      <c r="X124" s="196" t="str">
        <f>"{"&amp;"'coin':"&amp;表1_861218222426728894100[[#This Row],[补偿Coin]]&amp;",'"&amp;配置!$A$2&amp;"':"&amp;表1_861218222426728894100[[#This Row],[补偿辎重]]&amp;"},"</f>
        <v>{'coin':1500,'item036':15},</v>
      </c>
      <c r="Y124" s="194" t="str">
        <f t="shared" ref="Y124:Y136" si="10">"      },"</f>
        <v>      },</v>
      </c>
    </row>
    <row r="125" customHeight="1" spans="1:25">
      <c r="A125" s="150">
        <v>5217</v>
      </c>
      <c r="B125" s="150">
        <f>VLOOKUP(表1_861218222426728894100[[#This Row],[区服]],$P$143:$Q$190,2,FALSE)</f>
        <v>41</v>
      </c>
      <c r="C125" s="186" t="s">
        <v>237</v>
      </c>
      <c r="D125" s="152" t="str">
        <f>表1_861218222426728894100[[#This Row],[目标国家]]</f>
        <v>魏</v>
      </c>
      <c r="E125" s="154">
        <f>(VLOOKUP(表1_861218222426728894100[[#This Row],[目标区服]],$R$143:$S$169,2,FALSE)-表1_861218222426728894100[[#This Row],[开服天数]])*配置!$B$1</f>
        <v>1500</v>
      </c>
      <c r="F125" s="154">
        <f>表1_861218222426728894100[[#This Row],[补偿Coin]]*(表1_861218222426728894100[[#This Row],[活跃高战玩家数]]+表1_861218222426728894100[[#This Row],[活跃中坚玩家数]])</f>
        <v>21000</v>
      </c>
      <c r="G125" s="154">
        <f>(VLOOKUP(表1_861218222426728894100[[#This Row],[目标区服]],$R$143:$S$174,2,FALSE)-表1_861218222426728894100[[#This Row],[开服天数]])*配置!$B$2</f>
        <v>15</v>
      </c>
      <c r="H125" s="152" t="s">
        <v>25</v>
      </c>
      <c r="I125" s="152">
        <f>IF(表1_861218222426728894100[[#This Row],[原国家]]="魏",0,IF(表1_861218222426728894100[[#This Row],[原国家]]="蜀",1,2))</f>
        <v>0</v>
      </c>
      <c r="J125" s="154">
        <v>3</v>
      </c>
      <c r="K125" s="154">
        <v>124</v>
      </c>
      <c r="L125" s="154">
        <v>1</v>
      </c>
      <c r="M125" s="154">
        <v>13</v>
      </c>
      <c r="N125" s="154">
        <v>59942</v>
      </c>
      <c r="O125" s="154">
        <v>1555051</v>
      </c>
      <c r="P125" s="328">
        <v>7091528</v>
      </c>
      <c r="Q125" s="31" t="s">
        <v>25</v>
      </c>
      <c r="R125" s="152">
        <f>IF(表1_861218222426728894100[[#This Row],[目标国家]]="魏",0,IF(表1_861218222426728894100[[#This Row],[目标国家]]="蜀",1,2))</f>
        <v>0</v>
      </c>
      <c r="S125" s="154">
        <v>23904</v>
      </c>
      <c r="T125" s="154">
        <v>0</v>
      </c>
      <c r="U125" s="154">
        <v>88453</v>
      </c>
      <c r="V125" s="154">
        <v>4865</v>
      </c>
      <c r="W125" s="450">
        <v>651186</v>
      </c>
      <c r="X125" s="196" t="str">
        <f>"{"&amp;"'coin':"&amp;表1_861218222426728894100[[#This Row],[补偿Coin]]&amp;",'"&amp;配置!$A$2&amp;"':"&amp;表1_861218222426728894100[[#This Row],[补偿辎重]]&amp;"},"</f>
        <v>{'coin':1500,'item036':15},</v>
      </c>
      <c r="Y125" s="194" t="str">
        <f>"      '"&amp;表1_861218222426728894100[[#This Row],[区服]]&amp;"':{"</f>
        <v>      '5217':{</v>
      </c>
    </row>
    <row r="126" customHeight="1" spans="1:25">
      <c r="A126" s="150">
        <v>5217</v>
      </c>
      <c r="B126" s="150">
        <f>VLOOKUP(表1_861218222426728894100[[#This Row],[区服]],$P$143:$Q$190,2,FALSE)</f>
        <v>41</v>
      </c>
      <c r="C126" s="186" t="s">
        <v>237</v>
      </c>
      <c r="D126" s="152" t="str">
        <f>表1_861218222426728894100[[#This Row],[目标国家]]</f>
        <v>蜀</v>
      </c>
      <c r="E126" s="154">
        <f>(VLOOKUP(表1_861218222426728894100[[#This Row],[目标区服]],$R$143:$S$169,2,FALSE)-表1_861218222426728894100[[#This Row],[开服天数]])*配置!$B$1</f>
        <v>1500</v>
      </c>
      <c r="F126" s="154">
        <f>表1_861218222426728894100[[#This Row],[补偿Coin]]*(表1_861218222426728894100[[#This Row],[活跃高战玩家数]]+表1_861218222426728894100[[#This Row],[活跃中坚玩家数]])</f>
        <v>36000</v>
      </c>
      <c r="G126" s="154">
        <f>(VLOOKUP(表1_861218222426728894100[[#This Row],[目标区服]],$R$143:$S$174,2,FALSE)-表1_861218222426728894100[[#This Row],[开服天数]])*配置!$B$2</f>
        <v>15</v>
      </c>
      <c r="H126" s="152" t="s">
        <v>26</v>
      </c>
      <c r="I126" s="152">
        <f>IF(表1_861218222426728894100[[#This Row],[原国家]]="魏",0,IF(表1_861218222426728894100[[#This Row],[原国家]]="蜀",1,2))</f>
        <v>1</v>
      </c>
      <c r="J126" s="154">
        <v>4</v>
      </c>
      <c r="K126" s="154">
        <v>196</v>
      </c>
      <c r="L126" s="154">
        <v>5</v>
      </c>
      <c r="M126" s="154">
        <v>19</v>
      </c>
      <c r="N126" s="154">
        <v>134193</v>
      </c>
      <c r="O126" s="154">
        <v>2075475</v>
      </c>
      <c r="P126" s="328">
        <v>16859915</v>
      </c>
      <c r="Q126" s="31" t="s">
        <v>26</v>
      </c>
      <c r="R126" s="152">
        <f>IF(表1_861218222426728894100[[#This Row],[目标国家]]="魏",0,IF(表1_861218222426728894100[[#This Row],[目标国家]]="蜀",1,2))</f>
        <v>1</v>
      </c>
      <c r="S126" s="154">
        <v>21236</v>
      </c>
      <c r="T126" s="154">
        <v>0</v>
      </c>
      <c r="U126" s="154">
        <v>458763</v>
      </c>
      <c r="V126" s="154">
        <v>7658</v>
      </c>
      <c r="W126" s="450">
        <v>575602</v>
      </c>
      <c r="X126" s="196" t="str">
        <f>"{"&amp;"'coin':"&amp;表1_861218222426728894100[[#This Row],[补偿Coin]]&amp;",'"&amp;配置!$A$2&amp;"':"&amp;表1_861218222426728894100[[#This Row],[补偿辎重]]&amp;"},"</f>
        <v>{'coin':1500,'item036':15},</v>
      </c>
      <c r="Y126" s="194" t="str">
        <f>"            'to_zone':'"&amp;表1_861218222426728894100[[#This Row],[目标区服]]&amp;"',
            'reward':"&amp;表1_861218222426728894100[[#This Row],[辅助导出]]&amp;"
            'country':["&amp;R125&amp;","&amp;R126&amp;","&amp;R127&amp;"],"</f>
        <v>            'to_zone':'h1_593',
            'reward':{'coin':1500,'item036':15},
            'country':[0,1,2],</v>
      </c>
    </row>
    <row r="127" customHeight="1" spans="1:25">
      <c r="A127" s="150">
        <v>5217</v>
      </c>
      <c r="B127" s="150">
        <f>VLOOKUP(表1_861218222426728894100[[#This Row],[区服]],$P$143:$Q$190,2,FALSE)</f>
        <v>41</v>
      </c>
      <c r="C127" s="186" t="s">
        <v>237</v>
      </c>
      <c r="D127" s="152" t="str">
        <f>表1_861218222426728894100[[#This Row],[目标国家]]</f>
        <v>吴</v>
      </c>
      <c r="E127" s="154">
        <f>(VLOOKUP(表1_861218222426728894100[[#This Row],[目标区服]],$R$143:$S$169,2,FALSE)-表1_861218222426728894100[[#This Row],[开服天数]])*配置!$B$1</f>
        <v>1500</v>
      </c>
      <c r="F127" s="154">
        <f>表1_861218222426728894100[[#This Row],[补偿Coin]]*(表1_861218222426728894100[[#This Row],[活跃高战玩家数]]+表1_861218222426728894100[[#This Row],[活跃中坚玩家数]])</f>
        <v>19500</v>
      </c>
      <c r="G127" s="154">
        <f>(VLOOKUP(表1_861218222426728894100[[#This Row],[目标区服]],$R$143:$S$174,2,FALSE)-表1_861218222426728894100[[#This Row],[开服天数]])*配置!$B$2</f>
        <v>15</v>
      </c>
      <c r="H127" s="152" t="s">
        <v>27</v>
      </c>
      <c r="I127" s="152">
        <f>IF(表1_861218222426728894100[[#This Row],[原国家]]="魏",0,IF(表1_861218222426728894100[[#This Row],[原国家]]="蜀",1,2))</f>
        <v>2</v>
      </c>
      <c r="J127" s="154">
        <v>2</v>
      </c>
      <c r="K127" s="154">
        <v>75</v>
      </c>
      <c r="L127" s="154">
        <v>4</v>
      </c>
      <c r="M127" s="154">
        <v>9</v>
      </c>
      <c r="N127" s="154">
        <v>88684</v>
      </c>
      <c r="O127" s="154">
        <v>1706345</v>
      </c>
      <c r="P127" s="328">
        <v>10026419</v>
      </c>
      <c r="Q127" s="31" t="s">
        <v>27</v>
      </c>
      <c r="R127" s="152">
        <f>IF(表1_861218222426728894100[[#This Row],[目标国家]]="魏",0,IF(表1_861218222426728894100[[#This Row],[目标国家]]="蜀",1,2))</f>
        <v>2</v>
      </c>
      <c r="S127" s="154">
        <v>7632</v>
      </c>
      <c r="T127" s="154">
        <v>0</v>
      </c>
      <c r="U127" s="154">
        <v>153817</v>
      </c>
      <c r="V127" s="154">
        <v>4408</v>
      </c>
      <c r="W127" s="450">
        <v>489224</v>
      </c>
      <c r="X127" s="196" t="str">
        <f>"{"&amp;"'coin':"&amp;表1_861218222426728894100[[#This Row],[补偿Coin]]&amp;",'"&amp;配置!$A$2&amp;"':"&amp;表1_861218222426728894100[[#This Row],[补偿辎重]]&amp;"},"</f>
        <v>{'coin':1500,'item036':15},</v>
      </c>
      <c r="Y127" s="194" t="str">
        <f t="shared" ref="Y127:Y139" si="11">"      },"</f>
        <v>      },</v>
      </c>
    </row>
    <row r="128" customHeight="1" spans="1:25">
      <c r="A128" s="96">
        <v>5218</v>
      </c>
      <c r="B128" s="96">
        <f>VLOOKUP(表1_861218222426728894100[[#This Row],[区服]],$P$143:$Q$190,2,FALSE)</f>
        <v>41</v>
      </c>
      <c r="C128" s="181" t="s">
        <v>238</v>
      </c>
      <c r="D128" s="98" t="str">
        <f>表1_861218222426728894100[[#This Row],[目标国家]]</f>
        <v>魏</v>
      </c>
      <c r="E128" s="99">
        <f>(VLOOKUP(表1_861218222426728894100[[#This Row],[目标区服]],$R$143:$S$169,2,FALSE)-表1_861218222426728894100[[#This Row],[开服天数]])*配置!$B$1</f>
        <v>1000</v>
      </c>
      <c r="F128" s="99">
        <f>表1_861218222426728894100[[#This Row],[补偿Coin]]*(表1_861218222426728894100[[#This Row],[活跃高战玩家数]]+表1_861218222426728894100[[#This Row],[活跃中坚玩家数]])</f>
        <v>32000</v>
      </c>
      <c r="G128" s="99">
        <f>(VLOOKUP(表1_861218222426728894100[[#This Row],[目标区服]],$R$143:$S$174,2,FALSE)-表1_861218222426728894100[[#This Row],[开服天数]])*配置!$B$2</f>
        <v>10</v>
      </c>
      <c r="H128" s="98" t="s">
        <v>25</v>
      </c>
      <c r="I128" s="98">
        <f>IF(表1_861218222426728894100[[#This Row],[原国家]]="魏",0,IF(表1_861218222426728894100[[#This Row],[原国家]]="蜀",1,2))</f>
        <v>0</v>
      </c>
      <c r="J128" s="99">
        <v>8</v>
      </c>
      <c r="K128" s="99">
        <v>272</v>
      </c>
      <c r="L128" s="99">
        <v>7</v>
      </c>
      <c r="M128" s="99">
        <v>25</v>
      </c>
      <c r="N128" s="99">
        <v>184713</v>
      </c>
      <c r="O128" s="217">
        <v>2759341</v>
      </c>
      <c r="P128" s="334">
        <v>28705879</v>
      </c>
      <c r="Q128" s="31" t="s">
        <v>25</v>
      </c>
      <c r="R128" s="98">
        <f>IF(表1_861218222426728894100[[#This Row],[目标国家]]="魏",0,IF(表1_861218222426728894100[[#This Row],[目标国家]]="蜀",1,2))</f>
        <v>0</v>
      </c>
      <c r="S128" s="99">
        <v>93927</v>
      </c>
      <c r="T128" s="99">
        <v>0</v>
      </c>
      <c r="U128" s="99">
        <v>1008133</v>
      </c>
      <c r="V128" s="99">
        <v>13395</v>
      </c>
      <c r="W128" s="451">
        <v>828567</v>
      </c>
      <c r="X128" s="144" t="str">
        <f>"{"&amp;"'coin':"&amp;表1_861218222426728894100[[#This Row],[补偿Coin]]&amp;",'"&amp;配置!$A$2&amp;"':"&amp;表1_861218222426728894100[[#This Row],[补偿辎重]]&amp;"},"</f>
        <v>{'coin':1000,'item036':10},</v>
      </c>
      <c r="Y128" s="143" t="str">
        <f>"      '"&amp;表1_861218222426728894100[[#This Row],[区服]]&amp;"':{"</f>
        <v>      '5218':{</v>
      </c>
    </row>
    <row r="129" customHeight="1" spans="1:25">
      <c r="A129" s="96">
        <v>5218</v>
      </c>
      <c r="B129" s="96">
        <f>VLOOKUP(表1_861218222426728894100[[#This Row],[区服]],$P$143:$Q$190,2,FALSE)</f>
        <v>41</v>
      </c>
      <c r="C129" s="181" t="s">
        <v>238</v>
      </c>
      <c r="D129" s="98" t="str">
        <f>表1_861218222426728894100[[#This Row],[目标国家]]</f>
        <v>蜀</v>
      </c>
      <c r="E129" s="99">
        <f>(VLOOKUP(表1_861218222426728894100[[#This Row],[目标区服]],$R$143:$S$169,2,FALSE)-表1_861218222426728894100[[#This Row],[开服天数]])*配置!$B$1</f>
        <v>1000</v>
      </c>
      <c r="F129" s="99">
        <f>表1_861218222426728894100[[#This Row],[补偿Coin]]*(表1_861218222426728894100[[#This Row],[活跃高战玩家数]]+表1_861218222426728894100[[#This Row],[活跃中坚玩家数]])</f>
        <v>21000</v>
      </c>
      <c r="G129" s="99">
        <f>(VLOOKUP(表1_861218222426728894100[[#This Row],[目标区服]],$R$143:$S$174,2,FALSE)-表1_861218222426728894100[[#This Row],[开服天数]])*配置!$B$2</f>
        <v>10</v>
      </c>
      <c r="H129" s="98" t="s">
        <v>26</v>
      </c>
      <c r="I129" s="98">
        <f>IF(表1_861218222426728894100[[#This Row],[原国家]]="魏",0,IF(表1_861218222426728894100[[#This Row],[原国家]]="蜀",1,2))</f>
        <v>1</v>
      </c>
      <c r="J129" s="99">
        <v>1</v>
      </c>
      <c r="K129" s="99">
        <v>61</v>
      </c>
      <c r="L129" s="99">
        <v>2</v>
      </c>
      <c r="M129" s="99">
        <v>19</v>
      </c>
      <c r="N129" s="99">
        <v>65717</v>
      </c>
      <c r="O129" s="217">
        <v>1369707</v>
      </c>
      <c r="P129" s="334">
        <v>10262718</v>
      </c>
      <c r="Q129" s="31" t="s">
        <v>26</v>
      </c>
      <c r="R129" s="98">
        <f>IF(表1_861218222426728894100[[#This Row],[目标国家]]="魏",0,IF(表1_861218222426728894100[[#This Row],[目标国家]]="蜀",1,2))</f>
        <v>1</v>
      </c>
      <c r="S129" s="99">
        <v>8628</v>
      </c>
      <c r="T129" s="99">
        <v>0</v>
      </c>
      <c r="U129" s="99">
        <v>64015</v>
      </c>
      <c r="V129" s="99">
        <v>3725</v>
      </c>
      <c r="W129" s="480">
        <v>466602</v>
      </c>
      <c r="X129" s="144" t="str">
        <f>"{"&amp;"'coin':"&amp;表1_861218222426728894100[[#This Row],[补偿Coin]]&amp;",'"&amp;配置!$A$2&amp;"':"&amp;表1_861218222426728894100[[#This Row],[补偿辎重]]&amp;"},"</f>
        <v>{'coin':1000,'item036':10},</v>
      </c>
      <c r="Y129" s="143" t="str">
        <f>"            'to_zone':'"&amp;表1_861218222426728894100[[#This Row],[目标区服]]&amp;"',
            'reward':"&amp;表1_861218222426728894100[[#This Row],[辅助导出]]&amp;"
            'country':["&amp;R128&amp;","&amp;R129&amp;","&amp;R130&amp;"],"</f>
        <v>            'to_zone':'h1_594',
            'reward':{'coin':1000,'item036':10},
            'country':[0,1,2],</v>
      </c>
    </row>
    <row r="130" customHeight="1" spans="1:25">
      <c r="A130" s="96">
        <v>5218</v>
      </c>
      <c r="B130" s="96">
        <f>VLOOKUP(表1_861218222426728894100[[#This Row],[区服]],$P$143:$Q$190,2,FALSE)</f>
        <v>41</v>
      </c>
      <c r="C130" s="181" t="s">
        <v>238</v>
      </c>
      <c r="D130" s="98" t="str">
        <f>表1_861218222426728894100[[#This Row],[目标国家]]</f>
        <v>吴</v>
      </c>
      <c r="E130" s="99">
        <f>(VLOOKUP(表1_861218222426728894100[[#This Row],[目标区服]],$R$143:$S$169,2,FALSE)-表1_861218222426728894100[[#This Row],[开服天数]])*配置!$B$1</f>
        <v>1000</v>
      </c>
      <c r="F130" s="99">
        <f>表1_861218222426728894100[[#This Row],[补偿Coin]]*(表1_861218222426728894100[[#This Row],[活跃高战玩家数]]+表1_861218222426728894100[[#This Row],[活跃中坚玩家数]])</f>
        <v>9000</v>
      </c>
      <c r="G130" s="99">
        <f>(VLOOKUP(表1_861218222426728894100[[#This Row],[目标区服]],$R$143:$S$174,2,FALSE)-表1_861218222426728894100[[#This Row],[开服天数]])*配置!$B$2</f>
        <v>10</v>
      </c>
      <c r="H130" s="98" t="s">
        <v>27</v>
      </c>
      <c r="I130" s="98">
        <f>IF(表1_861218222426728894100[[#This Row],[原国家]]="魏",0,IF(表1_861218222426728894100[[#This Row],[原国家]]="蜀",1,2))</f>
        <v>2</v>
      </c>
      <c r="J130" s="99">
        <v>0</v>
      </c>
      <c r="K130" s="99">
        <v>62</v>
      </c>
      <c r="L130" s="99">
        <v>1</v>
      </c>
      <c r="M130" s="99">
        <v>8</v>
      </c>
      <c r="N130" s="99">
        <v>37140</v>
      </c>
      <c r="O130" s="217">
        <v>1312498</v>
      </c>
      <c r="P130" s="334">
        <v>5646283</v>
      </c>
      <c r="Q130" s="31" t="s">
        <v>27</v>
      </c>
      <c r="R130" s="98">
        <f>IF(表1_861218222426728894100[[#This Row],[目标国家]]="魏",0,IF(表1_861218222426728894100[[#This Row],[目标国家]]="蜀",1,2))</f>
        <v>2</v>
      </c>
      <c r="S130" s="99">
        <v>7302</v>
      </c>
      <c r="T130" s="99">
        <v>0</v>
      </c>
      <c r="U130" s="99">
        <v>68958</v>
      </c>
      <c r="V130" s="99">
        <v>2936</v>
      </c>
      <c r="W130" s="480">
        <v>444216</v>
      </c>
      <c r="X130" s="144" t="str">
        <f>"{"&amp;"'coin':"&amp;表1_861218222426728894100[[#This Row],[补偿Coin]]&amp;",'"&amp;配置!$A$2&amp;"':"&amp;表1_861218222426728894100[[#This Row],[补偿辎重]]&amp;"},"</f>
        <v>{'coin':1000,'item036':10},</v>
      </c>
      <c r="Y130" s="143" t="str">
        <f t="shared" si="10"/>
        <v>      },</v>
      </c>
    </row>
    <row r="131" customHeight="1" spans="1:25">
      <c r="A131" s="452">
        <v>5219</v>
      </c>
      <c r="B131" s="96">
        <f>VLOOKUP(表1_861218222426728894100[[#This Row],[区服]],$P$143:$Q$190,2,FALSE)</f>
        <v>41</v>
      </c>
      <c r="C131" s="181" t="s">
        <v>238</v>
      </c>
      <c r="D131" s="98" t="str">
        <f>表1_861218222426728894100[[#This Row],[目标国家]]</f>
        <v>吴</v>
      </c>
      <c r="E131" s="453">
        <f>(VLOOKUP(表1_861218222426728894100[[#This Row],[目标区服]],$R$143:$S$169,2,FALSE)-表1_861218222426728894100[[#This Row],[开服天数]])*配置!$B$1</f>
        <v>1000</v>
      </c>
      <c r="F131" s="99">
        <f>表1_861218222426728894100[[#This Row],[补偿Coin]]*(表1_861218222426728894100[[#This Row],[活跃高战玩家数]]+表1_861218222426728894100[[#This Row],[活跃中坚玩家数]])</f>
        <v>31000</v>
      </c>
      <c r="G131" s="454">
        <f>(VLOOKUP(表1_861218222426728894100[[#This Row],[目标区服]],$R$143:$S$174,2,FALSE)-表1_861218222426728894100[[#This Row],[开服天数]])*配置!$B$2</f>
        <v>10</v>
      </c>
      <c r="H131" s="98" t="s">
        <v>25</v>
      </c>
      <c r="I131" s="468">
        <f>IF(表1_861218222426728894100[[#This Row],[原国家]]="魏",0,IF(表1_861218222426728894100[[#This Row],[原国家]]="蜀",1,2))</f>
        <v>0</v>
      </c>
      <c r="J131" s="99">
        <v>9</v>
      </c>
      <c r="K131" s="99">
        <v>320</v>
      </c>
      <c r="L131" s="99">
        <v>9</v>
      </c>
      <c r="M131" s="99">
        <v>22</v>
      </c>
      <c r="N131" s="99">
        <v>180876</v>
      </c>
      <c r="O131" s="469">
        <v>2510247</v>
      </c>
      <c r="P131" s="470">
        <v>24756673</v>
      </c>
      <c r="Q131" s="31" t="s">
        <v>27</v>
      </c>
      <c r="R131" s="98">
        <f>IF(表1_861218222426728894100[[#This Row],[目标国家]]="魏",0,IF(表1_861218222426728894100[[#This Row],[目标国家]]="蜀",1,2))</f>
        <v>2</v>
      </c>
      <c r="S131" s="99">
        <v>93058</v>
      </c>
      <c r="T131" s="99">
        <v>0</v>
      </c>
      <c r="U131" s="99">
        <v>720044</v>
      </c>
      <c r="V131" s="99">
        <v>13142</v>
      </c>
      <c r="W131" s="481">
        <v>669254</v>
      </c>
      <c r="X131" s="482" t="str">
        <f>"{"&amp;"'coin':"&amp;表1_861218222426728894100[[#This Row],[补偿Coin]]&amp;",'"&amp;配置!$A$2&amp;"':"&amp;表1_861218222426728894100[[#This Row],[补偿辎重]]&amp;"},"</f>
        <v>{'coin':1000,'item036':10},</v>
      </c>
      <c r="Y131" s="143" t="str">
        <f>"      '"&amp;表1_861218222426728894100[[#This Row],[区服]]&amp;"':{"</f>
        <v>      '5219':{</v>
      </c>
    </row>
    <row r="132" customHeight="1" spans="1:25">
      <c r="A132" s="452">
        <v>5219</v>
      </c>
      <c r="B132" s="96">
        <f>VLOOKUP(表1_861218222426728894100[[#This Row],[区服]],$P$143:$Q$190,2,FALSE)</f>
        <v>41</v>
      </c>
      <c r="C132" s="181" t="s">
        <v>238</v>
      </c>
      <c r="D132" s="98" t="str">
        <f>表1_861218222426728894100[[#This Row],[目标国家]]</f>
        <v>蜀</v>
      </c>
      <c r="E132" s="453">
        <f>(VLOOKUP(表1_861218222426728894100[[#This Row],[目标区服]],$R$143:$S$169,2,FALSE)-表1_861218222426728894100[[#This Row],[开服天数]])*配置!$B$1</f>
        <v>1000</v>
      </c>
      <c r="F132" s="99">
        <f>表1_861218222426728894100[[#This Row],[补偿Coin]]*(表1_861218222426728894100[[#This Row],[活跃高战玩家数]]+表1_861218222426728894100[[#This Row],[活跃中坚玩家数]])</f>
        <v>9000</v>
      </c>
      <c r="G132" s="454">
        <f>(VLOOKUP(表1_861218222426728894100[[#This Row],[目标区服]],$R$143:$S$174,2,FALSE)-表1_861218222426728894100[[#This Row],[开服天数]])*配置!$B$2</f>
        <v>10</v>
      </c>
      <c r="H132" s="98" t="s">
        <v>26</v>
      </c>
      <c r="I132" s="468">
        <f>IF(表1_861218222426728894100[[#This Row],[原国家]]="魏",0,IF(表1_861218222426728894100[[#This Row],[原国家]]="蜀",1,2))</f>
        <v>1</v>
      </c>
      <c r="J132" s="99">
        <v>0</v>
      </c>
      <c r="K132" s="99">
        <v>30</v>
      </c>
      <c r="L132" s="99">
        <v>0</v>
      </c>
      <c r="M132" s="99">
        <v>9</v>
      </c>
      <c r="N132" s="99">
        <v>32781</v>
      </c>
      <c r="O132" s="469">
        <v>673317</v>
      </c>
      <c r="P132" s="470">
        <v>3978137</v>
      </c>
      <c r="Q132" s="31" t="s">
        <v>26</v>
      </c>
      <c r="R132" s="98">
        <f>IF(表1_861218222426728894100[[#This Row],[目标国家]]="魏",0,IF(表1_861218222426728894100[[#This Row],[目标国家]]="蜀",1,2))</f>
        <v>1</v>
      </c>
      <c r="S132" s="99">
        <v>3010</v>
      </c>
      <c r="T132" s="99">
        <v>0</v>
      </c>
      <c r="U132" s="99">
        <v>34561</v>
      </c>
      <c r="V132" s="99">
        <v>1642</v>
      </c>
      <c r="W132" s="481">
        <v>178626</v>
      </c>
      <c r="X132" s="482" t="str">
        <f>"{"&amp;"'coin':"&amp;表1_861218222426728894100[[#This Row],[补偿Coin]]&amp;",'"&amp;配置!$A$2&amp;"':"&amp;表1_861218222426728894100[[#This Row],[补偿辎重]]&amp;"},"</f>
        <v>{'coin':1000,'item036':10},</v>
      </c>
      <c r="Y132" s="143" t="str">
        <f>"            'to_zone':'"&amp;表1_861218222426728894100[[#This Row],[目标区服]]&amp;"',
            'reward':"&amp;表1_861218222426728894100[[#This Row],[辅助导出]]&amp;"
            'country':["&amp;R131&amp;","&amp;R132&amp;","&amp;R133&amp;"],"</f>
        <v>            'to_zone':'h1_594',
            'reward':{'coin':1000,'item036':10},
            'country':[2,1,2],</v>
      </c>
    </row>
    <row r="133" customHeight="1" spans="1:25">
      <c r="A133" s="452">
        <v>5219</v>
      </c>
      <c r="B133" s="96">
        <f>VLOOKUP(表1_861218222426728894100[[#This Row],[区服]],$P$143:$Q$190,2,FALSE)</f>
        <v>41</v>
      </c>
      <c r="C133" s="181" t="s">
        <v>238</v>
      </c>
      <c r="D133" s="98" t="str">
        <f>表1_861218222426728894100[[#This Row],[目标国家]]</f>
        <v>吴</v>
      </c>
      <c r="E133" s="453">
        <f>(VLOOKUP(表1_861218222426728894100[[#This Row],[目标区服]],$R$143:$S$169,2,FALSE)-表1_861218222426728894100[[#This Row],[开服天数]])*配置!$B$1</f>
        <v>1000</v>
      </c>
      <c r="F133" s="99">
        <f>表1_861218222426728894100[[#This Row],[补偿Coin]]*(表1_861218222426728894100[[#This Row],[活跃高战玩家数]]+表1_861218222426728894100[[#This Row],[活跃中坚玩家数]])</f>
        <v>12000</v>
      </c>
      <c r="G133" s="454">
        <f>(VLOOKUP(表1_861218222426728894100[[#This Row],[目标区服]],$R$143:$S$174,2,FALSE)-表1_861218222426728894100[[#This Row],[开服天数]])*配置!$B$2</f>
        <v>10</v>
      </c>
      <c r="H133" s="98" t="s">
        <v>27</v>
      </c>
      <c r="I133" s="468">
        <f>IF(表1_861218222426728894100[[#This Row],[原国家]]="魏",0,IF(表1_861218222426728894100[[#This Row],[原国家]]="蜀",1,2))</f>
        <v>2</v>
      </c>
      <c r="J133" s="99">
        <v>0</v>
      </c>
      <c r="K133" s="99">
        <v>45</v>
      </c>
      <c r="L133" s="99">
        <v>0</v>
      </c>
      <c r="M133" s="99">
        <v>12</v>
      </c>
      <c r="N133" s="99">
        <v>44672</v>
      </c>
      <c r="O133" s="469">
        <v>726463</v>
      </c>
      <c r="P133" s="470">
        <v>5411222</v>
      </c>
      <c r="Q133" s="31" t="s">
        <v>27</v>
      </c>
      <c r="R133" s="98">
        <f>IF(表1_861218222426728894100[[#This Row],[目标国家]]="魏",0,IF(表1_861218222426728894100[[#This Row],[目标国家]]="蜀",1,2))</f>
        <v>2</v>
      </c>
      <c r="S133" s="99">
        <v>4414</v>
      </c>
      <c r="T133" s="99">
        <v>0</v>
      </c>
      <c r="U133" s="99">
        <v>61972</v>
      </c>
      <c r="V133" s="99">
        <v>2104</v>
      </c>
      <c r="W133" s="481">
        <v>324141</v>
      </c>
      <c r="X133" s="482" t="str">
        <f>"{"&amp;"'coin':"&amp;表1_861218222426728894100[[#This Row],[补偿Coin]]&amp;",'"&amp;配置!$A$2&amp;"':"&amp;表1_861218222426728894100[[#This Row],[补偿辎重]]&amp;"},"</f>
        <v>{'coin':1000,'item036':10},</v>
      </c>
      <c r="Y133" s="143" t="str">
        <f t="shared" si="11"/>
        <v>      },</v>
      </c>
    </row>
    <row r="134" customHeight="1" spans="1:25">
      <c r="A134" s="452">
        <v>5220</v>
      </c>
      <c r="B134" s="96">
        <f>VLOOKUP(表1_861218222426728894100[[#This Row],[区服]],$P$143:$Q$190,2,FALSE)</f>
        <v>41</v>
      </c>
      <c r="C134" s="181" t="s">
        <v>238</v>
      </c>
      <c r="D134" s="98" t="str">
        <f>表1_861218222426728894100[[#This Row],[目标国家]]</f>
        <v>蜀</v>
      </c>
      <c r="E134" s="453">
        <f>(VLOOKUP(表1_861218222426728894100[[#This Row],[目标区服]],$R$143:$S$169,2,FALSE)-表1_861218222426728894100[[#This Row],[开服天数]])*配置!$B$1</f>
        <v>1000</v>
      </c>
      <c r="F134" s="99">
        <f>表1_861218222426728894100[[#This Row],[补偿Coin]]*(表1_861218222426728894100[[#This Row],[活跃高战玩家数]]+表1_861218222426728894100[[#This Row],[活跃中坚玩家数]])</f>
        <v>22000</v>
      </c>
      <c r="G134" s="454">
        <f>(VLOOKUP(表1_861218222426728894100[[#This Row],[目标区服]],$R$143:$S$174,2,FALSE)-表1_861218222426728894100[[#This Row],[开服天数]])*配置!$B$2</f>
        <v>10</v>
      </c>
      <c r="H134" s="98" t="s">
        <v>25</v>
      </c>
      <c r="I134" s="468">
        <f>IF(表1_861218222426728894100[[#This Row],[原国家]]="魏",0,IF(表1_861218222426728894100[[#This Row],[原国家]]="蜀",1,2))</f>
        <v>0</v>
      </c>
      <c r="J134" s="99">
        <v>4</v>
      </c>
      <c r="K134" s="99">
        <v>160</v>
      </c>
      <c r="L134" s="99">
        <v>3</v>
      </c>
      <c r="M134" s="99">
        <v>19</v>
      </c>
      <c r="N134" s="99">
        <v>94205</v>
      </c>
      <c r="O134" s="469">
        <v>2275262</v>
      </c>
      <c r="P134" s="470">
        <v>14609031</v>
      </c>
      <c r="Q134" s="31" t="s">
        <v>26</v>
      </c>
      <c r="R134" s="98">
        <f>IF(表1_861218222426728894100[[#This Row],[目标国家]]="魏",0,IF(表1_861218222426728894100[[#This Row],[目标国家]]="蜀",1,2))</f>
        <v>1</v>
      </c>
      <c r="S134" s="99">
        <v>36850</v>
      </c>
      <c r="T134" s="99">
        <v>0</v>
      </c>
      <c r="U134" s="99">
        <v>204891</v>
      </c>
      <c r="V134" s="99">
        <v>7415</v>
      </c>
      <c r="W134" s="481">
        <v>825320</v>
      </c>
      <c r="X134" s="482" t="str">
        <f>"{"&amp;"'coin':"&amp;表1_861218222426728894100[[#This Row],[补偿Coin]]&amp;",'"&amp;配置!$A$2&amp;"':"&amp;表1_861218222426728894100[[#This Row],[补偿辎重]]&amp;"},"</f>
        <v>{'coin':1000,'item036':10},</v>
      </c>
      <c r="Y134" s="143" t="str">
        <f>"      '"&amp;表1_861218222426728894100[[#This Row],[区服]]&amp;"':{"</f>
        <v>      '5220':{</v>
      </c>
    </row>
    <row r="135" customHeight="1" spans="1:25">
      <c r="A135" s="452">
        <v>5220</v>
      </c>
      <c r="B135" s="96">
        <f>VLOOKUP(表1_861218222426728894100[[#This Row],[区服]],$P$143:$Q$190,2,FALSE)</f>
        <v>41</v>
      </c>
      <c r="C135" s="181" t="s">
        <v>238</v>
      </c>
      <c r="D135" s="98" t="str">
        <f>表1_861218222426728894100[[#This Row],[目标国家]]</f>
        <v>蜀</v>
      </c>
      <c r="E135" s="453">
        <f>(VLOOKUP(表1_861218222426728894100[[#This Row],[目标区服]],$R$143:$S$169,2,FALSE)-表1_861218222426728894100[[#This Row],[开服天数]])*配置!$B$1</f>
        <v>1000</v>
      </c>
      <c r="F135" s="99">
        <f>表1_861218222426728894100[[#This Row],[补偿Coin]]*(表1_861218222426728894100[[#This Row],[活跃高战玩家数]]+表1_861218222426728894100[[#This Row],[活跃中坚玩家数]])</f>
        <v>12000</v>
      </c>
      <c r="G135" s="454">
        <f>(VLOOKUP(表1_861218222426728894100[[#This Row],[目标区服]],$R$143:$S$174,2,FALSE)-表1_861218222426728894100[[#This Row],[开服天数]])*配置!$B$2</f>
        <v>10</v>
      </c>
      <c r="H135" s="98" t="s">
        <v>26</v>
      </c>
      <c r="I135" s="468">
        <f>IF(表1_861218222426728894100[[#This Row],[原国家]]="魏",0,IF(表1_861218222426728894100[[#This Row],[原国家]]="蜀",1,2))</f>
        <v>1</v>
      </c>
      <c r="J135" s="99">
        <v>0</v>
      </c>
      <c r="K135" s="99">
        <v>50</v>
      </c>
      <c r="L135" s="99">
        <v>1</v>
      </c>
      <c r="M135" s="99">
        <v>11</v>
      </c>
      <c r="N135" s="99">
        <v>63926</v>
      </c>
      <c r="O135" s="469">
        <v>1980293</v>
      </c>
      <c r="P135" s="470">
        <v>10062269</v>
      </c>
      <c r="Q135" s="31" t="s">
        <v>26</v>
      </c>
      <c r="R135" s="98">
        <f>IF(表1_861218222426728894100[[#This Row],[目标国家]]="魏",0,IF(表1_861218222426728894100[[#This Row],[目标国家]]="蜀",1,2))</f>
        <v>1</v>
      </c>
      <c r="S135" s="99">
        <v>70588</v>
      </c>
      <c r="T135" s="99">
        <v>0</v>
      </c>
      <c r="U135" s="99">
        <v>111332</v>
      </c>
      <c r="V135" s="99">
        <v>5979</v>
      </c>
      <c r="W135" s="483">
        <v>810350</v>
      </c>
      <c r="X135" s="482" t="str">
        <f>"{"&amp;"'coin':"&amp;表1_861218222426728894100[[#This Row],[补偿Coin]]&amp;",'"&amp;配置!$A$2&amp;"':"&amp;表1_861218222426728894100[[#This Row],[补偿辎重]]&amp;"},"</f>
        <v>{'coin':1000,'item036':10},</v>
      </c>
      <c r="Y135" s="143" t="str">
        <f>"            'to_zone':'"&amp;表1_861218222426728894100[[#This Row],[目标区服]]&amp;"',
            'reward':"&amp;表1_861218222426728894100[[#This Row],[辅助导出]]&amp;"
            'country':["&amp;R134&amp;","&amp;R135&amp;","&amp;R136&amp;"],"</f>
        <v>            'to_zone':'h1_594',
            'reward':{'coin':1000,'item036':10},
            'country':[1,1,2],</v>
      </c>
    </row>
    <row r="136" customHeight="1" spans="1:25">
      <c r="A136" s="452">
        <v>5220</v>
      </c>
      <c r="B136" s="96">
        <f>VLOOKUP(表1_861218222426728894100[[#This Row],[区服]],$P$143:$Q$190,2,FALSE)</f>
        <v>41</v>
      </c>
      <c r="C136" s="181" t="s">
        <v>238</v>
      </c>
      <c r="D136" s="98" t="str">
        <f>表1_861218222426728894100[[#This Row],[目标国家]]</f>
        <v>吴</v>
      </c>
      <c r="E136" s="453">
        <f>(VLOOKUP(表1_861218222426728894100[[#This Row],[目标区服]],$R$143:$S$169,2,FALSE)-表1_861218222426728894100[[#This Row],[开服天数]])*配置!$B$1</f>
        <v>1000</v>
      </c>
      <c r="F136" s="99">
        <f>表1_861218222426728894100[[#This Row],[补偿Coin]]*(表1_861218222426728894100[[#This Row],[活跃高战玩家数]]+表1_861218222426728894100[[#This Row],[活跃中坚玩家数]])</f>
        <v>20000</v>
      </c>
      <c r="G136" s="454">
        <f>(VLOOKUP(表1_861218222426728894100[[#This Row],[目标区服]],$R$143:$S$174,2,FALSE)-表1_861218222426728894100[[#This Row],[开服天数]])*配置!$B$2</f>
        <v>10</v>
      </c>
      <c r="H136" s="98" t="s">
        <v>27</v>
      </c>
      <c r="I136" s="468">
        <f>IF(表1_861218222426728894100[[#This Row],[原国家]]="魏",0,IF(表1_861218222426728894100[[#This Row],[原国家]]="蜀",1,2))</f>
        <v>2</v>
      </c>
      <c r="J136" s="99">
        <v>5</v>
      </c>
      <c r="K136" s="99">
        <v>185</v>
      </c>
      <c r="L136" s="99">
        <v>6</v>
      </c>
      <c r="M136" s="99">
        <v>14</v>
      </c>
      <c r="N136" s="99">
        <v>116223</v>
      </c>
      <c r="O136" s="469">
        <v>2540004</v>
      </c>
      <c r="P136" s="470">
        <v>16805939</v>
      </c>
      <c r="Q136" s="31" t="s">
        <v>27</v>
      </c>
      <c r="R136" s="98">
        <f>IF(表1_861218222426728894100[[#This Row],[目标国家]]="魏",0,IF(表1_861218222426728894100[[#This Row],[目标国家]]="蜀",1,2))</f>
        <v>2</v>
      </c>
      <c r="S136" s="99">
        <v>33726</v>
      </c>
      <c r="T136" s="99">
        <v>0</v>
      </c>
      <c r="U136" s="99">
        <v>328147</v>
      </c>
      <c r="V136" s="99">
        <v>8327</v>
      </c>
      <c r="W136" s="481">
        <v>822930</v>
      </c>
      <c r="X136" s="482" t="str">
        <f>"{"&amp;"'coin':"&amp;表1_861218222426728894100[[#This Row],[补偿Coin]]&amp;",'"&amp;配置!$A$2&amp;"':"&amp;表1_861218222426728894100[[#This Row],[补偿辎重]]&amp;"},"</f>
        <v>{'coin':1000,'item036':10},</v>
      </c>
      <c r="Y136" s="143" t="str">
        <f t="shared" si="10"/>
        <v>      },</v>
      </c>
    </row>
    <row r="137" customHeight="1" spans="1:25">
      <c r="A137" s="452">
        <v>5221</v>
      </c>
      <c r="B137" s="96">
        <f>VLOOKUP(表1_861218222426728894100[[#This Row],[区服]],$P$143:$Q$190,2,FALSE)</f>
        <v>41</v>
      </c>
      <c r="C137" s="181" t="s">
        <v>238</v>
      </c>
      <c r="D137" s="98" t="str">
        <f>表1_861218222426728894100[[#This Row],[目标国家]]</f>
        <v>魏</v>
      </c>
      <c r="E137" s="453">
        <f>(VLOOKUP(表1_861218222426728894100[[#This Row],[目标区服]],$R$143:$S$169,2,FALSE)-表1_861218222426728894100[[#This Row],[开服天数]])*配置!$B$1</f>
        <v>1000</v>
      </c>
      <c r="F137" s="99">
        <f>表1_861218222426728894100[[#This Row],[补偿Coin]]*(表1_861218222426728894100[[#This Row],[活跃高战玩家数]]+表1_861218222426728894100[[#This Row],[活跃中坚玩家数]])</f>
        <v>27000</v>
      </c>
      <c r="G137" s="454">
        <f>(VLOOKUP(表1_861218222426728894100[[#This Row],[目标区服]],$R$143:$S$174,2,FALSE)-表1_861218222426728894100[[#This Row],[开服天数]])*配置!$B$2</f>
        <v>10</v>
      </c>
      <c r="H137" s="98" t="s">
        <v>25</v>
      </c>
      <c r="I137" s="468">
        <f>IF(表1_861218222426728894100[[#This Row],[原国家]]="魏",0,IF(表1_861218222426728894100[[#This Row],[原国家]]="蜀",1,2))</f>
        <v>0</v>
      </c>
      <c r="J137" s="99">
        <v>6</v>
      </c>
      <c r="K137" s="99">
        <v>273</v>
      </c>
      <c r="L137" s="99">
        <v>7</v>
      </c>
      <c r="M137" s="99">
        <v>20</v>
      </c>
      <c r="N137" s="99">
        <v>166764</v>
      </c>
      <c r="O137" s="469">
        <v>1782348</v>
      </c>
      <c r="P137" s="470">
        <v>17572167</v>
      </c>
      <c r="Q137" s="31" t="s">
        <v>25</v>
      </c>
      <c r="R137" s="98">
        <f>IF(表1_861218222426728894100[[#This Row],[目标国家]]="魏",0,IF(表1_861218222426728894100[[#This Row],[目标国家]]="蜀",1,2))</f>
        <v>0</v>
      </c>
      <c r="S137" s="99">
        <v>16760</v>
      </c>
      <c r="T137" s="99">
        <v>0</v>
      </c>
      <c r="U137" s="99">
        <v>327397</v>
      </c>
      <c r="V137" s="99">
        <v>8369</v>
      </c>
      <c r="W137" s="481">
        <v>487703</v>
      </c>
      <c r="X137" s="482" t="str">
        <f>"{"&amp;"'coin':"&amp;表1_861218222426728894100[[#This Row],[补偿Coin]]&amp;",'"&amp;配置!$A$2&amp;"':"&amp;表1_861218222426728894100[[#This Row],[补偿辎重]]&amp;"},"</f>
        <v>{'coin':1000,'item036':10},</v>
      </c>
      <c r="Y137" s="143" t="str">
        <f>"      '"&amp;表1_861218222426728894100[[#This Row],[区服]]&amp;"':{"</f>
        <v>      '5221':{</v>
      </c>
    </row>
    <row r="138" customHeight="1" spans="1:25">
      <c r="A138" s="452">
        <v>5221</v>
      </c>
      <c r="B138" s="96">
        <f>VLOOKUP(表1_861218222426728894100[[#This Row],[区服]],$P$143:$Q$190,2,FALSE)</f>
        <v>41</v>
      </c>
      <c r="C138" s="181" t="s">
        <v>238</v>
      </c>
      <c r="D138" s="98" t="str">
        <f>表1_861218222426728894100[[#This Row],[目标国家]]</f>
        <v>蜀</v>
      </c>
      <c r="E138" s="453">
        <f>(VLOOKUP(表1_861218222426728894100[[#This Row],[目标区服]],$R$143:$S$169,2,FALSE)-表1_861218222426728894100[[#This Row],[开服天数]])*配置!$B$1</f>
        <v>1000</v>
      </c>
      <c r="F138" s="99">
        <f>表1_861218222426728894100[[#This Row],[补偿Coin]]*(表1_861218222426728894100[[#This Row],[活跃高战玩家数]]+表1_861218222426728894100[[#This Row],[活跃中坚玩家数]])</f>
        <v>17000</v>
      </c>
      <c r="G138" s="454">
        <f>(VLOOKUP(表1_861218222426728894100[[#This Row],[目标区服]],$R$143:$S$174,2,FALSE)-表1_861218222426728894100[[#This Row],[开服天数]])*配置!$B$2</f>
        <v>10</v>
      </c>
      <c r="H138" s="98" t="s">
        <v>26</v>
      </c>
      <c r="I138" s="468">
        <f>IF(表1_861218222426728894100[[#This Row],[原国家]]="魏",0,IF(表1_861218222426728894100[[#This Row],[原国家]]="蜀",1,2))</f>
        <v>1</v>
      </c>
      <c r="J138" s="99">
        <v>2</v>
      </c>
      <c r="K138" s="99">
        <v>82</v>
      </c>
      <c r="L138" s="99">
        <v>3</v>
      </c>
      <c r="M138" s="99">
        <v>14</v>
      </c>
      <c r="N138" s="99">
        <v>78137</v>
      </c>
      <c r="O138" s="469">
        <v>1435582</v>
      </c>
      <c r="P138" s="470">
        <v>8747179</v>
      </c>
      <c r="Q138" s="31" t="s">
        <v>26</v>
      </c>
      <c r="R138" s="98">
        <f>IF(表1_861218222426728894100[[#This Row],[目标国家]]="魏",0,IF(表1_861218222426728894100[[#This Row],[目标国家]]="蜀",1,2))</f>
        <v>1</v>
      </c>
      <c r="S138" s="99">
        <v>33276</v>
      </c>
      <c r="T138" s="99">
        <v>0</v>
      </c>
      <c r="U138" s="99">
        <v>100935</v>
      </c>
      <c r="V138" s="99">
        <v>4769</v>
      </c>
      <c r="W138" s="481">
        <v>557777</v>
      </c>
      <c r="X138" s="482" t="str">
        <f>"{"&amp;"'coin':"&amp;表1_861218222426728894100[[#This Row],[补偿Coin]]&amp;",'"&amp;配置!$A$2&amp;"':"&amp;表1_861218222426728894100[[#This Row],[补偿辎重]]&amp;"},"</f>
        <v>{'coin':1000,'item036':10},</v>
      </c>
      <c r="Y138" s="143" t="str">
        <f>"            'to_zone':'"&amp;表1_861218222426728894100[[#This Row],[目标区服]]&amp;"',
            'reward':"&amp;表1_861218222426728894100[[#This Row],[辅助导出]]&amp;"
            'country':["&amp;R137&amp;","&amp;R138&amp;","&amp;R139&amp;"],"</f>
        <v>            'to_zone':'h1_594',
            'reward':{'coin':1000,'item036':10},
            'country':[0,1,0],</v>
      </c>
    </row>
    <row r="139" customHeight="1" spans="1:25">
      <c r="A139" s="452">
        <v>5221</v>
      </c>
      <c r="B139" s="96">
        <f>VLOOKUP(表1_861218222426728894100[[#This Row],[区服]],$P$143:$Q$190,2,FALSE)</f>
        <v>41</v>
      </c>
      <c r="C139" s="181" t="s">
        <v>238</v>
      </c>
      <c r="D139" s="98" t="str">
        <f>表1_861218222426728894100[[#This Row],[目标国家]]</f>
        <v>魏</v>
      </c>
      <c r="E139" s="453">
        <f>(VLOOKUP(表1_861218222426728894100[[#This Row],[目标区服]],$R$143:$S$169,2,FALSE)-表1_861218222426728894100[[#This Row],[开服天数]])*配置!$B$1</f>
        <v>1000</v>
      </c>
      <c r="F139" s="99">
        <f>表1_861218222426728894100[[#This Row],[补偿Coin]]*(表1_861218222426728894100[[#This Row],[活跃高战玩家数]]+表1_861218222426728894100[[#This Row],[活跃中坚玩家数]])</f>
        <v>12000</v>
      </c>
      <c r="G139" s="454">
        <f>(VLOOKUP(表1_861218222426728894100[[#This Row],[目标区服]],$R$143:$S$174,2,FALSE)-表1_861218222426728894100[[#This Row],[开服天数]])*配置!$B$2</f>
        <v>10</v>
      </c>
      <c r="H139" s="98" t="s">
        <v>27</v>
      </c>
      <c r="I139" s="468">
        <f>IF(表1_861218222426728894100[[#This Row],[原国家]]="魏",0,IF(表1_861218222426728894100[[#This Row],[原国家]]="蜀",1,2))</f>
        <v>2</v>
      </c>
      <c r="J139" s="99">
        <v>1</v>
      </c>
      <c r="K139" s="99">
        <v>40</v>
      </c>
      <c r="L139" s="99">
        <v>0</v>
      </c>
      <c r="M139" s="99">
        <v>12</v>
      </c>
      <c r="N139" s="99">
        <v>38181</v>
      </c>
      <c r="O139" s="469">
        <v>546693</v>
      </c>
      <c r="P139" s="470">
        <v>3935406</v>
      </c>
      <c r="Q139" s="31" t="s">
        <v>25</v>
      </c>
      <c r="R139" s="98">
        <f>IF(表1_861218222426728894100[[#This Row],[目标国家]]="魏",0,IF(表1_861218222426728894100[[#This Row],[目标国家]]="蜀",1,2))</f>
        <v>0</v>
      </c>
      <c r="S139" s="99">
        <v>374</v>
      </c>
      <c r="T139" s="99">
        <v>0</v>
      </c>
      <c r="U139" s="99">
        <v>137116</v>
      </c>
      <c r="V139" s="99">
        <v>1710</v>
      </c>
      <c r="W139" s="481">
        <v>175312</v>
      </c>
      <c r="X139" s="482" t="str">
        <f>"{"&amp;"'coin':"&amp;表1_861218222426728894100[[#This Row],[补偿Coin]]&amp;",'"&amp;配置!$A$2&amp;"':"&amp;表1_861218222426728894100[[#This Row],[补偿辎重]]&amp;"},"</f>
        <v>{'coin':1000,'item036':10},</v>
      </c>
      <c r="Y139" s="143" t="str">
        <f t="shared" si="11"/>
        <v>      },</v>
      </c>
    </row>
    <row r="142" ht="27" spans="1:19">
      <c r="A142" s="36" t="s">
        <v>28</v>
      </c>
      <c r="B142" s="37" t="s">
        <v>29</v>
      </c>
      <c r="C142" s="38" t="s">
        <v>30</v>
      </c>
      <c r="D142" s="38" t="s">
        <v>31</v>
      </c>
      <c r="E142" s="38" t="s">
        <v>32</v>
      </c>
      <c r="F142" s="38" t="s">
        <v>33</v>
      </c>
      <c r="G142" s="38" t="s">
        <v>15</v>
      </c>
      <c r="H142" s="37" t="s">
        <v>18</v>
      </c>
      <c r="I142" s="37" t="s">
        <v>19</v>
      </c>
      <c r="J142" s="37" t="s">
        <v>34</v>
      </c>
      <c r="K142" s="38" t="s">
        <v>35</v>
      </c>
      <c r="L142" s="38" t="s">
        <v>36</v>
      </c>
      <c r="M142" s="38" t="s">
        <v>37</v>
      </c>
      <c r="N142" s="38" t="s">
        <v>88</v>
      </c>
      <c r="P142" s="51" t="s">
        <v>0</v>
      </c>
      <c r="Q142" s="51" t="s">
        <v>1</v>
      </c>
      <c r="R142" s="51"/>
      <c r="S142" s="51" t="s">
        <v>38</v>
      </c>
    </row>
    <row r="143" ht="15" spans="1:19">
      <c r="A143" s="39" t="s">
        <v>224</v>
      </c>
      <c r="B143" s="39" t="s">
        <v>25</v>
      </c>
      <c r="C143" s="39">
        <f>COUNTIFS(表1_861218222426728894100[目标区服],表2_971319232527738995101[[#This Row],[合区区服]],表1_861218222426728894100[目标国家（映射）],表2_971319232527738995101[[#This Row],[国家]])</f>
        <v>2</v>
      </c>
      <c r="D143" s="39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9</v>
      </c>
      <c r="E143" s="39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43</v>
      </c>
      <c r="F143" s="39">
        <f t="array" ref="F143">MAX((表1_861218222426728894100[目标区服]=表2_971319232527738995101[[#This Row],[合区区服]])*(表1_861218222426728894100[目标国家（映射）]=表2_971319232527738995101[[#This Row],[国家]])*表1_861218222426728894100[活跃尖端战力])</f>
        <v>2141257</v>
      </c>
      <c r="G143" s="40">
        <f>SUMIFS(表1_861218222426728894100[活跃总战力],表1_861218222426728894100[目标区服],表2_971319232527738995101[[#This Row],[合区区服]],表1_861218222426728894100[目标国家（映射）],表2_971319232527738995101[[#This Row],[国家]])</f>
        <v>34774394</v>
      </c>
      <c r="H143" s="39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40146</v>
      </c>
      <c r="I143" s="39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43" s="39">
        <f>SUMIFS(表1_861218222426728894100[活跃Coin],表1_861218222426728894100[目标区服],表2_971319232527738995101[[#This Row],[合区区服]],表1_861218222426728894100[目标国家（映射）],表2_971319232527738995101[[#This Row],[国家]])</f>
        <v>460442</v>
      </c>
      <c r="K143" s="39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52000</v>
      </c>
      <c r="L143" s="39">
        <f>表2_971319232527738995101[[#This Row],[活跃Coin]]+表2_971319232527738995101[[#This Row],[共计补偿Coin]]</f>
        <v>512442</v>
      </c>
      <c r="M143" s="39">
        <f>SUMIFS(表1_861218222426728894100[综合国力],表1_861218222426728894100[目标区服],表2_971319232527738995101[[#This Row],[合区区服]],表1_861218222426728894100[目标国家（映射）],表2_971319232527738995101[[#This Row],[国家]])</f>
        <v>13153</v>
      </c>
      <c r="N143" s="39">
        <f t="array" ref="N143">MAX((表1_861218222426728894100[目标区服]=表2_971319232527738995101[[#This Row],[合区区服]])*(表1_861218222426728894100[目标国家（映射）]=表2_971319232527738995101[[#This Row],[国家]])*表1_861218222426728894100[单将最高战力])</f>
        <v>576753</v>
      </c>
      <c r="P143" s="51">
        <v>5176</v>
      </c>
      <c r="Q143" s="51">
        <v>47</v>
      </c>
      <c r="R143" s="51" t="s">
        <v>224</v>
      </c>
      <c r="S143" s="51">
        <v>49</v>
      </c>
    </row>
    <row r="144" ht="15" spans="1:19">
      <c r="A144" s="39" t="s">
        <v>224</v>
      </c>
      <c r="B144" s="39" t="s">
        <v>26</v>
      </c>
      <c r="C144" s="39">
        <f>COUNTIFS(表1_861218222426728894100[目标区服],表2_971319232527738995101[[#This Row],[合区区服]],表1_861218222426728894100[目标国家（映射）],表2_971319232527738995101[[#This Row],[国家]])</f>
        <v>2</v>
      </c>
      <c r="D144" s="39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8</v>
      </c>
      <c r="E144" s="39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45</v>
      </c>
      <c r="F144" s="39">
        <f t="array" ref="F144">MAX((表1_861218222426728894100[目标区服]=表2_971319232527738995101[[#This Row],[合区区服]])*(表1_861218222426728894100[目标国家（映射）]=表2_971319232527738995101[[#This Row],[国家]])*表1_861218222426728894100[活跃尖端战力])</f>
        <v>2269185</v>
      </c>
      <c r="G144" s="40">
        <f>SUMIFS(表1_861218222426728894100[活跃总战力],表1_861218222426728894100[目标区服],表2_971319232527738995101[[#This Row],[合区区服]],表1_861218222426728894100[目标国家（映射）],表2_971319232527738995101[[#This Row],[国家]])</f>
        <v>38187367</v>
      </c>
      <c r="H144" s="39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50172</v>
      </c>
      <c r="I144" s="39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44" s="39">
        <f>SUMIFS(表1_861218222426728894100[活跃Coin],表1_861218222426728894100[目标区服],表2_971319232527738995101[[#This Row],[合区区服]],表1_861218222426728894100[目标国家（映射）],表2_971319232527738995101[[#This Row],[国家]])</f>
        <v>532394</v>
      </c>
      <c r="K144" s="39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53000</v>
      </c>
      <c r="L144" s="39">
        <f>表2_971319232527738995101[[#This Row],[活跃Coin]]+表2_971319232527738995101[[#This Row],[共计补偿Coin]]</f>
        <v>585394</v>
      </c>
      <c r="M144" s="39">
        <f>SUMIFS(表1_861218222426728894100[综合国力],表1_861218222426728894100[目标区服],表2_971319232527738995101[[#This Row],[合区区服]],表1_861218222426728894100[目标国家（映射）],表2_971319232527738995101[[#This Row],[国家]])</f>
        <v>14350</v>
      </c>
      <c r="N144" s="39">
        <f t="array" ref="N144">MAX((表1_861218222426728894100[目标区服]=表2_971319232527738995101[[#This Row],[合区区服]])*(表1_861218222426728894100[目标国家（映射）]=表2_971319232527738995101[[#This Row],[国家]])*表1_861218222426728894100[单将最高战力])</f>
        <v>618239</v>
      </c>
      <c r="P144" s="51">
        <v>5177</v>
      </c>
      <c r="Q144" s="51">
        <v>47</v>
      </c>
      <c r="R144" s="51" t="s">
        <v>225</v>
      </c>
      <c r="S144" s="51">
        <v>49</v>
      </c>
    </row>
    <row r="145" ht="15" spans="1:19">
      <c r="A145" s="39" t="s">
        <v>224</v>
      </c>
      <c r="B145" s="39" t="s">
        <v>27</v>
      </c>
      <c r="C145" s="39">
        <f>COUNTIFS(表1_861218222426728894100[目标区服],表2_971319232527738995101[[#This Row],[合区区服]],表1_861218222426728894100[目标国家（映射）],表2_971319232527738995101[[#This Row],[国家]])</f>
        <v>2</v>
      </c>
      <c r="D145" s="39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3</v>
      </c>
      <c r="E145" s="39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36</v>
      </c>
      <c r="F145" s="39">
        <f t="array" ref="F145">MAX((表1_861218222426728894100[目标区服]=表2_971319232527738995101[[#This Row],[合区区服]])*(表1_861218222426728894100[目标国家（映射）]=表2_971319232527738995101[[#This Row],[国家]])*表1_861218222426728894100[活跃尖端战力])</f>
        <v>1696605</v>
      </c>
      <c r="G145" s="40">
        <f>SUMIFS(表1_861218222426728894100[活跃总战力],表1_861218222426728894100[目标区服],表2_971319232527738995101[[#This Row],[合区区服]],表1_861218222426728894100[目标国家（映射）],表2_971319232527738995101[[#This Row],[国家]])</f>
        <v>24772645</v>
      </c>
      <c r="H145" s="39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73260</v>
      </c>
      <c r="I145" s="39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45" s="39">
        <f>SUMIFS(表1_861218222426728894100[活跃Coin],表1_861218222426728894100[目标区服],表2_971319232527738995101[[#This Row],[合区区服]],表1_861218222426728894100[目标国家（映射）],表2_971319232527738995101[[#This Row],[国家]])</f>
        <v>325255</v>
      </c>
      <c r="K145" s="39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39000</v>
      </c>
      <c r="L145" s="39">
        <f>表2_971319232527738995101[[#This Row],[活跃Coin]]+表2_971319232527738995101[[#This Row],[共计补偿Coin]]</f>
        <v>364255</v>
      </c>
      <c r="M145" s="39">
        <f>SUMIFS(表1_861218222426728894100[综合国力],表1_861218222426728894100[目标区服],表2_971319232527738995101[[#This Row],[合区区服]],表1_861218222426728894100[目标国家（映射）],表2_971319232527738995101[[#This Row],[国家]])</f>
        <v>10532</v>
      </c>
      <c r="N145" s="39">
        <f t="array" ref="N145">MAX((表1_861218222426728894100[目标区服]=表2_971319232527738995101[[#This Row],[合区区服]])*(表1_861218222426728894100[目标国家（映射）]=表2_971319232527738995101[[#This Row],[国家]])*表1_861218222426728894100[单将最高战力])</f>
        <v>570116</v>
      </c>
      <c r="P145" s="51">
        <v>5178</v>
      </c>
      <c r="Q145" s="51">
        <v>47</v>
      </c>
      <c r="R145" s="51" t="s">
        <v>226</v>
      </c>
      <c r="S145" s="51">
        <v>49</v>
      </c>
    </row>
    <row r="146" ht="15" spans="1:19">
      <c r="A146" s="41" t="s">
        <v>225</v>
      </c>
      <c r="B146" s="41" t="s">
        <v>25</v>
      </c>
      <c r="C146" s="41">
        <f>COUNTIFS(表1_861218222426728894100[目标区服],表2_971319232527738995101[[#This Row],[合区区服]],表1_861218222426728894100[目标国家（映射）],表2_971319232527738995101[[#This Row],[国家]])</f>
        <v>3</v>
      </c>
      <c r="D146" s="41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8</v>
      </c>
      <c r="E146" s="41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45</v>
      </c>
      <c r="F146" s="41">
        <f t="array" ref="F146">MAX((表1_861218222426728894100[目标区服]=表2_971319232527738995101[[#This Row],[合区区服]])*(表1_861218222426728894100[目标国家（映射）]=表2_971319232527738995101[[#This Row],[国家]])*表1_861218222426728894100[活跃尖端战力])</f>
        <v>3251354</v>
      </c>
      <c r="G146" s="42">
        <f>SUMIFS(表1_861218222426728894100[活跃总战力],表1_861218222426728894100[目标区服],表2_971319232527738995101[[#This Row],[合区区服]],表1_861218222426728894100[目标国家（映射）],表2_971319232527738995101[[#This Row],[国家]])</f>
        <v>43999705</v>
      </c>
      <c r="H146" s="41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71840</v>
      </c>
      <c r="I146" s="41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121210</v>
      </c>
      <c r="J146" s="41">
        <f>SUMIFS(表1_861218222426728894100[活跃Coin],表1_861218222426728894100[目标区服],表2_971319232527738995101[[#This Row],[合区区服]],表1_861218222426728894100[目标国家（映射）],表2_971319232527738995101[[#This Row],[国家]])</f>
        <v>987422</v>
      </c>
      <c r="K146" s="41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53000</v>
      </c>
      <c r="L146" s="41">
        <f>表2_971319232527738995101[[#This Row],[活跃Coin]]+表2_971319232527738995101[[#This Row],[共计补偿Coin]]</f>
        <v>1040422</v>
      </c>
      <c r="M146" s="41">
        <f>SUMIFS(表1_861218222426728894100[综合国力],表1_861218222426728894100[目标区服],表2_971319232527738995101[[#This Row],[合区区服]],表1_861218222426728894100[目标国家（映射）],表2_971319232527738995101[[#This Row],[国家]])</f>
        <v>19883</v>
      </c>
      <c r="N146" s="41">
        <f t="array" ref="N146">MAX((表1_861218222426728894100[目标区服]=表2_971319232527738995101[[#This Row],[合区区服]])*(表1_861218222426728894100[目标国家（映射）]=表2_971319232527738995101[[#This Row],[国家]])*表1_861218222426728894100[单将最高战力])</f>
        <v>1183884</v>
      </c>
      <c r="P146" s="51">
        <v>5179</v>
      </c>
      <c r="Q146" s="51">
        <v>47</v>
      </c>
      <c r="R146" s="51" t="s">
        <v>227</v>
      </c>
      <c r="S146" s="51">
        <v>48</v>
      </c>
    </row>
    <row r="147" ht="15" spans="1:19">
      <c r="A147" s="41" t="s">
        <v>225</v>
      </c>
      <c r="B147" s="41" t="s">
        <v>26</v>
      </c>
      <c r="C147" s="41">
        <f>COUNTIFS(表1_861218222426728894100[目标区服],表2_971319232527738995101[[#This Row],[合区区服]],表1_861218222426728894100[目标国家（映射）],表2_971319232527738995101[[#This Row],[国家]])</f>
        <v>3</v>
      </c>
      <c r="D147" s="41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12</v>
      </c>
      <c r="E147" s="41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45</v>
      </c>
      <c r="F147" s="41">
        <f t="array" ref="F147">MAX((表1_861218222426728894100[目标区服]=表2_971319232527738995101[[#This Row],[合区区服]])*(表1_861218222426728894100[目标国家（映射）]=表2_971319232527738995101[[#This Row],[国家]])*表1_861218222426728894100[活跃尖端战力])</f>
        <v>2872685</v>
      </c>
      <c r="G147" s="42">
        <f>SUMIFS(表1_861218222426728894100[活跃总战力],表1_861218222426728894100[目标区服],表2_971319232527738995101[[#This Row],[合区区服]],表1_861218222426728894100[目标国家（映射）],表2_971319232527738995101[[#This Row],[国家]])</f>
        <v>52663172</v>
      </c>
      <c r="H147" s="41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210556</v>
      </c>
      <c r="I147" s="41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47" s="41">
        <f>SUMIFS(表1_861218222426728894100[活跃Coin],表1_861218222426728894100[目标区服],表2_971319232527738995101[[#This Row],[合区区服]],表1_861218222426728894100[目标国家（映射）],表2_971319232527738995101[[#This Row],[国家]])</f>
        <v>971815</v>
      </c>
      <c r="K147" s="41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57000</v>
      </c>
      <c r="L147" s="41">
        <f>表2_971319232527738995101[[#This Row],[活跃Coin]]+表2_971319232527738995101[[#This Row],[共计补偿Coin]]</f>
        <v>1028815</v>
      </c>
      <c r="M147" s="41">
        <f>SUMIFS(表1_861218222426728894100[综合国力],表1_861218222426728894100[目标区服],表2_971319232527738995101[[#This Row],[合区区服]],表1_861218222426728894100[目标国家（映射）],表2_971319232527738995101[[#This Row],[国家]])</f>
        <v>27144</v>
      </c>
      <c r="N147" s="41">
        <f t="array" ref="N147">MAX((表1_861218222426728894100[目标区服]=表2_971319232527738995101[[#This Row],[合区区服]])*(表1_861218222426728894100[目标国家（映射）]=表2_971319232527738995101[[#This Row],[国家]])*表1_861218222426728894100[单将最高战力])</f>
        <v>880665</v>
      </c>
      <c r="P147" s="51">
        <v>5180</v>
      </c>
      <c r="Q147" s="51">
        <v>47</v>
      </c>
      <c r="R147" s="51" t="s">
        <v>228</v>
      </c>
      <c r="S147" s="51">
        <v>48</v>
      </c>
    </row>
    <row r="148" ht="15" spans="1:19">
      <c r="A148" s="41" t="s">
        <v>225</v>
      </c>
      <c r="B148" s="43" t="s">
        <v>27</v>
      </c>
      <c r="C148" s="43">
        <f>COUNTIFS(表1_861218222426728894100[目标区服],表2_971319232527738995101[[#This Row],[合区区服]],表1_861218222426728894100[目标国家（映射）],表2_971319232527738995101[[#This Row],[国家]])</f>
        <v>3</v>
      </c>
      <c r="D148" s="43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10</v>
      </c>
      <c r="E148" s="43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40</v>
      </c>
      <c r="F148" s="43">
        <f t="array" ref="F148">MAX((表1_861218222426728894100[目标区服]=表2_971319232527738995101[[#This Row],[合区区服]])*(表1_861218222426728894100[目标国家（映射）]=表2_971319232527738995101[[#This Row],[国家]])*表1_861218222426728894100[活跃尖端战力])</f>
        <v>2662742</v>
      </c>
      <c r="G148" s="44">
        <f>SUMIFS(表1_861218222426728894100[活跃总战力],表1_861218222426728894100[目标区服],表2_971319232527738995101[[#This Row],[合区区服]],表1_861218222426728894100[目标国家（映射）],表2_971319232527738995101[[#This Row],[国家]])</f>
        <v>41286810</v>
      </c>
      <c r="H148" s="43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131396</v>
      </c>
      <c r="I148" s="43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112338</v>
      </c>
      <c r="J148" s="43">
        <f>SUMIFS(表1_861218222426728894100[活跃Coin],表1_861218222426728894100[目标区服],表2_971319232527738995101[[#This Row],[合区区服]],表1_861218222426728894100[目标国家（映射）],表2_971319232527738995101[[#This Row],[国家]])</f>
        <v>1224299</v>
      </c>
      <c r="K148" s="43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50000</v>
      </c>
      <c r="L148" s="43">
        <f>表2_971319232527738995101[[#This Row],[活跃Coin]]+表2_971319232527738995101[[#This Row],[共计补偿Coin]]</f>
        <v>1274299</v>
      </c>
      <c r="M148" s="43">
        <f>SUMIFS(表1_861218222426728894100[综合国力],表1_861218222426728894100[目标区服],表2_971319232527738995101[[#This Row],[合区区服]],表1_861218222426728894100[目标国家（映射）],表2_971319232527738995101[[#This Row],[国家]])</f>
        <v>22263</v>
      </c>
      <c r="N148" s="41">
        <f t="array" ref="N148">MAX((表1_861218222426728894100[目标区服]=表2_971319232527738995101[[#This Row],[合区区服]])*(表1_861218222426728894100[目标国家（映射）]=表2_971319232527738995101[[#This Row],[国家]])*表1_861218222426728894100[单将最高战力])</f>
        <v>779821</v>
      </c>
      <c r="P148" s="51">
        <v>5181</v>
      </c>
      <c r="Q148" s="51">
        <v>47</v>
      </c>
      <c r="R148" s="51" t="s">
        <v>229</v>
      </c>
      <c r="S148" s="51">
        <v>48</v>
      </c>
    </row>
    <row r="149" ht="15" spans="1:19">
      <c r="A149" s="308" t="s">
        <v>226</v>
      </c>
      <c r="B149" s="224" t="s">
        <v>25</v>
      </c>
      <c r="C149" s="224">
        <f>COUNTIFS(表1_861218222426728894100[目标区服],表2_971319232527738995101[[#This Row],[合区区服]],表1_861218222426728894100[目标国家（映射）],表2_971319232527738995101[[#This Row],[国家]])</f>
        <v>2</v>
      </c>
      <c r="D149" s="224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10</v>
      </c>
      <c r="E149" s="224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38</v>
      </c>
      <c r="F149" s="224">
        <f t="array" ref="F149">MAX((表1_861218222426728894100[目标区服]=表2_971319232527738995101[[#This Row],[合区区服]])*(表1_861218222426728894100[目标国家（映射）]=表2_971319232527738995101[[#This Row],[国家]])*表1_861218222426728894100[活跃尖端战力])</f>
        <v>2978266</v>
      </c>
      <c r="G149" s="225">
        <f>SUMIFS(表1_861218222426728894100[活跃总战力],表1_861218222426728894100[目标区服],表2_971319232527738995101[[#This Row],[合区区服]],表1_861218222426728894100[目标国家（映射）],表2_971319232527738995101[[#This Row],[国家]])</f>
        <v>45344517</v>
      </c>
      <c r="H149" s="224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129862</v>
      </c>
      <c r="I149" s="224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49" s="224">
        <f>SUMIFS(表1_861218222426728894100[活跃Coin],表1_861218222426728894100[目标区服],表2_971319232527738995101[[#This Row],[合区区服]],表1_861218222426728894100[目标国家（映射）],表2_971319232527738995101[[#This Row],[国家]])</f>
        <v>749155</v>
      </c>
      <c r="K149" s="224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54000</v>
      </c>
      <c r="L149" s="224">
        <f>表2_971319232527738995101[[#This Row],[活跃Coin]]+表2_971319232527738995101[[#This Row],[共计补偿Coin]]</f>
        <v>803155</v>
      </c>
      <c r="M149" s="224">
        <f>SUMIFS(表1_861218222426728894100[综合国力],表1_861218222426728894100[目标区服],表2_971319232527738995101[[#This Row],[合区区服]],表1_861218222426728894100[目标国家（映射）],表2_971319232527738995101[[#This Row],[国家]])</f>
        <v>18819</v>
      </c>
      <c r="N149" s="471">
        <f t="array" ref="N149">MAX((表1_861218222426728894100[目标区服]=表2_971319232527738995101[[#This Row],[合区区服]])*(表1_861218222426728894100[目标国家（映射）]=表2_971319232527738995101[[#This Row],[国家]])*表1_861218222426728894100[单将最高战力])</f>
        <v>854624</v>
      </c>
      <c r="P149" s="51">
        <v>5182</v>
      </c>
      <c r="Q149" s="51">
        <v>47</v>
      </c>
      <c r="R149" s="51" t="s">
        <v>230</v>
      </c>
      <c r="S149" s="51">
        <v>47</v>
      </c>
    </row>
    <row r="150" ht="15" spans="1:19">
      <c r="A150" s="308" t="s">
        <v>226</v>
      </c>
      <c r="B150" s="224" t="s">
        <v>26</v>
      </c>
      <c r="C150" s="224">
        <f>COUNTIFS(表1_861218222426728894100[目标区服],表2_971319232527738995101[[#This Row],[合区区服]],表1_861218222426728894100[目标国家（映射）],表2_971319232527738995101[[#This Row],[国家]])</f>
        <v>3</v>
      </c>
      <c r="D150" s="224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12</v>
      </c>
      <c r="E150" s="224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51</v>
      </c>
      <c r="F150" s="224">
        <f t="array" ref="F150">MAX((表1_861218222426728894100[目标区服]=表2_971319232527738995101[[#This Row],[合区区服]])*(表1_861218222426728894100[目标国家（映射）]=表2_971319232527738995101[[#This Row],[国家]])*表1_861218222426728894100[活跃尖端战力])</f>
        <v>3324478</v>
      </c>
      <c r="G150" s="225">
        <f>SUMIFS(表1_861218222426728894100[活跃总战力],表1_861218222426728894100[目标区服],表2_971319232527738995101[[#This Row],[合区区服]],表1_861218222426728894100[目标国家（映射）],表2_971319232527738995101[[#This Row],[国家]])</f>
        <v>53871514</v>
      </c>
      <c r="H150" s="224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133716</v>
      </c>
      <c r="I150" s="224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50" s="224">
        <f>SUMIFS(表1_861218222426728894100[活跃Coin],表1_861218222426728894100[目标区服],表2_971319232527738995101[[#This Row],[合区区服]],表1_861218222426728894100[目标国家（映射）],表2_971319232527738995101[[#This Row],[国家]])</f>
        <v>1289220</v>
      </c>
      <c r="K150" s="224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76500</v>
      </c>
      <c r="L150" s="224">
        <f>表2_971319232527738995101[[#This Row],[活跃Coin]]+表2_971319232527738995101[[#This Row],[共计补偿Coin]]</f>
        <v>1365720</v>
      </c>
      <c r="M150" s="224">
        <f>SUMIFS(表1_861218222426728894100[综合国力],表1_861218222426728894100[目标区服],表2_971319232527738995101[[#This Row],[合区区服]],表1_861218222426728894100[目标国家（映射）],表2_971319232527738995101[[#This Row],[国家]])</f>
        <v>25159</v>
      </c>
      <c r="N150" s="471">
        <f t="array" ref="N150">MAX((表1_861218222426728894100[目标区服]=表2_971319232527738995101[[#This Row],[合区区服]])*(表1_861218222426728894100[目标国家（映射）]=表2_971319232527738995101[[#This Row],[国家]])*表1_861218222426728894100[单将最高战力])</f>
        <v>913942</v>
      </c>
      <c r="P150" s="51">
        <v>5183</v>
      </c>
      <c r="Q150" s="51">
        <v>46</v>
      </c>
      <c r="R150" s="51" t="s">
        <v>231</v>
      </c>
      <c r="S150" s="51">
        <v>47</v>
      </c>
    </row>
    <row r="151" ht="15" spans="1:19">
      <c r="A151" s="308" t="s">
        <v>226</v>
      </c>
      <c r="B151" s="224" t="s">
        <v>27</v>
      </c>
      <c r="C151" s="224">
        <f>COUNTIFS(表1_861218222426728894100[目标区服],表2_971319232527738995101[[#This Row],[合区区服]],表1_861218222426728894100[目标国家（映射）],表2_971319232527738995101[[#This Row],[国家]])</f>
        <v>4</v>
      </c>
      <c r="D151" s="224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8</v>
      </c>
      <c r="E151" s="224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64</v>
      </c>
      <c r="F151" s="224">
        <f t="array" ref="F151">MAX((表1_861218222426728894100[目标区服]=表2_971319232527738995101[[#This Row],[合区区服]])*(表1_861218222426728894100[目标国家（映射）]=表2_971319232527738995101[[#This Row],[国家]])*表1_861218222426728894100[活跃尖端战力])</f>
        <v>2367367</v>
      </c>
      <c r="G151" s="225">
        <f>SUMIFS(表1_861218222426728894100[活跃总战力],表1_861218222426728894100[目标区服],表2_971319232527738995101[[#This Row],[合区区服]],表1_861218222426728894100[目标国家（映射）],表2_971319232527738995101[[#This Row],[国家]])</f>
        <v>53989102</v>
      </c>
      <c r="H151" s="224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129100</v>
      </c>
      <c r="I151" s="224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51" s="224">
        <f>SUMIFS(表1_861218222426728894100[活跃Coin],表1_861218222426728894100[目标区服],表2_971319232527738995101[[#This Row],[合区区服]],表1_861218222426728894100[目标国家（映射）],表2_971319232527738995101[[#This Row],[国家]])</f>
        <v>754227</v>
      </c>
      <c r="K151" s="224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78000</v>
      </c>
      <c r="L151" s="224">
        <f>表2_971319232527738995101[[#This Row],[活跃Coin]]+表2_971319232527738995101[[#This Row],[共计补偿Coin]]</f>
        <v>832227</v>
      </c>
      <c r="M151" s="224">
        <f>SUMIFS(表1_861218222426728894100[综合国力],表1_861218222426728894100[目标区服],表2_971319232527738995101[[#This Row],[合区区服]],表1_861218222426728894100[目标国家（映射）],表2_971319232527738995101[[#This Row],[国家]])</f>
        <v>23609</v>
      </c>
      <c r="N151" s="471">
        <f t="array" ref="N151">MAX((表1_861218222426728894100[目标区服]=表2_971319232527738995101[[#This Row],[合区区服]])*(表1_861218222426728894100[目标国家（映射）]=表2_971319232527738995101[[#This Row],[国家]])*表1_861218222426728894100[单将最高战力])</f>
        <v>780367</v>
      </c>
      <c r="P151" s="51">
        <v>5184</v>
      </c>
      <c r="Q151" s="51">
        <v>46</v>
      </c>
      <c r="R151" s="51" t="s">
        <v>232</v>
      </c>
      <c r="S151" s="51">
        <v>47</v>
      </c>
    </row>
    <row r="152" ht="15" spans="1:19">
      <c r="A152" s="414" t="s">
        <v>227</v>
      </c>
      <c r="B152" s="455" t="s">
        <v>25</v>
      </c>
      <c r="C152" s="455">
        <f>COUNTIFS(表1_861218222426728894100[目标区服],表2_971319232527738995101[[#This Row],[合区区服]],表1_861218222426728894100[目标国家（映射）],表2_971319232527738995101[[#This Row],[国家]])</f>
        <v>4</v>
      </c>
      <c r="D152" s="455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12</v>
      </c>
      <c r="E152" s="455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59</v>
      </c>
      <c r="F152" s="455">
        <f t="array" ref="F152">MAX((表1_861218222426728894100[目标区服]=表2_971319232527738995101[[#This Row],[合区区服]])*(表1_861218222426728894100[目标国家（映射）]=表2_971319232527738995101[[#This Row],[国家]])*表1_861218222426728894100[活跃尖端战力])</f>
        <v>2638507</v>
      </c>
      <c r="G152" s="456">
        <f>SUMIFS(表1_861218222426728894100[活跃总战力],表1_861218222426728894100[目标区服],表2_971319232527738995101[[#This Row],[合区区服]],表1_861218222426728894100[目标国家（映射）],表2_971319232527738995101[[#This Row],[国家]])</f>
        <v>47485390</v>
      </c>
      <c r="H152" s="455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71014</v>
      </c>
      <c r="I152" s="455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52" s="455">
        <f>SUMIFS(表1_861218222426728894100[活跃Coin],表1_861218222426728894100[目标区服],表2_971319232527738995101[[#This Row],[合区区服]],表1_861218222426728894100[目标国家（映射）],表2_971319232527738995101[[#This Row],[国家]])</f>
        <v>909547</v>
      </c>
      <c r="K152" s="455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71000</v>
      </c>
      <c r="L152" s="455">
        <f>表2_971319232527738995101[[#This Row],[活跃Coin]]+表2_971319232527738995101[[#This Row],[共计补偿Coin]]</f>
        <v>980547</v>
      </c>
      <c r="M152" s="455">
        <f>SUMIFS(表1_861218222426728894100[综合国力],表1_861218222426728894100[目标区服],表2_971319232527738995101[[#This Row],[合区区服]],表1_861218222426728894100[目标国家（映射）],表2_971319232527738995101[[#This Row],[国家]])</f>
        <v>22264</v>
      </c>
      <c r="N152" s="472">
        <f t="array" ref="N152">MAX((表1_861218222426728894100[目标区服]=表2_971319232527738995101[[#This Row],[合区区服]])*(表1_861218222426728894100[目标国家（映射）]=表2_971319232527738995101[[#This Row],[国家]])*表1_861218222426728894100[单将最高战力])</f>
        <v>702734</v>
      </c>
      <c r="P152" s="51">
        <v>5185</v>
      </c>
      <c r="Q152" s="51">
        <v>46</v>
      </c>
      <c r="R152" s="51" t="s">
        <v>233</v>
      </c>
      <c r="S152" s="51">
        <v>46</v>
      </c>
    </row>
    <row r="153" ht="15" spans="1:19">
      <c r="A153" s="414" t="s">
        <v>227</v>
      </c>
      <c r="B153" s="455" t="s">
        <v>26</v>
      </c>
      <c r="C153" s="455">
        <f>COUNTIFS(表1_861218222426728894100[目标区服],表2_971319232527738995101[[#This Row],[合区区服]],表1_861218222426728894100[目标国家（映射）],表2_971319232527738995101[[#This Row],[国家]])</f>
        <v>2</v>
      </c>
      <c r="D153" s="455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6</v>
      </c>
      <c r="E153" s="455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52</v>
      </c>
      <c r="F153" s="455">
        <f t="array" ref="F153">MAX((表1_861218222426728894100[目标区服]=表2_971319232527738995101[[#This Row],[合区区服]])*(表1_861218222426728894100[目标国家（映射）]=表2_971319232527738995101[[#This Row],[国家]])*表1_861218222426728894100[活跃尖端战力])</f>
        <v>2632680</v>
      </c>
      <c r="G153" s="456">
        <f>SUMIFS(表1_861218222426728894100[活跃总战力],表1_861218222426728894100[目标区服],表2_971319232527738995101[[#This Row],[合区区服]],表1_861218222426728894100[目标国家（映射）],表2_971319232527738995101[[#This Row],[国家]])</f>
        <v>40369381</v>
      </c>
      <c r="H153" s="455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104888</v>
      </c>
      <c r="I153" s="455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53" s="455">
        <f>SUMIFS(表1_861218222426728894100[活跃Coin],表1_861218222426728894100[目标区服],表2_971319232527738995101[[#This Row],[合区区服]],表1_861218222426728894100[目标国家（映射）],表2_971319232527738995101[[#This Row],[国家]])</f>
        <v>896002</v>
      </c>
      <c r="K153" s="455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58000</v>
      </c>
      <c r="L153" s="455">
        <f>表2_971319232527738995101[[#This Row],[活跃Coin]]+表2_971319232527738995101[[#This Row],[共计补偿Coin]]</f>
        <v>954002</v>
      </c>
      <c r="M153" s="455">
        <f>SUMIFS(表1_861218222426728894100[综合国力],表1_861218222426728894100[目标区服],表2_971319232527738995101[[#This Row],[合区区服]],表1_861218222426728894100[目标国家（映射）],表2_971319232527738995101[[#This Row],[国家]])</f>
        <v>16262</v>
      </c>
      <c r="N153" s="472">
        <f t="array" ref="N153">MAX((表1_861218222426728894100[目标区服]=表2_971319232527738995101[[#This Row],[合区区服]])*(表1_861218222426728894100[目标国家（映射）]=表2_971319232527738995101[[#This Row],[国家]])*表1_861218222426728894100[单将最高战力])</f>
        <v>1068028</v>
      </c>
      <c r="P153" s="51">
        <v>5186</v>
      </c>
      <c r="Q153" s="51">
        <v>46</v>
      </c>
      <c r="R153" s="51" t="s">
        <v>234</v>
      </c>
      <c r="S153" s="51">
        <v>45</v>
      </c>
    </row>
    <row r="154" ht="15" spans="1:19">
      <c r="A154" s="414" t="s">
        <v>227</v>
      </c>
      <c r="B154" s="457" t="s">
        <v>27</v>
      </c>
      <c r="C154" s="457">
        <f>COUNTIFS(表1_861218222426728894100[目标区服],表2_971319232527738995101[[#This Row],[合区区服]],表1_861218222426728894100[目标国家（映射）],表2_971319232527738995101[[#This Row],[国家]])</f>
        <v>3</v>
      </c>
      <c r="D154" s="457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12</v>
      </c>
      <c r="E154" s="457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57</v>
      </c>
      <c r="F154" s="455">
        <f t="array" ref="F154">MAX((表1_861218222426728894100[目标区服]=表2_971319232527738995101[[#This Row],[合区区服]])*(表1_861218222426728894100[目标国家（映射）]=表2_971319232527738995101[[#This Row],[国家]])*表1_861218222426728894100[活跃尖端战力])</f>
        <v>3034868</v>
      </c>
      <c r="G154" s="456">
        <f>SUMIFS(表1_861218222426728894100[活跃总战力],表1_861218222426728894100[目标区服],表2_971319232527738995101[[#This Row],[合区区服]],表1_861218222426728894100[目标国家（映射）],表2_971319232527738995101[[#This Row],[国家]])</f>
        <v>51212994</v>
      </c>
      <c r="H154" s="455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104970</v>
      </c>
      <c r="I154" s="455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54" s="455">
        <f>SUMIFS(表1_861218222426728894100[活跃Coin],表1_861218222426728894100[目标区服],表2_971319232527738995101[[#This Row],[合区区服]],表1_861218222426728894100[目标国家（映射）],表2_971319232527738995101[[#This Row],[国家]])</f>
        <v>834479</v>
      </c>
      <c r="K154" s="455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69000</v>
      </c>
      <c r="L154" s="455">
        <f>表2_971319232527738995101[[#This Row],[活跃Coin]]+表2_971319232527738995101[[#This Row],[共计补偿Coin]]</f>
        <v>903479</v>
      </c>
      <c r="M154" s="455">
        <f>SUMIFS(表1_861218222426728894100[综合国力],表1_861218222426728894100[目标区服],表2_971319232527738995101[[#This Row],[合区区服]],表1_861218222426728894100[目标国家（映射）],表2_971319232527738995101[[#This Row],[国家]])</f>
        <v>21404</v>
      </c>
      <c r="N154" s="472">
        <f t="array" ref="N154">MAX((表1_861218222426728894100[目标区服]=表2_971319232527738995101[[#This Row],[合区区服]])*(表1_861218222426728894100[目标国家（映射）]=表2_971319232527738995101[[#This Row],[国家]])*表1_861218222426728894100[单将最高战力])</f>
        <v>940623</v>
      </c>
      <c r="P154" s="51">
        <v>5187</v>
      </c>
      <c r="Q154" s="51">
        <v>46</v>
      </c>
      <c r="R154" s="51" t="s">
        <v>235</v>
      </c>
      <c r="S154" s="51">
        <v>45</v>
      </c>
    </row>
    <row r="155" ht="15" spans="1:19">
      <c r="A155" s="177" t="s">
        <v>228</v>
      </c>
      <c r="B155" s="178" t="s">
        <v>25</v>
      </c>
      <c r="C155" s="178">
        <f>COUNTIFS(表1_861218222426728894100[目标区服],表2_971319232527738995101[[#This Row],[合区区服]],表1_861218222426728894100[目标国家（映射）],表2_971319232527738995101[[#This Row],[国家]])</f>
        <v>3</v>
      </c>
      <c r="D155" s="178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5</v>
      </c>
      <c r="E155" s="178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55</v>
      </c>
      <c r="F155" s="178">
        <f t="array" ref="F155">MAX((表1_861218222426728894100[目标区服]=表2_971319232527738995101[[#This Row],[合区区服]])*(表1_861218222426728894100[目标国家（映射）]=表2_971319232527738995101[[#This Row],[国家]])*表1_861218222426728894100[活跃尖端战力])</f>
        <v>1844953</v>
      </c>
      <c r="G155" s="179">
        <f>SUMIFS(表1_861218222426728894100[活跃总战力],表1_861218222426728894100[目标区服],表2_971319232527738995101[[#This Row],[合区区服]],表1_861218222426728894100[目标国家（映射）],表2_971319232527738995101[[#This Row],[国家]])</f>
        <v>38635014</v>
      </c>
      <c r="H155" s="178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39480</v>
      </c>
      <c r="I155" s="178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55" s="178">
        <f>SUMIFS(表1_861218222426728894100[活跃Coin],表1_861218222426728894100[目标区服],表2_971319232527738995101[[#This Row],[合区区服]],表1_861218222426728894100[目标国家（映射）],表2_971319232527738995101[[#This Row],[国家]])</f>
        <v>648500</v>
      </c>
      <c r="K155" s="178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60000</v>
      </c>
      <c r="L155" s="178">
        <f>表2_971319232527738995101[[#This Row],[活跃Coin]]+表2_971319232527738995101[[#This Row],[共计补偿Coin]]</f>
        <v>708500</v>
      </c>
      <c r="M155" s="178">
        <f>SUMIFS(表1_861218222426728894100[综合国力],表1_861218222426728894100[目标区服],表2_971319232527738995101[[#This Row],[合区区服]],表1_861218222426728894100[目标国家（映射）],表2_971319232527738995101[[#This Row],[国家]])</f>
        <v>14589</v>
      </c>
      <c r="N155" s="473">
        <f t="array" ref="N155">MAX((表1_861218222426728894100[目标区服]=表2_971319232527738995101[[#This Row],[合区区服]])*(表1_861218222426728894100[目标国家（映射）]=表2_971319232527738995101[[#This Row],[国家]])*表1_861218222426728894100[单将最高战力])</f>
        <v>659406</v>
      </c>
      <c r="P155" s="51">
        <v>5188</v>
      </c>
      <c r="Q155" s="51">
        <v>46</v>
      </c>
      <c r="R155" s="51" t="s">
        <v>236</v>
      </c>
      <c r="S155" s="51">
        <v>44</v>
      </c>
    </row>
    <row r="156" ht="15" spans="1:19">
      <c r="A156" s="177" t="s">
        <v>228</v>
      </c>
      <c r="B156" s="178" t="s">
        <v>26</v>
      </c>
      <c r="C156" s="178">
        <f>COUNTIFS(表1_861218222426728894100[目标区服],表2_971319232527738995101[[#This Row],[合区区服]],表1_861218222426728894100[目标国家（映射）],表2_971319232527738995101[[#This Row],[国家]])</f>
        <v>1</v>
      </c>
      <c r="D156" s="178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7</v>
      </c>
      <c r="E156" s="178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21</v>
      </c>
      <c r="F156" s="178">
        <f t="array" ref="F156">MAX((表1_861218222426728894100[目标区服]=表2_971319232527738995101[[#This Row],[合区区服]])*(表1_861218222426728894100[目标国家（映射）]=表2_971319232527738995101[[#This Row],[国家]])*表1_861218222426728894100[活跃尖端战力])</f>
        <v>2632516</v>
      </c>
      <c r="G156" s="179">
        <f>SUMIFS(表1_861218222426728894100[活跃总战力],表1_861218222426728894100[目标区服],表2_971319232527738995101[[#This Row],[合区区服]],表1_861218222426728894100[目标国家（映射）],表2_971319232527738995101[[#This Row],[国家]])</f>
        <v>22520950</v>
      </c>
      <c r="H156" s="178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74602</v>
      </c>
      <c r="I156" s="178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7266</v>
      </c>
      <c r="J156" s="178">
        <f>SUMIFS(表1_861218222426728894100[活跃Coin],表1_861218222426728894100[目标区服],表2_971319232527738995101[[#This Row],[合区区服]],表1_861218222426728894100[目标国家（映射）],表2_971319232527738995101[[#This Row],[国家]])</f>
        <v>520628</v>
      </c>
      <c r="K156" s="178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28000</v>
      </c>
      <c r="L156" s="178">
        <f>表2_971319232527738995101[[#This Row],[活跃Coin]]+表2_971319232527738995101[[#This Row],[共计补偿Coin]]</f>
        <v>548628</v>
      </c>
      <c r="M156" s="178">
        <f>SUMIFS(表1_861218222426728894100[综合国力],表1_861218222426728894100[目标区服],表2_971319232527738995101[[#This Row],[合区区服]],表1_861218222426728894100[目标国家（映射）],表2_971319232527738995101[[#This Row],[国家]])</f>
        <v>12184</v>
      </c>
      <c r="N156" s="473">
        <f t="array" ref="N156">MAX((表1_861218222426728894100[目标区服]=表2_971319232527738995101[[#This Row],[合区区服]])*(表1_861218222426728894100[目标国家（映射）]=表2_971319232527738995101[[#This Row],[国家]])*表1_861218222426728894100[单将最高战力])</f>
        <v>818884</v>
      </c>
      <c r="P156" s="51">
        <v>5189</v>
      </c>
      <c r="Q156" s="51">
        <v>46</v>
      </c>
      <c r="R156" s="51" t="s">
        <v>237</v>
      </c>
      <c r="S156" s="51">
        <v>44</v>
      </c>
    </row>
    <row r="157" ht="15" spans="1:19">
      <c r="A157" s="177" t="s">
        <v>228</v>
      </c>
      <c r="B157" s="180" t="s">
        <v>27</v>
      </c>
      <c r="C157" s="180">
        <f>COUNTIFS(表1_861218222426728894100[目标区服],表2_971319232527738995101[[#This Row],[合区区服]],表1_861218222426728894100[目标国家（映射）],表2_971319232527738995101[[#This Row],[国家]])</f>
        <v>2</v>
      </c>
      <c r="D157" s="180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8</v>
      </c>
      <c r="E157" s="180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26</v>
      </c>
      <c r="F157" s="180">
        <f t="array" ref="F157">MAX((表1_861218222426728894100[目标区服]=表2_971319232527738995101[[#This Row],[合区区服]])*(表1_861218222426728894100[目标国家（映射）]=表2_971319232527738995101[[#This Row],[国家]])*表1_861218222426728894100[活跃尖端战力])</f>
        <v>2827020</v>
      </c>
      <c r="G157" s="262">
        <f>SUMIFS(表1_861218222426728894100[活跃总战力],表1_861218222426728894100[目标区服],表2_971319232527738995101[[#This Row],[合区区服]],表1_861218222426728894100[目标国家（映射）],表2_971319232527738995101[[#This Row],[国家]])</f>
        <v>26326867</v>
      </c>
      <c r="H157" s="180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57710</v>
      </c>
      <c r="I157" s="180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57" s="180">
        <f>SUMIFS(表1_861218222426728894100[活跃Coin],表1_861218222426728894100[目标区服],表2_971319232527738995101[[#This Row],[合区区服]],表1_861218222426728894100[目标国家（映射）],表2_971319232527738995101[[#This Row],[国家]])</f>
        <v>578993</v>
      </c>
      <c r="K157" s="180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34000</v>
      </c>
      <c r="L157" s="180">
        <f>表2_971319232527738995101[[#This Row],[活跃Coin]]+表2_971319232527738995101[[#This Row],[共计补偿Coin]]</f>
        <v>612993</v>
      </c>
      <c r="M157" s="180">
        <f>SUMIFS(表1_861218222426728894100[综合国力],表1_861218222426728894100[目标区服],表2_971319232527738995101[[#This Row],[合区区服]],表1_861218222426728894100[目标国家（映射）],表2_971319232527738995101[[#This Row],[国家]])</f>
        <v>11953</v>
      </c>
      <c r="N157" s="474">
        <f t="array" ref="N157">MAX((表1_861218222426728894100[目标区服]=表2_971319232527738995101[[#This Row],[合区区服]])*(表1_861218222426728894100[目标国家（映射）]=表2_971319232527738995101[[#This Row],[国家]])*表1_861218222426728894100[单将最高战力])</f>
        <v>758928</v>
      </c>
      <c r="P157" s="51">
        <v>5190</v>
      </c>
      <c r="Q157" s="51">
        <v>45</v>
      </c>
      <c r="R157" s="51" t="s">
        <v>238</v>
      </c>
      <c r="S157" s="51">
        <v>43</v>
      </c>
    </row>
    <row r="158" ht="15" spans="1:19">
      <c r="A158" s="41" t="s">
        <v>229</v>
      </c>
      <c r="B158" s="41" t="s">
        <v>25</v>
      </c>
      <c r="C158" s="41">
        <f>COUNTIFS(表1_861218222426728894100[目标区服],表2_971319232527738995101[[#This Row],[合区区服]],表1_861218222426728894100[目标国家（映射）],表2_971319232527738995101[[#This Row],[国家]])</f>
        <v>3</v>
      </c>
      <c r="D158" s="41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14</v>
      </c>
      <c r="E158" s="41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28</v>
      </c>
      <c r="F158" s="41">
        <f t="array" ref="F158">MAX((表1_861218222426728894100[目标区服]=表2_971319232527738995101[[#This Row],[合区区服]])*(表1_861218222426728894100[目标国家（映射）]=表2_971319232527738995101[[#This Row],[国家]])*表1_861218222426728894100[活跃尖端战力])</f>
        <v>2198983</v>
      </c>
      <c r="G158" s="42">
        <f>SUMIFS(表1_861218222426728894100[活跃总战力],表1_861218222426728894100[目标区服],表2_971319232527738995101[[#This Row],[合区区服]],表1_861218222426728894100[目标国家（映射）],表2_971319232527738995101[[#This Row],[国家]])</f>
        <v>31438936</v>
      </c>
      <c r="H158" s="41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34318</v>
      </c>
      <c r="I158" s="41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58" s="41">
        <f>SUMIFS(表1_861218222426728894100[活跃Coin],表1_861218222426728894100[目标区服],表2_971319232527738995101[[#This Row],[合区区服]],表1_861218222426728894100[目标国家（映射）],表2_971319232527738995101[[#This Row],[国家]])</f>
        <v>899710</v>
      </c>
      <c r="K158" s="41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54000</v>
      </c>
      <c r="L158" s="41">
        <f>表2_971319232527738995101[[#This Row],[活跃Coin]]+表2_971319232527738995101[[#This Row],[共计补偿Coin]]</f>
        <v>953710</v>
      </c>
      <c r="M158" s="41">
        <f>SUMIFS(表1_861218222426728894100[综合国力],表1_861218222426728894100[目标区服],表2_971319232527738995101[[#This Row],[合区区服]],表1_861218222426728894100[目标国家（映射）],表2_971319232527738995101[[#This Row],[国家]])</f>
        <v>16429</v>
      </c>
      <c r="N158" s="41">
        <f t="array" ref="N158">MAX((表1_861218222426728894100[目标区服]=表2_971319232527738995101[[#This Row],[合区区服]])*(表1_861218222426728894100[目标国家（映射）]=表2_971319232527738995101[[#This Row],[国家]])*表1_861218222426728894100[单将最高战力])</f>
        <v>601146</v>
      </c>
      <c r="P158" s="51">
        <v>5191</v>
      </c>
      <c r="Q158" s="51">
        <v>45</v>
      </c>
      <c r="R158" s="51"/>
      <c r="S158" s="51"/>
    </row>
    <row r="159" ht="15" spans="1:19">
      <c r="A159" s="41" t="s">
        <v>229</v>
      </c>
      <c r="B159" s="41" t="s">
        <v>26</v>
      </c>
      <c r="C159" s="41">
        <f>COUNTIFS(表1_861218222426728894100[目标区服],表2_971319232527738995101[[#This Row],[合区区服]],表1_861218222426728894100[目标国家（映射）],表2_971319232527738995101[[#This Row],[国家]])</f>
        <v>3</v>
      </c>
      <c r="D159" s="41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9</v>
      </c>
      <c r="E159" s="41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44</v>
      </c>
      <c r="F159" s="41">
        <f t="array" ref="F159">MAX((表1_861218222426728894100[目标区服]=表2_971319232527738995101[[#This Row],[合区区服]])*(表1_861218222426728894100[目标国家（映射）]=表2_971319232527738995101[[#This Row],[国家]])*表1_861218222426728894100[活跃尖端战力])</f>
        <v>2029175</v>
      </c>
      <c r="G159" s="42">
        <f>SUMIFS(表1_861218222426728894100[活跃总战力],表1_861218222426728894100[目标区服],表2_971319232527738995101[[#This Row],[合区区服]],表1_861218222426728894100[目标国家（映射）],表2_971319232527738995101[[#This Row],[国家]])</f>
        <v>32104425</v>
      </c>
      <c r="H159" s="41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27276</v>
      </c>
      <c r="I159" s="41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59" s="41">
        <f>SUMIFS(表1_861218222426728894100[活跃Coin],表1_861218222426728894100[目标区服],表2_971319232527738995101[[#This Row],[合区区服]],表1_861218222426728894100[目标国家（映射）],表2_971319232527738995101[[#This Row],[国家]])</f>
        <v>791037</v>
      </c>
      <c r="K159" s="41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59500</v>
      </c>
      <c r="L159" s="41">
        <f>表2_971319232527738995101[[#This Row],[活跃Coin]]+表2_971319232527738995101[[#This Row],[共计补偿Coin]]</f>
        <v>850537</v>
      </c>
      <c r="M159" s="41">
        <f>SUMIFS(表1_861218222426728894100[综合国力],表1_861218222426728894100[目标区服],表2_971319232527738995101[[#This Row],[合区区服]],表1_861218222426728894100[目标国家（映射）],表2_971319232527738995101[[#This Row],[国家]])</f>
        <v>15733</v>
      </c>
      <c r="N159" s="41">
        <f t="array" ref="N159">MAX((表1_861218222426728894100[目标区服]=表2_971319232527738995101[[#This Row],[合区区服]])*(表1_861218222426728894100[目标国家（映射）]=表2_971319232527738995101[[#This Row],[国家]])*表1_861218222426728894100[单将最高战力])</f>
        <v>533680</v>
      </c>
      <c r="P159" s="51">
        <v>5192</v>
      </c>
      <c r="Q159" s="51">
        <v>45</v>
      </c>
      <c r="R159" s="51"/>
      <c r="S159" s="51"/>
    </row>
    <row r="160" ht="15" spans="1:19">
      <c r="A160" s="41" t="s">
        <v>229</v>
      </c>
      <c r="B160" s="43" t="s">
        <v>27</v>
      </c>
      <c r="C160" s="43">
        <f>COUNTIFS(表1_861218222426728894100[目标区服],表2_971319232527738995101[[#This Row],[合区区服]],表1_861218222426728894100[目标国家（映射）],表2_971319232527738995101[[#This Row],[国家]])</f>
        <v>3</v>
      </c>
      <c r="D160" s="43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7</v>
      </c>
      <c r="E160" s="43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28</v>
      </c>
      <c r="F160" s="43">
        <f t="array" ref="F160">MAX((表1_861218222426728894100[目标区服]=表2_971319232527738995101[[#This Row],[合区区服]])*(表1_861218222426728894100[目标国家（映射）]=表2_971319232527738995101[[#This Row],[国家]])*表1_861218222426728894100[活跃尖端战力])</f>
        <v>2192585</v>
      </c>
      <c r="G160" s="44">
        <f>SUMIFS(表1_861218222426728894100[活跃总战力],表1_861218222426728894100[目标区服],表2_971319232527738995101[[#This Row],[合区区服]],表1_861218222426728894100[目标国家（映射）],表2_971319232527738995101[[#This Row],[国家]])</f>
        <v>20202906</v>
      </c>
      <c r="H160" s="43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46560</v>
      </c>
      <c r="I160" s="43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60" s="43">
        <f>SUMIFS(表1_861218222426728894100[活跃Coin],表1_861218222426728894100[目标区服],表2_971319232527738995101[[#This Row],[合区区服]],表1_861218222426728894100[目标国家（映射）],表2_971319232527738995101[[#This Row],[国家]])</f>
        <v>516934</v>
      </c>
      <c r="K160" s="43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52500</v>
      </c>
      <c r="L160" s="43">
        <f>表2_971319232527738995101[[#This Row],[活跃Coin]]+表2_971319232527738995101[[#This Row],[共计补偿Coin]]</f>
        <v>569434</v>
      </c>
      <c r="M160" s="43">
        <f>SUMIFS(表1_861218222426728894100[综合国力],表1_861218222426728894100[目标区服],表2_971319232527738995101[[#This Row],[合区区服]],表1_861218222426728894100[目标国家（映射）],表2_971319232527738995101[[#This Row],[国家]])</f>
        <v>11948</v>
      </c>
      <c r="N160" s="41">
        <f t="array" ref="N160">MAX((表1_861218222426728894100[目标区服]=表2_971319232527738995101[[#This Row],[合区区服]])*(表1_861218222426728894100[目标国家（映射）]=表2_971319232527738995101[[#This Row],[国家]])*表1_861218222426728894100[单将最高战力])</f>
        <v>625255</v>
      </c>
      <c r="P160" s="51">
        <v>5193</v>
      </c>
      <c r="Q160" s="51">
        <v>45</v>
      </c>
      <c r="R160" s="51"/>
      <c r="S160" s="484"/>
    </row>
    <row r="161" ht="15" spans="1:19">
      <c r="A161" s="45" t="s">
        <v>230</v>
      </c>
      <c r="B161" s="46" t="s">
        <v>25</v>
      </c>
      <c r="C161" s="46">
        <f>COUNTIFS(表1_861218222426728894100[目标区服],表2_971319232527738995101[[#This Row],[合区区服]],表1_861218222426728894100[目标国家（映射）],表2_971319232527738995101[[#This Row],[国家]])</f>
        <v>2</v>
      </c>
      <c r="D161" s="46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9</v>
      </c>
      <c r="E161" s="46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18</v>
      </c>
      <c r="F161" s="46">
        <f t="array" ref="F161">MAX((表1_861218222426728894100[目标区服]=表2_971319232527738995101[[#This Row],[合区区服]])*(表1_861218222426728894100[目标国家（映射）]=表2_971319232527738995101[[#This Row],[国家]])*表1_861218222426728894100[活跃尖端战力])</f>
        <v>1807699</v>
      </c>
      <c r="G161" s="47">
        <f>SUMIFS(表1_861218222426728894100[活跃总战力],表1_861218222426728894100[目标区服],表2_971319232527738995101[[#This Row],[合区区服]],表1_861218222426728894100[目标国家（映射）],表2_971319232527738995101[[#This Row],[国家]])</f>
        <v>20722929</v>
      </c>
      <c r="H161" s="46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18676</v>
      </c>
      <c r="I161" s="46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61" s="46">
        <f>SUMIFS(表1_861218222426728894100[活跃Coin],表1_861218222426728894100[目标区服],表2_971319232527738995101[[#This Row],[合区区服]],表1_861218222426728894100[目标国家（映射）],表2_971319232527738995101[[#This Row],[国家]])</f>
        <v>530524</v>
      </c>
      <c r="K161" s="46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27000</v>
      </c>
      <c r="L161" s="46">
        <f>表2_971319232527738995101[[#This Row],[活跃Coin]]+表2_971319232527738995101[[#This Row],[共计补偿Coin]]</f>
        <v>557524</v>
      </c>
      <c r="M161" s="46">
        <f>SUMIFS(表1_861218222426728894100[综合国力],表1_861218222426728894100[目标区服],表2_971319232527738995101[[#This Row],[合区区服]],表1_861218222426728894100[目标国家（映射）],表2_971319232527738995101[[#This Row],[国家]])</f>
        <v>11139</v>
      </c>
      <c r="N161" s="46">
        <f t="array" ref="N161">MAX((表1_861218222426728894100[目标区服]=表2_971319232527738995101[[#This Row],[合区区服]])*(表1_861218222426728894100[目标国家（映射）]=表2_971319232527738995101[[#This Row],[国家]])*表1_861218222426728894100[单将最高战力])</f>
        <v>561896</v>
      </c>
      <c r="P161" s="51">
        <v>5194</v>
      </c>
      <c r="Q161" s="51">
        <v>45</v>
      </c>
      <c r="R161" s="51"/>
      <c r="S161" s="484"/>
    </row>
    <row r="162" ht="15" spans="1:19">
      <c r="A162" s="45" t="s">
        <v>230</v>
      </c>
      <c r="B162" s="46" t="s">
        <v>26</v>
      </c>
      <c r="C162" s="46">
        <f>COUNTIFS(表1_861218222426728894100[目标区服],表2_971319232527738995101[[#This Row],[合区区服]],表1_861218222426728894100[目标国家（映射）],表2_971319232527738995101[[#This Row],[国家]])</f>
        <v>2</v>
      </c>
      <c r="D162" s="46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7</v>
      </c>
      <c r="E162" s="46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25</v>
      </c>
      <c r="F162" s="46">
        <f t="array" ref="F162">MAX((表1_861218222426728894100[目标区服]=表2_971319232527738995101[[#This Row],[合区区服]])*(表1_861218222426728894100[目标国家（映射）]=表2_971319232527738995101[[#This Row],[国家]])*表1_861218222426728894100[活跃尖端战力])</f>
        <v>2292933</v>
      </c>
      <c r="G162" s="47">
        <f>SUMIFS(表1_861218222426728894100[活跃总战力],表1_861218222426728894100[目标区服],表2_971319232527738995101[[#This Row],[合区区服]],表1_861218222426728894100[目标国家（映射）],表2_971319232527738995101[[#This Row],[国家]])</f>
        <v>24739495</v>
      </c>
      <c r="H162" s="46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38214</v>
      </c>
      <c r="I162" s="46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62" s="46">
        <f>SUMIFS(表1_861218222426728894100[活跃Coin],表1_861218222426728894100[目标区服],表2_971319232527738995101[[#This Row],[合区区服]],表1_861218222426728894100[目标国家（映射）],表2_971319232527738995101[[#This Row],[国家]])</f>
        <v>643983</v>
      </c>
      <c r="K162" s="46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32000</v>
      </c>
      <c r="L162" s="46">
        <f>表2_971319232527738995101[[#This Row],[活跃Coin]]+表2_971319232527738995101[[#This Row],[共计补偿Coin]]</f>
        <v>675983</v>
      </c>
      <c r="M162" s="46">
        <f>SUMIFS(表1_861218222426728894100[综合国力],表1_861218222426728894100[目标区服],表2_971319232527738995101[[#This Row],[合区区服]],表1_861218222426728894100[目标国家（映射）],表2_971319232527738995101[[#This Row],[国家]])</f>
        <v>11069</v>
      </c>
      <c r="N162" s="46">
        <f t="array" ref="N162">MAX((表1_861218222426728894100[目标区服]=表2_971319232527738995101[[#This Row],[合区区服]])*(表1_861218222426728894100[目标国家（映射）]=表2_971319232527738995101[[#This Row],[国家]])*表1_861218222426728894100[单将最高战力])</f>
        <v>583954</v>
      </c>
      <c r="P162" s="51">
        <v>5195</v>
      </c>
      <c r="Q162" s="51">
        <v>45</v>
      </c>
      <c r="R162" s="51"/>
      <c r="S162" s="484"/>
    </row>
    <row r="163" ht="15" spans="1:19">
      <c r="A163" s="45" t="s">
        <v>230</v>
      </c>
      <c r="B163" s="48" t="s">
        <v>27</v>
      </c>
      <c r="C163" s="48">
        <f>COUNTIFS(表1_861218222426728894100[目标区服],表2_971319232527738995101[[#This Row],[合区区服]],表1_861218222426728894100[目标国家（映射）],表2_971319232527738995101[[#This Row],[国家]])</f>
        <v>2</v>
      </c>
      <c r="D163" s="48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4</v>
      </c>
      <c r="E163" s="48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26</v>
      </c>
      <c r="F163" s="48">
        <f t="array" ref="F163">MAX((表1_861218222426728894100[目标区服]=表2_971319232527738995101[[#This Row],[合区区服]])*(表1_861218222426728894100[目标国家（映射）]=表2_971319232527738995101[[#This Row],[国家]])*表1_861218222426728894100[活跃尖端战力])</f>
        <v>2170717</v>
      </c>
      <c r="G163" s="458">
        <f>SUMIFS(表1_861218222426728894100[活跃总战力],表1_861218222426728894100[目标区服],表2_971319232527738995101[[#This Row],[合区区服]],表1_861218222426728894100[目标国家（映射）],表2_971319232527738995101[[#This Row],[国家]])</f>
        <v>19047576</v>
      </c>
      <c r="H163" s="48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14868</v>
      </c>
      <c r="I163" s="48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63" s="48">
        <f>SUMIFS(表1_861218222426728894100[活跃Coin],表1_861218222426728894100[目标区服],表2_971319232527738995101[[#This Row],[合区区服]],表1_861218222426728894100[目标国家（映射）],表2_971319232527738995101[[#This Row],[国家]])</f>
        <v>497873</v>
      </c>
      <c r="K163" s="48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30000</v>
      </c>
      <c r="L163" s="48">
        <f>表2_971319232527738995101[[#This Row],[活跃Coin]]+表2_971319232527738995101[[#This Row],[共计补偿Coin]]</f>
        <v>527873</v>
      </c>
      <c r="M163" s="48">
        <f>SUMIFS(表1_861218222426728894100[综合国力],表1_861218222426728894100[目标区服],表2_971319232527738995101[[#This Row],[合区区服]],表1_861218222426728894100[目标国家（映射）],表2_971319232527738995101[[#This Row],[国家]])</f>
        <v>9291</v>
      </c>
      <c r="N163" s="46">
        <f t="array" ref="N163">MAX((表1_861218222426728894100[目标区服]=表2_971319232527738995101[[#This Row],[合区区服]])*(表1_861218222426728894100[目标国家（映射）]=表2_971319232527738995101[[#This Row],[国家]])*表1_861218222426728894100[单将最高战力])</f>
        <v>581760</v>
      </c>
      <c r="P163" s="51">
        <v>5196</v>
      </c>
      <c r="Q163" s="51">
        <v>45</v>
      </c>
      <c r="R163" s="51"/>
      <c r="S163" s="484"/>
    </row>
    <row r="164" ht="15" spans="1:19">
      <c r="A164" s="308" t="s">
        <v>231</v>
      </c>
      <c r="B164" s="224" t="s">
        <v>25</v>
      </c>
      <c r="C164" s="224">
        <f>COUNTIFS(表1_861218222426728894100[目标区服],表2_971319232527738995101[[#This Row],[合区区服]],表1_861218222426728894100[目标国家（映射）],表2_971319232527738995101[[#This Row],[国家]])</f>
        <v>3</v>
      </c>
      <c r="D164" s="224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13</v>
      </c>
      <c r="E164" s="224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37</v>
      </c>
      <c r="F164" s="224">
        <f t="array" ref="F164">MAX((表1_861218222426728894100[目标区服]=表2_971319232527738995101[[#This Row],[合区区服]])*(表1_861218222426728894100[目标国家（映射）]=表2_971319232527738995101[[#This Row],[国家]])*表1_861218222426728894100[活跃尖端战力])</f>
        <v>3318016</v>
      </c>
      <c r="G164" s="225">
        <f>SUMIFS(表1_861218222426728894100[活跃总战力],表1_861218222426728894100[目标区服],表2_971319232527738995101[[#This Row],[合区区服]],表1_861218222426728894100[目标国家（映射）],表2_971319232527738995101[[#This Row],[国家]])</f>
        <v>44683596</v>
      </c>
      <c r="H164" s="224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152058</v>
      </c>
      <c r="I164" s="224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64" s="224">
        <f>SUMIFS(表1_861218222426728894100[活跃Coin],表1_861218222426728894100[目标区服],表2_971319232527738995101[[#This Row],[合区区服]],表1_861218222426728894100[目标国家（映射）],表2_971319232527738995101[[#This Row],[国家]])</f>
        <v>1166320</v>
      </c>
      <c r="K164" s="224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50000</v>
      </c>
      <c r="L164" s="224">
        <f>表2_971319232527738995101[[#This Row],[活跃Coin]]+表2_971319232527738995101[[#This Row],[共计补偿Coin]]</f>
        <v>1216320</v>
      </c>
      <c r="M164" s="224">
        <f>SUMIFS(表1_861218222426728894100[综合国力],表1_861218222426728894100[目标区服],表2_971319232527738995101[[#This Row],[合区区服]],表1_861218222426728894100[目标国家（映射）],表2_971319232527738995101[[#This Row],[国家]])</f>
        <v>25191</v>
      </c>
      <c r="N164" s="471">
        <f t="array" ref="N164">MAX((表1_861218222426728894100[目标区服]=表2_971319232527738995101[[#This Row],[合区区服]])*(表1_861218222426728894100[目标国家（映射）]=表2_971319232527738995101[[#This Row],[国家]])*表1_861218222426728894100[单将最高战力])</f>
        <v>994012</v>
      </c>
      <c r="P164" s="51">
        <v>5197</v>
      </c>
      <c r="Q164" s="51">
        <v>45</v>
      </c>
      <c r="R164" s="51"/>
      <c r="S164" s="484"/>
    </row>
    <row r="165" ht="15" spans="1:17">
      <c r="A165" s="308" t="s">
        <v>231</v>
      </c>
      <c r="B165" s="224" t="s">
        <v>26</v>
      </c>
      <c r="C165" s="224">
        <f>COUNTIFS(表1_861218222426728894100[目标区服],表2_971319232527738995101[[#This Row],[合区区服]],表1_861218222426728894100[目标国家（映射）],表2_971319232527738995101[[#This Row],[国家]])</f>
        <v>5</v>
      </c>
      <c r="D165" s="224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11</v>
      </c>
      <c r="E165" s="224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57</v>
      </c>
      <c r="F165" s="224">
        <f t="array" ref="F165">MAX((表1_861218222426728894100[目标区服]=表2_971319232527738995101[[#This Row],[合区区服]])*(表1_861218222426728894100[目标国家（映射）]=表2_971319232527738995101[[#This Row],[国家]])*表1_861218222426728894100[活跃尖端战力])</f>
        <v>2592204</v>
      </c>
      <c r="G165" s="225">
        <f>SUMIFS(表1_861218222426728894100[活跃总战力],表1_861218222426728894100[目标区服],表2_971319232527738995101[[#This Row],[合区区服]],表1_861218222426728894100[目标国家（映射）],表2_971319232527738995101[[#This Row],[国家]])</f>
        <v>44825049</v>
      </c>
      <c r="H165" s="224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127010</v>
      </c>
      <c r="I165" s="224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65" s="224">
        <f>SUMIFS(表1_861218222426728894100[活跃Coin],表1_861218222426728894100[目标区服],表2_971319232527738995101[[#This Row],[合区区服]],表1_861218222426728894100[目标国家（映射）],表2_971319232527738995101[[#This Row],[国家]])</f>
        <v>816351</v>
      </c>
      <c r="K165" s="224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68000</v>
      </c>
      <c r="L165" s="224">
        <f>表2_971319232527738995101[[#This Row],[活跃Coin]]+表2_971319232527738995101[[#This Row],[共计补偿Coin]]</f>
        <v>884351</v>
      </c>
      <c r="M165" s="224">
        <f>SUMIFS(表1_861218222426728894100[综合国力],表1_861218222426728894100[目标区服],表2_971319232527738995101[[#This Row],[合区区服]],表1_861218222426728894100[目标国家（映射）],表2_971319232527738995101[[#This Row],[国家]])</f>
        <v>26322</v>
      </c>
      <c r="N165" s="471">
        <f t="array" ref="N165">MAX((表1_861218222426728894100[目标区服]=表2_971319232527738995101[[#This Row],[合区区服]])*(表1_861218222426728894100[目标国家（映射）]=表2_971319232527738995101[[#This Row],[国家]])*表1_861218222426728894100[单将最高战力])</f>
        <v>1042309</v>
      </c>
      <c r="P165" s="51">
        <v>5198</v>
      </c>
      <c r="Q165" s="51">
        <v>45</v>
      </c>
    </row>
    <row r="166" ht="15" spans="1:17">
      <c r="A166" s="308" t="s">
        <v>231</v>
      </c>
      <c r="B166" s="224" t="s">
        <v>27</v>
      </c>
      <c r="C166" s="224">
        <f>COUNTIFS(表1_861218222426728894100[目标区服],表2_971319232527738995101[[#This Row],[合区区服]],表1_861218222426728894100[目标国家（映射）],表2_971319232527738995101[[#This Row],[国家]])</f>
        <v>4</v>
      </c>
      <c r="D166" s="224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13</v>
      </c>
      <c r="E166" s="224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49</v>
      </c>
      <c r="F166" s="224">
        <f t="array" ref="F166">MAX((表1_861218222426728894100[目标区服]=表2_971319232527738995101[[#This Row],[合区区服]])*(表1_861218222426728894100[目标国家（映射）]=表2_971319232527738995101[[#This Row],[国家]])*表1_861218222426728894100[活跃尖端战力])</f>
        <v>3174352</v>
      </c>
      <c r="G166" s="225">
        <f>SUMIFS(表1_861218222426728894100[活跃总战力],表1_861218222426728894100[目标区服],表2_971319232527738995101[[#This Row],[合区区服]],表1_861218222426728894100[目标国家（映射）],表2_971319232527738995101[[#This Row],[国家]])</f>
        <v>48171752</v>
      </c>
      <c r="H166" s="224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122458</v>
      </c>
      <c r="I166" s="224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66" s="224">
        <f>SUMIFS(表1_861218222426728894100[活跃Coin],表1_861218222426728894100[目标区服],表2_971319232527738995101[[#This Row],[合区区服]],表1_861218222426728894100[目标国家（映射）],表2_971319232527738995101[[#This Row],[国家]])</f>
        <v>1026033</v>
      </c>
      <c r="K166" s="224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62000</v>
      </c>
      <c r="L166" s="224">
        <f>表2_971319232527738995101[[#This Row],[活跃Coin]]+表2_971319232527738995101[[#This Row],[共计补偿Coin]]</f>
        <v>1088033</v>
      </c>
      <c r="M166" s="224">
        <f>SUMIFS(表1_861218222426728894100[综合国力],表1_861218222426728894100[目标区服],表2_971319232527738995101[[#This Row],[合区区服]],表1_861218222426728894100[目标国家（映射）],表2_971319232527738995101[[#This Row],[国家]])</f>
        <v>24049</v>
      </c>
      <c r="N166" s="471">
        <f t="array" ref="N166">MAX((表1_861218222426728894100[目标区服]=表2_971319232527738995101[[#This Row],[合区区服]])*(表1_861218222426728894100[目标国家（映射）]=表2_971319232527738995101[[#This Row],[国家]])*表1_861218222426728894100[单将最高战力])</f>
        <v>908115</v>
      </c>
      <c r="P166" s="51">
        <v>5199</v>
      </c>
      <c r="Q166" s="51">
        <v>44</v>
      </c>
    </row>
    <row r="167" ht="15" spans="1:17">
      <c r="A167" s="459" t="s">
        <v>232</v>
      </c>
      <c r="B167" s="460" t="s">
        <v>25</v>
      </c>
      <c r="C167" s="460">
        <f>COUNTIFS(表1_861218222426728894100[目标区服],表2_971319232527738995101[[#This Row],[合区区服]],表1_861218222426728894100[目标国家（映射）],表2_971319232527738995101[[#This Row],[国家]])</f>
        <v>2</v>
      </c>
      <c r="D167" s="460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8</v>
      </c>
      <c r="E167" s="460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36</v>
      </c>
      <c r="F167" s="460">
        <f t="array" ref="F167">MAX((表1_861218222426728894100[目标区服]=表2_971319232527738995101[[#This Row],[合区区服]])*(表1_861218222426728894100[目标国家（映射）]=表2_971319232527738995101[[#This Row],[国家]])*表1_861218222426728894100[活跃尖端战力])</f>
        <v>2513664</v>
      </c>
      <c r="G167" s="461">
        <f>SUMIFS(表1_861218222426728894100[活跃总战力],表1_861218222426728894100[目标区服],表2_971319232527738995101[[#This Row],[合区区服]],表1_861218222426728894100[目标国家（映射）],表2_971319232527738995101[[#This Row],[国家]])</f>
        <v>32233223</v>
      </c>
      <c r="H167" s="460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75962</v>
      </c>
      <c r="I167" s="460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67" s="460">
        <f>SUMIFS(表1_861218222426728894100[活跃Coin],表1_861218222426728894100[目标区服],表2_971319232527738995101[[#This Row],[合区区服]],表1_861218222426728894100[目标国家（映射）],表2_971319232527738995101[[#This Row],[国家]])</f>
        <v>447554</v>
      </c>
      <c r="K167" s="460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44000</v>
      </c>
      <c r="L167" s="460">
        <f>表2_971319232527738995101[[#This Row],[活跃Coin]]+表2_971319232527738995101[[#This Row],[共计补偿Coin]]</f>
        <v>491554</v>
      </c>
      <c r="M167" s="460">
        <f>SUMIFS(表1_861218222426728894100[综合国力],表1_861218222426728894100[目标区服],表2_971319232527738995101[[#This Row],[合区区服]],表1_861218222426728894100[目标国家（映射）],表2_971319232527738995101[[#This Row],[国家]])</f>
        <v>15102</v>
      </c>
      <c r="N167" s="475">
        <f t="array" ref="N167">MAX((表1_861218222426728894100[目标区服]=表2_971319232527738995101[[#This Row],[合区区服]])*(表1_861218222426728894100[目标国家（映射）]=表2_971319232527738995101[[#This Row],[国家]])*表1_861218222426728894100[单将最高战力])</f>
        <v>728340</v>
      </c>
      <c r="P167" s="51">
        <v>5200</v>
      </c>
      <c r="Q167" s="51">
        <v>44</v>
      </c>
    </row>
    <row r="168" ht="15" spans="1:17">
      <c r="A168" s="459" t="s">
        <v>232</v>
      </c>
      <c r="B168" s="460" t="s">
        <v>26</v>
      </c>
      <c r="C168" s="460">
        <f>COUNTIFS(表1_861218222426728894100[目标区服],表2_971319232527738995101[[#This Row],[合区区服]],表1_861218222426728894100[目标国家（映射）],表2_971319232527738995101[[#This Row],[国家]])</f>
        <v>4</v>
      </c>
      <c r="D168" s="460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15</v>
      </c>
      <c r="E168" s="460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54</v>
      </c>
      <c r="F168" s="460">
        <f t="array" ref="F168">MAX((表1_861218222426728894100[目标区服]=表2_971319232527738995101[[#This Row],[合区区服]])*(表1_861218222426728894100[目标国家（映射）]=表2_971319232527738995101[[#This Row],[国家]])*表1_861218222426728894100[活跃尖端战力])</f>
        <v>1811912</v>
      </c>
      <c r="G168" s="461">
        <f>SUMIFS(表1_861218222426728894100[活跃总战力],表1_861218222426728894100[目标区服],表2_971319232527738995101[[#This Row],[合区区服]],表1_861218222426728894100[目标国家（映射）],表2_971319232527738995101[[#This Row],[国家]])</f>
        <v>47900090</v>
      </c>
      <c r="H168" s="460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89704</v>
      </c>
      <c r="I168" s="460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68" s="460">
        <f>SUMIFS(表1_861218222426728894100[活跃Coin],表1_861218222426728894100[目标区服],表2_971319232527738995101[[#This Row],[合区区服]],表1_861218222426728894100[目标国家（映射）],表2_971319232527738995101[[#This Row],[国家]])</f>
        <v>951439</v>
      </c>
      <c r="K168" s="460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103500</v>
      </c>
      <c r="L168" s="460">
        <f>表2_971319232527738995101[[#This Row],[活跃Coin]]+表2_971319232527738995101[[#This Row],[共计补偿Coin]]</f>
        <v>1054939</v>
      </c>
      <c r="M168" s="460">
        <f>SUMIFS(表1_861218222426728894100[综合国力],表1_861218222426728894100[目标区服],表2_971319232527738995101[[#This Row],[合区区服]],表1_861218222426728894100[目标国家（映射）],表2_971319232527738995101[[#This Row],[国家]])</f>
        <v>23058</v>
      </c>
      <c r="N168" s="475">
        <f t="array" ref="N168">MAX((表1_861218222426728894100[目标区服]=表2_971319232527738995101[[#This Row],[合区区服]])*(表1_861218222426728894100[目标国家（映射）]=表2_971319232527738995101[[#This Row],[国家]])*表1_861218222426728894100[单将最高战力])</f>
        <v>700659</v>
      </c>
      <c r="P168" s="51">
        <v>5201</v>
      </c>
      <c r="Q168" s="51">
        <v>44</v>
      </c>
    </row>
    <row r="169" ht="15" spans="1:17">
      <c r="A169" s="459" t="s">
        <v>232</v>
      </c>
      <c r="B169" s="462" t="s">
        <v>27</v>
      </c>
      <c r="C169" s="462">
        <f>COUNTIFS(表1_861218222426728894100[目标区服],表2_971319232527738995101[[#This Row],[合区区服]],表1_861218222426728894100[目标国家（映射）],表2_971319232527738995101[[#This Row],[国家]])</f>
        <v>3</v>
      </c>
      <c r="D169" s="462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6</v>
      </c>
      <c r="E169" s="462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40</v>
      </c>
      <c r="F169" s="460">
        <f t="array" ref="F169">MAX((表1_861218222426728894100[目标区服]=表2_971319232527738995101[[#This Row],[合区区服]])*(表1_861218222426728894100[目标国家（映射）]=表2_971319232527738995101[[#This Row],[国家]])*表1_861218222426728894100[活跃尖端战力])</f>
        <v>2630983</v>
      </c>
      <c r="G169" s="461">
        <f>SUMIFS(表1_861218222426728894100[活跃总战力],表1_861218222426728894100[目标区服],表2_971319232527738995101[[#This Row],[合区区服]],表1_861218222426728894100[目标国家（映射）],表2_971319232527738995101[[#This Row],[国家]])</f>
        <v>31180738</v>
      </c>
      <c r="H169" s="460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92536</v>
      </c>
      <c r="I169" s="460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69" s="460">
        <f>SUMIFS(表1_861218222426728894100[活跃Coin],表1_861218222426728894100[目标区服],表2_971319232527738995101[[#This Row],[合区区服]],表1_861218222426728894100[目标国家（映射）],表2_971319232527738995101[[#This Row],[国家]])</f>
        <v>595735</v>
      </c>
      <c r="K169" s="460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62000</v>
      </c>
      <c r="L169" s="460">
        <f>表2_971319232527738995101[[#This Row],[活跃Coin]]+表2_971319232527738995101[[#This Row],[共计补偿Coin]]</f>
        <v>657735</v>
      </c>
      <c r="M169" s="460">
        <f>SUMIFS(表1_861218222426728894100[综合国力],表1_861218222426728894100[目标区服],表2_971319232527738995101[[#This Row],[合区区服]],表1_861218222426728894100[目标国家（映射）],表2_971319232527738995101[[#This Row],[国家]])</f>
        <v>17073</v>
      </c>
      <c r="N169" s="475">
        <f t="array" ref="N169">MAX((表1_861218222426728894100[目标区服]=表2_971319232527738995101[[#This Row],[合区区服]])*(表1_861218222426728894100[目标国家（映射）]=表2_971319232527738995101[[#This Row],[国家]])*表1_861218222426728894100[单将最高战力])</f>
        <v>819341</v>
      </c>
      <c r="P169" s="51">
        <v>5202</v>
      </c>
      <c r="Q169" s="51">
        <v>44</v>
      </c>
    </row>
    <row r="170" ht="15" spans="1:17">
      <c r="A170" s="463" t="s">
        <v>233</v>
      </c>
      <c r="B170" s="220" t="s">
        <v>25</v>
      </c>
      <c r="C170" s="220">
        <f>COUNTIFS(表1_861218222426728894100[目标区服],表2_971319232527738995101[[#This Row],[合区区服]],表1_861218222426728894100[目标国家（映射）],表2_971319232527738995101[[#This Row],[国家]])</f>
        <v>3</v>
      </c>
      <c r="D170" s="220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12</v>
      </c>
      <c r="E170" s="220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67</v>
      </c>
      <c r="F170" s="220">
        <f t="array" ref="F170">MAX((表1_861218222426728894100[目标区服]=表2_971319232527738995101[[#This Row],[合区区服]])*(表1_861218222426728894100[目标国家（映射）]=表2_971319232527738995101[[#This Row],[国家]])*表1_861218222426728894100[活跃尖端战力])</f>
        <v>2587014</v>
      </c>
      <c r="G170" s="221">
        <f>SUMIFS(表1_861218222426728894100[活跃总战力],表1_861218222426728894100[目标区服],表2_971319232527738995101[[#This Row],[合区区服]],表1_861218222426728894100[目标国家（映射）],表2_971319232527738995101[[#This Row],[国家]])</f>
        <v>60591316</v>
      </c>
      <c r="H170" s="220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120498</v>
      </c>
      <c r="I170" s="220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70" s="220">
        <f>SUMIFS(表1_861218222426728894100[活跃Coin],表1_861218222426728894100[目标区服],表2_971319232527738995101[[#This Row],[合区区服]],表1_861218222426728894100[目标国家（映射）],表2_971319232527738995101[[#This Row],[国家]])</f>
        <v>1285997</v>
      </c>
      <c r="K170" s="220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79000</v>
      </c>
      <c r="L170" s="220">
        <f>表2_971319232527738995101[[#This Row],[活跃Coin]]+表2_971319232527738995101[[#This Row],[共计补偿Coin]]</f>
        <v>1364997</v>
      </c>
      <c r="M170" s="220">
        <f>SUMIFS(表1_861218222426728894100[综合国力],表1_861218222426728894100[目标区服],表2_971319232527738995101[[#This Row],[合区区服]],表1_861218222426728894100[目标国家（映射）],表2_971319232527738995101[[#This Row],[国家]])</f>
        <v>23764</v>
      </c>
      <c r="N170" s="476">
        <f t="array" ref="N170">MAX((表1_861218222426728894100[目标区服]=表2_971319232527738995101[[#This Row],[合区区服]])*(表1_861218222426728894100[目标国家（映射）]=表2_971319232527738995101[[#This Row],[国家]])*表1_861218222426728894100[单将最高战力])</f>
        <v>730797</v>
      </c>
      <c r="P170" s="51">
        <v>5203</v>
      </c>
      <c r="Q170" s="51">
        <v>44</v>
      </c>
    </row>
    <row r="171" ht="15" spans="1:17">
      <c r="A171" s="463" t="s">
        <v>233</v>
      </c>
      <c r="B171" s="220" t="s">
        <v>26</v>
      </c>
      <c r="C171" s="220">
        <f>COUNTIFS(表1_861218222426728894100[目标区服],表2_971319232527738995101[[#This Row],[合区区服]],表1_861218222426728894100[目标国家（映射）],表2_971319232527738995101[[#This Row],[国家]])</f>
        <v>3</v>
      </c>
      <c r="D171" s="220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8</v>
      </c>
      <c r="E171" s="220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50</v>
      </c>
      <c r="F171" s="220">
        <f t="array" ref="F171">MAX((表1_861218222426728894100[目标区服]=表2_971319232527738995101[[#This Row],[合区区服]])*(表1_861218222426728894100[目标国家（映射）]=表2_971319232527738995101[[#This Row],[国家]])*表1_861218222426728894100[活跃尖端战力])</f>
        <v>3424680</v>
      </c>
      <c r="G171" s="221">
        <f>SUMIFS(表1_861218222426728894100[活跃总战力],表1_861218222426728894100[目标区服],表2_971319232527738995101[[#This Row],[合区区服]],表1_861218222426728894100[目标国家（映射）],表2_971319232527738995101[[#This Row],[国家]])</f>
        <v>46010376</v>
      </c>
      <c r="H171" s="220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155286</v>
      </c>
      <c r="I171" s="220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71" s="220">
        <f>SUMIFS(表1_861218222426728894100[活跃Coin],表1_861218222426728894100[目标区服],表2_971319232527738995101[[#This Row],[合区区服]],表1_861218222426728894100[目标国家（映射）],表2_971319232527738995101[[#This Row],[国家]])</f>
        <v>908702</v>
      </c>
      <c r="K171" s="220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58000</v>
      </c>
      <c r="L171" s="220">
        <f>表2_971319232527738995101[[#This Row],[活跃Coin]]+表2_971319232527738995101[[#This Row],[共计补偿Coin]]</f>
        <v>966702</v>
      </c>
      <c r="M171" s="220">
        <f>SUMIFS(表1_861218222426728894100[综合国力],表1_861218222426728894100[目标区服],表2_971319232527738995101[[#This Row],[合区区服]],表1_861218222426728894100[目标国家（映射）],表2_971319232527738995101[[#This Row],[国家]])</f>
        <v>20883</v>
      </c>
      <c r="N171" s="476">
        <f t="array" ref="N171">MAX((表1_861218222426728894100[目标区服]=表2_971319232527738995101[[#This Row],[合区区服]])*(表1_861218222426728894100[目标国家（映射）]=表2_971319232527738995101[[#This Row],[国家]])*表1_861218222426728894100[单将最高战力])</f>
        <v>995948</v>
      </c>
      <c r="P171" s="51">
        <v>5204</v>
      </c>
      <c r="Q171" s="51">
        <v>43</v>
      </c>
    </row>
    <row r="172" ht="15" spans="1:17">
      <c r="A172" s="463" t="s">
        <v>233</v>
      </c>
      <c r="B172" s="222" t="s">
        <v>27</v>
      </c>
      <c r="C172" s="222">
        <f>COUNTIFS(表1_861218222426728894100[目标区服],表2_971319232527738995101[[#This Row],[合区区服]],表1_861218222426728894100[目标国家（映射）],表2_971319232527738995101[[#This Row],[国家]])</f>
        <v>3</v>
      </c>
      <c r="D172" s="222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9</v>
      </c>
      <c r="E172" s="222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68</v>
      </c>
      <c r="F172" s="222">
        <f t="array" ref="F172">MAX((表1_861218222426728894100[目标区服]=表2_971319232527738995101[[#This Row],[合区区服]])*(表1_861218222426728894100[目标国家（映射）]=表2_971319232527738995101[[#This Row],[国家]])*表1_861218222426728894100[活跃尖端战力])</f>
        <v>3027853</v>
      </c>
      <c r="G172" s="223">
        <f>SUMIFS(表1_861218222426728894100[活跃总战力],表1_861218222426728894100[目标区服],表2_971319232527738995101[[#This Row],[合区区服]],表1_861218222426728894100[目标国家（映射）],表2_971319232527738995101[[#This Row],[国家]])</f>
        <v>60147415</v>
      </c>
      <c r="H172" s="222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109426</v>
      </c>
      <c r="I172" s="222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28572</v>
      </c>
      <c r="J172" s="222">
        <f>SUMIFS(表1_861218222426728894100[活跃Coin],表1_861218222426728894100[目标区服],表2_971319232527738995101[[#This Row],[合区区服]],表1_861218222426728894100[目标国家（映射）],表2_971319232527738995101[[#This Row],[国家]])</f>
        <v>1159394</v>
      </c>
      <c r="K172" s="222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77000</v>
      </c>
      <c r="L172" s="222">
        <f>表2_971319232527738995101[[#This Row],[活跃Coin]]+表2_971319232527738995101[[#This Row],[共计补偿Coin]]</f>
        <v>1236394</v>
      </c>
      <c r="M172" s="222">
        <f>SUMIFS(表1_861218222426728894100[综合国力],表1_861218222426728894100[目标区服],表2_971319232527738995101[[#This Row],[合区区服]],表1_861218222426728894100[目标国家（映射）],表2_971319232527738995101[[#This Row],[国家]])</f>
        <v>24826</v>
      </c>
      <c r="N172" s="477">
        <f t="array" ref="N172">MAX((表1_861218222426728894100[目标区服]=表2_971319232527738995101[[#This Row],[合区区服]])*(表1_861218222426728894100[目标国家（映射）]=表2_971319232527738995101[[#This Row],[国家]])*表1_861218222426728894100[单将最高战力])</f>
        <v>1034697</v>
      </c>
      <c r="P172" s="51">
        <v>5205</v>
      </c>
      <c r="Q172" s="51">
        <v>43</v>
      </c>
    </row>
    <row r="173" s="411" customFormat="1" ht="15" spans="1:26">
      <c r="A173" s="178" t="s">
        <v>234</v>
      </c>
      <c r="B173" s="178" t="s">
        <v>25</v>
      </c>
      <c r="C173" s="178">
        <f>COUNTIFS(表1_861218222426728894100[目标区服],表2_971319232527738995101[[#This Row],[合区区服]],表1_861218222426728894100[目标国家（映射）],表2_971319232527738995101[[#This Row],[国家]])</f>
        <v>4</v>
      </c>
      <c r="D173" s="178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9</v>
      </c>
      <c r="E173" s="178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65</v>
      </c>
      <c r="F173" s="178">
        <f t="array" ref="F173">MAX((表1_861218222426728894100[目标区服]=表2_971319232527738995101[[#This Row],[合区区服]])*(表1_861218222426728894100[目标国家（映射）]=表2_971319232527738995101[[#This Row],[国家]])*表1_861218222426728894100[活跃尖端战力])</f>
        <v>2095172</v>
      </c>
      <c r="G173" s="179">
        <f>SUMIFS(表1_861218222426728894100[活跃总战力],表1_861218222426728894100[目标区服],表2_971319232527738995101[[#This Row],[合区区服]],表1_861218222426728894100[目标国家（映射）],表2_971319232527738995101[[#This Row],[国家]])</f>
        <v>46357815</v>
      </c>
      <c r="H173" s="178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112864</v>
      </c>
      <c r="I173" s="178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73" s="178">
        <f>SUMIFS(表1_861218222426728894100[活跃Coin],表1_861218222426728894100[目标区服],表2_971319232527738995101[[#This Row],[合区区服]],表1_861218222426728894100[目标国家（映射）],表2_971319232527738995101[[#This Row],[国家]])</f>
        <v>1292114</v>
      </c>
      <c r="K173" s="178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74000</v>
      </c>
      <c r="L173" s="178">
        <f>表2_971319232527738995101[[#This Row],[活跃Coin]]+表2_971319232527738995101[[#This Row],[共计补偿Coin]]</f>
        <v>1366114</v>
      </c>
      <c r="M173" s="178">
        <f>SUMIFS(表1_861218222426728894100[综合国力],表1_861218222426728894100[目标区服],表2_971319232527738995101[[#This Row],[合区区服]],表1_861218222426728894100[目标国家（映射）],表2_971319232527738995101[[#This Row],[国家]])</f>
        <v>20199</v>
      </c>
      <c r="N173" s="178">
        <f t="array" ref="N173">MAX((表1_861218222426728894100[目标区服]=表2_971319232527738995101[[#This Row],[合区区服]])*(表1_861218222426728894100[目标国家（映射）]=表2_971319232527738995101[[#This Row],[国家]])*表1_861218222426728894100[单将最高战力])</f>
        <v>851753</v>
      </c>
      <c r="O173"/>
      <c r="P173" s="51">
        <v>5206</v>
      </c>
      <c r="Q173" s="51">
        <v>43</v>
      </c>
      <c r="R173"/>
      <c r="S173"/>
      <c r="T173"/>
      <c r="U173"/>
      <c r="V173"/>
      <c r="W173"/>
      <c r="X173"/>
      <c r="Y173"/>
      <c r="Z173"/>
    </row>
    <row r="174" s="411" customFormat="1" ht="15" spans="1:26">
      <c r="A174" s="178" t="s">
        <v>234</v>
      </c>
      <c r="B174" s="178" t="s">
        <v>26</v>
      </c>
      <c r="C174" s="178">
        <f>COUNTIFS(表1_861218222426728894100[目标区服],表2_971319232527738995101[[#This Row],[合区区服]],表1_861218222426728894100[目标国家（映射）],表2_971319232527738995101[[#This Row],[国家]])</f>
        <v>2</v>
      </c>
      <c r="D174" s="178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10</v>
      </c>
      <c r="E174" s="178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48</v>
      </c>
      <c r="F174" s="178">
        <f t="array" ref="F174">MAX((表1_861218222426728894100[目标区服]=表2_971319232527738995101[[#This Row],[合区区服]])*(表1_861218222426728894100[目标国家（映射）]=表2_971319232527738995101[[#This Row],[国家]])*表1_861218222426728894100[活跃尖端战力])</f>
        <v>2315940</v>
      </c>
      <c r="G174" s="179">
        <f>SUMIFS(表1_861218222426728894100[活跃总战力],表1_861218222426728894100[目标区服],表2_971319232527738995101[[#This Row],[合区区服]],表1_861218222426728894100[目标国家（映射）],表2_971319232527738995101[[#This Row],[国家]])</f>
        <v>42008119</v>
      </c>
      <c r="H174" s="178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97464</v>
      </c>
      <c r="I174" s="178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74" s="178">
        <f>SUMIFS(表1_861218222426728894100[活跃Coin],表1_861218222426728894100[目标区服],表2_971319232527738995101[[#This Row],[合区区服]],表1_861218222426728894100[目标国家（映射）],表2_971319232527738995101[[#This Row],[国家]])</f>
        <v>741166</v>
      </c>
      <c r="K174" s="178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58000</v>
      </c>
      <c r="L174" s="178">
        <f>表2_971319232527738995101[[#This Row],[活跃Coin]]+表2_971319232527738995101[[#This Row],[共计补偿Coin]]</f>
        <v>799166</v>
      </c>
      <c r="M174" s="178">
        <f>SUMIFS(表1_861218222426728894100[综合国力],表1_861218222426728894100[目标区服],表2_971319232527738995101[[#This Row],[合区区服]],表1_861218222426728894100[目标国家（映射）],表2_971319232527738995101[[#This Row],[国家]])</f>
        <v>18232</v>
      </c>
      <c r="N174" s="178">
        <f t="array" ref="N174">MAX((表1_861218222426728894100[目标区服]=表2_971319232527738995101[[#This Row],[合区区服]])*(表1_861218222426728894100[目标国家（映射）]=表2_971319232527738995101[[#This Row],[国家]])*表1_861218222426728894100[单将最高战力])</f>
        <v>610739</v>
      </c>
      <c r="O174"/>
      <c r="P174" s="51">
        <v>5207</v>
      </c>
      <c r="Q174" s="51">
        <v>43</v>
      </c>
      <c r="R174"/>
      <c r="S174"/>
      <c r="T174"/>
      <c r="U174"/>
      <c r="V174"/>
      <c r="W174"/>
      <c r="X174"/>
      <c r="Y174"/>
      <c r="Z174"/>
    </row>
    <row r="175" s="411" customFormat="1" ht="15" spans="1:26">
      <c r="A175" s="178" t="s">
        <v>234</v>
      </c>
      <c r="B175" s="178" t="s">
        <v>27</v>
      </c>
      <c r="C175" s="178">
        <f>COUNTIFS(表1_861218222426728894100[目标区服],表2_971319232527738995101[[#This Row],[合区区服]],表1_861218222426728894100[目标国家（映射）],表2_971319232527738995101[[#This Row],[国家]])</f>
        <v>3</v>
      </c>
      <c r="D175" s="178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10</v>
      </c>
      <c r="E175" s="178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34</v>
      </c>
      <c r="F175" s="178">
        <f t="array" ref="F175">MAX((表1_861218222426728894100[目标区服]=表2_971319232527738995101[[#This Row],[合区区服]])*(表1_861218222426728894100[目标国家（映射）]=表2_971319232527738995101[[#This Row],[国家]])*表1_861218222426728894100[活跃尖端战力])</f>
        <v>3298207</v>
      </c>
      <c r="G175" s="179">
        <f>SUMIFS(表1_861218222426728894100[活跃总战力],表1_861218222426728894100[目标区服],表2_971319232527738995101[[#This Row],[合区区服]],表1_861218222426728894100[目标国家（映射）],表2_971319232527738995101[[#This Row],[国家]])</f>
        <v>34884529</v>
      </c>
      <c r="H175" s="178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97904</v>
      </c>
      <c r="I175" s="178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75" s="178">
        <f>SUMIFS(表1_861218222426728894100[活跃Coin],表1_861218222426728894100[目标区服],表2_971319232527738995101[[#This Row],[合区区服]],表1_861218222426728894100[目标国家（映射）],表2_971319232527738995101[[#This Row],[国家]])</f>
        <v>553304</v>
      </c>
      <c r="K175" s="178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44000</v>
      </c>
      <c r="L175" s="178">
        <f>表2_971319232527738995101[[#This Row],[活跃Coin]]+表2_971319232527738995101[[#This Row],[共计补偿Coin]]</f>
        <v>597304</v>
      </c>
      <c r="M175" s="178">
        <f>SUMIFS(表1_861218222426728894100[综合国力],表1_861218222426728894100[目标区服],表2_971319232527738995101[[#This Row],[合区区服]],表1_861218222426728894100[目标国家（映射）],表2_971319232527738995101[[#This Row],[国家]])</f>
        <v>17664</v>
      </c>
      <c r="N175" s="178">
        <f t="array" ref="N175">MAX((表1_861218222426728894100[目标区服]=表2_971319232527738995101[[#This Row],[合区区服]])*(表1_861218222426728894100[目标国家（映射）]=表2_971319232527738995101[[#This Row],[国家]])*表1_861218222426728894100[单将最高战力])</f>
        <v>827272</v>
      </c>
      <c r="O175"/>
      <c r="P175" s="51">
        <v>5208</v>
      </c>
      <c r="Q175" s="51">
        <v>43</v>
      </c>
      <c r="R175"/>
      <c r="S175"/>
      <c r="T175"/>
      <c r="U175"/>
      <c r="V175"/>
      <c r="W175"/>
      <c r="X175"/>
      <c r="Y175"/>
      <c r="Z175"/>
    </row>
    <row r="176" ht="15" spans="1:17">
      <c r="A176" s="41" t="s">
        <v>235</v>
      </c>
      <c r="B176" s="41" t="s">
        <v>25</v>
      </c>
      <c r="C176" s="41">
        <f>COUNTIFS(表1_861218222426728894100[目标区服],表2_971319232527738995101[[#This Row],[合区区服]],表1_861218222426728894100[目标国家（映射）],表2_971319232527738995101[[#This Row],[国家]])</f>
        <v>4</v>
      </c>
      <c r="D176" s="41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14</v>
      </c>
      <c r="E176" s="41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57</v>
      </c>
      <c r="F176" s="41">
        <f t="array" ref="F176">MAX((表1_861218222426728894100[目标区服]=表2_971319232527738995101[[#This Row],[合区区服]])*(表1_861218222426728894100[目标国家（映射）]=表2_971319232527738995101[[#This Row],[国家]])*表1_861218222426728894100[活跃尖端战力])</f>
        <v>2466064</v>
      </c>
      <c r="G176" s="42">
        <f>SUMIFS(表1_861218222426728894100[活跃总战力],表1_861218222426728894100[目标区服],表2_971319232527738995101[[#This Row],[合区区服]],表1_861218222426728894100[目标国家（映射）],表2_971319232527738995101[[#This Row],[国家]])</f>
        <v>56705131</v>
      </c>
      <c r="H176" s="41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176436</v>
      </c>
      <c r="I176" s="41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76" s="41">
        <f>SUMIFS(表1_861218222426728894100[活跃Coin],表1_861218222426728894100[目标区服],表2_971319232527738995101[[#This Row],[合区区服]],表1_861218222426728894100[目标国家（映射）],表2_971319232527738995101[[#This Row],[国家]])</f>
        <v>740278</v>
      </c>
      <c r="K176" s="41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99500</v>
      </c>
      <c r="L176" s="41">
        <f>表2_971319232527738995101[[#This Row],[活跃Coin]]+表2_971319232527738995101[[#This Row],[共计补偿Coin]]</f>
        <v>839778</v>
      </c>
      <c r="M176" s="41">
        <f>SUMIFS(表1_861218222426728894100[综合国力],表1_861218222426728894100[目标区服],表2_971319232527738995101[[#This Row],[合区区服]],表1_861218222426728894100[目标国家（映射）],表2_971319232527738995101[[#This Row],[国家]])</f>
        <v>26609</v>
      </c>
      <c r="N176" s="41">
        <f t="array" ref="N176">MAX((表1_861218222426728894100[目标区服]=表2_971319232527738995101[[#This Row],[合区区服]])*(表1_861218222426728894100[目标国家（映射）]=表2_971319232527738995101[[#This Row],[国家]])*表1_861218222426728894100[单将最高战力])</f>
        <v>668123</v>
      </c>
      <c r="P176" s="51">
        <v>5209</v>
      </c>
      <c r="Q176" s="51">
        <v>42</v>
      </c>
    </row>
    <row r="177" ht="15" spans="1:17">
      <c r="A177" s="41" t="s">
        <v>235</v>
      </c>
      <c r="B177" s="41" t="s">
        <v>26</v>
      </c>
      <c r="C177" s="41">
        <f>COUNTIFS(表1_861218222426728894100[目标区服],表2_971319232527738995101[[#This Row],[合区区服]],表1_861218222426728894100[目标国家（映射）],表2_971319232527738995101[[#This Row],[国家]])</f>
        <v>2</v>
      </c>
      <c r="D177" s="41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5</v>
      </c>
      <c r="E177" s="41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27</v>
      </c>
      <c r="F177" s="41">
        <f t="array" ref="F177">MAX((表1_861218222426728894100[目标区服]=表2_971319232527738995101[[#This Row],[合区区服]])*(表1_861218222426728894100[目标国家（映射）]=表2_971319232527738995101[[#This Row],[国家]])*表1_861218222426728894100[活跃尖端战力])</f>
        <v>4568639</v>
      </c>
      <c r="G177" s="42">
        <f>SUMIFS(表1_861218222426728894100[活跃总战力],表1_861218222426728894100[目标区服],表2_971319232527738995101[[#This Row],[合区区服]],表1_861218222426728894100[目标国家（映射）],表2_971319232527738995101[[#This Row],[国家]])</f>
        <v>26608682</v>
      </c>
      <c r="H177" s="41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247746</v>
      </c>
      <c r="I177" s="41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77" s="41">
        <f>SUMIFS(表1_861218222426728894100[活跃Coin],表1_861218222426728894100[目标区服],表2_971319232527738995101[[#This Row],[合区区服]],表1_861218222426728894100[目标国家（映射）],表2_971319232527738995101[[#This Row],[国家]])</f>
        <v>921097</v>
      </c>
      <c r="K177" s="41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32000</v>
      </c>
      <c r="L177" s="41">
        <f>表2_971319232527738995101[[#This Row],[活跃Coin]]+表2_971319232527738995101[[#This Row],[共计补偿Coin]]</f>
        <v>953097</v>
      </c>
      <c r="M177" s="41">
        <f>SUMIFS(表1_861218222426728894100[综合国力],表1_861218222426728894100[目标区服],表2_971319232527738995101[[#This Row],[合区区服]],表1_861218222426728894100[目标国家（映射）],表2_971319232527738995101[[#This Row],[国家]])</f>
        <v>21772</v>
      </c>
      <c r="N177" s="41">
        <f t="array" ref="N177">MAX((表1_861218222426728894100[目标区服]=表2_971319232527738995101[[#This Row],[合区区服]])*(表1_861218222426728894100[目标国家（映射）]=表2_971319232527738995101[[#This Row],[国家]])*表1_861218222426728894100[单将最高战力])</f>
        <v>1177510</v>
      </c>
      <c r="P177" s="51">
        <v>5210</v>
      </c>
      <c r="Q177" s="51">
        <v>42</v>
      </c>
    </row>
    <row r="178" ht="15" spans="1:17">
      <c r="A178" s="41" t="s">
        <v>235</v>
      </c>
      <c r="B178" s="43" t="s">
        <v>27</v>
      </c>
      <c r="C178" s="43">
        <f>COUNTIFS(表1_861218222426728894100[目标区服],表2_971319232527738995101[[#This Row],[合区区服]],表1_861218222426728894100[目标国家（映射）],表2_971319232527738995101[[#This Row],[国家]])</f>
        <v>3</v>
      </c>
      <c r="D178" s="43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10</v>
      </c>
      <c r="E178" s="43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50</v>
      </c>
      <c r="F178" s="43">
        <f t="array" ref="F178">MAX((表1_861218222426728894100[目标区服]=表2_971319232527738995101[[#This Row],[合区区服]])*(表1_861218222426728894100[目标国家（映射）]=表2_971319232527738995101[[#This Row],[国家]])*表1_861218222426728894100[活跃尖端战力])</f>
        <v>2574084</v>
      </c>
      <c r="G178" s="44">
        <f>SUMIFS(表1_861218222426728894100[活跃总战力],表1_861218222426728894100[目标区服],表2_971319232527738995101[[#This Row],[合区区服]],表1_861218222426728894100[目标国家（映射）],表2_971319232527738995101[[#This Row],[国家]])</f>
        <v>42292671</v>
      </c>
      <c r="H178" s="43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136086</v>
      </c>
      <c r="I178" s="43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78" s="43">
        <f>SUMIFS(表1_861218222426728894100[活跃Coin],表1_861218222426728894100[目标区服],表2_971319232527738995101[[#This Row],[合区区服]],表1_861218222426728894100[目标国家（映射）],表2_971319232527738995101[[#This Row],[国家]])</f>
        <v>759523</v>
      </c>
      <c r="K178" s="43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60000</v>
      </c>
      <c r="L178" s="43">
        <f>表2_971319232527738995101[[#This Row],[活跃Coin]]+表2_971319232527738995101[[#This Row],[共计补偿Coin]]</f>
        <v>819523</v>
      </c>
      <c r="M178" s="43">
        <f>SUMIFS(表1_861218222426728894100[综合国力],表1_861218222426728894100[目标区服],表2_971319232527738995101[[#This Row],[合区区服]],表1_861218222426728894100[目标国家（映射）],表2_971319232527738995101[[#This Row],[国家]])</f>
        <v>20346</v>
      </c>
      <c r="N178" s="41">
        <f t="array" ref="N178">MAX((表1_861218222426728894100[目标区服]=表2_971319232527738995101[[#This Row],[合区区服]])*(表1_861218222426728894100[目标国家（映射）]=表2_971319232527738995101[[#This Row],[国家]])*表1_861218222426728894100[单将最高战力])</f>
        <v>688556</v>
      </c>
      <c r="P178" s="51">
        <v>5211</v>
      </c>
      <c r="Q178" s="51">
        <v>42</v>
      </c>
    </row>
    <row r="179" ht="15" spans="1:17">
      <c r="A179" s="177" t="s">
        <v>236</v>
      </c>
      <c r="B179" s="178" t="s">
        <v>25</v>
      </c>
      <c r="C179" s="178">
        <f>COUNTIFS(表1_861218222426728894100[目标区服],表2_971319232527738995101[[#This Row],[合区区服]],表1_861218222426728894100[目标国家（映射）],表2_971319232527738995101[[#This Row],[国家]])</f>
        <v>4</v>
      </c>
      <c r="D179" s="178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11</v>
      </c>
      <c r="E179" s="178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47</v>
      </c>
      <c r="F179" s="178">
        <f t="array" ref="F179">MAX((表1_861218222426728894100[目标区服]=表2_971319232527738995101[[#This Row],[合区区服]])*(表1_861218222426728894100[目标国家（映射）]=表2_971319232527738995101[[#This Row],[国家]])*表1_861218222426728894100[活跃尖端战力])</f>
        <v>3305776</v>
      </c>
      <c r="G179" s="179">
        <f>SUMIFS(表1_861218222426728894100[活跃总战力],表1_861218222426728894100[目标区服],表2_971319232527738995101[[#This Row],[合区区服]],表1_861218222426728894100[目标国家（映射）],表2_971319232527738995101[[#This Row],[国家]])</f>
        <v>41038176</v>
      </c>
      <c r="H179" s="178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120834</v>
      </c>
      <c r="I179" s="178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79" s="178">
        <f>SUMIFS(表1_861218222426728894100[活跃Coin],表1_861218222426728894100[目标区服],表2_971319232527738995101[[#This Row],[合区区服]],表1_861218222426728894100[目标国家（映射）],表2_971319232527738995101[[#This Row],[国家]])</f>
        <v>770128</v>
      </c>
      <c r="K179" s="178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58000</v>
      </c>
      <c r="L179" s="178">
        <f>表2_971319232527738995101[[#This Row],[活跃Coin]]+表2_971319232527738995101[[#This Row],[共计补偿Coin]]</f>
        <v>828128</v>
      </c>
      <c r="M179" s="178">
        <f>SUMIFS(表1_861218222426728894100[综合国力],表1_861218222426728894100[目标区服],表2_971319232527738995101[[#This Row],[合区区服]],表1_861218222426728894100[目标国家（映射）],表2_971319232527738995101[[#This Row],[国家]])</f>
        <v>22775</v>
      </c>
      <c r="N179" s="178">
        <f t="array" ref="N179">MAX((表1_861218222426728894100[目标区服]=表2_971319232527738995101[[#This Row],[合区区服]])*(表1_861218222426728894100[目标国家（映射）]=表2_971319232527738995101[[#This Row],[国家]])*表1_861218222426728894100[单将最高战力])</f>
        <v>990765</v>
      </c>
      <c r="P179" s="51">
        <v>5212</v>
      </c>
      <c r="Q179" s="51">
        <v>42</v>
      </c>
    </row>
    <row r="180" ht="15" spans="1:17">
      <c r="A180" s="177" t="s">
        <v>236</v>
      </c>
      <c r="B180" s="178" t="s">
        <v>26</v>
      </c>
      <c r="C180" s="178">
        <f>COUNTIFS(表1_861218222426728894100[目标区服],表2_971319232527738995101[[#This Row],[合区区服]],表1_861218222426728894100[目标国家（映射）],表2_971319232527738995101[[#This Row],[国家]])</f>
        <v>5</v>
      </c>
      <c r="D180" s="178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11</v>
      </c>
      <c r="E180" s="178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49</v>
      </c>
      <c r="F180" s="178">
        <f t="array" ref="F180">MAX((表1_861218222426728894100[目标区服]=表2_971319232527738995101[[#This Row],[合区区服]])*(表1_861218222426728894100[目标国家（映射）]=表2_971319232527738995101[[#This Row],[国家]])*表1_861218222426728894100[活跃尖端战力])</f>
        <v>2376644</v>
      </c>
      <c r="G180" s="179">
        <f>SUMIFS(表1_861218222426728894100[活跃总战力],表1_861218222426728894100[目标区服],表2_971319232527738995101[[#This Row],[合区区服]],表1_861218222426728894100[目标国家（映射）],表2_971319232527738995101[[#This Row],[国家]])</f>
        <v>38016565</v>
      </c>
      <c r="H180" s="178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126986</v>
      </c>
      <c r="I180" s="178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80" s="178">
        <f>SUMIFS(表1_861218222426728894100[活跃Coin],表1_861218222426728894100[目标区服],表2_971319232527738995101[[#This Row],[合区区服]],表1_861218222426728894100[目标国家（映射）],表2_971319232527738995101[[#This Row],[国家]])</f>
        <v>1098838</v>
      </c>
      <c r="K180" s="178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60000</v>
      </c>
      <c r="L180" s="178">
        <f>表2_971319232527738995101[[#This Row],[活跃Coin]]+表2_971319232527738995101[[#This Row],[共计补偿Coin]]</f>
        <v>1158838</v>
      </c>
      <c r="M180" s="178">
        <f>SUMIFS(表1_861218222426728894100[综合国力],表1_861218222426728894100[目标区服],表2_971319232527738995101[[#This Row],[合区区服]],表1_861218222426728894100[目标国家（映射）],表2_971319232527738995101[[#This Row],[国家]])</f>
        <v>22886</v>
      </c>
      <c r="N180" s="178">
        <f t="array" ref="N180">MAX((表1_861218222426728894100[目标区服]=表2_971319232527738995101[[#This Row],[合区区服]])*(表1_861218222426728894100[目标国家（映射）]=表2_971319232527738995101[[#This Row],[国家]])*表1_861218222426728894100[单将最高战力])</f>
        <v>710136</v>
      </c>
      <c r="P180" s="51">
        <v>5213</v>
      </c>
      <c r="Q180" s="51">
        <v>42</v>
      </c>
    </row>
    <row r="181" ht="15" spans="1:17">
      <c r="A181" s="177" t="s">
        <v>236</v>
      </c>
      <c r="B181" s="180" t="s">
        <v>27</v>
      </c>
      <c r="C181" s="180">
        <f>COUNTIFS(表1_861218222426728894100[目标区服],表2_971319232527738995101[[#This Row],[合区区服]],表1_861218222426728894100[目标国家（映射）],表2_971319232527738995101[[#This Row],[国家]])</f>
        <v>3</v>
      </c>
      <c r="D181" s="180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17</v>
      </c>
      <c r="E181" s="180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36</v>
      </c>
      <c r="F181" s="180">
        <f t="array" ref="F181">MAX((表1_861218222426728894100[目标区服]=表2_971319232527738995101[[#This Row],[合区区服]])*(表1_861218222426728894100[目标国家（映射）]=表2_971319232527738995101[[#This Row],[国家]])*表1_861218222426728894100[活跃尖端战力])</f>
        <v>2646020</v>
      </c>
      <c r="G181" s="262">
        <f>SUMIFS(表1_861218222426728894100[活跃总战力],表1_861218222426728894100[目标区服],表2_971319232527738995101[[#This Row],[合区区服]],表1_861218222426728894100[目标国家（映射）],表2_971319232527738995101[[#This Row],[国家]])</f>
        <v>40239671</v>
      </c>
      <c r="H181" s="180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132858</v>
      </c>
      <c r="I181" s="180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81" s="180">
        <f>SUMIFS(表1_861218222426728894100[活跃Coin],表1_861218222426728894100[目标区服],表2_971319232527738995101[[#This Row],[合区区服]],表1_861218222426728894100[目标国家（映射）],表2_971319232527738995101[[#This Row],[国家]])</f>
        <v>879531</v>
      </c>
      <c r="K181" s="180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53000</v>
      </c>
      <c r="L181" s="180">
        <f>表2_971319232527738995101[[#This Row],[活跃Coin]]+表2_971319232527738995101[[#This Row],[共计补偿Coin]]</f>
        <v>932531</v>
      </c>
      <c r="M181" s="180">
        <f>SUMIFS(表1_861218222426728894100[综合国力],表1_861218222426728894100[目标区服],表2_971319232527738995101[[#This Row],[合区区服]],表1_861218222426728894100[目标国家（映射）],表2_971319232527738995101[[#This Row],[国家]])</f>
        <v>23792</v>
      </c>
      <c r="N181" s="178">
        <f t="array" ref="N181">MAX((表1_861218222426728894100[目标区服]=表2_971319232527738995101[[#This Row],[合区区服]])*(表1_861218222426728894100[目标国家（映射）]=表2_971319232527738995101[[#This Row],[国家]])*表1_861218222426728894100[单将最高战力])</f>
        <v>904146</v>
      </c>
      <c r="P181" s="51">
        <v>5214</v>
      </c>
      <c r="Q181" s="51">
        <v>42</v>
      </c>
    </row>
    <row r="182" ht="15" spans="1:17">
      <c r="A182" s="185" t="s">
        <v>237</v>
      </c>
      <c r="B182" s="186" t="s">
        <v>25</v>
      </c>
      <c r="C182" s="186">
        <f>COUNTIFS(表1_861218222426728894100[目标区服],表2_971319232527738995101[[#This Row],[合区区服]],表1_861218222426728894100[目标国家（映射）],表2_971319232527738995101[[#This Row],[国家]])</f>
        <v>4</v>
      </c>
      <c r="D182" s="186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12</v>
      </c>
      <c r="E182" s="186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58</v>
      </c>
      <c r="F182" s="186">
        <f t="array" ref="F182">MAX((表1_861218222426728894100[目标区服]=表2_971319232527738995101[[#This Row],[合区区服]])*(表1_861218222426728894100[目标国家（映射）]=表2_971319232527738995101[[#This Row],[国家]])*表1_861218222426728894100[活跃尖端战力])</f>
        <v>2802933</v>
      </c>
      <c r="G182" s="187">
        <f>SUMIFS(表1_861218222426728894100[活跃总战力],表1_861218222426728894100[目标区服],表2_971319232527738995101[[#This Row],[合区区服]],表1_861218222426728894100[目标国家（映射）],表2_971319232527738995101[[#This Row],[国家]])</f>
        <v>46544764</v>
      </c>
      <c r="H182" s="186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183618</v>
      </c>
      <c r="I182" s="186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82" s="186">
        <f>SUMIFS(表1_861218222426728894100[活跃Coin],表1_861218222426728894100[目标区服],表2_971319232527738995101[[#This Row],[合区区服]],表1_861218222426728894100[目标国家（映射）],表2_971319232527738995101[[#This Row],[国家]])</f>
        <v>1456422</v>
      </c>
      <c r="K182" s="186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90000</v>
      </c>
      <c r="L182" s="186">
        <f>表2_971319232527738995101[[#This Row],[活跃Coin]]+表2_971319232527738995101[[#This Row],[共计补偿Coin]]</f>
        <v>1546422</v>
      </c>
      <c r="M182" s="186">
        <f>SUMIFS(表1_861218222426728894100[综合国力],表1_861218222426728894100[目标区服],表2_971319232527738995101[[#This Row],[合区区服]],表1_861218222426728894100[目标国家（映射）],表2_971319232527738995101[[#This Row],[国家]])</f>
        <v>25733</v>
      </c>
      <c r="N182" s="478">
        <f t="array" ref="N182">MAX((表1_861218222426728894100[目标区服]=表2_971319232527738995101[[#This Row],[合区区服]])*(表1_861218222426728894100[目标国家（映射）]=表2_971319232527738995101[[#This Row],[国家]])*表1_861218222426728894100[单将最高战力])</f>
        <v>838684</v>
      </c>
      <c r="P182" s="51">
        <v>5215</v>
      </c>
      <c r="Q182" s="51">
        <v>42</v>
      </c>
    </row>
    <row r="183" ht="15" spans="1:17">
      <c r="A183" s="185" t="s">
        <v>237</v>
      </c>
      <c r="B183" s="186" t="s">
        <v>26</v>
      </c>
      <c r="C183" s="186">
        <f>COUNTIFS(表1_861218222426728894100[目标区服],表2_971319232527738995101[[#This Row],[合区区服]],表1_861218222426728894100[目标国家（映射）],表2_971319232527738995101[[#This Row],[国家]])</f>
        <v>4</v>
      </c>
      <c r="D183" s="186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14</v>
      </c>
      <c r="E183" s="186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63</v>
      </c>
      <c r="F183" s="186">
        <f t="array" ref="F183">MAX((表1_861218222426728894100[目标区服]=表2_971319232527738995101[[#This Row],[合区区服]])*(表1_861218222426728894100[目标国家（映射）]=表2_971319232527738995101[[#This Row],[国家]])*表1_861218222426728894100[活跃尖端战力])</f>
        <v>3078227</v>
      </c>
      <c r="G183" s="187">
        <f>SUMIFS(表1_861218222426728894100[活跃总战力],表1_861218222426728894100[目标区服],表2_971319232527738995101[[#This Row],[合区区服]],表1_861218222426728894100[目标国家（映射）],表2_971319232527738995101[[#This Row],[国家]])</f>
        <v>58749251</v>
      </c>
      <c r="H183" s="186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183036</v>
      </c>
      <c r="I183" s="186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83" s="186">
        <f>SUMIFS(表1_861218222426728894100[活跃Coin],表1_861218222426728894100[目标区服],表2_971319232527738995101[[#This Row],[合区区服]],表1_861218222426728894100[目标国家（映射）],表2_971319232527738995101[[#This Row],[国家]])</f>
        <v>1480209</v>
      </c>
      <c r="K183" s="186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94000</v>
      </c>
      <c r="L183" s="186">
        <f>表2_971319232527738995101[[#This Row],[活跃Coin]]+表2_971319232527738995101[[#This Row],[共计补偿Coin]]</f>
        <v>1574209</v>
      </c>
      <c r="M183" s="186">
        <f>SUMIFS(表1_861218222426728894100[综合国力],表1_861218222426728894100[目标区服],表2_971319232527738995101[[#This Row],[合区区服]],表1_861218222426728894100[目标国家（映射）],表2_971319232527738995101[[#This Row],[国家]])</f>
        <v>29437</v>
      </c>
      <c r="N183" s="478">
        <f t="array" ref="N183">MAX((表1_861218222426728894100[目标区服]=表2_971319232527738995101[[#This Row],[合区区服]])*(表1_861218222426728894100[目标国家（映射）]=表2_971319232527738995101[[#This Row],[国家]])*表1_861218222426728894100[单将最高战力])</f>
        <v>846460</v>
      </c>
      <c r="P183" s="51">
        <v>5216</v>
      </c>
      <c r="Q183" s="51">
        <v>41</v>
      </c>
    </row>
    <row r="184" ht="15" spans="1:17">
      <c r="A184" s="185" t="s">
        <v>237</v>
      </c>
      <c r="B184" s="186" t="s">
        <v>27</v>
      </c>
      <c r="C184" s="186">
        <f>COUNTIFS(表1_861218222426728894100[目标区服],表2_971319232527738995101[[#This Row],[合区区服]],表1_861218222426728894100[目标国家（映射）],表2_971319232527738995101[[#This Row],[国家]])</f>
        <v>4</v>
      </c>
      <c r="D184" s="186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13</v>
      </c>
      <c r="E184" s="186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53</v>
      </c>
      <c r="F184" s="186">
        <f t="array" ref="F184">MAX((表1_861218222426728894100[目标区服]=表2_971319232527738995101[[#This Row],[合区区服]])*(表1_861218222426728894100[目标国家（映射）]=表2_971319232527738995101[[#This Row],[国家]])*表1_861218222426728894100[活跃尖端战力])</f>
        <v>3361039</v>
      </c>
      <c r="G184" s="187">
        <f>SUMIFS(表1_861218222426728894100[活跃总战力],表1_861218222426728894100[目标区服],表2_971319232527738995101[[#This Row],[合区区服]],表1_861218222426728894100[目标国家（映射）],表2_971319232527738995101[[#This Row],[国家]])</f>
        <v>46205086</v>
      </c>
      <c r="H184" s="186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192650</v>
      </c>
      <c r="I184" s="186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84" s="186">
        <f>SUMIFS(表1_861218222426728894100[活跃Coin],表1_861218222426728894100[目标区服],表2_971319232527738995101[[#This Row],[合区区服]],表1_861218222426728894100[目标国家（映射）],表2_971319232527738995101[[#This Row],[国家]])</f>
        <v>1512233</v>
      </c>
      <c r="K184" s="186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78500</v>
      </c>
      <c r="L184" s="186">
        <f>表2_971319232527738995101[[#This Row],[活跃Coin]]+表2_971319232527738995101[[#This Row],[共计补偿Coin]]</f>
        <v>1590733</v>
      </c>
      <c r="M184" s="186">
        <f>SUMIFS(表1_861218222426728894100[综合国力],表1_861218222426728894100[目标区服],表2_971319232527738995101[[#This Row],[合区区服]],表1_861218222426728894100[目标国家（映射）],表2_971319232527738995101[[#This Row],[国家]])</f>
        <v>26715</v>
      </c>
      <c r="N184" s="478">
        <f t="array" ref="N184">MAX((表1_861218222426728894100[目标区服]=表2_971319232527738995101[[#This Row],[合区区服]])*(表1_861218222426728894100[目标国家（映射）]=表2_971319232527738995101[[#This Row],[国家]])*表1_861218222426728894100[单将最高战力])</f>
        <v>1087245</v>
      </c>
      <c r="P184" s="51">
        <v>5217</v>
      </c>
      <c r="Q184" s="51">
        <v>41</v>
      </c>
    </row>
    <row r="185" ht="15" spans="1:17">
      <c r="A185" s="464" t="s">
        <v>238</v>
      </c>
      <c r="B185" s="465" t="s">
        <v>25</v>
      </c>
      <c r="C185" s="465">
        <f>COUNTIFS(表1_861218222426728894100[目标区服],表2_971319232527738995101[[#This Row],[合区区服]],表1_861218222426728894100[目标国家（映射）],表2_971319232527738995101[[#This Row],[国家]])</f>
        <v>3</v>
      </c>
      <c r="D185" s="465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14</v>
      </c>
      <c r="E185" s="465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57</v>
      </c>
      <c r="F185" s="465">
        <f t="array" ref="F185">MAX((表1_861218222426728894100[目标区服]=表2_971319232527738995101[[#This Row],[合区区服]])*(表1_861218222426728894100[目标国家（映射）]=表2_971319232527738995101[[#This Row],[国家]])*表1_861218222426728894100[活跃尖端战力])</f>
        <v>2759341</v>
      </c>
      <c r="G185" s="466">
        <f>SUMIFS(表1_861218222426728894100[活跃总战力],表1_861218222426728894100[目标区服],表2_971319232527738995101[[#This Row],[合区区服]],表1_861218222426728894100[目标国家（映射）],表2_971319232527738995101[[#This Row],[国家]])</f>
        <v>50213452</v>
      </c>
      <c r="H185" s="465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111061</v>
      </c>
      <c r="I185" s="465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85" s="465">
        <f>SUMIFS(表1_861218222426728894100[活跃Coin],表1_861218222426728894100[目标区服],表2_971319232527738995101[[#This Row],[合区区服]],表1_861218222426728894100[目标国家（映射）],表2_971319232527738995101[[#This Row],[国家]])</f>
        <v>1472646</v>
      </c>
      <c r="K185" s="465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71000</v>
      </c>
      <c r="L185" s="465">
        <f>表2_971319232527738995101[[#This Row],[活跃Coin]]+表2_971319232527738995101[[#This Row],[共计补偿Coin]]</f>
        <v>1543646</v>
      </c>
      <c r="M185" s="465">
        <f>SUMIFS(表1_861218222426728894100[综合国力],表1_861218222426728894100[目标区服],表2_971319232527738995101[[#This Row],[合区区服]],表1_861218222426728894100[目标国家（映射）],表2_971319232527738995101[[#This Row],[国家]])</f>
        <v>23474</v>
      </c>
      <c r="N185" s="479">
        <f t="array" ref="N185">MAX((表1_861218222426728894100[目标区服]=表2_971319232527738995101[[#This Row],[合区区服]])*(表1_861218222426728894100[目标国家（映射）]=表2_971319232527738995101[[#This Row],[国家]])*表1_861218222426728894100[单将最高战力])</f>
        <v>828567</v>
      </c>
      <c r="P185" s="51">
        <v>5218</v>
      </c>
      <c r="Q185" s="51">
        <v>41</v>
      </c>
    </row>
    <row r="186" ht="15" spans="1:17">
      <c r="A186" s="464" t="s">
        <v>238</v>
      </c>
      <c r="B186" s="465" t="s">
        <v>26</v>
      </c>
      <c r="C186" s="465">
        <f>COUNTIFS(表1_861218222426728894100[目标区服],表2_971319232527738995101[[#This Row],[合区区服]],表1_861218222426728894100[目标国家（映射）],表2_971319232527738995101[[#This Row],[国家]])</f>
        <v>5</v>
      </c>
      <c r="D186" s="465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9</v>
      </c>
      <c r="E186" s="465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72</v>
      </c>
      <c r="F186" s="465">
        <f t="array" ref="F186">MAX((表1_861218222426728894100[目标区服]=表2_971319232527738995101[[#This Row],[合区区服]])*(表1_861218222426728894100[目标国家（映射）]=表2_971319232527738995101[[#This Row],[国家]])*表1_861218222426728894100[活跃尖端战力])</f>
        <v>2275262</v>
      </c>
      <c r="G186" s="466">
        <f>SUMIFS(表1_861218222426728894100[活跃总战力],表1_861218222426728894100[目标区服],表2_971319232527738995101[[#This Row],[合区区服]],表1_861218222426728894100[目标国家（映射）],表2_971319232527738995101[[#This Row],[国家]])</f>
        <v>47659334</v>
      </c>
      <c r="H186" s="465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152352</v>
      </c>
      <c r="I186" s="465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86" s="465">
        <f>SUMIFS(表1_861218222426728894100[活跃Coin],表1_861218222426728894100[目标区服],表2_971319232527738995101[[#This Row],[合区区服]],表1_861218222426728894100[目标国家（映射）],表2_971319232527738995101[[#This Row],[国家]])</f>
        <v>515734</v>
      </c>
      <c r="K186" s="465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81000</v>
      </c>
      <c r="L186" s="465">
        <f>表2_971319232527738995101[[#This Row],[活跃Coin]]+表2_971319232527738995101[[#This Row],[共计补偿Coin]]</f>
        <v>596734</v>
      </c>
      <c r="M186" s="465">
        <f>SUMIFS(表1_861218222426728894100[综合国力],表1_861218222426728894100[目标区服],表2_971319232527738995101[[#This Row],[合区区服]],表1_861218222426728894100[目标国家（映射）],表2_971319232527738995101[[#This Row],[国家]])</f>
        <v>23530</v>
      </c>
      <c r="N186" s="479">
        <f t="array" ref="N186">MAX((表1_861218222426728894100[目标区服]=表2_971319232527738995101[[#This Row],[合区区服]])*(表1_861218222426728894100[目标国家（映射）]=表2_971319232527738995101[[#This Row],[国家]])*表1_861218222426728894100[单将最高战力])</f>
        <v>825320</v>
      </c>
      <c r="P186" s="51">
        <v>5219</v>
      </c>
      <c r="Q186" s="51">
        <v>41</v>
      </c>
    </row>
    <row r="187" ht="15" spans="1:17">
      <c r="A187" s="464" t="s">
        <v>238</v>
      </c>
      <c r="B187" s="467" t="s">
        <v>27</v>
      </c>
      <c r="C187" s="467">
        <f>COUNTIFS(表1_861218222426728894100[目标区服],表2_971319232527738995101[[#This Row],[合区区服]],表1_861218222426728894100[目标国家（映射）],表2_971319232527738995101[[#This Row],[国家]])</f>
        <v>4</v>
      </c>
      <c r="D187" s="467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16</v>
      </c>
      <c r="E187" s="467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56</v>
      </c>
      <c r="F187" s="465">
        <f t="array" ref="F187">MAX((表1_861218222426728894100[目标区服]=表2_971319232527738995101[[#This Row],[合区区服]])*(表1_861218222426728894100[目标国家（映射）]=表2_971319232527738995101[[#This Row],[国家]])*表1_861218222426728894100[活跃尖端战力])</f>
        <v>2540004</v>
      </c>
      <c r="G187" s="466">
        <f>SUMIFS(表1_861218222426728894100[活跃总战力],表1_861218222426728894100[目标区服],表2_971319232527738995101[[#This Row],[合区区服]],表1_861218222426728894100[目标国家（映射）],表2_971319232527738995101[[#This Row],[国家]])</f>
        <v>52620117</v>
      </c>
      <c r="H187" s="465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138500</v>
      </c>
      <c r="I187" s="465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87" s="465">
        <f>SUMIFS(表1_861218222426728894100[活跃Coin],表1_861218222426728894100[目标区服],表2_971319232527738995101[[#This Row],[合区区服]],表1_861218222426728894100[目标国家（映射）],表2_971319232527738995101[[#This Row],[国家]])</f>
        <v>1179121</v>
      </c>
      <c r="K187" s="465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72000</v>
      </c>
      <c r="L187" s="465">
        <f>表2_971319232527738995101[[#This Row],[活跃Coin]]+表2_971319232527738995101[[#This Row],[共计补偿Coin]]</f>
        <v>1251121</v>
      </c>
      <c r="M187" s="465">
        <f>SUMIFS(表1_861218222426728894100[综合国力],表1_861218222426728894100[目标区服],表2_971319232527738995101[[#This Row],[合区区服]],表1_861218222426728894100[目标国家（映射）],表2_971319232527738995101[[#This Row],[国家]])</f>
        <v>26509</v>
      </c>
      <c r="N187" s="479">
        <f t="array" ref="N187">MAX((表1_861218222426728894100[目标区服]=表2_971319232527738995101[[#This Row],[合区区服]])*(表1_861218222426728894100[目标国家（映射）]=表2_971319232527738995101[[#This Row],[国家]])*表1_861218222426728894100[单将最高战力])</f>
        <v>822930</v>
      </c>
      <c r="P187" s="51">
        <v>5220</v>
      </c>
      <c r="Q187" s="51">
        <v>41</v>
      </c>
    </row>
    <row r="188" ht="15" spans="1:17">
      <c r="A188" s="177"/>
      <c r="B188" s="178" t="s">
        <v>25</v>
      </c>
      <c r="C188" s="178">
        <f>COUNTIFS(表1_861218222426728894100[目标区服],表2_971319232527738995101[[#This Row],[合区区服]],表1_861218222426728894100[目标国家（映射）],表2_971319232527738995101[[#This Row],[国家]])</f>
        <v>0</v>
      </c>
      <c r="D188" s="178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0</v>
      </c>
      <c r="E188" s="178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0</v>
      </c>
      <c r="F188" s="178">
        <f t="array" ref="F188">MAX((表1_861218222426728894100[目标区服]=表2_971319232527738995101[[#This Row],[合区区服]])*(表1_861218222426728894100[目标国家（映射）]=表2_971319232527738995101[[#This Row],[国家]])*表1_861218222426728894100[活跃尖端战力])</f>
        <v>0</v>
      </c>
      <c r="G188" s="179">
        <f>SUMIFS(表1_861218222426728894100[活跃总战力],表1_861218222426728894100[目标区服],表2_971319232527738995101[[#This Row],[合区区服]],表1_861218222426728894100[目标国家（映射）],表2_971319232527738995101[[#This Row],[国家]])</f>
        <v>0</v>
      </c>
      <c r="H188" s="178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0</v>
      </c>
      <c r="I188" s="178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88" s="178">
        <f>SUMIFS(表1_861218222426728894100[活跃Coin],表1_861218222426728894100[目标区服],表2_971319232527738995101[[#This Row],[合区区服]],表1_861218222426728894100[目标国家（映射）],表2_971319232527738995101[[#This Row],[国家]])</f>
        <v>0</v>
      </c>
      <c r="K188" s="178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0</v>
      </c>
      <c r="L188" s="178">
        <f>表2_971319232527738995101[[#This Row],[活跃Coin]]+表2_971319232527738995101[[#This Row],[共计补偿Coin]]</f>
        <v>0</v>
      </c>
      <c r="M188" s="178">
        <f>SUMIFS(表1_861218222426728894100[综合国力],表1_861218222426728894100[目标区服],表2_971319232527738995101[[#This Row],[合区区服]],表1_861218222426728894100[目标国家（映射）],表2_971319232527738995101[[#This Row],[国家]])</f>
        <v>0</v>
      </c>
      <c r="N188" s="473">
        <f t="array" ref="N188">MAX((表1_861218222426728894100[目标区服]=表2_971319232527738995101[[#This Row],[合区区服]])*(表1_861218222426728894100[目标国家（映射）]=表2_971319232527738995101[[#This Row],[国家]])*表1_861218222426728894100[单将最高战力])</f>
        <v>0</v>
      </c>
      <c r="P188" s="51">
        <v>5221</v>
      </c>
      <c r="Q188" s="51">
        <v>41</v>
      </c>
    </row>
    <row r="189" ht="15" spans="1:17">
      <c r="A189" s="177"/>
      <c r="B189" s="178" t="s">
        <v>26</v>
      </c>
      <c r="C189" s="178">
        <f>COUNTIFS(表1_861218222426728894100[目标区服],表2_971319232527738995101[[#This Row],[合区区服]],表1_861218222426728894100[目标国家（映射）],表2_971319232527738995101[[#This Row],[国家]])</f>
        <v>0</v>
      </c>
      <c r="D189" s="178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0</v>
      </c>
      <c r="E189" s="178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0</v>
      </c>
      <c r="F189" s="178">
        <f t="array" ref="F189">MAX((表1_861218222426728894100[目标区服]=表2_971319232527738995101[[#This Row],[合区区服]])*(表1_861218222426728894100[目标国家（映射）]=表2_971319232527738995101[[#This Row],[国家]])*表1_861218222426728894100[活跃尖端战力])</f>
        <v>0</v>
      </c>
      <c r="G189" s="179">
        <f>SUMIFS(表1_861218222426728894100[活跃总战力],表1_861218222426728894100[目标区服],表2_971319232527738995101[[#This Row],[合区区服]],表1_861218222426728894100[目标国家（映射）],表2_971319232527738995101[[#This Row],[国家]])</f>
        <v>0</v>
      </c>
      <c r="H189" s="178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0</v>
      </c>
      <c r="I189" s="178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89" s="178">
        <f>SUMIFS(表1_861218222426728894100[活跃Coin],表1_861218222426728894100[目标区服],表2_971319232527738995101[[#This Row],[合区区服]],表1_861218222426728894100[目标国家（映射）],表2_971319232527738995101[[#This Row],[国家]])</f>
        <v>0</v>
      </c>
      <c r="K189" s="178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0</v>
      </c>
      <c r="L189" s="178">
        <f>表2_971319232527738995101[[#This Row],[活跃Coin]]+表2_971319232527738995101[[#This Row],[共计补偿Coin]]</f>
        <v>0</v>
      </c>
      <c r="M189" s="178">
        <f>SUMIFS(表1_861218222426728894100[综合国力],表1_861218222426728894100[目标区服],表2_971319232527738995101[[#This Row],[合区区服]],表1_861218222426728894100[目标国家（映射）],表2_971319232527738995101[[#This Row],[国家]])</f>
        <v>0</v>
      </c>
      <c r="N189" s="473">
        <f t="array" ref="N189">MAX((表1_861218222426728894100[目标区服]=表2_971319232527738995101[[#This Row],[合区区服]])*(表1_861218222426728894100[目标国家（映射）]=表2_971319232527738995101[[#This Row],[国家]])*表1_861218222426728894100[单将最高战力])</f>
        <v>0</v>
      </c>
      <c r="P189" s="51"/>
      <c r="Q189" s="51"/>
    </row>
    <row r="190" ht="15" spans="1:17">
      <c r="A190" s="177"/>
      <c r="B190" s="180" t="s">
        <v>27</v>
      </c>
      <c r="C190" s="180">
        <f>COUNTIFS(表1_861218222426728894100[目标区服],表2_971319232527738995101[[#This Row],[合区区服]],表1_861218222426728894100[目标国家（映射）],表2_971319232527738995101[[#This Row],[国家]])</f>
        <v>0</v>
      </c>
      <c r="D190" s="180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0</v>
      </c>
      <c r="E190" s="180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0</v>
      </c>
      <c r="F190" s="180">
        <f t="array" ref="F190">MAX((表1_861218222426728894100[目标区服]=表2_971319232527738995101[[#This Row],[合区区服]])*(表1_861218222426728894100[目标国家（映射）]=表2_971319232527738995101[[#This Row],[国家]])*表1_861218222426728894100[活跃尖端战力])</f>
        <v>0</v>
      </c>
      <c r="G190" s="262">
        <f>SUMIFS(表1_861218222426728894100[活跃总战力],表1_861218222426728894100[目标区服],表2_971319232527738995101[[#This Row],[合区区服]],表1_861218222426728894100[目标国家（映射）],表2_971319232527738995101[[#This Row],[国家]])</f>
        <v>0</v>
      </c>
      <c r="H190" s="180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0</v>
      </c>
      <c r="I190" s="180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90" s="180">
        <f>SUMIFS(表1_861218222426728894100[活跃Coin],表1_861218222426728894100[目标区服],表2_971319232527738995101[[#This Row],[合区区服]],表1_861218222426728894100[目标国家（映射）],表2_971319232527738995101[[#This Row],[国家]])</f>
        <v>0</v>
      </c>
      <c r="K190" s="180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0</v>
      </c>
      <c r="L190" s="180">
        <f>表2_971319232527738995101[[#This Row],[活跃Coin]]+表2_971319232527738995101[[#This Row],[共计补偿Coin]]</f>
        <v>0</v>
      </c>
      <c r="M190" s="180">
        <f>SUMIFS(表1_861218222426728894100[综合国力],表1_861218222426728894100[目标区服],表2_971319232527738995101[[#This Row],[合区区服]],表1_861218222426728894100[目标国家（映射）],表2_971319232527738995101[[#This Row],[国家]])</f>
        <v>0</v>
      </c>
      <c r="N190" s="474">
        <f t="array" ref="N190">MAX((表1_861218222426728894100[目标区服]=表2_971319232527738995101[[#This Row],[合区区服]])*(表1_861218222426728894100[目标国家（映射）]=表2_971319232527738995101[[#This Row],[国家]])*表1_861218222426728894100[单将最高战力])</f>
        <v>0</v>
      </c>
      <c r="P190" s="51"/>
      <c r="Q190" s="51"/>
    </row>
    <row r="191" ht="15" spans="1:14">
      <c r="A191" s="39"/>
      <c r="B191" s="39" t="s">
        <v>25</v>
      </c>
      <c r="C191" s="39">
        <f>COUNTIFS(表1_861218222426728894100[目标区服],表2_971319232527738995101[[#This Row],[合区区服]],表1_861218222426728894100[目标国家（映射）],表2_971319232527738995101[[#This Row],[国家]])</f>
        <v>0</v>
      </c>
      <c r="D191" s="39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0</v>
      </c>
      <c r="E191" s="39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0</v>
      </c>
      <c r="F191" s="39">
        <f t="array" ref="F191">MAX((表1_861218222426728894100[目标区服]=表2_971319232527738995101[[#This Row],[合区区服]])*(表1_861218222426728894100[目标国家（映射）]=表2_971319232527738995101[[#This Row],[国家]])*表1_861218222426728894100[活跃尖端战力])</f>
        <v>0</v>
      </c>
      <c r="G191" s="40">
        <f>SUMIFS(表1_861218222426728894100[活跃总战力],表1_861218222426728894100[目标区服],表2_971319232527738995101[[#This Row],[合区区服]],表1_861218222426728894100[目标国家（映射）],表2_971319232527738995101[[#This Row],[国家]])</f>
        <v>0</v>
      </c>
      <c r="H191" s="39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0</v>
      </c>
      <c r="I191" s="39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91" s="39">
        <f>SUMIFS(表1_861218222426728894100[活跃Coin],表1_861218222426728894100[目标区服],表2_971319232527738995101[[#This Row],[合区区服]],表1_861218222426728894100[目标国家（映射）],表2_971319232527738995101[[#This Row],[国家]])</f>
        <v>0</v>
      </c>
      <c r="K191" s="39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0</v>
      </c>
      <c r="L191" s="39">
        <f>表2_971319232527738995101[[#This Row],[活跃Coin]]+表2_971319232527738995101[[#This Row],[共计补偿Coin]]</f>
        <v>0</v>
      </c>
      <c r="M191" s="39">
        <f>SUMIFS(表1_861218222426728894100[综合国力],表1_861218222426728894100[目标区服],表2_971319232527738995101[[#This Row],[合区区服]],表1_861218222426728894100[目标国家（映射）],表2_971319232527738995101[[#This Row],[国家]])</f>
        <v>0</v>
      </c>
      <c r="N191" s="39">
        <f t="array" ref="N191">MAX((表1_861218222426728894100[目标区服]=表2_971319232527738995101[[#This Row],[合区区服]])*(表1_861218222426728894100[目标国家（映射）]=表2_971319232527738995101[[#This Row],[国家]])*表1_861218222426728894100[单将最高战力])</f>
        <v>0</v>
      </c>
    </row>
    <row r="192" ht="15" spans="1:14">
      <c r="A192" s="39"/>
      <c r="B192" s="39" t="s">
        <v>26</v>
      </c>
      <c r="C192" s="39">
        <f>COUNTIFS(表1_861218222426728894100[目标区服],表2_971319232527738995101[[#This Row],[合区区服]],表1_861218222426728894100[目标国家（映射）],表2_971319232527738995101[[#This Row],[国家]])</f>
        <v>0</v>
      </c>
      <c r="D192" s="39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0</v>
      </c>
      <c r="E192" s="39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0</v>
      </c>
      <c r="F192" s="39">
        <f t="array" ref="F192">MAX((表1_861218222426728894100[目标区服]=表2_971319232527738995101[[#This Row],[合区区服]])*(表1_861218222426728894100[目标国家（映射）]=表2_971319232527738995101[[#This Row],[国家]])*表1_861218222426728894100[活跃尖端战力])</f>
        <v>0</v>
      </c>
      <c r="G192" s="40">
        <f>SUMIFS(表1_861218222426728894100[活跃总战力],表1_861218222426728894100[目标区服],表2_971319232527738995101[[#This Row],[合区区服]],表1_861218222426728894100[目标国家（映射）],表2_971319232527738995101[[#This Row],[国家]])</f>
        <v>0</v>
      </c>
      <c r="H192" s="39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0</v>
      </c>
      <c r="I192" s="39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92" s="39">
        <f>SUMIFS(表1_861218222426728894100[活跃Coin],表1_861218222426728894100[目标区服],表2_971319232527738995101[[#This Row],[合区区服]],表1_861218222426728894100[目标国家（映射）],表2_971319232527738995101[[#This Row],[国家]])</f>
        <v>0</v>
      </c>
      <c r="K192" s="39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0</v>
      </c>
      <c r="L192" s="39">
        <f>表2_971319232527738995101[[#This Row],[活跃Coin]]+表2_971319232527738995101[[#This Row],[共计补偿Coin]]</f>
        <v>0</v>
      </c>
      <c r="M192" s="39">
        <f>SUMIFS(表1_861218222426728894100[综合国力],表1_861218222426728894100[目标区服],表2_971319232527738995101[[#This Row],[合区区服]],表1_861218222426728894100[目标国家（映射）],表2_971319232527738995101[[#This Row],[国家]])</f>
        <v>0</v>
      </c>
      <c r="N192" s="39">
        <f t="array" ref="N192">MAX((表1_861218222426728894100[目标区服]=表2_971319232527738995101[[#This Row],[合区区服]])*(表1_861218222426728894100[目标国家（映射）]=表2_971319232527738995101[[#This Row],[国家]])*表1_861218222426728894100[单将最高战力])</f>
        <v>0</v>
      </c>
    </row>
    <row r="193" ht="15" spans="1:14">
      <c r="A193" s="39"/>
      <c r="B193" s="39" t="s">
        <v>27</v>
      </c>
      <c r="C193" s="39">
        <f>COUNTIFS(表1_861218222426728894100[目标区服],表2_971319232527738995101[[#This Row],[合区区服]],表1_861218222426728894100[目标国家（映射）],表2_971319232527738995101[[#This Row],[国家]])</f>
        <v>0</v>
      </c>
      <c r="D193" s="39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0</v>
      </c>
      <c r="E193" s="39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0</v>
      </c>
      <c r="F193" s="39">
        <f t="array" ref="F193">MAX((表1_861218222426728894100[目标区服]=表2_971319232527738995101[[#This Row],[合区区服]])*(表1_861218222426728894100[目标国家（映射）]=表2_971319232527738995101[[#This Row],[国家]])*表1_861218222426728894100[活跃尖端战力])</f>
        <v>0</v>
      </c>
      <c r="G193" s="40">
        <f>SUMIFS(表1_861218222426728894100[活跃总战力],表1_861218222426728894100[目标区服],表2_971319232527738995101[[#This Row],[合区区服]],表1_861218222426728894100[目标国家（映射）],表2_971319232527738995101[[#This Row],[国家]])</f>
        <v>0</v>
      </c>
      <c r="H193" s="39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0</v>
      </c>
      <c r="I193" s="39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93" s="39">
        <f>SUMIFS(表1_861218222426728894100[活跃Coin],表1_861218222426728894100[目标区服],表2_971319232527738995101[[#This Row],[合区区服]],表1_861218222426728894100[目标国家（映射）],表2_971319232527738995101[[#This Row],[国家]])</f>
        <v>0</v>
      </c>
      <c r="K193" s="39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0</v>
      </c>
      <c r="L193" s="39">
        <f>表2_971319232527738995101[[#This Row],[活跃Coin]]+表2_971319232527738995101[[#This Row],[共计补偿Coin]]</f>
        <v>0</v>
      </c>
      <c r="M193" s="39">
        <f>SUMIFS(表1_861218222426728894100[综合国力],表1_861218222426728894100[目标区服],表2_971319232527738995101[[#This Row],[合区区服]],表1_861218222426728894100[目标国家（映射）],表2_971319232527738995101[[#This Row],[国家]])</f>
        <v>0</v>
      </c>
      <c r="N193" s="39">
        <f t="array" ref="N193">MAX((表1_861218222426728894100[目标区服]=表2_971319232527738995101[[#This Row],[合区区服]])*(表1_861218222426728894100[目标国家（映射）]=表2_971319232527738995101[[#This Row],[国家]])*表1_861218222426728894100[单将最高战力])</f>
        <v>0</v>
      </c>
    </row>
    <row r="194" ht="15" spans="1:14">
      <c r="A194" s="39"/>
      <c r="B194" s="39" t="s">
        <v>25</v>
      </c>
      <c r="C194" s="39">
        <f>COUNTIFS(表1_861218222426728894100[目标区服],表2_971319232527738995101[[#This Row],[合区区服]],表1_861218222426728894100[目标国家（映射）],表2_971319232527738995101[[#This Row],[国家]])</f>
        <v>0</v>
      </c>
      <c r="D194" s="39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0</v>
      </c>
      <c r="E194" s="39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0</v>
      </c>
      <c r="F194" s="39">
        <f t="array" ref="F194">MAX((表1_861218222426728894100[目标区服]=表2_971319232527738995101[[#This Row],[合区区服]])*(表1_861218222426728894100[目标国家（映射）]=表2_971319232527738995101[[#This Row],[国家]])*表1_861218222426728894100[活跃尖端战力])</f>
        <v>0</v>
      </c>
      <c r="G194" s="40">
        <f>SUMIFS(表1_861218222426728894100[活跃总战力],表1_861218222426728894100[目标区服],表2_971319232527738995101[[#This Row],[合区区服]],表1_861218222426728894100[目标国家（映射）],表2_971319232527738995101[[#This Row],[国家]])</f>
        <v>0</v>
      </c>
      <c r="H194" s="39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0</v>
      </c>
      <c r="I194" s="39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94" s="39">
        <f>SUMIFS(表1_861218222426728894100[活跃Coin],表1_861218222426728894100[目标区服],表2_971319232527738995101[[#This Row],[合区区服]],表1_861218222426728894100[目标国家（映射）],表2_971319232527738995101[[#This Row],[国家]])</f>
        <v>0</v>
      </c>
      <c r="K194" s="39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0</v>
      </c>
      <c r="L194" s="39">
        <f>表2_971319232527738995101[[#This Row],[活跃Coin]]+表2_971319232527738995101[[#This Row],[共计补偿Coin]]</f>
        <v>0</v>
      </c>
      <c r="M194" s="39">
        <f>SUMIFS(表1_861218222426728894100[综合国力],表1_861218222426728894100[目标区服],表2_971319232527738995101[[#This Row],[合区区服]],表1_861218222426728894100[目标国家（映射）],表2_971319232527738995101[[#This Row],[国家]])</f>
        <v>0</v>
      </c>
      <c r="N194" s="39">
        <f t="array" ref="N194">MAX((表1_861218222426728894100[目标区服]=表2_971319232527738995101[[#This Row],[合区区服]])*(表1_861218222426728894100[目标国家（映射）]=表2_971319232527738995101[[#This Row],[国家]])*表1_861218222426728894100[单将最高战力])</f>
        <v>0</v>
      </c>
    </row>
    <row r="195" ht="15" spans="1:14">
      <c r="A195" s="39"/>
      <c r="B195" s="39" t="s">
        <v>26</v>
      </c>
      <c r="C195" s="39">
        <f>COUNTIFS(表1_861218222426728894100[目标区服],表2_971319232527738995101[[#This Row],[合区区服]],表1_861218222426728894100[目标国家（映射）],表2_971319232527738995101[[#This Row],[国家]])</f>
        <v>0</v>
      </c>
      <c r="D195" s="39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0</v>
      </c>
      <c r="E195" s="39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0</v>
      </c>
      <c r="F195" s="39">
        <f t="array" ref="F195">MAX((表1_861218222426728894100[目标区服]=表2_971319232527738995101[[#This Row],[合区区服]])*(表1_861218222426728894100[目标国家（映射）]=表2_971319232527738995101[[#This Row],[国家]])*表1_861218222426728894100[活跃尖端战力])</f>
        <v>0</v>
      </c>
      <c r="G195" s="40">
        <f>SUMIFS(表1_861218222426728894100[活跃总战力],表1_861218222426728894100[目标区服],表2_971319232527738995101[[#This Row],[合区区服]],表1_861218222426728894100[目标国家（映射）],表2_971319232527738995101[[#This Row],[国家]])</f>
        <v>0</v>
      </c>
      <c r="H195" s="39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0</v>
      </c>
      <c r="I195" s="39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95" s="39">
        <f>SUMIFS(表1_861218222426728894100[活跃Coin],表1_861218222426728894100[目标区服],表2_971319232527738995101[[#This Row],[合区区服]],表1_861218222426728894100[目标国家（映射）],表2_971319232527738995101[[#This Row],[国家]])</f>
        <v>0</v>
      </c>
      <c r="K195" s="39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0</v>
      </c>
      <c r="L195" s="39">
        <f>表2_971319232527738995101[[#This Row],[活跃Coin]]+表2_971319232527738995101[[#This Row],[共计补偿Coin]]</f>
        <v>0</v>
      </c>
      <c r="M195" s="39">
        <f>SUMIFS(表1_861218222426728894100[综合国力],表1_861218222426728894100[目标区服],表2_971319232527738995101[[#This Row],[合区区服]],表1_861218222426728894100[目标国家（映射）],表2_971319232527738995101[[#This Row],[国家]])</f>
        <v>0</v>
      </c>
      <c r="N195" s="39">
        <f t="array" ref="N195">MAX((表1_861218222426728894100[目标区服]=表2_971319232527738995101[[#This Row],[合区区服]])*(表1_861218222426728894100[目标国家（映射）]=表2_971319232527738995101[[#This Row],[国家]])*表1_861218222426728894100[单将最高战力])</f>
        <v>0</v>
      </c>
    </row>
    <row r="196" ht="15" spans="1:14">
      <c r="A196" s="39"/>
      <c r="B196" s="39" t="s">
        <v>27</v>
      </c>
      <c r="C196" s="39">
        <f>COUNTIFS(表1_861218222426728894100[目标区服],表2_971319232527738995101[[#This Row],[合区区服]],表1_861218222426728894100[目标国家（映射）],表2_971319232527738995101[[#This Row],[国家]])</f>
        <v>0</v>
      </c>
      <c r="D196" s="39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0</v>
      </c>
      <c r="E196" s="39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0</v>
      </c>
      <c r="F196" s="39">
        <f t="array" ref="F196">MAX((表1_861218222426728894100[目标区服]=表2_971319232527738995101[[#This Row],[合区区服]])*(表1_861218222426728894100[目标国家（映射）]=表2_971319232527738995101[[#This Row],[国家]])*表1_861218222426728894100[活跃尖端战力])</f>
        <v>0</v>
      </c>
      <c r="G196" s="40">
        <f>SUMIFS(表1_861218222426728894100[活跃总战力],表1_861218222426728894100[目标区服],表2_971319232527738995101[[#This Row],[合区区服]],表1_861218222426728894100[目标国家（映射）],表2_971319232527738995101[[#This Row],[国家]])</f>
        <v>0</v>
      </c>
      <c r="H196" s="39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0</v>
      </c>
      <c r="I196" s="39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96" s="39">
        <f>SUMIFS(表1_861218222426728894100[活跃Coin],表1_861218222426728894100[目标区服],表2_971319232527738995101[[#This Row],[合区区服]],表1_861218222426728894100[目标国家（映射）],表2_971319232527738995101[[#This Row],[国家]])</f>
        <v>0</v>
      </c>
      <c r="K196" s="39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0</v>
      </c>
      <c r="L196" s="39">
        <f>表2_971319232527738995101[[#This Row],[活跃Coin]]+表2_971319232527738995101[[#This Row],[共计补偿Coin]]</f>
        <v>0</v>
      </c>
      <c r="M196" s="39">
        <f>SUMIFS(表1_861218222426728894100[综合国力],表1_861218222426728894100[目标区服],表2_971319232527738995101[[#This Row],[合区区服]],表1_861218222426728894100[目标国家（映射）],表2_971319232527738995101[[#This Row],[国家]])</f>
        <v>0</v>
      </c>
      <c r="N196" s="39">
        <f t="array" ref="N196">MAX((表1_861218222426728894100[目标区服]=表2_971319232527738995101[[#This Row],[合区区服]])*(表1_861218222426728894100[目标国家（映射）]=表2_971319232527738995101[[#This Row],[国家]])*表1_861218222426728894100[单将最高战力])</f>
        <v>0</v>
      </c>
    </row>
    <row r="197" ht="15" spans="1:14">
      <c r="A197" s="41"/>
      <c r="B197" s="41" t="s">
        <v>25</v>
      </c>
      <c r="C197" s="41">
        <f>COUNTIFS(表1_861218222426728894100[目标区服],表2_971319232527738995101[[#This Row],[合区区服]],表1_861218222426728894100[目标国家（映射）],表2_971319232527738995101[[#This Row],[国家]])</f>
        <v>0</v>
      </c>
      <c r="D197" s="41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0</v>
      </c>
      <c r="E197" s="41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0</v>
      </c>
      <c r="F197" s="41">
        <f t="array" ref="F197">MAX((表1_861218222426728894100[目标区服]=表2_971319232527738995101[[#This Row],[合区区服]])*(表1_861218222426728894100[目标国家（映射）]=表2_971319232527738995101[[#This Row],[国家]])*表1_861218222426728894100[活跃尖端战力])</f>
        <v>0</v>
      </c>
      <c r="G197" s="42">
        <f>SUMIFS(表1_861218222426728894100[活跃总战力],表1_861218222426728894100[目标区服],表2_971319232527738995101[[#This Row],[合区区服]],表1_861218222426728894100[目标国家（映射）],表2_971319232527738995101[[#This Row],[国家]])</f>
        <v>0</v>
      </c>
      <c r="H197" s="41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0</v>
      </c>
      <c r="I197" s="41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97" s="41">
        <f>SUMIFS(表1_861218222426728894100[活跃Coin],表1_861218222426728894100[目标区服],表2_971319232527738995101[[#This Row],[合区区服]],表1_861218222426728894100[目标国家（映射）],表2_971319232527738995101[[#This Row],[国家]])</f>
        <v>0</v>
      </c>
      <c r="K197" s="41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0</v>
      </c>
      <c r="L197" s="41">
        <f>表2_971319232527738995101[[#This Row],[活跃Coin]]+表2_971319232527738995101[[#This Row],[共计补偿Coin]]</f>
        <v>0</v>
      </c>
      <c r="M197" s="41">
        <f>SUMIFS(表1_861218222426728894100[综合国力],表1_861218222426728894100[目标区服],表2_971319232527738995101[[#This Row],[合区区服]],表1_861218222426728894100[目标国家（映射）],表2_971319232527738995101[[#This Row],[国家]])</f>
        <v>0</v>
      </c>
      <c r="N197" s="41">
        <f t="array" ref="N197">MAX((表1_861218222426728894100[目标区服]=表2_971319232527738995101[[#This Row],[合区区服]])*(表1_861218222426728894100[目标国家（映射）]=表2_971319232527738995101[[#This Row],[国家]])*表1_861218222426728894100[单将最高战力])</f>
        <v>0</v>
      </c>
    </row>
    <row r="198" ht="15" spans="1:14">
      <c r="A198" s="41"/>
      <c r="B198" s="41" t="s">
        <v>26</v>
      </c>
      <c r="C198" s="41">
        <f>COUNTIFS(表1_861218222426728894100[目标区服],表2_971319232527738995101[[#This Row],[合区区服]],表1_861218222426728894100[目标国家（映射）],表2_971319232527738995101[[#This Row],[国家]])</f>
        <v>0</v>
      </c>
      <c r="D198" s="41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0</v>
      </c>
      <c r="E198" s="41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0</v>
      </c>
      <c r="F198" s="41">
        <f t="array" ref="F198">MAX((表1_861218222426728894100[目标区服]=表2_971319232527738995101[[#This Row],[合区区服]])*(表1_861218222426728894100[目标国家（映射）]=表2_971319232527738995101[[#This Row],[国家]])*表1_861218222426728894100[活跃尖端战力])</f>
        <v>0</v>
      </c>
      <c r="G198" s="42">
        <f>SUMIFS(表1_861218222426728894100[活跃总战力],表1_861218222426728894100[目标区服],表2_971319232527738995101[[#This Row],[合区区服]],表1_861218222426728894100[目标国家（映射）],表2_971319232527738995101[[#This Row],[国家]])</f>
        <v>0</v>
      </c>
      <c r="H198" s="41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0</v>
      </c>
      <c r="I198" s="41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98" s="41">
        <f>SUMIFS(表1_861218222426728894100[活跃Coin],表1_861218222426728894100[目标区服],表2_971319232527738995101[[#This Row],[合区区服]],表1_861218222426728894100[目标国家（映射）],表2_971319232527738995101[[#This Row],[国家]])</f>
        <v>0</v>
      </c>
      <c r="K198" s="41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0</v>
      </c>
      <c r="L198" s="41">
        <f>表2_971319232527738995101[[#This Row],[活跃Coin]]+表2_971319232527738995101[[#This Row],[共计补偿Coin]]</f>
        <v>0</v>
      </c>
      <c r="M198" s="41">
        <f>SUMIFS(表1_861218222426728894100[综合国力],表1_861218222426728894100[目标区服],表2_971319232527738995101[[#This Row],[合区区服]],表1_861218222426728894100[目标国家（映射）],表2_971319232527738995101[[#This Row],[国家]])</f>
        <v>0</v>
      </c>
      <c r="N198" s="41">
        <f t="array" ref="N198">MAX((表1_861218222426728894100[目标区服]=表2_971319232527738995101[[#This Row],[合区区服]])*(表1_861218222426728894100[目标国家（映射）]=表2_971319232527738995101[[#This Row],[国家]])*表1_861218222426728894100[单将最高战力])</f>
        <v>0</v>
      </c>
    </row>
    <row r="199" ht="15" spans="1:14">
      <c r="A199" s="41"/>
      <c r="B199" s="43" t="s">
        <v>27</v>
      </c>
      <c r="C199" s="43">
        <f>COUNTIFS(表1_861218222426728894100[目标区服],表2_971319232527738995101[[#This Row],[合区区服]],表1_861218222426728894100[目标国家（映射）],表2_971319232527738995101[[#This Row],[国家]])</f>
        <v>0</v>
      </c>
      <c r="D199" s="43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0</v>
      </c>
      <c r="E199" s="43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0</v>
      </c>
      <c r="F199" s="43">
        <f t="array" ref="F199">MAX((表1_861218222426728894100[目标区服]=表2_971319232527738995101[[#This Row],[合区区服]])*(表1_861218222426728894100[目标国家（映射）]=表2_971319232527738995101[[#This Row],[国家]])*表1_861218222426728894100[活跃尖端战力])</f>
        <v>0</v>
      </c>
      <c r="G199" s="44">
        <f>SUMIFS(表1_861218222426728894100[活跃总战力],表1_861218222426728894100[目标区服],表2_971319232527738995101[[#This Row],[合区区服]],表1_861218222426728894100[目标国家（映射）],表2_971319232527738995101[[#This Row],[国家]])</f>
        <v>0</v>
      </c>
      <c r="H199" s="43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0</v>
      </c>
      <c r="I199" s="43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199" s="43">
        <f>SUMIFS(表1_861218222426728894100[活跃Coin],表1_861218222426728894100[目标区服],表2_971319232527738995101[[#This Row],[合区区服]],表1_861218222426728894100[目标国家（映射）],表2_971319232527738995101[[#This Row],[国家]])</f>
        <v>0</v>
      </c>
      <c r="K199" s="43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0</v>
      </c>
      <c r="L199" s="43">
        <f>表2_971319232527738995101[[#This Row],[活跃Coin]]+表2_971319232527738995101[[#This Row],[共计补偿Coin]]</f>
        <v>0</v>
      </c>
      <c r="M199" s="43">
        <f>SUMIFS(表1_861218222426728894100[综合国力],表1_861218222426728894100[目标区服],表2_971319232527738995101[[#This Row],[合区区服]],表1_861218222426728894100[目标国家（映射）],表2_971319232527738995101[[#This Row],[国家]])</f>
        <v>0</v>
      </c>
      <c r="N199" s="41">
        <f t="array" ref="N199">MAX((表1_861218222426728894100[目标区服]=表2_971319232527738995101[[#This Row],[合区区服]])*(表1_861218222426728894100[目标国家（映射）]=表2_971319232527738995101[[#This Row],[国家]])*表1_861218222426728894100[单将最高战力])</f>
        <v>0</v>
      </c>
    </row>
    <row r="200" ht="15" spans="1:14">
      <c r="A200" s="45"/>
      <c r="B200" s="46" t="s">
        <v>25</v>
      </c>
      <c r="C200" s="46">
        <f>COUNTIFS(表1_861218222426728894100[目标区服],表2_971319232527738995101[[#This Row],[合区区服]],表1_861218222426728894100[目标国家（映射）],表2_971319232527738995101[[#This Row],[国家]])</f>
        <v>0</v>
      </c>
      <c r="D200" s="46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0</v>
      </c>
      <c r="E200" s="46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0</v>
      </c>
      <c r="F200" s="46">
        <f t="array" ref="F200">MAX((表1_861218222426728894100[目标区服]=表2_971319232527738995101[[#This Row],[合区区服]])*(表1_861218222426728894100[目标国家（映射）]=表2_971319232527738995101[[#This Row],[国家]])*表1_861218222426728894100[活跃尖端战力])</f>
        <v>0</v>
      </c>
      <c r="G200" s="47">
        <f>SUMIFS(表1_861218222426728894100[活跃总战力],表1_861218222426728894100[目标区服],表2_971319232527738995101[[#This Row],[合区区服]],表1_861218222426728894100[目标国家（映射）],表2_971319232527738995101[[#This Row],[国家]])</f>
        <v>0</v>
      </c>
      <c r="H200" s="46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0</v>
      </c>
      <c r="I200" s="46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200" s="46">
        <f>SUMIFS(表1_861218222426728894100[活跃Coin],表1_861218222426728894100[目标区服],表2_971319232527738995101[[#This Row],[合区区服]],表1_861218222426728894100[目标国家（映射）],表2_971319232527738995101[[#This Row],[国家]])</f>
        <v>0</v>
      </c>
      <c r="K200" s="46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0</v>
      </c>
      <c r="L200" s="46">
        <f>表2_971319232527738995101[[#This Row],[活跃Coin]]+表2_971319232527738995101[[#This Row],[共计补偿Coin]]</f>
        <v>0</v>
      </c>
      <c r="M200" s="46">
        <f>SUMIFS(表1_861218222426728894100[综合国力],表1_861218222426728894100[目标区服],表2_971319232527738995101[[#This Row],[合区区服]],表1_861218222426728894100[目标国家（映射）],表2_971319232527738995101[[#This Row],[国家]])</f>
        <v>0</v>
      </c>
      <c r="N200" s="46">
        <f t="array" ref="N200">MAX((表1_861218222426728894100[目标区服]=表2_971319232527738995101[[#This Row],[合区区服]])*(表1_861218222426728894100[目标国家（映射）]=表2_971319232527738995101[[#This Row],[国家]])*表1_861218222426728894100[单将最高战力])</f>
        <v>0</v>
      </c>
    </row>
    <row r="201" ht="15" spans="1:14">
      <c r="A201" s="45"/>
      <c r="B201" s="46" t="s">
        <v>26</v>
      </c>
      <c r="C201" s="46">
        <f>COUNTIFS(表1_861218222426728894100[目标区服],表2_971319232527738995101[[#This Row],[合区区服]],表1_861218222426728894100[目标国家（映射）],表2_971319232527738995101[[#This Row],[国家]])</f>
        <v>0</v>
      </c>
      <c r="D201" s="46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0</v>
      </c>
      <c r="E201" s="46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0</v>
      </c>
      <c r="F201" s="46">
        <f t="array" ref="F201">MAX((表1_861218222426728894100[目标区服]=表2_971319232527738995101[[#This Row],[合区区服]])*(表1_861218222426728894100[目标国家（映射）]=表2_971319232527738995101[[#This Row],[国家]])*表1_861218222426728894100[活跃尖端战力])</f>
        <v>0</v>
      </c>
      <c r="G201" s="47">
        <f>SUMIFS(表1_861218222426728894100[活跃总战力],表1_861218222426728894100[目标区服],表2_971319232527738995101[[#This Row],[合区区服]],表1_861218222426728894100[目标国家（映射）],表2_971319232527738995101[[#This Row],[国家]])</f>
        <v>0</v>
      </c>
      <c r="H201" s="46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0</v>
      </c>
      <c r="I201" s="46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201" s="46">
        <f>SUMIFS(表1_861218222426728894100[活跃Coin],表1_861218222426728894100[目标区服],表2_971319232527738995101[[#This Row],[合区区服]],表1_861218222426728894100[目标国家（映射）],表2_971319232527738995101[[#This Row],[国家]])</f>
        <v>0</v>
      </c>
      <c r="K201" s="46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0</v>
      </c>
      <c r="L201" s="46">
        <f>表2_971319232527738995101[[#This Row],[活跃Coin]]+表2_971319232527738995101[[#This Row],[共计补偿Coin]]</f>
        <v>0</v>
      </c>
      <c r="M201" s="46">
        <f>SUMIFS(表1_861218222426728894100[综合国力],表1_861218222426728894100[目标区服],表2_971319232527738995101[[#This Row],[合区区服]],表1_861218222426728894100[目标国家（映射）],表2_971319232527738995101[[#This Row],[国家]])</f>
        <v>0</v>
      </c>
      <c r="N201" s="46">
        <f t="array" ref="N201">MAX((表1_861218222426728894100[目标区服]=表2_971319232527738995101[[#This Row],[合区区服]])*(表1_861218222426728894100[目标国家（映射）]=表2_971319232527738995101[[#This Row],[国家]])*表1_861218222426728894100[单将最高战力])</f>
        <v>0</v>
      </c>
    </row>
    <row r="202" ht="15" spans="1:14">
      <c r="A202" s="45"/>
      <c r="B202" s="48" t="s">
        <v>27</v>
      </c>
      <c r="C202" s="48">
        <f>COUNTIFS(表1_861218222426728894100[目标区服],表2_971319232527738995101[[#This Row],[合区区服]],表1_861218222426728894100[目标国家（映射）],表2_971319232527738995101[[#This Row],[国家]])</f>
        <v>0</v>
      </c>
      <c r="D202" s="48">
        <f>SUMIFS(表1_861218222426728894100[活跃高战玩家数],表1_861218222426728894100[目标区服],表2_971319232527738995101[[#This Row],[合区区服]],表1_861218222426728894100[目标国家（映射）],表2_971319232527738995101[[#This Row],[国家]])</f>
        <v>0</v>
      </c>
      <c r="E202" s="48">
        <f>SUMIFS(表1_861218222426728894100[活跃中坚玩家数],表1_861218222426728894100[目标区服],表2_971319232527738995101[[#This Row],[合区区服]],表1_861218222426728894100[目标国家（映射）],表2_971319232527738995101[[#This Row],[国家]])</f>
        <v>0</v>
      </c>
      <c r="F202" s="46">
        <f t="array" ref="F202">MAX((表1_861218222426728894100[目标区服]=表2_971319232527738995101[[#This Row],[合区区服]])*(表1_861218222426728894100[目标国家（映射）]=表2_971319232527738995101[[#This Row],[国家]])*表1_861218222426728894100[活跃尖端战力])</f>
        <v>0</v>
      </c>
      <c r="G202" s="47">
        <f>SUMIFS(表1_861218222426728894100[活跃总战力],表1_861218222426728894100[目标区服],表2_971319232527738995101[[#This Row],[合区区服]],表1_861218222426728894100[目标国家（映射）],表2_971319232527738995101[[#This Row],[国家]])</f>
        <v>0</v>
      </c>
      <c r="H202" s="46">
        <f>SUMIFS(表1_861218222426728894100[活跃实际充值],表1_861218222426728894100[目标区服],表2_971319232527738995101[[#This Row],[合区区服]],表1_861218222426728894100[目标国家（映射）],表2_971319232527738995101[[#This Row],[国家]])</f>
        <v>0</v>
      </c>
      <c r="I202" s="46">
        <f>SUMIFS(表1_861218222426728894100[活跃虚拟充值],表1_861218222426728894100[目标区服],表2_971319232527738995101[[#This Row],[合区区服]],表1_861218222426728894100[目标国家（映射）],表2_971319232527738995101[[#This Row],[国家]])</f>
        <v>0</v>
      </c>
      <c r="J202" s="46">
        <f>SUMIFS(表1_861218222426728894100[活跃Coin],表1_861218222426728894100[目标区服],表2_971319232527738995101[[#This Row],[合区区服]],表1_861218222426728894100[目标国家（映射）],表2_971319232527738995101[[#This Row],[国家]])</f>
        <v>0</v>
      </c>
      <c r="K202" s="46">
        <f>SUMIFS(表1_861218222426728894100[共计补偿Coin],表1_861218222426728894100[目标区服],表2_971319232527738995101[[#This Row],[合区区服]],表1_861218222426728894100[目标国家（映射）],表2_971319232527738995101[[#This Row],[国家]])</f>
        <v>0</v>
      </c>
      <c r="L202" s="46">
        <f>表2_971319232527738995101[[#This Row],[活跃Coin]]+表2_971319232527738995101[[#This Row],[共计补偿Coin]]</f>
        <v>0</v>
      </c>
      <c r="M202" s="46">
        <f>SUMIFS(表1_861218222426728894100[综合国力],表1_861218222426728894100[目标区服],表2_971319232527738995101[[#This Row],[合区区服]],表1_861218222426728894100[目标国家（映射）],表2_971319232527738995101[[#This Row],[国家]])</f>
        <v>0</v>
      </c>
      <c r="N202" s="46">
        <f t="array" ref="N202">MAX((表1_861218222426728894100[目标区服]=表2_971319232527738995101[[#This Row],[合区区服]])*(表1_861218222426728894100[目标国家（映射）]=表2_971319232527738995101[[#This Row],[国家]])*表1_861218222426728894100[单将最高战力])</f>
        <v>0</v>
      </c>
    </row>
    <row r="205" ht="27" spans="2:14">
      <c r="B205" s="49"/>
      <c r="C205" s="50" t="s">
        <v>9</v>
      </c>
      <c r="D205" s="50" t="s">
        <v>10</v>
      </c>
      <c r="E205" s="50" t="s">
        <v>11</v>
      </c>
      <c r="F205" s="50" t="s">
        <v>12</v>
      </c>
      <c r="G205" s="50" t="s">
        <v>13</v>
      </c>
      <c r="H205" s="50" t="s">
        <v>14</v>
      </c>
      <c r="I205" s="50" t="s">
        <v>15</v>
      </c>
      <c r="J205" s="50" t="s">
        <v>18</v>
      </c>
      <c r="K205" s="50" t="s">
        <v>19</v>
      </c>
      <c r="L205" s="50" t="s">
        <v>20</v>
      </c>
      <c r="M205" s="50" t="s">
        <v>21</v>
      </c>
      <c r="N205" s="50" t="s">
        <v>82</v>
      </c>
    </row>
    <row r="206" spans="1:14">
      <c r="A206">
        <v>5128</v>
      </c>
      <c r="B206" s="50" t="s">
        <v>25</v>
      </c>
      <c r="C206" s="50">
        <v>2</v>
      </c>
      <c r="D206" s="50">
        <v>74</v>
      </c>
      <c r="E206" s="50">
        <v>1</v>
      </c>
      <c r="F206" s="50">
        <v>23</v>
      </c>
      <c r="G206" s="50">
        <v>66716</v>
      </c>
      <c r="H206" s="50">
        <v>2134433</v>
      </c>
      <c r="I206" s="50">
        <v>17173796</v>
      </c>
      <c r="J206" s="50">
        <v>22378</v>
      </c>
      <c r="K206" s="50">
        <v>0</v>
      </c>
      <c r="L206" s="50">
        <v>249681</v>
      </c>
      <c r="M206" s="50">
        <v>5921</v>
      </c>
      <c r="N206" s="50">
        <v>712449</v>
      </c>
    </row>
    <row r="207" spans="2:14">
      <c r="B207" s="50" t="s">
        <v>26</v>
      </c>
      <c r="C207" s="50">
        <v>1</v>
      </c>
      <c r="D207" s="50">
        <v>110</v>
      </c>
      <c r="E207" s="50">
        <v>1</v>
      </c>
      <c r="F207" s="50">
        <v>13</v>
      </c>
      <c r="G207" s="50">
        <v>49772</v>
      </c>
      <c r="H207" s="50">
        <v>1859871</v>
      </c>
      <c r="I207" s="50">
        <v>11424314</v>
      </c>
      <c r="J207" s="50">
        <v>31018</v>
      </c>
      <c r="K207" s="50">
        <v>0</v>
      </c>
      <c r="L207" s="50">
        <v>118571</v>
      </c>
      <c r="M207" s="50">
        <v>5440</v>
      </c>
      <c r="N207" s="50">
        <v>700882</v>
      </c>
    </row>
    <row r="208" spans="2:14">
      <c r="B208" s="50" t="s">
        <v>27</v>
      </c>
      <c r="C208" s="50">
        <v>6</v>
      </c>
      <c r="D208" s="50">
        <v>211</v>
      </c>
      <c r="E208" s="50">
        <v>7</v>
      </c>
      <c r="F208" s="50">
        <v>25</v>
      </c>
      <c r="G208" s="50">
        <v>161969</v>
      </c>
      <c r="H208" s="50">
        <v>3083276</v>
      </c>
      <c r="I208" s="50">
        <v>34433391</v>
      </c>
      <c r="J208" s="50">
        <v>148420</v>
      </c>
      <c r="K208" s="50">
        <v>0</v>
      </c>
      <c r="L208" s="50">
        <v>497449</v>
      </c>
      <c r="M208" s="50">
        <v>14747</v>
      </c>
      <c r="N208" s="50">
        <v>796324</v>
      </c>
    </row>
    <row r="209" hidden="1" spans="1:14">
      <c r="A209">
        <v>5129</v>
      </c>
      <c r="B209" s="50" t="s">
        <v>25</v>
      </c>
      <c r="C209" s="50">
        <v>7</v>
      </c>
      <c r="D209" s="50">
        <v>265</v>
      </c>
      <c r="E209" s="50">
        <v>5</v>
      </c>
      <c r="F209" s="50">
        <v>27</v>
      </c>
      <c r="G209" s="50">
        <v>156351</v>
      </c>
      <c r="H209" s="50">
        <v>4040688</v>
      </c>
      <c r="I209" s="50">
        <v>30195937</v>
      </c>
      <c r="J209" s="50">
        <v>78926</v>
      </c>
      <c r="K209" s="50">
        <v>129140</v>
      </c>
      <c r="L209" s="50">
        <v>759710</v>
      </c>
      <c r="M209" s="50">
        <v>15231</v>
      </c>
      <c r="N209" s="50">
        <v>1319923</v>
      </c>
    </row>
    <row r="210" hidden="1" spans="2:14">
      <c r="B210" s="50" t="s">
        <v>26</v>
      </c>
      <c r="C210" s="50">
        <v>1</v>
      </c>
      <c r="D210" s="50">
        <v>79</v>
      </c>
      <c r="E210" s="50">
        <v>1</v>
      </c>
      <c r="F210" s="50">
        <v>17</v>
      </c>
      <c r="G210" s="50">
        <v>74741</v>
      </c>
      <c r="H210" s="50">
        <v>1783768</v>
      </c>
      <c r="I210" s="50">
        <v>12558159</v>
      </c>
      <c r="J210" s="50">
        <v>28188</v>
      </c>
      <c r="K210" s="50">
        <v>0</v>
      </c>
      <c r="L210" s="50">
        <v>80390</v>
      </c>
      <c r="M210" s="50">
        <v>5189</v>
      </c>
      <c r="N210" s="50">
        <v>602562</v>
      </c>
    </row>
    <row r="211" hidden="1" spans="2:14">
      <c r="B211" s="50" t="s">
        <v>27</v>
      </c>
      <c r="C211" s="50">
        <v>1</v>
      </c>
      <c r="D211" s="50">
        <v>51</v>
      </c>
      <c r="E211" s="50">
        <v>4</v>
      </c>
      <c r="F211" s="50">
        <v>4</v>
      </c>
      <c r="G211" s="50">
        <v>44941</v>
      </c>
      <c r="H211" s="50">
        <v>2834292</v>
      </c>
      <c r="I211" s="50">
        <v>9131233</v>
      </c>
      <c r="J211" s="50">
        <v>47780</v>
      </c>
      <c r="K211" s="50">
        <v>0</v>
      </c>
      <c r="L211" s="50">
        <v>107829</v>
      </c>
      <c r="M211" s="50">
        <v>6069</v>
      </c>
      <c r="N211" s="50">
        <v>797315</v>
      </c>
    </row>
    <row r="212" hidden="1" spans="1:14">
      <c r="A212">
        <v>5130</v>
      </c>
      <c r="B212" s="50" t="s">
        <v>25</v>
      </c>
      <c r="C212" s="50">
        <v>0</v>
      </c>
      <c r="D212" s="50">
        <v>67</v>
      </c>
      <c r="E212" s="50">
        <v>0</v>
      </c>
      <c r="F212" s="50">
        <v>24</v>
      </c>
      <c r="G212" s="50">
        <v>52042</v>
      </c>
      <c r="H212" s="50">
        <v>1475668</v>
      </c>
      <c r="I212" s="50">
        <v>13172514</v>
      </c>
      <c r="J212" s="50">
        <v>15032</v>
      </c>
      <c r="K212" s="50">
        <v>8616</v>
      </c>
      <c r="L212" s="50">
        <v>197959</v>
      </c>
      <c r="M212" s="50">
        <v>4359</v>
      </c>
      <c r="N212" s="50">
        <v>418783</v>
      </c>
    </row>
    <row r="213" hidden="1" spans="2:14">
      <c r="B213" s="50" t="s">
        <v>26</v>
      </c>
      <c r="C213" s="50">
        <v>7</v>
      </c>
      <c r="D213" s="50">
        <v>247</v>
      </c>
      <c r="E213" s="50">
        <v>6</v>
      </c>
      <c r="F213" s="50">
        <v>27</v>
      </c>
      <c r="G213" s="50">
        <v>177655</v>
      </c>
      <c r="H213" s="50">
        <v>2902725</v>
      </c>
      <c r="I213" s="50">
        <v>31868763</v>
      </c>
      <c r="J213" s="50">
        <v>82790</v>
      </c>
      <c r="K213" s="50">
        <v>0</v>
      </c>
      <c r="L213" s="50">
        <v>323995</v>
      </c>
      <c r="M213" s="50">
        <v>12793</v>
      </c>
      <c r="N213" s="50">
        <v>850929</v>
      </c>
    </row>
    <row r="214" hidden="1" spans="2:14">
      <c r="B214" s="50" t="s">
        <v>27</v>
      </c>
      <c r="C214" s="50">
        <v>2</v>
      </c>
      <c r="D214" s="50">
        <v>81</v>
      </c>
      <c r="E214" s="50">
        <v>4</v>
      </c>
      <c r="F214" s="50">
        <v>13</v>
      </c>
      <c r="G214" s="50">
        <v>75633</v>
      </c>
      <c r="H214" s="50">
        <v>1931412</v>
      </c>
      <c r="I214" s="50">
        <v>14451032</v>
      </c>
      <c r="J214" s="50">
        <v>132112</v>
      </c>
      <c r="K214" s="50">
        <v>0</v>
      </c>
      <c r="L214" s="50">
        <v>254223</v>
      </c>
      <c r="M214" s="50">
        <v>8855</v>
      </c>
      <c r="N214" s="50">
        <v>930025</v>
      </c>
    </row>
    <row r="215" hidden="1" spans="1:14">
      <c r="A215">
        <v>5131</v>
      </c>
      <c r="B215" s="50" t="s">
        <v>25</v>
      </c>
      <c r="C215" s="50">
        <v>1</v>
      </c>
      <c r="D215" s="50">
        <v>51</v>
      </c>
      <c r="E215" s="50">
        <v>0</v>
      </c>
      <c r="F215" s="50">
        <v>16</v>
      </c>
      <c r="G215" s="50">
        <v>38404</v>
      </c>
      <c r="H215" s="50">
        <v>1359207</v>
      </c>
      <c r="I215" s="50">
        <v>9170155</v>
      </c>
      <c r="J215" s="50">
        <v>7702</v>
      </c>
      <c r="K215" s="50">
        <v>0</v>
      </c>
      <c r="L215" s="50">
        <v>111384</v>
      </c>
      <c r="M215" s="50">
        <v>3364</v>
      </c>
      <c r="N215" s="50">
        <v>499321</v>
      </c>
    </row>
    <row r="216" hidden="1" spans="2:14">
      <c r="B216" s="50" t="s">
        <v>26</v>
      </c>
      <c r="C216" s="50">
        <v>5</v>
      </c>
      <c r="D216" s="50">
        <v>191</v>
      </c>
      <c r="E216" s="50">
        <v>5</v>
      </c>
      <c r="F216" s="50">
        <v>26</v>
      </c>
      <c r="G216" s="50">
        <v>131110</v>
      </c>
      <c r="H216" s="50">
        <v>2955982</v>
      </c>
      <c r="I216" s="50">
        <v>25979936</v>
      </c>
      <c r="J216" s="50">
        <v>73942</v>
      </c>
      <c r="K216" s="50">
        <v>0</v>
      </c>
      <c r="L216" s="50">
        <v>320311</v>
      </c>
      <c r="M216" s="50">
        <v>10997</v>
      </c>
      <c r="N216" s="50">
        <v>910422</v>
      </c>
    </row>
    <row r="217" hidden="1" spans="2:14">
      <c r="B217" s="50" t="s">
        <v>27</v>
      </c>
      <c r="C217" s="50">
        <v>3</v>
      </c>
      <c r="D217" s="50">
        <v>153</v>
      </c>
      <c r="E217" s="50">
        <v>5</v>
      </c>
      <c r="F217" s="50">
        <v>17</v>
      </c>
      <c r="G217" s="50">
        <v>123094</v>
      </c>
      <c r="H217" s="50">
        <v>3117468</v>
      </c>
      <c r="I217" s="50">
        <v>22170546</v>
      </c>
      <c r="J217" s="50">
        <v>44454</v>
      </c>
      <c r="K217" s="50">
        <v>0</v>
      </c>
      <c r="L217" s="50">
        <v>322422</v>
      </c>
      <c r="M217" s="50">
        <v>9274</v>
      </c>
      <c r="N217" s="50">
        <v>1008402</v>
      </c>
    </row>
    <row r="218" hidden="1" spans="1:14">
      <c r="A218">
        <v>5132</v>
      </c>
      <c r="B218" s="50" t="s">
        <v>25</v>
      </c>
      <c r="C218" s="50">
        <v>2</v>
      </c>
      <c r="D218" s="50">
        <v>96</v>
      </c>
      <c r="E218" s="50">
        <v>1</v>
      </c>
      <c r="F218" s="50">
        <v>24</v>
      </c>
      <c r="G218" s="50">
        <v>101087</v>
      </c>
      <c r="H218" s="50">
        <v>1705266</v>
      </c>
      <c r="I218" s="50">
        <v>17662041</v>
      </c>
      <c r="J218" s="50">
        <v>15270</v>
      </c>
      <c r="K218" s="50">
        <v>0</v>
      </c>
      <c r="L218" s="50">
        <v>186117</v>
      </c>
      <c r="M218" s="50">
        <v>5688</v>
      </c>
      <c r="N218" s="50">
        <v>526483</v>
      </c>
    </row>
    <row r="219" hidden="1" spans="2:14">
      <c r="B219" s="50" t="s">
        <v>26</v>
      </c>
      <c r="C219" s="50">
        <v>3</v>
      </c>
      <c r="D219" s="50">
        <v>148</v>
      </c>
      <c r="E219" s="50">
        <v>4</v>
      </c>
      <c r="F219" s="50">
        <v>16</v>
      </c>
      <c r="G219" s="50">
        <v>94033</v>
      </c>
      <c r="H219" s="50">
        <v>2004624</v>
      </c>
      <c r="I219" s="50">
        <v>16759897</v>
      </c>
      <c r="J219" s="50">
        <v>55928</v>
      </c>
      <c r="K219" s="50">
        <v>0</v>
      </c>
      <c r="L219" s="50">
        <v>119450</v>
      </c>
      <c r="M219" s="50">
        <v>7668</v>
      </c>
      <c r="N219" s="50">
        <v>551249</v>
      </c>
    </row>
    <row r="220" hidden="1" spans="2:14">
      <c r="B220" s="50" t="s">
        <v>27</v>
      </c>
      <c r="C220" s="50">
        <v>4</v>
      </c>
      <c r="D220" s="50">
        <v>151</v>
      </c>
      <c r="E220" s="50">
        <v>4</v>
      </c>
      <c r="F220" s="50">
        <v>17</v>
      </c>
      <c r="G220" s="50">
        <v>105447</v>
      </c>
      <c r="H220" s="50">
        <v>3051707</v>
      </c>
      <c r="I220" s="50">
        <v>20858207</v>
      </c>
      <c r="J220" s="50">
        <v>91642</v>
      </c>
      <c r="K220" s="50">
        <v>0</v>
      </c>
      <c r="L220" s="50">
        <v>151984</v>
      </c>
      <c r="M220" s="50">
        <v>10400</v>
      </c>
      <c r="N220" s="50">
        <v>838719</v>
      </c>
    </row>
    <row r="221" hidden="1" spans="1:14">
      <c r="A221">
        <v>5133</v>
      </c>
      <c r="B221" s="50" t="s">
        <v>25</v>
      </c>
      <c r="C221" s="50">
        <v>4</v>
      </c>
      <c r="D221" s="50">
        <v>114</v>
      </c>
      <c r="E221" s="50">
        <v>6</v>
      </c>
      <c r="F221" s="50">
        <v>22</v>
      </c>
      <c r="G221" s="50">
        <v>124257</v>
      </c>
      <c r="H221" s="50">
        <v>3216583</v>
      </c>
      <c r="I221" s="50">
        <v>28025465</v>
      </c>
      <c r="J221" s="50">
        <v>123410</v>
      </c>
      <c r="K221" s="50">
        <v>0</v>
      </c>
      <c r="L221" s="50">
        <v>515341</v>
      </c>
      <c r="M221" s="50">
        <v>12140</v>
      </c>
      <c r="N221" s="50">
        <v>987468</v>
      </c>
    </row>
    <row r="222" hidden="1" spans="2:14">
      <c r="B222" s="50" t="s">
        <v>26</v>
      </c>
      <c r="C222" s="50">
        <v>2</v>
      </c>
      <c r="D222" s="50">
        <v>115</v>
      </c>
      <c r="E222" s="50">
        <v>2</v>
      </c>
      <c r="F222" s="50">
        <v>29</v>
      </c>
      <c r="G222" s="50">
        <v>100603</v>
      </c>
      <c r="H222" s="50">
        <v>2881607</v>
      </c>
      <c r="I222" s="50">
        <v>24817265</v>
      </c>
      <c r="J222" s="50">
        <v>68412</v>
      </c>
      <c r="K222" s="50">
        <v>0</v>
      </c>
      <c r="L222" s="50">
        <v>472557</v>
      </c>
      <c r="M222" s="50">
        <v>9504</v>
      </c>
      <c r="N222" s="50">
        <v>946749</v>
      </c>
    </row>
    <row r="223" hidden="1" spans="2:14">
      <c r="B223" s="50" t="s">
        <v>27</v>
      </c>
      <c r="C223" s="50">
        <v>3</v>
      </c>
      <c r="D223" s="50">
        <v>166</v>
      </c>
      <c r="E223" s="50">
        <v>2</v>
      </c>
      <c r="F223" s="50">
        <v>20</v>
      </c>
      <c r="G223" s="50">
        <v>85569</v>
      </c>
      <c r="H223" s="50">
        <v>1914116</v>
      </c>
      <c r="I223" s="50">
        <v>18491120</v>
      </c>
      <c r="J223" s="50">
        <v>29052</v>
      </c>
      <c r="K223" s="50">
        <v>0</v>
      </c>
      <c r="L223" s="50">
        <v>177878</v>
      </c>
      <c r="M223" s="50">
        <v>7111</v>
      </c>
      <c r="N223" s="50">
        <v>538916</v>
      </c>
    </row>
    <row r="224" hidden="1" spans="1:14">
      <c r="A224">
        <v>5134</v>
      </c>
      <c r="B224" s="50" t="s">
        <v>25</v>
      </c>
      <c r="C224" s="50">
        <v>2</v>
      </c>
      <c r="D224" s="50">
        <v>73</v>
      </c>
      <c r="E224" s="50">
        <v>1</v>
      </c>
      <c r="F224" s="50">
        <v>22</v>
      </c>
      <c r="G224" s="50">
        <v>84604</v>
      </c>
      <c r="H224" s="50">
        <v>1553333</v>
      </c>
      <c r="I224" s="50">
        <v>13460855</v>
      </c>
      <c r="J224" s="50">
        <v>19344</v>
      </c>
      <c r="K224" s="50">
        <v>0</v>
      </c>
      <c r="L224" s="50">
        <v>188261</v>
      </c>
      <c r="M224" s="50">
        <v>4926</v>
      </c>
      <c r="N224" s="50">
        <v>459659</v>
      </c>
    </row>
    <row r="225" hidden="1" spans="2:14">
      <c r="B225" s="50" t="s">
        <v>26</v>
      </c>
      <c r="C225" s="50">
        <v>2</v>
      </c>
      <c r="D225" s="50">
        <v>109</v>
      </c>
      <c r="E225" s="50">
        <v>1</v>
      </c>
      <c r="F225" s="50">
        <v>22</v>
      </c>
      <c r="G225" s="50">
        <v>87528</v>
      </c>
      <c r="H225" s="50">
        <v>1409124</v>
      </c>
      <c r="I225" s="50">
        <v>13494661</v>
      </c>
      <c r="J225" s="50">
        <v>9948</v>
      </c>
      <c r="K225" s="50">
        <v>0</v>
      </c>
      <c r="L225" s="50">
        <v>132223</v>
      </c>
      <c r="M225" s="50">
        <v>4850</v>
      </c>
      <c r="N225" s="50">
        <v>427518</v>
      </c>
    </row>
    <row r="226" hidden="1" spans="2:14">
      <c r="B226" s="50" t="s">
        <v>27</v>
      </c>
      <c r="C226" s="50">
        <v>5</v>
      </c>
      <c r="D226" s="50">
        <v>213</v>
      </c>
      <c r="E226" s="50">
        <v>8</v>
      </c>
      <c r="F226" s="50">
        <v>12</v>
      </c>
      <c r="G226" s="50">
        <v>120013</v>
      </c>
      <c r="H226" s="50">
        <v>2792250</v>
      </c>
      <c r="I226" s="50">
        <v>20419859</v>
      </c>
      <c r="J226" s="50">
        <v>101142</v>
      </c>
      <c r="K226" s="50">
        <v>0</v>
      </c>
      <c r="L226" s="50">
        <v>548782</v>
      </c>
      <c r="M226" s="50">
        <v>11372</v>
      </c>
      <c r="N226" s="50">
        <v>778668</v>
      </c>
    </row>
    <row r="227" hidden="1" spans="1:14">
      <c r="A227">
        <v>5135</v>
      </c>
      <c r="B227" s="50" t="s">
        <v>25</v>
      </c>
      <c r="C227" s="50">
        <v>1</v>
      </c>
      <c r="D227" s="50">
        <v>70</v>
      </c>
      <c r="E227" s="50">
        <v>0</v>
      </c>
      <c r="F227" s="50">
        <v>18</v>
      </c>
      <c r="G227" s="50">
        <v>44816</v>
      </c>
      <c r="H227" s="50">
        <v>1101733</v>
      </c>
      <c r="I227" s="50">
        <v>10310017</v>
      </c>
      <c r="J227" s="50">
        <v>3840</v>
      </c>
      <c r="K227" s="50">
        <v>0</v>
      </c>
      <c r="L227" s="50">
        <v>68062</v>
      </c>
      <c r="M227" s="50">
        <v>3306</v>
      </c>
      <c r="N227" s="50">
        <v>478745</v>
      </c>
    </row>
    <row r="228" hidden="1" spans="2:14">
      <c r="B228" s="50" t="s">
        <v>26</v>
      </c>
      <c r="C228" s="50">
        <v>5</v>
      </c>
      <c r="D228" s="50">
        <v>206</v>
      </c>
      <c r="E228" s="50">
        <v>5</v>
      </c>
      <c r="F228" s="50">
        <v>32</v>
      </c>
      <c r="G228" s="50">
        <v>144549</v>
      </c>
      <c r="H228" s="50">
        <v>2898807</v>
      </c>
      <c r="I228" s="50">
        <v>27778014</v>
      </c>
      <c r="J228" s="50">
        <v>50276</v>
      </c>
      <c r="K228" s="50">
        <v>0</v>
      </c>
      <c r="L228" s="50">
        <v>400076</v>
      </c>
      <c r="M228" s="50">
        <v>10667</v>
      </c>
      <c r="N228" s="50">
        <v>992703</v>
      </c>
    </row>
    <row r="229" hidden="1" spans="2:14">
      <c r="B229" s="50" t="s">
        <v>27</v>
      </c>
      <c r="C229" s="50">
        <v>3</v>
      </c>
      <c r="D229" s="50">
        <v>119</v>
      </c>
      <c r="E229" s="50">
        <v>5</v>
      </c>
      <c r="F229" s="50">
        <v>22</v>
      </c>
      <c r="G229" s="50">
        <v>116186</v>
      </c>
      <c r="H229" s="50">
        <v>2617076</v>
      </c>
      <c r="I229" s="50">
        <v>21523980</v>
      </c>
      <c r="J229" s="50">
        <v>37552</v>
      </c>
      <c r="K229" s="50">
        <v>0</v>
      </c>
      <c r="L229" s="50">
        <v>337102</v>
      </c>
      <c r="M229" s="50">
        <v>8135</v>
      </c>
      <c r="N229" s="50">
        <v>886716</v>
      </c>
    </row>
    <row r="230" hidden="1" spans="1:14">
      <c r="A230">
        <v>5176</v>
      </c>
      <c r="B230" s="50" t="s">
        <v>25</v>
      </c>
      <c r="C230" s="50">
        <v>5</v>
      </c>
      <c r="D230" s="50">
        <v>223</v>
      </c>
      <c r="E230" s="50">
        <v>6</v>
      </c>
      <c r="F230" s="50">
        <v>25</v>
      </c>
      <c r="G230" s="50">
        <v>129537</v>
      </c>
      <c r="H230" s="50">
        <v>2269185</v>
      </c>
      <c r="I230" s="50">
        <v>23037319</v>
      </c>
      <c r="J230" s="50">
        <v>31148</v>
      </c>
      <c r="K230" s="50">
        <v>0</v>
      </c>
      <c r="L230" s="50">
        <v>445651</v>
      </c>
      <c r="M230" s="50">
        <v>9107</v>
      </c>
      <c r="N230" s="50">
        <v>618239</v>
      </c>
    </row>
    <row r="231" hidden="1" spans="2:14">
      <c r="B231" s="50" t="s">
        <v>26</v>
      </c>
      <c r="C231" s="50">
        <v>3</v>
      </c>
      <c r="D231" s="50">
        <v>106</v>
      </c>
      <c r="E231" s="50">
        <v>2</v>
      </c>
      <c r="F231" s="50">
        <v>20</v>
      </c>
      <c r="G231" s="50">
        <v>93607</v>
      </c>
      <c r="H231" s="50">
        <v>1286738</v>
      </c>
      <c r="I231" s="50">
        <v>15150048</v>
      </c>
      <c r="J231" s="50">
        <v>19024</v>
      </c>
      <c r="K231" s="50">
        <v>0</v>
      </c>
      <c r="L231" s="50">
        <v>86743</v>
      </c>
      <c r="M231" s="50">
        <v>5243</v>
      </c>
      <c r="N231" s="50">
        <v>454975</v>
      </c>
    </row>
    <row r="232" hidden="1" spans="2:14">
      <c r="B232" s="50" t="s">
        <v>27</v>
      </c>
      <c r="C232" s="50">
        <v>1</v>
      </c>
      <c r="D232" s="50">
        <v>66</v>
      </c>
      <c r="E232" s="50">
        <v>2</v>
      </c>
      <c r="F232" s="50">
        <v>18</v>
      </c>
      <c r="G232" s="50">
        <v>76157</v>
      </c>
      <c r="H232" s="50">
        <v>1696605</v>
      </c>
      <c r="I232" s="50">
        <v>13628751</v>
      </c>
      <c r="J232" s="50">
        <v>24982</v>
      </c>
      <c r="K232" s="50">
        <v>0</v>
      </c>
      <c r="L232" s="50">
        <v>165731</v>
      </c>
      <c r="M232" s="50">
        <v>5032</v>
      </c>
      <c r="N232" s="50">
        <v>570116</v>
      </c>
    </row>
    <row r="233" spans="1:14">
      <c r="A233">
        <v>5177</v>
      </c>
      <c r="B233" s="50" t="s">
        <v>25</v>
      </c>
      <c r="C233" s="50">
        <v>6</v>
      </c>
      <c r="D233" s="50">
        <v>253</v>
      </c>
      <c r="E233" s="50">
        <v>9</v>
      </c>
      <c r="F233" s="50">
        <v>26</v>
      </c>
      <c r="G233" s="50">
        <v>162113</v>
      </c>
      <c r="H233" s="50">
        <v>2141257</v>
      </c>
      <c r="I233" s="50">
        <v>24027335</v>
      </c>
      <c r="J233" s="50">
        <v>35870</v>
      </c>
      <c r="K233" s="50">
        <v>0</v>
      </c>
      <c r="L233" s="50">
        <v>354748</v>
      </c>
      <c r="M233" s="50">
        <v>9738</v>
      </c>
      <c r="N233" s="50">
        <v>576753</v>
      </c>
    </row>
    <row r="234" spans="2:14">
      <c r="B234" s="50" t="s">
        <v>26</v>
      </c>
      <c r="C234" s="50">
        <v>1</v>
      </c>
      <c r="D234" s="50">
        <v>67</v>
      </c>
      <c r="E234" s="50">
        <v>0</v>
      </c>
      <c r="F234" s="50">
        <v>17</v>
      </c>
      <c r="G234" s="50">
        <v>75663</v>
      </c>
      <c r="H234" s="50">
        <v>1011120</v>
      </c>
      <c r="I234" s="50">
        <v>10747059</v>
      </c>
      <c r="J234" s="50">
        <v>4276</v>
      </c>
      <c r="K234" s="50">
        <v>0</v>
      </c>
      <c r="L234" s="50">
        <v>105694</v>
      </c>
      <c r="M234" s="50">
        <v>3415</v>
      </c>
      <c r="N234" s="50">
        <v>304777</v>
      </c>
    </row>
    <row r="235" spans="2:14">
      <c r="B235" s="50" t="s">
        <v>27</v>
      </c>
      <c r="C235" s="50">
        <v>2</v>
      </c>
      <c r="D235" s="50">
        <v>75</v>
      </c>
      <c r="E235" s="50">
        <v>1</v>
      </c>
      <c r="F235" s="50">
        <v>18</v>
      </c>
      <c r="G235" s="50">
        <v>72060</v>
      </c>
      <c r="H235" s="50">
        <v>1548048</v>
      </c>
      <c r="I235" s="50">
        <v>11143894</v>
      </c>
      <c r="J235" s="50">
        <v>48278</v>
      </c>
      <c r="K235" s="50">
        <v>0</v>
      </c>
      <c r="L235" s="50">
        <v>159524</v>
      </c>
      <c r="M235" s="50">
        <v>5500</v>
      </c>
      <c r="N235" s="50">
        <v>454153</v>
      </c>
    </row>
    <row r="236" spans="1:14">
      <c r="A236">
        <v>5178</v>
      </c>
      <c r="B236" s="50" t="s">
        <v>25</v>
      </c>
      <c r="C236" s="50">
        <v>3</v>
      </c>
      <c r="D236" s="50">
        <v>137</v>
      </c>
      <c r="E236" s="50">
        <v>5</v>
      </c>
      <c r="F236" s="50">
        <v>15</v>
      </c>
      <c r="G236" s="50">
        <v>121493</v>
      </c>
      <c r="H236" s="50">
        <v>3251354</v>
      </c>
      <c r="I236" s="50">
        <v>22419568</v>
      </c>
      <c r="J236" s="50">
        <v>56862</v>
      </c>
      <c r="K236" s="50">
        <v>121210</v>
      </c>
      <c r="L236" s="50">
        <v>773004</v>
      </c>
      <c r="M236" s="50">
        <v>11075</v>
      </c>
      <c r="N236" s="50">
        <v>1183884</v>
      </c>
    </row>
    <row r="237" spans="2:14">
      <c r="B237" s="50" t="s">
        <v>26</v>
      </c>
      <c r="C237" s="50">
        <v>4</v>
      </c>
      <c r="D237" s="50">
        <v>181</v>
      </c>
      <c r="E237" s="50">
        <v>4</v>
      </c>
      <c r="F237" s="50">
        <v>14</v>
      </c>
      <c r="G237" s="50">
        <v>104550</v>
      </c>
      <c r="H237" s="50">
        <v>2872685</v>
      </c>
      <c r="I237" s="50">
        <v>20292200</v>
      </c>
      <c r="J237" s="50">
        <v>124566</v>
      </c>
      <c r="K237" s="50">
        <v>0</v>
      </c>
      <c r="L237" s="50">
        <v>413777</v>
      </c>
      <c r="M237" s="50">
        <v>11578</v>
      </c>
      <c r="N237" s="50">
        <v>728509</v>
      </c>
    </row>
    <row r="238" spans="2:14">
      <c r="B238" s="50" t="s">
        <v>27</v>
      </c>
      <c r="C238" s="50">
        <v>2</v>
      </c>
      <c r="D238" s="50">
        <v>77</v>
      </c>
      <c r="E238" s="50">
        <v>1</v>
      </c>
      <c r="F238" s="50">
        <v>9</v>
      </c>
      <c r="G238" s="50">
        <v>47713</v>
      </c>
      <c r="H238" s="50">
        <v>2332044</v>
      </c>
      <c r="I238" s="50">
        <v>9168253</v>
      </c>
      <c r="J238" s="50">
        <v>2340</v>
      </c>
      <c r="K238" s="50">
        <v>112338</v>
      </c>
      <c r="L238" s="50">
        <v>720893</v>
      </c>
      <c r="M238" s="50">
        <v>6011</v>
      </c>
      <c r="N238" s="50">
        <v>779821</v>
      </c>
    </row>
    <row r="239" spans="1:14">
      <c r="A239">
        <v>5179</v>
      </c>
      <c r="B239" s="50" t="s">
        <v>25</v>
      </c>
      <c r="C239" s="50">
        <v>6</v>
      </c>
      <c r="D239" s="50">
        <v>249</v>
      </c>
      <c r="E239" s="50">
        <v>7</v>
      </c>
      <c r="F239" s="50">
        <v>12</v>
      </c>
      <c r="G239" s="50">
        <v>124257</v>
      </c>
      <c r="H239" s="50">
        <v>2784266</v>
      </c>
      <c r="I239" s="50">
        <v>19730081</v>
      </c>
      <c r="J239" s="50">
        <v>56602</v>
      </c>
      <c r="K239" s="50">
        <v>0</v>
      </c>
      <c r="L239" s="50">
        <v>408530</v>
      </c>
      <c r="M239" s="50">
        <v>10370</v>
      </c>
      <c r="N239" s="50">
        <v>880665</v>
      </c>
    </row>
    <row r="240" spans="2:14">
      <c r="B240" s="50" t="s">
        <v>26</v>
      </c>
      <c r="C240" s="50">
        <v>1</v>
      </c>
      <c r="D240" s="50">
        <v>71</v>
      </c>
      <c r="E240" s="50">
        <v>1</v>
      </c>
      <c r="F240" s="50">
        <v>19</v>
      </c>
      <c r="G240" s="50">
        <v>88249</v>
      </c>
      <c r="H240" s="50">
        <v>1724515</v>
      </c>
      <c r="I240" s="50">
        <v>12640891</v>
      </c>
      <c r="J240" s="50">
        <v>29388</v>
      </c>
      <c r="K240" s="50">
        <v>0</v>
      </c>
      <c r="L240" s="50">
        <v>149508</v>
      </c>
      <c r="M240" s="50">
        <v>5196</v>
      </c>
      <c r="N240" s="50">
        <v>455532</v>
      </c>
    </row>
    <row r="241" spans="2:14">
      <c r="B241" s="50" t="s">
        <v>27</v>
      </c>
      <c r="C241" s="50">
        <v>2</v>
      </c>
      <c r="D241" s="50">
        <v>75</v>
      </c>
      <c r="E241" s="50">
        <v>2</v>
      </c>
      <c r="F241" s="50">
        <v>14</v>
      </c>
      <c r="G241" s="50">
        <v>76333</v>
      </c>
      <c r="H241" s="50">
        <v>1612957</v>
      </c>
      <c r="I241" s="50">
        <v>10454338</v>
      </c>
      <c r="J241" s="50">
        <v>7204</v>
      </c>
      <c r="K241" s="50">
        <v>0</v>
      </c>
      <c r="L241" s="50">
        <v>91243</v>
      </c>
      <c r="M241" s="50">
        <v>4251</v>
      </c>
      <c r="N241" s="50">
        <v>511613</v>
      </c>
    </row>
    <row r="242" spans="1:14">
      <c r="A242">
        <v>5180</v>
      </c>
      <c r="B242" s="50" t="s">
        <v>25</v>
      </c>
      <c r="C242" s="50">
        <v>6</v>
      </c>
      <c r="D242" s="50">
        <v>181</v>
      </c>
      <c r="E242" s="50">
        <v>6</v>
      </c>
      <c r="F242" s="50">
        <v>15</v>
      </c>
      <c r="G242" s="50">
        <v>129201</v>
      </c>
      <c r="H242" s="50">
        <v>2662742</v>
      </c>
      <c r="I242" s="50">
        <v>20698113</v>
      </c>
      <c r="J242" s="50">
        <v>112844</v>
      </c>
      <c r="K242" s="50">
        <v>0</v>
      </c>
      <c r="L242" s="50">
        <v>385471</v>
      </c>
      <c r="M242" s="50">
        <v>11366</v>
      </c>
      <c r="N242" s="50">
        <v>735923</v>
      </c>
    </row>
    <row r="243" spans="2:14">
      <c r="B243" s="50" t="s">
        <v>26</v>
      </c>
      <c r="C243" s="50">
        <v>1</v>
      </c>
      <c r="D243" s="50">
        <v>130</v>
      </c>
      <c r="E243" s="50">
        <v>1</v>
      </c>
      <c r="F243" s="50">
        <v>16</v>
      </c>
      <c r="G243" s="50">
        <v>81461</v>
      </c>
      <c r="H243" s="50">
        <v>1343242</v>
      </c>
      <c r="I243" s="50">
        <v>11125799</v>
      </c>
      <c r="J243" s="50">
        <v>7774</v>
      </c>
      <c r="K243" s="50">
        <v>0</v>
      </c>
      <c r="L243" s="50">
        <v>123175</v>
      </c>
      <c r="M243" s="50">
        <v>4557</v>
      </c>
      <c r="N243" s="50">
        <v>431464</v>
      </c>
    </row>
    <row r="244" spans="2:14">
      <c r="B244" s="50" t="s">
        <v>27</v>
      </c>
      <c r="C244" s="50">
        <v>2</v>
      </c>
      <c r="D244" s="50">
        <v>84</v>
      </c>
      <c r="E244" s="50">
        <v>3</v>
      </c>
      <c r="F244" s="50">
        <v>16</v>
      </c>
      <c r="G244" s="50">
        <v>81363</v>
      </c>
      <c r="H244" s="50">
        <v>1752204</v>
      </c>
      <c r="I244" s="50">
        <v>11420444</v>
      </c>
      <c r="J244" s="50">
        <v>16212</v>
      </c>
      <c r="K244" s="50">
        <v>0</v>
      </c>
      <c r="L244" s="50">
        <v>117935</v>
      </c>
      <c r="M244" s="50">
        <v>4886</v>
      </c>
      <c r="N244" s="50">
        <v>583687</v>
      </c>
    </row>
    <row r="245" spans="1:14">
      <c r="A245">
        <v>5181</v>
      </c>
      <c r="B245" s="50" t="s">
        <v>25</v>
      </c>
      <c r="C245" s="50">
        <v>7</v>
      </c>
      <c r="D245" s="50">
        <v>264</v>
      </c>
      <c r="E245" s="50">
        <v>8</v>
      </c>
      <c r="F245" s="50">
        <v>28</v>
      </c>
      <c r="G245" s="50">
        <v>192767</v>
      </c>
      <c r="H245" s="50">
        <v>2978266</v>
      </c>
      <c r="I245" s="50">
        <v>35056797</v>
      </c>
      <c r="J245" s="50">
        <v>113172</v>
      </c>
      <c r="K245" s="50">
        <v>0</v>
      </c>
      <c r="L245" s="50">
        <v>706953</v>
      </c>
      <c r="M245" s="50">
        <v>14536</v>
      </c>
      <c r="N245" s="50">
        <v>854624</v>
      </c>
    </row>
    <row r="246" spans="2:14">
      <c r="B246" s="50" t="s">
        <v>26</v>
      </c>
      <c r="C246" s="50">
        <v>0</v>
      </c>
      <c r="D246" s="50">
        <v>53</v>
      </c>
      <c r="E246" s="50">
        <v>0</v>
      </c>
      <c r="F246" s="50">
        <v>12</v>
      </c>
      <c r="G246" s="50">
        <v>22909</v>
      </c>
      <c r="H246" s="50">
        <v>947193</v>
      </c>
      <c r="I246" s="50">
        <v>5810315</v>
      </c>
      <c r="J246" s="50">
        <v>10090</v>
      </c>
      <c r="K246" s="50">
        <v>0</v>
      </c>
      <c r="L246" s="50">
        <v>71842</v>
      </c>
      <c r="M246" s="50">
        <v>2511</v>
      </c>
      <c r="N246" s="50">
        <v>306510</v>
      </c>
    </row>
    <row r="247" spans="2:14">
      <c r="B247" s="50" t="s">
        <v>27</v>
      </c>
      <c r="C247" s="50">
        <v>2</v>
      </c>
      <c r="D247" s="50">
        <v>78</v>
      </c>
      <c r="E247" s="50">
        <v>2</v>
      </c>
      <c r="F247" s="50">
        <v>17</v>
      </c>
      <c r="G247" s="50">
        <v>74748</v>
      </c>
      <c r="H247" s="50">
        <v>2367367</v>
      </c>
      <c r="I247" s="50">
        <v>14791780</v>
      </c>
      <c r="J247" s="50">
        <v>54010</v>
      </c>
      <c r="K247" s="50">
        <v>0</v>
      </c>
      <c r="L247" s="50">
        <v>264828</v>
      </c>
      <c r="M247" s="50">
        <v>6952</v>
      </c>
      <c r="N247" s="50">
        <v>780367</v>
      </c>
    </row>
    <row r="248" spans="1:14">
      <c r="A248">
        <v>5182</v>
      </c>
      <c r="B248" s="50" t="s">
        <v>25</v>
      </c>
      <c r="C248" s="50">
        <v>1</v>
      </c>
      <c r="D248" s="50">
        <v>116</v>
      </c>
      <c r="E248" s="50">
        <v>3</v>
      </c>
      <c r="F248" s="50">
        <v>16</v>
      </c>
      <c r="G248" s="50">
        <v>89902</v>
      </c>
      <c r="H248" s="50">
        <v>1932751</v>
      </c>
      <c r="I248" s="50">
        <v>14828760</v>
      </c>
      <c r="J248" s="50">
        <v>34944</v>
      </c>
      <c r="K248" s="50">
        <v>0</v>
      </c>
      <c r="L248" s="50">
        <v>222822</v>
      </c>
      <c r="M248" s="50">
        <v>6284</v>
      </c>
      <c r="N248" s="50">
        <v>520868</v>
      </c>
    </row>
    <row r="249" spans="2:14">
      <c r="B249" s="50" t="s">
        <v>26</v>
      </c>
      <c r="C249" s="50">
        <v>6</v>
      </c>
      <c r="D249" s="50">
        <v>214</v>
      </c>
      <c r="E249" s="50">
        <v>6</v>
      </c>
      <c r="F249" s="50">
        <v>18</v>
      </c>
      <c r="G249" s="50">
        <v>121881</v>
      </c>
      <c r="H249" s="50">
        <v>2884481</v>
      </c>
      <c r="I249" s="50">
        <v>22854306</v>
      </c>
      <c r="J249" s="50">
        <v>53298</v>
      </c>
      <c r="K249" s="50">
        <v>0</v>
      </c>
      <c r="L249" s="50">
        <v>545301</v>
      </c>
      <c r="M249" s="50">
        <v>10390</v>
      </c>
      <c r="N249" s="50">
        <v>707883</v>
      </c>
    </row>
    <row r="250" spans="2:14">
      <c r="B250" s="50" t="s">
        <v>27</v>
      </c>
      <c r="C250" s="50">
        <v>2</v>
      </c>
      <c r="D250" s="50">
        <v>65</v>
      </c>
      <c r="E250" s="50">
        <v>1</v>
      </c>
      <c r="F250" s="50">
        <v>21</v>
      </c>
      <c r="G250" s="50">
        <v>74178</v>
      </c>
      <c r="H250" s="50">
        <v>1929164</v>
      </c>
      <c r="I250" s="50">
        <v>14377687</v>
      </c>
      <c r="J250" s="50">
        <v>24610</v>
      </c>
      <c r="K250" s="50">
        <v>0</v>
      </c>
      <c r="L250" s="50">
        <v>124228</v>
      </c>
      <c r="M250" s="50">
        <v>5388</v>
      </c>
      <c r="N250" s="50">
        <v>637143</v>
      </c>
    </row>
    <row r="251" spans="1:14">
      <c r="A251">
        <v>5183</v>
      </c>
      <c r="B251" s="50" t="s">
        <v>25</v>
      </c>
      <c r="C251" s="50">
        <v>0</v>
      </c>
      <c r="D251" s="50">
        <v>51</v>
      </c>
      <c r="E251" s="50">
        <v>2</v>
      </c>
      <c r="F251" s="50">
        <v>10</v>
      </c>
      <c r="G251" s="50">
        <v>65356</v>
      </c>
      <c r="H251" s="50">
        <v>1896353</v>
      </c>
      <c r="I251" s="50">
        <v>10287720</v>
      </c>
      <c r="J251" s="50">
        <v>16690</v>
      </c>
      <c r="K251" s="50">
        <v>0</v>
      </c>
      <c r="L251" s="50">
        <v>42202</v>
      </c>
      <c r="M251" s="50">
        <v>4283</v>
      </c>
      <c r="N251" s="50">
        <v>562814</v>
      </c>
    </row>
    <row r="252" spans="2:14">
      <c r="B252" s="50" t="s">
        <v>26</v>
      </c>
      <c r="C252" s="50">
        <v>8</v>
      </c>
      <c r="D252" s="50">
        <v>246</v>
      </c>
      <c r="E252" s="50">
        <v>6</v>
      </c>
      <c r="F252" s="50">
        <v>21</v>
      </c>
      <c r="G252" s="50">
        <v>141395</v>
      </c>
      <c r="H252" s="50">
        <v>3324478</v>
      </c>
      <c r="I252" s="50">
        <v>25206893</v>
      </c>
      <c r="J252" s="50">
        <v>70328</v>
      </c>
      <c r="K252" s="50">
        <v>0</v>
      </c>
      <c r="L252" s="50">
        <v>672077</v>
      </c>
      <c r="M252" s="50">
        <v>12258</v>
      </c>
      <c r="N252" s="50">
        <v>913942</v>
      </c>
    </row>
    <row r="253" spans="2:14">
      <c r="B253" s="50" t="s">
        <v>27</v>
      </c>
      <c r="C253" s="50">
        <v>1</v>
      </c>
      <c r="D253" s="50">
        <v>98</v>
      </c>
      <c r="E253" s="50">
        <v>2</v>
      </c>
      <c r="F253" s="50">
        <v>10</v>
      </c>
      <c r="G253" s="50">
        <v>62527</v>
      </c>
      <c r="H253" s="50">
        <v>2056241</v>
      </c>
      <c r="I253" s="50">
        <v>9990875</v>
      </c>
      <c r="J253" s="50">
        <v>15536</v>
      </c>
      <c r="K253" s="50">
        <v>0</v>
      </c>
      <c r="L253" s="50">
        <v>142349</v>
      </c>
      <c r="M253" s="50">
        <v>4985</v>
      </c>
      <c r="N253" s="50">
        <v>603769</v>
      </c>
    </row>
    <row r="254" spans="1:14">
      <c r="A254">
        <v>5184</v>
      </c>
      <c r="B254" s="50" t="s">
        <v>25</v>
      </c>
      <c r="C254" s="50">
        <v>5</v>
      </c>
      <c r="D254" s="50">
        <v>190</v>
      </c>
      <c r="E254" s="50">
        <v>5</v>
      </c>
      <c r="F254" s="50">
        <v>21</v>
      </c>
      <c r="G254" s="50">
        <v>148935</v>
      </c>
      <c r="H254" s="50">
        <v>1921870</v>
      </c>
      <c r="I254" s="50">
        <v>18833669</v>
      </c>
      <c r="J254" s="50">
        <v>37050</v>
      </c>
      <c r="K254" s="50">
        <v>0</v>
      </c>
      <c r="L254" s="50">
        <v>392837</v>
      </c>
      <c r="M254" s="50">
        <v>8257</v>
      </c>
      <c r="N254" s="50">
        <v>505734</v>
      </c>
    </row>
    <row r="255" spans="2:14">
      <c r="B255" s="50" t="s">
        <v>26</v>
      </c>
      <c r="C255" s="50">
        <v>0</v>
      </c>
      <c r="D255" s="50">
        <v>54</v>
      </c>
      <c r="E255" s="50">
        <v>0</v>
      </c>
      <c r="F255" s="50">
        <v>15</v>
      </c>
      <c r="G255" s="50">
        <v>31099</v>
      </c>
      <c r="H255" s="50">
        <v>598166</v>
      </c>
      <c r="I255" s="50">
        <v>4897478</v>
      </c>
      <c r="J255" s="50">
        <v>1260</v>
      </c>
      <c r="K255" s="50">
        <v>0</v>
      </c>
      <c r="L255" s="50">
        <v>81449</v>
      </c>
      <c r="M255" s="50">
        <v>1861</v>
      </c>
      <c r="N255" s="50">
        <v>154902</v>
      </c>
    </row>
    <row r="256" spans="2:14">
      <c r="B256" s="50" t="s">
        <v>27</v>
      </c>
      <c r="C256" s="50">
        <v>4</v>
      </c>
      <c r="D256" s="50">
        <v>151</v>
      </c>
      <c r="E256" s="50">
        <v>5</v>
      </c>
      <c r="F256" s="50">
        <v>20</v>
      </c>
      <c r="G256" s="50">
        <v>133155</v>
      </c>
      <c r="H256" s="50">
        <v>1707327</v>
      </c>
      <c r="I256" s="50">
        <v>16282907</v>
      </c>
      <c r="J256" s="50">
        <v>8722</v>
      </c>
      <c r="K256" s="50">
        <v>0</v>
      </c>
      <c r="L256" s="50">
        <v>208757</v>
      </c>
      <c r="M256" s="50">
        <v>6277</v>
      </c>
      <c r="N256" s="50">
        <v>471290</v>
      </c>
    </row>
    <row r="257" spans="1:14">
      <c r="A257">
        <v>5185</v>
      </c>
      <c r="B257" s="50" t="s">
        <v>25</v>
      </c>
      <c r="C257" s="50">
        <v>2</v>
      </c>
      <c r="D257" s="50">
        <v>56</v>
      </c>
      <c r="E257" s="50">
        <v>2</v>
      </c>
      <c r="F257" s="50">
        <v>7</v>
      </c>
      <c r="G257" s="50">
        <v>31666</v>
      </c>
      <c r="H257" s="50">
        <v>1632131</v>
      </c>
      <c r="I257" s="50">
        <v>6609178</v>
      </c>
      <c r="J257" s="50">
        <v>11962</v>
      </c>
      <c r="K257" s="50">
        <v>0</v>
      </c>
      <c r="L257" s="50">
        <v>59221</v>
      </c>
      <c r="M257" s="50">
        <v>3599</v>
      </c>
      <c r="N257" s="50">
        <v>455324</v>
      </c>
    </row>
    <row r="258" spans="2:14">
      <c r="B258" s="50" t="s">
        <v>26</v>
      </c>
      <c r="C258" s="50">
        <v>4</v>
      </c>
      <c r="D258" s="50">
        <v>176</v>
      </c>
      <c r="E258" s="50">
        <v>4</v>
      </c>
      <c r="F258" s="50">
        <v>29</v>
      </c>
      <c r="G258" s="50">
        <v>138249</v>
      </c>
      <c r="H258" s="50">
        <v>2632680</v>
      </c>
      <c r="I258" s="50">
        <v>27747805</v>
      </c>
      <c r="J258" s="50">
        <v>102388</v>
      </c>
      <c r="K258" s="50">
        <v>0</v>
      </c>
      <c r="L258" s="50">
        <v>730165</v>
      </c>
      <c r="M258" s="50">
        <v>11695</v>
      </c>
      <c r="N258" s="50">
        <v>1068028</v>
      </c>
    </row>
    <row r="259" spans="2:14">
      <c r="B259" s="50" t="s">
        <v>27</v>
      </c>
      <c r="C259" s="50">
        <v>3</v>
      </c>
      <c r="D259" s="50">
        <v>163</v>
      </c>
      <c r="E259" s="50">
        <v>4</v>
      </c>
      <c r="F259" s="50">
        <v>26</v>
      </c>
      <c r="G259" s="50">
        <v>135350</v>
      </c>
      <c r="H259" s="50">
        <v>3034868</v>
      </c>
      <c r="I259" s="50">
        <v>26836124</v>
      </c>
      <c r="J259" s="50">
        <v>88306</v>
      </c>
      <c r="K259" s="50">
        <v>0</v>
      </c>
      <c r="L259" s="50">
        <v>458627</v>
      </c>
      <c r="M259" s="50">
        <v>11203</v>
      </c>
      <c r="N259" s="50">
        <v>940623</v>
      </c>
    </row>
    <row r="260" spans="1:14">
      <c r="A260">
        <v>5186</v>
      </c>
      <c r="B260" s="50" t="s">
        <v>25</v>
      </c>
      <c r="C260" s="50">
        <v>6</v>
      </c>
      <c r="D260" s="50">
        <v>216</v>
      </c>
      <c r="E260" s="50">
        <v>5</v>
      </c>
      <c r="F260" s="50">
        <v>16</v>
      </c>
      <c r="G260" s="50">
        <v>124769</v>
      </c>
      <c r="H260" s="50">
        <v>2638507</v>
      </c>
      <c r="I260" s="50">
        <v>17145065</v>
      </c>
      <c r="J260" s="50">
        <v>20742</v>
      </c>
      <c r="K260" s="50">
        <v>0</v>
      </c>
      <c r="L260" s="50">
        <v>376040</v>
      </c>
      <c r="M260" s="50">
        <v>8547</v>
      </c>
      <c r="N260" s="50">
        <v>702734</v>
      </c>
    </row>
    <row r="261" spans="2:14">
      <c r="B261" s="50" t="s">
        <v>26</v>
      </c>
      <c r="C261" s="50">
        <v>1</v>
      </c>
      <c r="D261" s="50">
        <v>99</v>
      </c>
      <c r="E261" s="50">
        <v>2</v>
      </c>
      <c r="F261" s="50">
        <v>23</v>
      </c>
      <c r="G261" s="50">
        <v>84074</v>
      </c>
      <c r="H261" s="50">
        <v>1636954</v>
      </c>
      <c r="I261" s="50">
        <v>12621576</v>
      </c>
      <c r="J261" s="50">
        <v>2500</v>
      </c>
      <c r="K261" s="50">
        <v>0</v>
      </c>
      <c r="L261" s="50">
        <v>165837</v>
      </c>
      <c r="M261" s="50">
        <v>4567</v>
      </c>
      <c r="N261" s="50">
        <v>498502</v>
      </c>
    </row>
    <row r="262" spans="2:14">
      <c r="B262" s="50" t="s">
        <v>27</v>
      </c>
      <c r="C262" s="50">
        <v>2</v>
      </c>
      <c r="D262" s="50">
        <v>80</v>
      </c>
      <c r="E262" s="50">
        <v>3</v>
      </c>
      <c r="F262" s="50">
        <v>11</v>
      </c>
      <c r="G262" s="50">
        <v>56829</v>
      </c>
      <c r="H262" s="50">
        <v>1509513</v>
      </c>
      <c r="I262" s="50">
        <v>8093963</v>
      </c>
      <c r="J262" s="50">
        <v>7942</v>
      </c>
      <c r="K262" s="50">
        <v>0</v>
      </c>
      <c r="L262" s="50">
        <v>167095</v>
      </c>
      <c r="M262" s="50">
        <v>3924</v>
      </c>
      <c r="N262" s="50">
        <v>405741</v>
      </c>
    </row>
    <row r="263" spans="1:14">
      <c r="A263">
        <v>5187</v>
      </c>
      <c r="B263" s="50" t="s">
        <v>25</v>
      </c>
      <c r="C263" s="50">
        <v>0</v>
      </c>
      <c r="D263" s="50">
        <v>34</v>
      </c>
      <c r="E263" s="50">
        <v>0</v>
      </c>
      <c r="F263" s="50">
        <v>14</v>
      </c>
      <c r="G263" s="50">
        <v>40404</v>
      </c>
      <c r="H263" s="50">
        <v>858707</v>
      </c>
      <c r="I263" s="50">
        <v>5274491</v>
      </c>
      <c r="J263" s="50">
        <v>3838</v>
      </c>
      <c r="K263" s="50">
        <v>0</v>
      </c>
      <c r="L263" s="50">
        <v>121691</v>
      </c>
      <c r="M263" s="50">
        <v>2104</v>
      </c>
      <c r="N263" s="50">
        <v>339508</v>
      </c>
    </row>
    <row r="264" spans="2:14">
      <c r="B264" s="50" t="s">
        <v>26</v>
      </c>
      <c r="C264" s="50">
        <v>8</v>
      </c>
      <c r="D264" s="50">
        <v>310</v>
      </c>
      <c r="E264" s="50">
        <v>7</v>
      </c>
      <c r="F264" s="50">
        <v>21</v>
      </c>
      <c r="G264" s="50">
        <v>165702</v>
      </c>
      <c r="H264" s="50">
        <v>2632516</v>
      </c>
      <c r="I264" s="50">
        <v>22520950</v>
      </c>
      <c r="J264" s="50">
        <v>74602</v>
      </c>
      <c r="K264" s="50">
        <v>7266</v>
      </c>
      <c r="L264" s="50">
        <v>520628</v>
      </c>
      <c r="M264" s="50">
        <v>12184</v>
      </c>
      <c r="N264" s="50">
        <v>818884</v>
      </c>
    </row>
    <row r="265" spans="2:14">
      <c r="B265" s="50" t="s">
        <v>27</v>
      </c>
      <c r="C265" s="50">
        <v>1</v>
      </c>
      <c r="D265" s="50">
        <v>51</v>
      </c>
      <c r="E265" s="50">
        <v>3</v>
      </c>
      <c r="F265" s="50">
        <v>11</v>
      </c>
      <c r="G265" s="50">
        <v>61633</v>
      </c>
      <c r="H265" s="50">
        <v>1379509</v>
      </c>
      <c r="I265" s="50">
        <v>7473211</v>
      </c>
      <c r="J265" s="50">
        <v>12188</v>
      </c>
      <c r="K265" s="50">
        <v>0</v>
      </c>
      <c r="L265" s="50">
        <v>73450</v>
      </c>
      <c r="M265" s="50">
        <v>3447</v>
      </c>
      <c r="N265" s="50">
        <v>345488</v>
      </c>
    </row>
    <row r="266" spans="1:14">
      <c r="A266">
        <v>5188</v>
      </c>
      <c r="B266" s="50" t="s">
        <v>25</v>
      </c>
      <c r="C266" s="50">
        <v>3</v>
      </c>
      <c r="D266" s="50">
        <v>101</v>
      </c>
      <c r="E266" s="50">
        <v>3</v>
      </c>
      <c r="F266" s="50">
        <v>18</v>
      </c>
      <c r="G266" s="50">
        <v>93958</v>
      </c>
      <c r="H266" s="50">
        <v>1844953</v>
      </c>
      <c r="I266" s="50">
        <v>15778265</v>
      </c>
      <c r="J266" s="50">
        <v>18796</v>
      </c>
      <c r="K266" s="50">
        <v>0</v>
      </c>
      <c r="L266" s="50">
        <v>273921</v>
      </c>
      <c r="M266" s="50">
        <v>5903</v>
      </c>
      <c r="N266" s="50">
        <v>536087</v>
      </c>
    </row>
    <row r="267" spans="2:14">
      <c r="B267" s="50" t="s">
        <v>26</v>
      </c>
      <c r="C267" s="50">
        <v>3</v>
      </c>
      <c r="D267" s="50">
        <v>159</v>
      </c>
      <c r="E267" s="50">
        <v>2</v>
      </c>
      <c r="F267" s="50">
        <v>23</v>
      </c>
      <c r="G267" s="50">
        <v>101350</v>
      </c>
      <c r="H267" s="50">
        <v>1796119</v>
      </c>
      <c r="I267" s="50">
        <v>17582258</v>
      </c>
      <c r="J267" s="50">
        <v>16846</v>
      </c>
      <c r="K267" s="50">
        <v>0</v>
      </c>
      <c r="L267" s="50">
        <v>252888</v>
      </c>
      <c r="M267" s="50">
        <v>6582</v>
      </c>
      <c r="N267" s="50">
        <v>659406</v>
      </c>
    </row>
    <row r="268" spans="2:14">
      <c r="B268" s="50" t="s">
        <v>27</v>
      </c>
      <c r="C268" s="50">
        <v>3</v>
      </c>
      <c r="D268" s="50">
        <v>134</v>
      </c>
      <c r="E268" s="50">
        <v>5</v>
      </c>
      <c r="F268" s="50">
        <v>15</v>
      </c>
      <c r="G268" s="50">
        <v>107133</v>
      </c>
      <c r="H268" s="50">
        <v>2827020</v>
      </c>
      <c r="I268" s="50">
        <v>18853656</v>
      </c>
      <c r="J268" s="50">
        <v>45522</v>
      </c>
      <c r="K268" s="50">
        <v>0</v>
      </c>
      <c r="L268" s="50">
        <v>505543</v>
      </c>
      <c r="M268" s="50">
        <v>8506</v>
      </c>
      <c r="N268" s="50">
        <v>758928</v>
      </c>
    </row>
    <row r="269" spans="1:14">
      <c r="A269">
        <v>5189</v>
      </c>
      <c r="B269" s="50" t="s">
        <v>25</v>
      </c>
      <c r="C269" s="50">
        <v>3</v>
      </c>
      <c r="D269" s="50">
        <v>109</v>
      </c>
      <c r="E269" s="50">
        <v>4</v>
      </c>
      <c r="F269" s="50">
        <v>14</v>
      </c>
      <c r="G269" s="50">
        <v>106648</v>
      </c>
      <c r="H269" s="50">
        <v>1696966</v>
      </c>
      <c r="I269" s="50">
        <v>13570276</v>
      </c>
      <c r="J269" s="50">
        <v>7952</v>
      </c>
      <c r="K269" s="50">
        <v>0</v>
      </c>
      <c r="L269" s="50">
        <v>250734</v>
      </c>
      <c r="M269" s="50">
        <v>5341</v>
      </c>
      <c r="N269" s="50">
        <v>601146</v>
      </c>
    </row>
    <row r="270" spans="2:14">
      <c r="B270" s="50" t="s">
        <v>26</v>
      </c>
      <c r="C270" s="50">
        <v>2</v>
      </c>
      <c r="D270" s="50">
        <v>119</v>
      </c>
      <c r="E270" s="50">
        <v>1</v>
      </c>
      <c r="F270" s="50">
        <v>14</v>
      </c>
      <c r="G270" s="50">
        <v>55502</v>
      </c>
      <c r="H270" s="50">
        <v>1486377</v>
      </c>
      <c r="I270" s="50">
        <v>7699215</v>
      </c>
      <c r="J270" s="50">
        <v>3804</v>
      </c>
      <c r="K270" s="50">
        <v>0</v>
      </c>
      <c r="L270" s="50">
        <v>246299</v>
      </c>
      <c r="M270" s="50">
        <v>4161</v>
      </c>
      <c r="N270" s="50">
        <v>477444</v>
      </c>
    </row>
    <row r="271" spans="2:14">
      <c r="B271" s="50" t="s">
        <v>27</v>
      </c>
      <c r="C271" s="50">
        <v>4</v>
      </c>
      <c r="D271" s="50">
        <v>167</v>
      </c>
      <c r="E271" s="50">
        <v>5</v>
      </c>
      <c r="F271" s="50">
        <v>20</v>
      </c>
      <c r="G271" s="50">
        <v>114543</v>
      </c>
      <c r="H271" s="50">
        <v>2029175</v>
      </c>
      <c r="I271" s="50">
        <v>15530632</v>
      </c>
      <c r="J271" s="50">
        <v>8860</v>
      </c>
      <c r="K271" s="50">
        <v>0</v>
      </c>
      <c r="L271" s="50">
        <v>408675</v>
      </c>
      <c r="M271" s="50">
        <v>6695</v>
      </c>
      <c r="N271" s="50">
        <v>533680</v>
      </c>
    </row>
    <row r="272" spans="1:14">
      <c r="A272">
        <v>5190</v>
      </c>
      <c r="B272" s="50" t="s">
        <v>25</v>
      </c>
      <c r="C272" s="50">
        <v>2</v>
      </c>
      <c r="D272" s="50">
        <v>105</v>
      </c>
      <c r="E272" s="50">
        <v>3</v>
      </c>
      <c r="F272" s="50">
        <v>10</v>
      </c>
      <c r="G272" s="50">
        <v>82769</v>
      </c>
      <c r="H272" s="50">
        <v>1820119</v>
      </c>
      <c r="I272" s="50">
        <v>8874578</v>
      </c>
      <c r="J272" s="50">
        <v>14612</v>
      </c>
      <c r="K272" s="50">
        <v>0</v>
      </c>
      <c r="L272" s="50">
        <v>136063</v>
      </c>
      <c r="M272" s="50">
        <v>4877</v>
      </c>
      <c r="N272" s="50">
        <v>514149</v>
      </c>
    </row>
    <row r="273" spans="2:14">
      <c r="B273" s="50" t="s">
        <v>26</v>
      </c>
      <c r="C273" s="50">
        <v>3</v>
      </c>
      <c r="D273" s="50">
        <v>70</v>
      </c>
      <c r="E273" s="50">
        <v>0</v>
      </c>
      <c r="F273" s="50">
        <v>10</v>
      </c>
      <c r="G273" s="50">
        <v>38751</v>
      </c>
      <c r="H273" s="50">
        <v>622359</v>
      </c>
      <c r="I273" s="50">
        <v>3619625</v>
      </c>
      <c r="J273" s="50">
        <v>126</v>
      </c>
      <c r="K273" s="50">
        <v>0</v>
      </c>
      <c r="L273" s="50">
        <v>56672</v>
      </c>
      <c r="M273" s="50">
        <v>2210</v>
      </c>
      <c r="N273" s="50">
        <v>191051</v>
      </c>
    </row>
    <row r="274" spans="2:14">
      <c r="B274" s="50" t="s">
        <v>27</v>
      </c>
      <c r="C274" s="50">
        <v>4</v>
      </c>
      <c r="D274" s="50">
        <v>220</v>
      </c>
      <c r="E274" s="50">
        <v>7</v>
      </c>
      <c r="F274" s="50">
        <v>11</v>
      </c>
      <c r="G274" s="50">
        <v>111349</v>
      </c>
      <c r="H274" s="50">
        <v>2192585</v>
      </c>
      <c r="I274" s="50">
        <v>13964617</v>
      </c>
      <c r="J274" s="50">
        <v>46106</v>
      </c>
      <c r="K274" s="50">
        <v>0</v>
      </c>
      <c r="L274" s="50">
        <v>408809</v>
      </c>
      <c r="M274" s="50">
        <v>8333</v>
      </c>
      <c r="N274" s="50">
        <v>625255</v>
      </c>
    </row>
    <row r="275" spans="1:14">
      <c r="A275">
        <v>5191</v>
      </c>
      <c r="B275" s="50" t="s">
        <v>25</v>
      </c>
      <c r="C275" s="50">
        <v>9</v>
      </c>
      <c r="D275" s="50">
        <v>347</v>
      </c>
      <c r="E275" s="50">
        <v>10</v>
      </c>
      <c r="F275" s="50">
        <v>8</v>
      </c>
      <c r="G275" s="50">
        <v>143225</v>
      </c>
      <c r="H275" s="50">
        <v>2198983</v>
      </c>
      <c r="I275" s="50">
        <v>15749390</v>
      </c>
      <c r="J275" s="50">
        <v>25422</v>
      </c>
      <c r="K275" s="50">
        <v>0</v>
      </c>
      <c r="L275" s="50">
        <v>593583</v>
      </c>
      <c r="M275" s="50">
        <v>9919</v>
      </c>
      <c r="N275" s="50">
        <v>533229</v>
      </c>
    </row>
    <row r="276" spans="2:14">
      <c r="B276" s="50" t="s">
        <v>26</v>
      </c>
      <c r="C276" s="50">
        <v>0</v>
      </c>
      <c r="D276" s="50">
        <v>21</v>
      </c>
      <c r="E276" s="50">
        <v>0</v>
      </c>
      <c r="F276" s="50">
        <v>6</v>
      </c>
      <c r="G276" s="50">
        <v>29265</v>
      </c>
      <c r="H276" s="50">
        <v>545702</v>
      </c>
      <c r="I276" s="50">
        <v>2119270</v>
      </c>
      <c r="J276" s="50">
        <v>944</v>
      </c>
      <c r="K276" s="50">
        <v>0</v>
      </c>
      <c r="L276" s="50">
        <v>55393</v>
      </c>
      <c r="M276" s="50">
        <v>1169</v>
      </c>
      <c r="N276" s="50">
        <v>154371</v>
      </c>
    </row>
    <row r="277" spans="2:14">
      <c r="B277" s="50" t="s">
        <v>27</v>
      </c>
      <c r="C277" s="50">
        <v>0</v>
      </c>
      <c r="D277" s="50">
        <v>27</v>
      </c>
      <c r="E277" s="50">
        <v>0</v>
      </c>
      <c r="F277" s="50">
        <v>7</v>
      </c>
      <c r="G277" s="50">
        <v>34384</v>
      </c>
      <c r="H277" s="50">
        <v>665783</v>
      </c>
      <c r="I277" s="50">
        <v>2618664</v>
      </c>
      <c r="J277" s="50">
        <v>328</v>
      </c>
      <c r="K277" s="50">
        <v>0</v>
      </c>
      <c r="L277" s="50">
        <v>51453</v>
      </c>
      <c r="M277" s="50">
        <v>1405</v>
      </c>
      <c r="N277" s="50">
        <v>209382</v>
      </c>
    </row>
    <row r="278" spans="1:14">
      <c r="A278">
        <v>5192</v>
      </c>
      <c r="B278" s="50" t="s">
        <v>25</v>
      </c>
      <c r="C278" s="50">
        <v>0</v>
      </c>
      <c r="D278" s="50">
        <v>52</v>
      </c>
      <c r="E278" s="50">
        <v>0</v>
      </c>
      <c r="F278" s="50">
        <v>8</v>
      </c>
      <c r="G278" s="50">
        <v>38685</v>
      </c>
      <c r="H278" s="50">
        <v>1199077</v>
      </c>
      <c r="I278" s="50">
        <v>5010378</v>
      </c>
      <c r="J278" s="50">
        <v>750</v>
      </c>
      <c r="K278" s="50">
        <v>0</v>
      </c>
      <c r="L278" s="50">
        <v>163877</v>
      </c>
      <c r="M278" s="50">
        <v>2517</v>
      </c>
      <c r="N278" s="50">
        <v>561896</v>
      </c>
    </row>
    <row r="279" spans="2:14">
      <c r="B279" s="50" t="s">
        <v>26</v>
      </c>
      <c r="C279" s="50">
        <v>5</v>
      </c>
      <c r="D279" s="50">
        <v>192</v>
      </c>
      <c r="E279" s="50">
        <v>7</v>
      </c>
      <c r="F279" s="50">
        <v>16</v>
      </c>
      <c r="G279" s="50">
        <v>145733</v>
      </c>
      <c r="H279" s="50">
        <v>2292933</v>
      </c>
      <c r="I279" s="50">
        <v>20605807</v>
      </c>
      <c r="J279" s="50">
        <v>36084</v>
      </c>
      <c r="K279" s="50">
        <v>0</v>
      </c>
      <c r="L279" s="50">
        <v>563474</v>
      </c>
      <c r="M279" s="50">
        <v>8866</v>
      </c>
      <c r="N279" s="50">
        <v>583954</v>
      </c>
    </row>
    <row r="280" spans="2:14">
      <c r="B280" s="50" t="s">
        <v>27</v>
      </c>
      <c r="C280" s="50">
        <v>4</v>
      </c>
      <c r="D280" s="50">
        <v>151</v>
      </c>
      <c r="E280" s="50">
        <v>3</v>
      </c>
      <c r="F280" s="50">
        <v>12</v>
      </c>
      <c r="G280" s="50">
        <v>83574</v>
      </c>
      <c r="H280" s="50">
        <v>2170717</v>
      </c>
      <c r="I280" s="50">
        <v>11646098</v>
      </c>
      <c r="J280" s="50">
        <v>13272</v>
      </c>
      <c r="K280" s="50">
        <v>0</v>
      </c>
      <c r="L280" s="50">
        <v>400579</v>
      </c>
      <c r="M280" s="50">
        <v>6261</v>
      </c>
      <c r="N280" s="50">
        <v>581760</v>
      </c>
    </row>
    <row r="281" spans="1:14">
      <c r="A281">
        <v>5193</v>
      </c>
      <c r="B281" s="50" t="s">
        <v>25</v>
      </c>
      <c r="C281" s="50">
        <v>0</v>
      </c>
      <c r="D281" s="50">
        <v>54</v>
      </c>
      <c r="E281" s="50">
        <v>1</v>
      </c>
      <c r="F281" s="50">
        <v>14</v>
      </c>
      <c r="G281" s="50">
        <v>78910</v>
      </c>
      <c r="H281" s="50">
        <v>1259651</v>
      </c>
      <c r="I281" s="50">
        <v>7401478</v>
      </c>
      <c r="J281" s="50">
        <v>1596</v>
      </c>
      <c r="K281" s="50">
        <v>0</v>
      </c>
      <c r="L281" s="50">
        <v>97294</v>
      </c>
      <c r="M281" s="50">
        <v>3030</v>
      </c>
      <c r="N281" s="50">
        <v>372355</v>
      </c>
    </row>
    <row r="282" spans="2:14">
      <c r="B282" s="50" t="s">
        <v>26</v>
      </c>
      <c r="C282" s="50">
        <v>0</v>
      </c>
      <c r="D282" s="50">
        <v>46</v>
      </c>
      <c r="E282" s="50">
        <v>0</v>
      </c>
      <c r="F282" s="50">
        <v>9</v>
      </c>
      <c r="G282" s="50">
        <v>43177</v>
      </c>
      <c r="H282" s="50">
        <v>1009630</v>
      </c>
      <c r="I282" s="50">
        <v>4133688</v>
      </c>
      <c r="J282" s="50">
        <v>2130</v>
      </c>
      <c r="K282" s="50">
        <v>0</v>
      </c>
      <c r="L282" s="50">
        <v>80509</v>
      </c>
      <c r="M282" s="50">
        <v>2203</v>
      </c>
      <c r="N282" s="50">
        <v>274998</v>
      </c>
    </row>
    <row r="283" spans="2:14">
      <c r="B283" s="50" t="s">
        <v>27</v>
      </c>
      <c r="C283" s="50">
        <v>9</v>
      </c>
      <c r="D283" s="50">
        <v>295</v>
      </c>
      <c r="E283" s="50">
        <v>9</v>
      </c>
      <c r="F283" s="50">
        <v>10</v>
      </c>
      <c r="G283" s="50">
        <v>134564</v>
      </c>
      <c r="H283" s="50">
        <v>1807699</v>
      </c>
      <c r="I283" s="50">
        <v>15712551</v>
      </c>
      <c r="J283" s="50">
        <v>17926</v>
      </c>
      <c r="K283" s="50">
        <v>0</v>
      </c>
      <c r="L283" s="50">
        <v>366647</v>
      </c>
      <c r="M283" s="50">
        <v>8622</v>
      </c>
      <c r="N283" s="50">
        <v>561170</v>
      </c>
    </row>
    <row r="284" spans="1:14">
      <c r="A284">
        <v>5194</v>
      </c>
      <c r="B284" s="50" t="s">
        <v>25</v>
      </c>
      <c r="C284" s="50">
        <v>0</v>
      </c>
      <c r="D284" s="50">
        <v>69</v>
      </c>
      <c r="E284" s="50">
        <v>1</v>
      </c>
      <c r="F284" s="50">
        <v>9</v>
      </c>
      <c r="G284" s="50">
        <v>47612</v>
      </c>
      <c r="H284" s="50">
        <v>1724393</v>
      </c>
      <c r="I284" s="50">
        <v>6020144</v>
      </c>
      <c r="J284" s="50">
        <v>19150</v>
      </c>
      <c r="K284" s="50">
        <v>0</v>
      </c>
      <c r="L284" s="50">
        <v>81022</v>
      </c>
      <c r="M284" s="50">
        <v>3869</v>
      </c>
      <c r="N284" s="50">
        <v>534466</v>
      </c>
    </row>
    <row r="285" spans="2:14">
      <c r="B285" s="50" t="s">
        <v>26</v>
      </c>
      <c r="C285" s="50">
        <v>6</v>
      </c>
      <c r="D285" s="50">
        <v>224</v>
      </c>
      <c r="E285" s="50">
        <v>7</v>
      </c>
      <c r="F285" s="50">
        <v>12</v>
      </c>
      <c r="G285" s="50">
        <v>134768</v>
      </c>
      <c r="H285" s="50">
        <v>3318016</v>
      </c>
      <c r="I285" s="50">
        <v>21106291</v>
      </c>
      <c r="J285" s="50">
        <v>110962</v>
      </c>
      <c r="K285" s="50">
        <v>0</v>
      </c>
      <c r="L285" s="50">
        <v>474286</v>
      </c>
      <c r="M285" s="50">
        <v>12508</v>
      </c>
      <c r="N285" s="50">
        <v>994012</v>
      </c>
    </row>
    <row r="286" spans="2:14">
      <c r="B286" s="50" t="s">
        <v>27</v>
      </c>
      <c r="C286" s="50">
        <v>3</v>
      </c>
      <c r="D286" s="50">
        <v>102</v>
      </c>
      <c r="E286" s="50">
        <v>2</v>
      </c>
      <c r="F286" s="50">
        <v>11</v>
      </c>
      <c r="G286" s="50">
        <v>68128</v>
      </c>
      <c r="H286" s="50">
        <v>1861365</v>
      </c>
      <c r="I286" s="50">
        <v>7903188</v>
      </c>
      <c r="J286" s="50">
        <v>14718</v>
      </c>
      <c r="K286" s="50">
        <v>0</v>
      </c>
      <c r="L286" s="50">
        <v>121807</v>
      </c>
      <c r="M286" s="50">
        <v>4814</v>
      </c>
      <c r="N286" s="50">
        <v>582343</v>
      </c>
    </row>
    <row r="287" spans="1:14">
      <c r="A287">
        <v>5195</v>
      </c>
      <c r="B287" s="50" t="s">
        <v>25</v>
      </c>
      <c r="C287" s="50">
        <v>5</v>
      </c>
      <c r="D287" s="50">
        <v>206</v>
      </c>
      <c r="E287" s="50">
        <v>5</v>
      </c>
      <c r="F287" s="50">
        <v>10</v>
      </c>
      <c r="G287" s="50">
        <v>98023</v>
      </c>
      <c r="H287" s="50">
        <v>2175490</v>
      </c>
      <c r="I287" s="50">
        <v>10889886</v>
      </c>
      <c r="J287" s="50">
        <v>10152</v>
      </c>
      <c r="K287" s="50">
        <v>0</v>
      </c>
      <c r="L287" s="50">
        <v>553372</v>
      </c>
      <c r="M287" s="50">
        <v>6895</v>
      </c>
      <c r="N287" s="50">
        <v>615805</v>
      </c>
    </row>
    <row r="288" spans="2:14">
      <c r="B288" s="50" t="s">
        <v>26</v>
      </c>
      <c r="C288" s="50">
        <v>1</v>
      </c>
      <c r="D288" s="50">
        <v>88</v>
      </c>
      <c r="E288" s="50">
        <v>3</v>
      </c>
      <c r="F288" s="50">
        <v>5</v>
      </c>
      <c r="G288" s="50">
        <v>44687</v>
      </c>
      <c r="H288" s="50">
        <v>1273534</v>
      </c>
      <c r="I288" s="50">
        <v>4283668</v>
      </c>
      <c r="J288" s="50">
        <v>5768</v>
      </c>
      <c r="K288" s="50">
        <v>0</v>
      </c>
      <c r="L288" s="50">
        <v>140532</v>
      </c>
      <c r="M288" s="50">
        <v>3148</v>
      </c>
      <c r="N288" s="50">
        <v>516375</v>
      </c>
    </row>
    <row r="289" spans="2:14">
      <c r="B289" s="50" t="s">
        <v>27</v>
      </c>
      <c r="C289" s="50">
        <v>3</v>
      </c>
      <c r="D289" s="50">
        <v>101</v>
      </c>
      <c r="E289" s="50">
        <v>2</v>
      </c>
      <c r="F289" s="50">
        <v>10</v>
      </c>
      <c r="G289" s="50">
        <v>77646</v>
      </c>
      <c r="H289" s="50">
        <v>1420190</v>
      </c>
      <c r="I289" s="50">
        <v>7306890</v>
      </c>
      <c r="J289" s="50">
        <v>9336</v>
      </c>
      <c r="K289" s="50">
        <v>0</v>
      </c>
      <c r="L289" s="50">
        <v>38556</v>
      </c>
      <c r="M289" s="50">
        <v>4148</v>
      </c>
      <c r="N289" s="50">
        <v>403601</v>
      </c>
    </row>
    <row r="290" spans="1:14">
      <c r="A290">
        <v>5196</v>
      </c>
      <c r="B290" s="50" t="s">
        <v>25</v>
      </c>
      <c r="C290" s="50">
        <v>3</v>
      </c>
      <c r="D290" s="50">
        <v>91</v>
      </c>
      <c r="E290" s="50">
        <v>1</v>
      </c>
      <c r="F290" s="50">
        <v>15</v>
      </c>
      <c r="G290" s="50">
        <v>81203</v>
      </c>
      <c r="H290" s="50">
        <v>1905869</v>
      </c>
      <c r="I290" s="50">
        <v>12687419</v>
      </c>
      <c r="J290" s="50">
        <v>30944</v>
      </c>
      <c r="K290" s="50">
        <v>0</v>
      </c>
      <c r="L290" s="50">
        <v>138662</v>
      </c>
      <c r="M290" s="50">
        <v>5788</v>
      </c>
      <c r="N290" s="50">
        <v>654235</v>
      </c>
    </row>
    <row r="291" spans="2:14">
      <c r="B291" s="50" t="s">
        <v>26</v>
      </c>
      <c r="C291" s="50">
        <v>4</v>
      </c>
      <c r="D291" s="50">
        <v>185</v>
      </c>
      <c r="E291" s="50">
        <v>2</v>
      </c>
      <c r="F291" s="50">
        <v>11</v>
      </c>
      <c r="G291" s="50">
        <v>58779</v>
      </c>
      <c r="H291" s="50">
        <v>2592204</v>
      </c>
      <c r="I291" s="50">
        <v>10820716</v>
      </c>
      <c r="J291" s="50">
        <v>51514</v>
      </c>
      <c r="K291" s="50">
        <v>0</v>
      </c>
      <c r="L291" s="50">
        <v>159222</v>
      </c>
      <c r="M291" s="50">
        <v>7843</v>
      </c>
      <c r="N291" s="50">
        <v>1042309</v>
      </c>
    </row>
    <row r="292" spans="2:14">
      <c r="B292" s="50" t="s">
        <v>27</v>
      </c>
      <c r="C292" s="50">
        <v>2</v>
      </c>
      <c r="D292" s="50">
        <v>119</v>
      </c>
      <c r="E292" s="50">
        <v>6</v>
      </c>
      <c r="F292" s="50">
        <v>13</v>
      </c>
      <c r="G292" s="50">
        <v>118490</v>
      </c>
      <c r="H292" s="50">
        <v>3174352</v>
      </c>
      <c r="I292" s="50">
        <v>20198816</v>
      </c>
      <c r="J292" s="50">
        <v>74984</v>
      </c>
      <c r="K292" s="50">
        <v>0</v>
      </c>
      <c r="L292" s="50">
        <v>639696</v>
      </c>
      <c r="M292" s="50">
        <v>9746</v>
      </c>
      <c r="N292" s="50">
        <v>908115</v>
      </c>
    </row>
    <row r="293" spans="1:14">
      <c r="A293">
        <v>5197</v>
      </c>
      <c r="B293" s="50" t="s">
        <v>25</v>
      </c>
      <c r="C293" s="50">
        <v>0</v>
      </c>
      <c r="D293" s="50">
        <v>47</v>
      </c>
      <c r="E293" s="50">
        <v>0</v>
      </c>
      <c r="F293" s="50">
        <v>11</v>
      </c>
      <c r="G293" s="50">
        <v>26819</v>
      </c>
      <c r="H293" s="50">
        <v>720739</v>
      </c>
      <c r="I293" s="50">
        <v>4235373</v>
      </c>
      <c r="J293" s="50">
        <v>2454</v>
      </c>
      <c r="K293" s="50">
        <v>0</v>
      </c>
      <c r="L293" s="50">
        <v>56301</v>
      </c>
      <c r="M293" s="50">
        <v>1850</v>
      </c>
      <c r="N293" s="50">
        <v>203084</v>
      </c>
    </row>
    <row r="294" spans="2:14">
      <c r="B294" s="50" t="s">
        <v>26</v>
      </c>
      <c r="C294" s="50">
        <v>7</v>
      </c>
      <c r="D294" s="50">
        <v>260</v>
      </c>
      <c r="E294" s="50">
        <v>5</v>
      </c>
      <c r="F294" s="50">
        <v>21</v>
      </c>
      <c r="G294" s="50">
        <v>140065</v>
      </c>
      <c r="H294" s="50">
        <v>2031891</v>
      </c>
      <c r="I294" s="50">
        <v>19465148</v>
      </c>
      <c r="J294" s="50">
        <v>48124</v>
      </c>
      <c r="K294" s="50">
        <v>0</v>
      </c>
      <c r="L294" s="50">
        <v>379274</v>
      </c>
      <c r="M294" s="50">
        <v>9612</v>
      </c>
      <c r="N294" s="50">
        <v>619893</v>
      </c>
    </row>
    <row r="295" spans="2:14">
      <c r="B295" s="50" t="s">
        <v>27</v>
      </c>
      <c r="C295" s="50">
        <v>2</v>
      </c>
      <c r="D295" s="50">
        <v>88</v>
      </c>
      <c r="E295" s="50">
        <v>3</v>
      </c>
      <c r="F295" s="50">
        <v>15</v>
      </c>
      <c r="G295" s="50">
        <v>95314</v>
      </c>
      <c r="H295" s="50">
        <v>1692833</v>
      </c>
      <c r="I295" s="50">
        <v>12762858</v>
      </c>
      <c r="J295" s="50">
        <v>23420</v>
      </c>
      <c r="K295" s="50">
        <v>0</v>
      </c>
      <c r="L295" s="50">
        <v>225974</v>
      </c>
      <c r="M295" s="50">
        <v>5341</v>
      </c>
      <c r="N295" s="50">
        <v>485750</v>
      </c>
    </row>
    <row r="296" spans="1:14">
      <c r="A296">
        <v>5198</v>
      </c>
      <c r="B296" s="50" t="s">
        <v>25</v>
      </c>
      <c r="C296" s="50">
        <v>5</v>
      </c>
      <c r="D296" s="50">
        <v>174</v>
      </c>
      <c r="E296" s="50">
        <v>5</v>
      </c>
      <c r="F296" s="50">
        <v>16</v>
      </c>
      <c r="G296" s="50">
        <v>114868</v>
      </c>
      <c r="H296" s="50">
        <v>2513664</v>
      </c>
      <c r="I296" s="50">
        <v>17642317</v>
      </c>
      <c r="J296" s="50">
        <v>49636</v>
      </c>
      <c r="K296" s="50">
        <v>0</v>
      </c>
      <c r="L296" s="50">
        <v>215858</v>
      </c>
      <c r="M296" s="50">
        <v>8689</v>
      </c>
      <c r="N296" s="50">
        <v>728340</v>
      </c>
    </row>
    <row r="297" spans="2:14">
      <c r="B297" s="50" t="s">
        <v>26</v>
      </c>
      <c r="C297" s="50">
        <v>2</v>
      </c>
      <c r="D297" s="50">
        <v>139</v>
      </c>
      <c r="E297" s="50">
        <v>3</v>
      </c>
      <c r="F297" s="50">
        <v>20</v>
      </c>
      <c r="G297" s="50">
        <v>103260</v>
      </c>
      <c r="H297" s="50">
        <v>1942707</v>
      </c>
      <c r="I297" s="50">
        <v>14590906</v>
      </c>
      <c r="J297" s="50">
        <v>26326</v>
      </c>
      <c r="K297" s="50">
        <v>0</v>
      </c>
      <c r="L297" s="50">
        <v>231696</v>
      </c>
      <c r="M297" s="50">
        <v>6413</v>
      </c>
      <c r="N297" s="50">
        <v>593045</v>
      </c>
    </row>
    <row r="298" spans="2:14">
      <c r="B298" s="50" t="s">
        <v>27</v>
      </c>
      <c r="C298" s="50">
        <v>2</v>
      </c>
      <c r="D298" s="50">
        <v>82</v>
      </c>
      <c r="E298" s="50">
        <v>1</v>
      </c>
      <c r="F298" s="50">
        <v>13</v>
      </c>
      <c r="G298" s="50">
        <v>67728</v>
      </c>
      <c r="H298" s="50">
        <v>1486781</v>
      </c>
      <c r="I298" s="50">
        <v>9058728</v>
      </c>
      <c r="J298" s="50">
        <v>8066</v>
      </c>
      <c r="K298" s="50">
        <v>0</v>
      </c>
      <c r="L298" s="50">
        <v>102834</v>
      </c>
      <c r="M298" s="50">
        <v>4044</v>
      </c>
      <c r="N298" s="50">
        <v>427348</v>
      </c>
    </row>
    <row r="299" spans="1:14">
      <c r="A299">
        <v>5199</v>
      </c>
      <c r="B299" s="50" t="s">
        <v>25</v>
      </c>
      <c r="C299" s="50">
        <v>2</v>
      </c>
      <c r="D299" s="50">
        <v>72</v>
      </c>
      <c r="E299" s="50">
        <v>2</v>
      </c>
      <c r="F299" s="50">
        <v>13</v>
      </c>
      <c r="G299" s="50">
        <v>75512</v>
      </c>
      <c r="H299" s="50">
        <v>1742447</v>
      </c>
      <c r="I299" s="50">
        <v>10144937</v>
      </c>
      <c r="J299" s="50">
        <v>22570</v>
      </c>
      <c r="K299" s="50">
        <v>0</v>
      </c>
      <c r="L299" s="50">
        <v>180167</v>
      </c>
      <c r="M299" s="50">
        <v>4821</v>
      </c>
      <c r="N299" s="50">
        <v>700659</v>
      </c>
    </row>
    <row r="300" spans="2:14">
      <c r="B300" s="50" t="s">
        <v>26</v>
      </c>
      <c r="C300" s="50">
        <v>2</v>
      </c>
      <c r="D300" s="50">
        <v>119</v>
      </c>
      <c r="E300" s="50">
        <v>4</v>
      </c>
      <c r="F300" s="50">
        <v>14</v>
      </c>
      <c r="G300" s="50">
        <v>89176</v>
      </c>
      <c r="H300" s="50">
        <v>1811912</v>
      </c>
      <c r="I300" s="50">
        <v>11984456</v>
      </c>
      <c r="J300" s="50">
        <v>15244</v>
      </c>
      <c r="K300" s="50">
        <v>0</v>
      </c>
      <c r="L300" s="50">
        <v>292541</v>
      </c>
      <c r="M300" s="50">
        <v>5449</v>
      </c>
      <c r="N300" s="50">
        <v>683281</v>
      </c>
    </row>
    <row r="301" spans="2:14">
      <c r="B301" s="50" t="s">
        <v>27</v>
      </c>
      <c r="C301" s="50">
        <v>5</v>
      </c>
      <c r="D301" s="50">
        <v>204</v>
      </c>
      <c r="E301" s="50">
        <v>4</v>
      </c>
      <c r="F301" s="50">
        <v>17</v>
      </c>
      <c r="G301" s="50">
        <v>108708</v>
      </c>
      <c r="H301" s="50">
        <v>2630983</v>
      </c>
      <c r="I301" s="50">
        <v>16834661</v>
      </c>
      <c r="J301" s="50">
        <v>82814</v>
      </c>
      <c r="K301" s="50">
        <v>0</v>
      </c>
      <c r="L301" s="50">
        <v>341411</v>
      </c>
      <c r="M301" s="50">
        <v>10053</v>
      </c>
      <c r="N301" s="50">
        <v>819341</v>
      </c>
    </row>
    <row r="302" spans="1:14">
      <c r="A302">
        <v>5200</v>
      </c>
      <c r="B302" s="50" t="s">
        <v>25</v>
      </c>
      <c r="C302" s="50">
        <v>2</v>
      </c>
      <c r="D302" s="50">
        <v>67</v>
      </c>
      <c r="E302" s="50">
        <v>1</v>
      </c>
      <c r="F302" s="50">
        <v>10</v>
      </c>
      <c r="G302" s="50">
        <v>44494</v>
      </c>
      <c r="H302" s="50">
        <v>1230151</v>
      </c>
      <c r="I302" s="50">
        <v>5287349</v>
      </c>
      <c r="J302" s="50">
        <v>1656</v>
      </c>
      <c r="K302" s="50">
        <v>0</v>
      </c>
      <c r="L302" s="50">
        <v>151490</v>
      </c>
      <c r="M302" s="50">
        <v>2976</v>
      </c>
      <c r="N302" s="50">
        <v>441182</v>
      </c>
    </row>
    <row r="303" spans="2:14">
      <c r="B303" s="50" t="s">
        <v>26</v>
      </c>
      <c r="C303" s="50">
        <v>3</v>
      </c>
      <c r="D303" s="50">
        <v>165</v>
      </c>
      <c r="E303" s="50">
        <v>7</v>
      </c>
      <c r="F303" s="50">
        <v>16</v>
      </c>
      <c r="G303" s="50">
        <v>133128</v>
      </c>
      <c r="H303" s="50">
        <v>1667773</v>
      </c>
      <c r="I303" s="50">
        <v>15857302</v>
      </c>
      <c r="J303" s="50">
        <v>7644</v>
      </c>
      <c r="K303" s="50">
        <v>0</v>
      </c>
      <c r="L303" s="50">
        <v>195584</v>
      </c>
      <c r="M303" s="50">
        <v>6196</v>
      </c>
      <c r="N303" s="50">
        <v>563367</v>
      </c>
    </row>
    <row r="304" spans="2:14">
      <c r="B304" s="50" t="s">
        <v>27</v>
      </c>
      <c r="C304" s="50">
        <v>4</v>
      </c>
      <c r="D304" s="50">
        <v>163</v>
      </c>
      <c r="E304" s="50">
        <v>2</v>
      </c>
      <c r="F304" s="50">
        <v>11</v>
      </c>
      <c r="G304" s="50">
        <v>77236</v>
      </c>
      <c r="H304" s="50">
        <v>1716341</v>
      </c>
      <c r="I304" s="50">
        <v>9913395</v>
      </c>
      <c r="J304" s="50">
        <v>44246</v>
      </c>
      <c r="K304" s="50">
        <v>0</v>
      </c>
      <c r="L304" s="50">
        <v>283147</v>
      </c>
      <c r="M304" s="50">
        <v>6592</v>
      </c>
      <c r="N304" s="50">
        <v>678174</v>
      </c>
    </row>
    <row r="305" spans="1:14">
      <c r="A305">
        <v>5201</v>
      </c>
      <c r="B305" s="50" t="s">
        <v>25</v>
      </c>
      <c r="C305" s="50">
        <v>3</v>
      </c>
      <c r="D305" s="50">
        <v>81</v>
      </c>
      <c r="E305" s="50">
        <v>2</v>
      </c>
      <c r="F305" s="50">
        <v>18</v>
      </c>
      <c r="G305" s="50">
        <v>76950</v>
      </c>
      <c r="H305" s="50">
        <v>1744545</v>
      </c>
      <c r="I305" s="50">
        <v>13991328</v>
      </c>
      <c r="J305" s="50">
        <v>13710</v>
      </c>
      <c r="K305" s="50">
        <v>0</v>
      </c>
      <c r="L305" s="50">
        <v>396438</v>
      </c>
      <c r="M305" s="50">
        <v>5247</v>
      </c>
      <c r="N305" s="50">
        <v>501765</v>
      </c>
    </row>
    <row r="306" spans="2:14">
      <c r="B306" s="50" t="s">
        <v>26</v>
      </c>
      <c r="C306" s="50">
        <v>3</v>
      </c>
      <c r="D306" s="50">
        <v>207</v>
      </c>
      <c r="E306" s="50">
        <v>6</v>
      </c>
      <c r="F306" s="50">
        <v>25</v>
      </c>
      <c r="G306" s="50">
        <v>135893</v>
      </c>
      <c r="H306" s="50">
        <v>2225047</v>
      </c>
      <c r="I306" s="50">
        <v>24047064</v>
      </c>
      <c r="J306" s="50">
        <v>53230</v>
      </c>
      <c r="K306" s="50">
        <v>0</v>
      </c>
      <c r="L306" s="50">
        <v>395086</v>
      </c>
      <c r="M306" s="50">
        <v>9473</v>
      </c>
      <c r="N306" s="50">
        <v>674833</v>
      </c>
    </row>
    <row r="307" spans="2:14">
      <c r="B307" s="50" t="s">
        <v>27</v>
      </c>
      <c r="C307" s="50">
        <v>3</v>
      </c>
      <c r="D307" s="50">
        <v>107</v>
      </c>
      <c r="E307" s="50">
        <v>2</v>
      </c>
      <c r="F307" s="50">
        <v>19</v>
      </c>
      <c r="G307" s="50">
        <v>88466</v>
      </c>
      <c r="H307" s="50">
        <v>1930953</v>
      </c>
      <c r="I307" s="50">
        <v>15853406</v>
      </c>
      <c r="J307" s="50">
        <v>8148</v>
      </c>
      <c r="K307" s="50">
        <v>28572</v>
      </c>
      <c r="L307" s="50">
        <v>277966</v>
      </c>
      <c r="M307" s="50">
        <v>5997</v>
      </c>
      <c r="N307" s="50">
        <v>524097</v>
      </c>
    </row>
    <row r="308" spans="1:14">
      <c r="A308">
        <v>5202</v>
      </c>
      <c r="B308" s="50" t="s">
        <v>25</v>
      </c>
      <c r="C308" s="50">
        <v>0</v>
      </c>
      <c r="D308" s="50">
        <v>76</v>
      </c>
      <c r="E308" s="50">
        <v>3</v>
      </c>
      <c r="F308" s="50">
        <v>12</v>
      </c>
      <c r="G308" s="50">
        <v>68387</v>
      </c>
      <c r="H308" s="50">
        <v>1910583</v>
      </c>
      <c r="I308" s="50">
        <v>10883976</v>
      </c>
      <c r="J308" s="50">
        <v>22226</v>
      </c>
      <c r="K308" s="50">
        <v>0</v>
      </c>
      <c r="L308" s="50">
        <v>305861</v>
      </c>
      <c r="M308" s="50">
        <v>4920</v>
      </c>
      <c r="N308" s="50">
        <v>517859</v>
      </c>
    </row>
    <row r="309" spans="2:14">
      <c r="B309" s="50" t="s">
        <v>26</v>
      </c>
      <c r="C309" s="50">
        <v>8</v>
      </c>
      <c r="D309" s="50">
        <v>249</v>
      </c>
      <c r="E309" s="50">
        <v>5</v>
      </c>
      <c r="F309" s="50">
        <v>32</v>
      </c>
      <c r="G309" s="50">
        <v>166862</v>
      </c>
      <c r="H309" s="50">
        <v>3027853</v>
      </c>
      <c r="I309" s="50">
        <v>28342197</v>
      </c>
      <c r="J309" s="50">
        <v>76692</v>
      </c>
      <c r="K309" s="50">
        <v>0</v>
      </c>
      <c r="L309" s="50">
        <v>566376</v>
      </c>
      <c r="M309" s="50">
        <v>12570</v>
      </c>
      <c r="N309" s="50">
        <v>1034697</v>
      </c>
    </row>
    <row r="310" spans="2:14">
      <c r="B310" s="50" t="s">
        <v>27</v>
      </c>
      <c r="C310" s="50">
        <v>1</v>
      </c>
      <c r="D310" s="50">
        <v>70</v>
      </c>
      <c r="E310" s="50">
        <v>1</v>
      </c>
      <c r="F310" s="50">
        <v>11</v>
      </c>
      <c r="G310" s="50">
        <v>41893</v>
      </c>
      <c r="H310" s="50">
        <v>1184193</v>
      </c>
      <c r="I310" s="50">
        <v>6804269</v>
      </c>
      <c r="J310" s="50">
        <v>9926</v>
      </c>
      <c r="K310" s="50">
        <v>0</v>
      </c>
      <c r="L310" s="50">
        <v>102046</v>
      </c>
      <c r="M310" s="50">
        <v>3222</v>
      </c>
      <c r="N310" s="50">
        <v>330707</v>
      </c>
    </row>
    <row r="311" spans="1:14">
      <c r="A311">
        <v>5203</v>
      </c>
      <c r="B311" s="50" t="s">
        <v>25</v>
      </c>
      <c r="C311" s="50">
        <v>4</v>
      </c>
      <c r="D311" s="50">
        <v>143</v>
      </c>
      <c r="E311" s="50">
        <v>4</v>
      </c>
      <c r="F311" s="50">
        <v>24</v>
      </c>
      <c r="G311" s="50">
        <v>103649</v>
      </c>
      <c r="H311" s="50">
        <v>2587014</v>
      </c>
      <c r="I311" s="50">
        <v>22552924</v>
      </c>
      <c r="J311" s="50">
        <v>53558</v>
      </c>
      <c r="K311" s="50">
        <v>0</v>
      </c>
      <c r="L311" s="50">
        <v>494473</v>
      </c>
      <c r="M311" s="50">
        <v>9044</v>
      </c>
      <c r="N311" s="50">
        <v>730797</v>
      </c>
    </row>
    <row r="312" spans="2:14">
      <c r="B312" s="50" t="s">
        <v>26</v>
      </c>
      <c r="C312" s="50">
        <v>3</v>
      </c>
      <c r="D312" s="50">
        <v>162</v>
      </c>
      <c r="E312" s="50">
        <v>4</v>
      </c>
      <c r="F312" s="50">
        <v>27</v>
      </c>
      <c r="G312" s="50">
        <v>123971</v>
      </c>
      <c r="H312" s="50">
        <v>3424680</v>
      </c>
      <c r="I312" s="50">
        <v>28322131</v>
      </c>
      <c r="J312" s="50">
        <v>123134</v>
      </c>
      <c r="K312" s="50">
        <v>0</v>
      </c>
      <c r="L312" s="50">
        <v>500795</v>
      </c>
      <c r="M312" s="50">
        <v>12741</v>
      </c>
      <c r="N312" s="50">
        <v>995948</v>
      </c>
    </row>
    <row r="313" spans="2:14">
      <c r="B313" s="50" t="s">
        <v>27</v>
      </c>
      <c r="C313" s="50">
        <v>2</v>
      </c>
      <c r="D313" s="50">
        <v>90</v>
      </c>
      <c r="E313" s="50">
        <v>2</v>
      </c>
      <c r="F313" s="50">
        <v>17</v>
      </c>
      <c r="G313" s="50">
        <v>79415</v>
      </c>
      <c r="H313" s="50">
        <v>2272601</v>
      </c>
      <c r="I313" s="50">
        <v>15951812</v>
      </c>
      <c r="J313" s="50">
        <v>24586</v>
      </c>
      <c r="K313" s="50">
        <v>0</v>
      </c>
      <c r="L313" s="50">
        <v>315052</v>
      </c>
      <c r="M313" s="50">
        <v>6259</v>
      </c>
      <c r="N313" s="50">
        <v>641591</v>
      </c>
    </row>
    <row r="314" spans="1:14">
      <c r="A314">
        <v>5204</v>
      </c>
      <c r="B314" s="50" t="s">
        <v>25</v>
      </c>
      <c r="C314" s="50">
        <v>0</v>
      </c>
      <c r="D314" s="50">
        <v>43</v>
      </c>
      <c r="E314" s="50">
        <v>0</v>
      </c>
      <c r="F314" s="50">
        <v>8</v>
      </c>
      <c r="G314" s="50">
        <v>28732</v>
      </c>
      <c r="H314" s="50">
        <v>946484</v>
      </c>
      <c r="I314" s="50">
        <v>3816468</v>
      </c>
      <c r="J314" s="50">
        <v>610</v>
      </c>
      <c r="K314" s="50">
        <v>0</v>
      </c>
      <c r="L314" s="50">
        <v>118829</v>
      </c>
      <c r="M314" s="50">
        <v>1979</v>
      </c>
      <c r="N314" s="50">
        <v>357898</v>
      </c>
    </row>
    <row r="315" spans="2:14">
      <c r="B315" s="50" t="s">
        <v>26</v>
      </c>
      <c r="C315" s="50">
        <v>3</v>
      </c>
      <c r="D315" s="50">
        <v>165</v>
      </c>
      <c r="E315" s="50">
        <v>3</v>
      </c>
      <c r="F315" s="50">
        <v>20</v>
      </c>
      <c r="G315" s="50">
        <v>113296</v>
      </c>
      <c r="H315" s="50">
        <v>1664210</v>
      </c>
      <c r="I315" s="50">
        <v>14473892</v>
      </c>
      <c r="J315" s="50">
        <v>13246</v>
      </c>
      <c r="K315" s="50">
        <v>0</v>
      </c>
      <c r="L315" s="50">
        <v>270228</v>
      </c>
      <c r="M315" s="50">
        <v>6160</v>
      </c>
      <c r="N315" s="50">
        <v>483313</v>
      </c>
    </row>
    <row r="316" spans="2:14">
      <c r="B316" s="50" t="s">
        <v>27</v>
      </c>
      <c r="C316" s="50">
        <v>6</v>
      </c>
      <c r="D316" s="50">
        <v>187</v>
      </c>
      <c r="E316" s="50">
        <v>6</v>
      </c>
      <c r="F316" s="50">
        <v>23</v>
      </c>
      <c r="G316" s="50">
        <v>159001</v>
      </c>
      <c r="H316" s="50">
        <v>2095172</v>
      </c>
      <c r="I316" s="50">
        <v>21614916</v>
      </c>
      <c r="J316" s="50">
        <v>85726</v>
      </c>
      <c r="K316" s="50">
        <v>0</v>
      </c>
      <c r="L316" s="50">
        <v>945943</v>
      </c>
      <c r="M316" s="50">
        <v>10566</v>
      </c>
      <c r="N316" s="50">
        <v>851753</v>
      </c>
    </row>
    <row r="317" spans="1:14">
      <c r="A317">
        <v>5205</v>
      </c>
      <c r="B317" s="50" t="s">
        <v>25</v>
      </c>
      <c r="C317" s="50">
        <v>0</v>
      </c>
      <c r="D317" s="50">
        <v>24</v>
      </c>
      <c r="E317" s="50">
        <v>0</v>
      </c>
      <c r="F317" s="50">
        <v>11</v>
      </c>
      <c r="G317" s="50">
        <v>35939</v>
      </c>
      <c r="H317" s="50">
        <v>562042</v>
      </c>
      <c r="I317" s="50">
        <v>3595588</v>
      </c>
      <c r="J317" s="50">
        <v>2156</v>
      </c>
      <c r="K317" s="50">
        <v>0</v>
      </c>
      <c r="L317" s="50">
        <v>145389</v>
      </c>
      <c r="M317" s="50">
        <v>1478</v>
      </c>
      <c r="N317" s="50">
        <v>155013</v>
      </c>
    </row>
    <row r="318" spans="2:14">
      <c r="B318" s="50" t="s">
        <v>26</v>
      </c>
      <c r="C318" s="50">
        <v>0</v>
      </c>
      <c r="D318" s="50">
        <v>26</v>
      </c>
      <c r="E318" s="50">
        <v>0</v>
      </c>
      <c r="F318" s="50">
        <v>8</v>
      </c>
      <c r="G318" s="50">
        <v>21520</v>
      </c>
      <c r="H318" s="50">
        <v>473092</v>
      </c>
      <c r="I318" s="50">
        <v>2272253</v>
      </c>
      <c r="J318" s="50">
        <v>450</v>
      </c>
      <c r="K318" s="50">
        <v>0</v>
      </c>
      <c r="L318" s="50">
        <v>43639</v>
      </c>
      <c r="M318" s="50">
        <v>1103</v>
      </c>
      <c r="N318" s="50">
        <v>285747</v>
      </c>
    </row>
    <row r="319" spans="2:14">
      <c r="B319" s="50" t="s">
        <v>27</v>
      </c>
      <c r="C319" s="50">
        <v>9</v>
      </c>
      <c r="D319" s="50">
        <v>345</v>
      </c>
      <c r="E319" s="50">
        <v>10</v>
      </c>
      <c r="F319" s="50">
        <v>18</v>
      </c>
      <c r="G319" s="50">
        <v>190760</v>
      </c>
      <c r="H319" s="50">
        <v>3298207</v>
      </c>
      <c r="I319" s="50">
        <v>28795808</v>
      </c>
      <c r="J319" s="50">
        <v>96844</v>
      </c>
      <c r="K319" s="50">
        <v>0</v>
      </c>
      <c r="L319" s="50">
        <v>390836</v>
      </c>
      <c r="M319" s="50">
        <v>14582</v>
      </c>
      <c r="N319" s="50">
        <v>827272</v>
      </c>
    </row>
    <row r="320" spans="1:14">
      <c r="A320">
        <v>5206</v>
      </c>
      <c r="B320" s="50" t="s">
        <v>25</v>
      </c>
      <c r="C320" s="50">
        <v>2</v>
      </c>
      <c r="D320" s="50">
        <v>103</v>
      </c>
      <c r="E320" s="50">
        <v>2</v>
      </c>
      <c r="F320" s="50">
        <v>18</v>
      </c>
      <c r="G320" s="50">
        <v>70634</v>
      </c>
      <c r="H320" s="50">
        <v>1778718</v>
      </c>
      <c r="I320" s="50">
        <v>12155606</v>
      </c>
      <c r="J320" s="50">
        <v>18060</v>
      </c>
      <c r="K320" s="50">
        <v>0</v>
      </c>
      <c r="L320" s="50">
        <v>124267</v>
      </c>
      <c r="M320" s="50">
        <v>5181</v>
      </c>
      <c r="N320" s="50">
        <v>573787</v>
      </c>
    </row>
    <row r="321" spans="2:14">
      <c r="B321" s="50" t="s">
        <v>26</v>
      </c>
      <c r="C321" s="50">
        <v>7</v>
      </c>
      <c r="D321" s="50">
        <v>269</v>
      </c>
      <c r="E321" s="50">
        <v>7</v>
      </c>
      <c r="F321" s="50">
        <v>28</v>
      </c>
      <c r="G321" s="50">
        <v>170178</v>
      </c>
      <c r="H321" s="50">
        <v>2315940</v>
      </c>
      <c r="I321" s="50">
        <v>27534227</v>
      </c>
      <c r="J321" s="50">
        <v>84218</v>
      </c>
      <c r="K321" s="50">
        <v>0</v>
      </c>
      <c r="L321" s="50">
        <v>470938</v>
      </c>
      <c r="M321" s="50">
        <v>12072</v>
      </c>
      <c r="N321" s="50">
        <v>610739</v>
      </c>
    </row>
    <row r="322" spans="2:14">
      <c r="B322" s="50" t="s">
        <v>27</v>
      </c>
      <c r="C322" s="50">
        <v>0</v>
      </c>
      <c r="D322" s="50">
        <v>23</v>
      </c>
      <c r="E322" s="50">
        <v>1</v>
      </c>
      <c r="F322" s="50">
        <v>13</v>
      </c>
      <c r="G322" s="50">
        <v>62538</v>
      </c>
      <c r="H322" s="50">
        <v>1286522</v>
      </c>
      <c r="I322" s="50">
        <v>8991705</v>
      </c>
      <c r="J322" s="50">
        <v>6922</v>
      </c>
      <c r="K322" s="50">
        <v>0</v>
      </c>
      <c r="L322" s="50">
        <v>76515</v>
      </c>
      <c r="M322" s="50">
        <v>2974</v>
      </c>
      <c r="N322" s="50">
        <v>407458</v>
      </c>
    </row>
    <row r="323" spans="1:14">
      <c r="A323">
        <v>5207</v>
      </c>
      <c r="B323" s="50" t="s">
        <v>25</v>
      </c>
      <c r="C323" s="50">
        <v>0</v>
      </c>
      <c r="D323" s="50">
        <v>37</v>
      </c>
      <c r="E323" s="50">
        <v>1</v>
      </c>
      <c r="F323" s="50">
        <v>16</v>
      </c>
      <c r="G323" s="50">
        <v>73586</v>
      </c>
      <c r="H323" s="50">
        <v>1259075</v>
      </c>
      <c r="I323" s="50">
        <v>10395773</v>
      </c>
      <c r="J323" s="50">
        <v>15584</v>
      </c>
      <c r="K323" s="50">
        <v>0</v>
      </c>
      <c r="L323" s="50">
        <v>110550</v>
      </c>
      <c r="M323" s="50">
        <v>3559</v>
      </c>
      <c r="N323" s="50">
        <v>416128</v>
      </c>
    </row>
    <row r="324" spans="2:14">
      <c r="B324" s="50" t="s">
        <v>26</v>
      </c>
      <c r="C324" s="50">
        <v>9</v>
      </c>
      <c r="D324" s="50">
        <v>329</v>
      </c>
      <c r="E324" s="50">
        <v>5</v>
      </c>
      <c r="F324" s="50">
        <v>19</v>
      </c>
      <c r="G324" s="50">
        <v>104619</v>
      </c>
      <c r="H324" s="50">
        <v>4568639</v>
      </c>
      <c r="I324" s="50">
        <v>23239075</v>
      </c>
      <c r="J324" s="50">
        <v>245604</v>
      </c>
      <c r="K324" s="50">
        <v>0</v>
      </c>
      <c r="L324" s="50">
        <v>884635</v>
      </c>
      <c r="M324" s="50">
        <v>19416</v>
      </c>
      <c r="N324" s="50">
        <v>1177510</v>
      </c>
    </row>
    <row r="325" spans="2:14">
      <c r="B325" s="50" t="s">
        <v>27</v>
      </c>
      <c r="C325" s="50">
        <v>0</v>
      </c>
      <c r="D325" s="50">
        <v>29</v>
      </c>
      <c r="E325" s="50">
        <v>4</v>
      </c>
      <c r="F325" s="50">
        <v>15</v>
      </c>
      <c r="G325" s="50">
        <v>91200</v>
      </c>
      <c r="H325" s="50">
        <v>2342293</v>
      </c>
      <c r="I325" s="50">
        <v>14014821</v>
      </c>
      <c r="J325" s="50">
        <v>41478</v>
      </c>
      <c r="K325" s="50">
        <v>0</v>
      </c>
      <c r="L325" s="50">
        <v>173581</v>
      </c>
      <c r="M325" s="50">
        <v>5820</v>
      </c>
      <c r="N325" s="50">
        <v>688556</v>
      </c>
    </row>
    <row r="326" spans="1:14">
      <c r="A326">
        <v>5208</v>
      </c>
      <c r="B326" s="50" t="s">
        <v>25</v>
      </c>
      <c r="C326" s="50">
        <v>0</v>
      </c>
      <c r="D326" s="50">
        <v>63</v>
      </c>
      <c r="E326" s="50">
        <v>4</v>
      </c>
      <c r="F326" s="50">
        <v>10</v>
      </c>
      <c r="G326" s="50">
        <v>85349</v>
      </c>
      <c r="H326" s="50">
        <v>1724527</v>
      </c>
      <c r="I326" s="50">
        <v>10502989</v>
      </c>
      <c r="J326" s="50">
        <v>50114</v>
      </c>
      <c r="K326" s="50">
        <v>0</v>
      </c>
      <c r="L326" s="50">
        <v>72413</v>
      </c>
      <c r="M326" s="50">
        <v>5371</v>
      </c>
      <c r="N326" s="50">
        <v>467844</v>
      </c>
    </row>
    <row r="327" spans="2:14">
      <c r="B327" s="50" t="s">
        <v>26</v>
      </c>
      <c r="C327" s="50">
        <v>7</v>
      </c>
      <c r="D327" s="50">
        <v>263</v>
      </c>
      <c r="E327" s="50">
        <v>5</v>
      </c>
      <c r="F327" s="50">
        <v>19</v>
      </c>
      <c r="G327" s="50">
        <v>133287</v>
      </c>
      <c r="H327" s="50">
        <v>2574084</v>
      </c>
      <c r="I327" s="50">
        <v>17882077</v>
      </c>
      <c r="J327" s="50">
        <v>79024</v>
      </c>
      <c r="K327" s="50">
        <v>0</v>
      </c>
      <c r="L327" s="50">
        <v>475392</v>
      </c>
      <c r="M327" s="50">
        <v>10967</v>
      </c>
      <c r="N327" s="50">
        <v>667843</v>
      </c>
    </row>
    <row r="328" spans="2:14">
      <c r="B328" s="50" t="s">
        <v>27</v>
      </c>
      <c r="C328" s="50">
        <v>2</v>
      </c>
      <c r="D328" s="50">
        <v>69</v>
      </c>
      <c r="E328" s="50">
        <v>0</v>
      </c>
      <c r="F328" s="50">
        <v>8</v>
      </c>
      <c r="G328" s="50">
        <v>29866</v>
      </c>
      <c r="H328" s="50">
        <v>897430</v>
      </c>
      <c r="I328" s="50">
        <v>3369607</v>
      </c>
      <c r="J328" s="50">
        <v>2142</v>
      </c>
      <c r="K328" s="50">
        <v>0</v>
      </c>
      <c r="L328" s="50">
        <v>36462</v>
      </c>
      <c r="M328" s="50">
        <v>2356</v>
      </c>
      <c r="N328" s="50">
        <v>332697</v>
      </c>
    </row>
    <row r="329" spans="1:14">
      <c r="A329">
        <v>5209</v>
      </c>
      <c r="B329" s="50" t="s">
        <v>25</v>
      </c>
      <c r="C329" s="50">
        <v>2</v>
      </c>
      <c r="D329" s="50">
        <v>65</v>
      </c>
      <c r="E329" s="50">
        <v>2</v>
      </c>
      <c r="F329" s="50">
        <v>13</v>
      </c>
      <c r="G329" s="50">
        <v>76034</v>
      </c>
      <c r="H329" s="50">
        <v>1722706</v>
      </c>
      <c r="I329" s="50">
        <v>11595745</v>
      </c>
      <c r="J329" s="50">
        <v>25118</v>
      </c>
      <c r="K329" s="50">
        <v>0</v>
      </c>
      <c r="L329" s="50">
        <v>205461</v>
      </c>
      <c r="M329" s="50">
        <v>4968</v>
      </c>
      <c r="N329" s="50">
        <v>503308</v>
      </c>
    </row>
    <row r="330" spans="2:14">
      <c r="B330" s="50" t="s">
        <v>26</v>
      </c>
      <c r="C330" s="50">
        <v>4</v>
      </c>
      <c r="D330" s="50">
        <v>178</v>
      </c>
      <c r="E330" s="50">
        <v>6</v>
      </c>
      <c r="F330" s="50">
        <v>21</v>
      </c>
      <c r="G330" s="50">
        <v>144061</v>
      </c>
      <c r="H330" s="50">
        <v>2466064</v>
      </c>
      <c r="I330" s="50">
        <v>23422328</v>
      </c>
      <c r="J330" s="50">
        <v>61472</v>
      </c>
      <c r="K330" s="50">
        <v>0</v>
      </c>
      <c r="L330" s="50">
        <v>306610</v>
      </c>
      <c r="M330" s="50">
        <v>9706</v>
      </c>
      <c r="N330" s="50">
        <v>668123</v>
      </c>
    </row>
    <row r="331" spans="2:14">
      <c r="B331" s="50" t="s">
        <v>27</v>
      </c>
      <c r="C331" s="50">
        <v>3</v>
      </c>
      <c r="D331" s="50">
        <v>152</v>
      </c>
      <c r="E331" s="50">
        <v>2</v>
      </c>
      <c r="F331" s="50">
        <v>13</v>
      </c>
      <c r="G331" s="50">
        <v>65594</v>
      </c>
      <c r="H331" s="50">
        <v>2027864</v>
      </c>
      <c r="I331" s="50">
        <v>11184069</v>
      </c>
      <c r="J331" s="50">
        <v>39732</v>
      </c>
      <c r="K331" s="50">
        <v>0</v>
      </c>
      <c r="L331" s="50">
        <v>155794</v>
      </c>
      <c r="M331" s="50">
        <v>6564</v>
      </c>
      <c r="N331" s="50">
        <v>654616</v>
      </c>
    </row>
    <row r="332" spans="1:14">
      <c r="A332">
        <v>5210</v>
      </c>
      <c r="B332" s="50" t="s">
        <v>25</v>
      </c>
      <c r="C332" s="50">
        <v>0</v>
      </c>
      <c r="D332" s="50">
        <v>33</v>
      </c>
      <c r="E332" s="50">
        <v>0</v>
      </c>
      <c r="F332" s="50">
        <v>10</v>
      </c>
      <c r="G332" s="50">
        <v>42882</v>
      </c>
      <c r="H332" s="50">
        <v>902213</v>
      </c>
      <c r="I332" s="50">
        <v>3804082</v>
      </c>
      <c r="J332" s="50">
        <v>8624</v>
      </c>
      <c r="K332" s="50">
        <v>0</v>
      </c>
      <c r="L332" s="50">
        <v>120509</v>
      </c>
      <c r="M332" s="50">
        <v>2146</v>
      </c>
      <c r="N332" s="50">
        <v>291316</v>
      </c>
    </row>
    <row r="333" spans="2:14">
      <c r="B333" s="50" t="s">
        <v>26</v>
      </c>
      <c r="C333" s="50">
        <v>9</v>
      </c>
      <c r="D333" s="50">
        <v>327</v>
      </c>
      <c r="E333" s="50">
        <v>9</v>
      </c>
      <c r="F333" s="50">
        <v>12</v>
      </c>
      <c r="G333" s="50">
        <v>147021</v>
      </c>
      <c r="H333" s="50">
        <v>1806049</v>
      </c>
      <c r="I333" s="50">
        <v>16357427</v>
      </c>
      <c r="J333" s="50">
        <v>29382</v>
      </c>
      <c r="K333" s="50">
        <v>0</v>
      </c>
      <c r="L333" s="50">
        <v>434482</v>
      </c>
      <c r="M333" s="50">
        <v>9445</v>
      </c>
      <c r="N333" s="50">
        <v>517002</v>
      </c>
    </row>
    <row r="334" spans="2:14">
      <c r="B334" s="50" t="s">
        <v>27</v>
      </c>
      <c r="C334" s="50">
        <v>0</v>
      </c>
      <c r="D334" s="50">
        <v>35</v>
      </c>
      <c r="E334" s="50">
        <v>1</v>
      </c>
      <c r="F334" s="50">
        <v>7</v>
      </c>
      <c r="G334" s="50">
        <v>39854</v>
      </c>
      <c r="H334" s="50">
        <v>1098296</v>
      </c>
      <c r="I334" s="50">
        <v>3818474</v>
      </c>
      <c r="J334" s="50">
        <v>3344</v>
      </c>
      <c r="K334" s="50">
        <v>0</v>
      </c>
      <c r="L334" s="50">
        <v>42540</v>
      </c>
      <c r="M334" s="50">
        <v>2151</v>
      </c>
      <c r="N334" s="50">
        <v>354209</v>
      </c>
    </row>
    <row r="335" spans="1:14">
      <c r="A335">
        <v>5211</v>
      </c>
      <c r="B335" s="50" t="s">
        <v>25</v>
      </c>
      <c r="C335" s="50">
        <v>9</v>
      </c>
      <c r="D335" s="50">
        <v>325</v>
      </c>
      <c r="E335" s="50">
        <v>8</v>
      </c>
      <c r="F335" s="50">
        <v>13</v>
      </c>
      <c r="G335" s="50">
        <v>145521</v>
      </c>
      <c r="H335" s="50">
        <v>3305776</v>
      </c>
      <c r="I335" s="50">
        <v>21521376</v>
      </c>
      <c r="J335" s="50">
        <v>90244</v>
      </c>
      <c r="K335" s="50">
        <v>0</v>
      </c>
      <c r="L335" s="50">
        <v>474694</v>
      </c>
      <c r="M335" s="50">
        <v>13280</v>
      </c>
      <c r="N335" s="50">
        <v>990765</v>
      </c>
    </row>
    <row r="336" spans="2:14">
      <c r="B336" s="50" t="s">
        <v>26</v>
      </c>
      <c r="C336" s="50">
        <v>0</v>
      </c>
      <c r="D336" s="50">
        <v>47</v>
      </c>
      <c r="E336" s="50">
        <v>2</v>
      </c>
      <c r="F336" s="50">
        <v>8</v>
      </c>
      <c r="G336" s="50">
        <v>49691</v>
      </c>
      <c r="H336" s="50">
        <v>1349081</v>
      </c>
      <c r="I336" s="50">
        <v>5456391</v>
      </c>
      <c r="J336" s="50">
        <v>2980</v>
      </c>
      <c r="K336" s="50">
        <v>0</v>
      </c>
      <c r="L336" s="50">
        <v>103269</v>
      </c>
      <c r="M336" s="50">
        <v>2754</v>
      </c>
      <c r="N336" s="50">
        <v>432616</v>
      </c>
    </row>
    <row r="337" spans="2:14">
      <c r="B337" s="50" t="s">
        <v>27</v>
      </c>
      <c r="C337" s="50">
        <v>0</v>
      </c>
      <c r="D337" s="50">
        <v>23</v>
      </c>
      <c r="E337" s="50">
        <v>0</v>
      </c>
      <c r="F337" s="50">
        <v>4</v>
      </c>
      <c r="G337" s="50">
        <v>17626</v>
      </c>
      <c r="H337" s="50">
        <v>684948</v>
      </c>
      <c r="I337" s="50">
        <v>1906778</v>
      </c>
      <c r="J337" s="50">
        <v>4104</v>
      </c>
      <c r="K337" s="50">
        <v>0</v>
      </c>
      <c r="L337" s="50">
        <v>26488</v>
      </c>
      <c r="M337" s="50">
        <v>1330</v>
      </c>
      <c r="N337" s="50">
        <v>219318</v>
      </c>
    </row>
    <row r="338" spans="1:14">
      <c r="A338">
        <v>5212</v>
      </c>
      <c r="B338" s="50" t="s">
        <v>25</v>
      </c>
      <c r="C338" s="50">
        <v>0</v>
      </c>
      <c r="D338" s="50">
        <v>30</v>
      </c>
      <c r="E338" s="50">
        <v>0</v>
      </c>
      <c r="F338" s="50">
        <v>7</v>
      </c>
      <c r="G338" s="50">
        <v>22482</v>
      </c>
      <c r="H338" s="50">
        <v>561373</v>
      </c>
      <c r="I338" s="50">
        <v>2458309</v>
      </c>
      <c r="J338" s="50">
        <v>4484</v>
      </c>
      <c r="K338" s="50">
        <v>0</v>
      </c>
      <c r="L338" s="50">
        <v>52489</v>
      </c>
      <c r="M338" s="50">
        <v>1380</v>
      </c>
      <c r="N338" s="50">
        <v>280908</v>
      </c>
    </row>
    <row r="339" spans="2:14">
      <c r="B339" s="50" t="s">
        <v>26</v>
      </c>
      <c r="C339" s="50">
        <v>4</v>
      </c>
      <c r="D339" s="50">
        <v>189</v>
      </c>
      <c r="E339" s="50">
        <v>4</v>
      </c>
      <c r="F339" s="50">
        <v>19</v>
      </c>
      <c r="G339" s="50">
        <v>119770</v>
      </c>
      <c r="H339" s="50">
        <v>2137465</v>
      </c>
      <c r="I339" s="50">
        <v>15255713</v>
      </c>
      <c r="J339" s="50">
        <v>67682</v>
      </c>
      <c r="K339" s="50">
        <v>0</v>
      </c>
      <c r="L339" s="50">
        <v>463685</v>
      </c>
      <c r="M339" s="50">
        <v>8814</v>
      </c>
      <c r="N339" s="50">
        <v>710136</v>
      </c>
    </row>
    <row r="340" spans="2:14">
      <c r="B340" s="50" t="s">
        <v>27</v>
      </c>
      <c r="C340" s="50">
        <v>5</v>
      </c>
      <c r="D340" s="50">
        <v>176</v>
      </c>
      <c r="E340" s="50">
        <v>5</v>
      </c>
      <c r="F340" s="50">
        <v>15</v>
      </c>
      <c r="G340" s="50">
        <v>123462</v>
      </c>
      <c r="H340" s="50">
        <v>2646020</v>
      </c>
      <c r="I340" s="50">
        <v>16541462</v>
      </c>
      <c r="J340" s="50">
        <v>68154</v>
      </c>
      <c r="K340" s="50">
        <v>0</v>
      </c>
      <c r="L340" s="50">
        <v>365067</v>
      </c>
      <c r="M340" s="50">
        <v>9404</v>
      </c>
      <c r="N340" s="50">
        <v>904146</v>
      </c>
    </row>
    <row r="341" spans="1:14">
      <c r="A341">
        <v>5213</v>
      </c>
      <c r="B341" s="50" t="s">
        <v>25</v>
      </c>
      <c r="C341" s="50">
        <v>4</v>
      </c>
      <c r="D341" s="50">
        <v>179</v>
      </c>
      <c r="E341" s="50">
        <v>4</v>
      </c>
      <c r="F341" s="50">
        <v>11</v>
      </c>
      <c r="G341" s="50">
        <v>83087</v>
      </c>
      <c r="H341" s="50">
        <v>2376644</v>
      </c>
      <c r="I341" s="50">
        <v>11579209</v>
      </c>
      <c r="J341" s="50">
        <v>48876</v>
      </c>
      <c r="K341" s="50">
        <v>0</v>
      </c>
      <c r="L341" s="50">
        <v>462856</v>
      </c>
      <c r="M341" s="50">
        <v>7837</v>
      </c>
      <c r="N341" s="50">
        <v>669272</v>
      </c>
    </row>
    <row r="342" spans="2:14">
      <c r="B342" s="50" t="s">
        <v>26</v>
      </c>
      <c r="C342" s="50">
        <v>3</v>
      </c>
      <c r="D342" s="50">
        <v>138</v>
      </c>
      <c r="E342" s="50">
        <v>3</v>
      </c>
      <c r="F342" s="50">
        <v>17</v>
      </c>
      <c r="G342" s="50">
        <v>119780</v>
      </c>
      <c r="H342" s="50">
        <v>1779096</v>
      </c>
      <c r="I342" s="50">
        <v>13254409</v>
      </c>
      <c r="J342" s="50">
        <v>17482</v>
      </c>
      <c r="K342" s="50">
        <v>0</v>
      </c>
      <c r="L342" s="50">
        <v>122436</v>
      </c>
      <c r="M342" s="50">
        <v>5969</v>
      </c>
      <c r="N342" s="50">
        <v>507961</v>
      </c>
    </row>
    <row r="343" spans="2:14">
      <c r="B343" s="50" t="s">
        <v>27</v>
      </c>
      <c r="C343" s="50">
        <v>2</v>
      </c>
      <c r="D343" s="50">
        <v>78</v>
      </c>
      <c r="E343" s="50">
        <v>3</v>
      </c>
      <c r="F343" s="50">
        <v>9</v>
      </c>
      <c r="G343" s="50">
        <v>56136</v>
      </c>
      <c r="H343" s="50">
        <v>1848611</v>
      </c>
      <c r="I343" s="50">
        <v>7340782</v>
      </c>
      <c r="J343" s="50">
        <v>35322</v>
      </c>
      <c r="K343" s="50">
        <v>0</v>
      </c>
      <c r="L343" s="50">
        <v>79982</v>
      </c>
      <c r="M343" s="50">
        <v>4943</v>
      </c>
      <c r="N343" s="50">
        <v>562363</v>
      </c>
    </row>
    <row r="344" spans="1:14">
      <c r="A344">
        <v>5214</v>
      </c>
      <c r="B344" s="50" t="s">
        <v>25</v>
      </c>
      <c r="C344" s="50">
        <v>0</v>
      </c>
      <c r="D344" s="50">
        <v>30</v>
      </c>
      <c r="E344" s="50">
        <v>3</v>
      </c>
      <c r="F344" s="50">
        <v>12</v>
      </c>
      <c r="G344" s="50">
        <v>63570</v>
      </c>
      <c r="H344" s="50">
        <v>1896206</v>
      </c>
      <c r="I344" s="50">
        <v>10331265</v>
      </c>
      <c r="J344" s="50">
        <v>29290</v>
      </c>
      <c r="K344" s="50">
        <v>0</v>
      </c>
      <c r="L344" s="50">
        <v>300331</v>
      </c>
      <c r="M344" s="50">
        <v>4576</v>
      </c>
      <c r="N344" s="50">
        <v>551482</v>
      </c>
    </row>
    <row r="345" spans="2:14">
      <c r="B345" s="50" t="s">
        <v>26</v>
      </c>
      <c r="C345" s="50">
        <v>0</v>
      </c>
      <c r="D345" s="50">
        <v>32</v>
      </c>
      <c r="E345" s="50">
        <v>1</v>
      </c>
      <c r="F345" s="50">
        <v>13</v>
      </c>
      <c r="G345" s="50">
        <v>51867</v>
      </c>
      <c r="H345" s="50">
        <v>1400437</v>
      </c>
      <c r="I345" s="50">
        <v>8328161</v>
      </c>
      <c r="J345" s="50">
        <v>13214</v>
      </c>
      <c r="K345" s="50">
        <v>0</v>
      </c>
      <c r="L345" s="50">
        <v>78734</v>
      </c>
      <c r="M345" s="50">
        <v>3248</v>
      </c>
      <c r="N345" s="50">
        <v>560223</v>
      </c>
    </row>
    <row r="346" spans="2:14">
      <c r="B346" s="50" t="s">
        <v>27</v>
      </c>
      <c r="C346" s="50">
        <v>9</v>
      </c>
      <c r="D346" s="50">
        <v>333</v>
      </c>
      <c r="E346" s="50">
        <v>6</v>
      </c>
      <c r="F346" s="50">
        <v>21</v>
      </c>
      <c r="G346" s="50">
        <v>159706</v>
      </c>
      <c r="H346" s="50">
        <v>3078227</v>
      </c>
      <c r="I346" s="50">
        <v>27641274</v>
      </c>
      <c r="J346" s="50">
        <v>134842</v>
      </c>
      <c r="K346" s="50">
        <v>0</v>
      </c>
      <c r="L346" s="50">
        <v>840950</v>
      </c>
      <c r="M346" s="50">
        <v>15336</v>
      </c>
      <c r="N346" s="50">
        <v>846460</v>
      </c>
    </row>
    <row r="347" spans="1:14">
      <c r="A347">
        <v>5215</v>
      </c>
      <c r="B347" s="50" t="s">
        <v>25</v>
      </c>
      <c r="C347" s="50">
        <v>0</v>
      </c>
      <c r="D347" s="50">
        <v>19</v>
      </c>
      <c r="E347" s="50">
        <v>1</v>
      </c>
      <c r="F347" s="50">
        <v>14</v>
      </c>
      <c r="G347" s="50">
        <v>54474</v>
      </c>
      <c r="H347" s="50">
        <v>1300681</v>
      </c>
      <c r="I347" s="50">
        <v>6834866</v>
      </c>
      <c r="J347" s="50">
        <v>21206</v>
      </c>
      <c r="K347" s="50">
        <v>0</v>
      </c>
      <c r="L347" s="50">
        <v>70113</v>
      </c>
      <c r="M347" s="50">
        <v>3117</v>
      </c>
      <c r="N347" s="50">
        <v>439683</v>
      </c>
    </row>
    <row r="348" spans="2:14">
      <c r="B348" s="50" t="s">
        <v>26</v>
      </c>
      <c r="C348" s="50">
        <v>0</v>
      </c>
      <c r="D348" s="50">
        <v>20</v>
      </c>
      <c r="E348" s="50">
        <v>2</v>
      </c>
      <c r="F348" s="50">
        <v>14</v>
      </c>
      <c r="G348" s="50">
        <v>74504</v>
      </c>
      <c r="H348" s="50">
        <v>1276124</v>
      </c>
      <c r="I348" s="50">
        <v>8283345</v>
      </c>
      <c r="J348" s="50">
        <v>7468</v>
      </c>
      <c r="K348" s="50">
        <v>0</v>
      </c>
      <c r="L348" s="50">
        <v>70270</v>
      </c>
      <c r="M348" s="50">
        <v>2936</v>
      </c>
      <c r="N348" s="50">
        <v>370724</v>
      </c>
    </row>
    <row r="349" spans="2:14">
      <c r="B349" s="50" t="s">
        <v>27</v>
      </c>
      <c r="C349" s="50">
        <v>9</v>
      </c>
      <c r="D349" s="50">
        <v>356</v>
      </c>
      <c r="E349" s="50">
        <v>7</v>
      </c>
      <c r="F349" s="50">
        <v>20</v>
      </c>
      <c r="G349" s="50">
        <v>148827</v>
      </c>
      <c r="H349" s="50">
        <v>3361039</v>
      </c>
      <c r="I349" s="50">
        <v>21255973</v>
      </c>
      <c r="J349" s="50">
        <v>163828</v>
      </c>
      <c r="K349" s="50">
        <v>0</v>
      </c>
      <c r="L349" s="50">
        <v>1193246</v>
      </c>
      <c r="M349" s="50">
        <v>16202</v>
      </c>
      <c r="N349" s="50">
        <v>1087245</v>
      </c>
    </row>
    <row r="350" spans="1:14">
      <c r="A350">
        <v>5216</v>
      </c>
      <c r="B350" s="50" t="s">
        <v>25</v>
      </c>
      <c r="C350" s="50">
        <v>8</v>
      </c>
      <c r="D350" s="50">
        <v>284</v>
      </c>
      <c r="E350" s="50">
        <v>7</v>
      </c>
      <c r="F350" s="50">
        <v>19</v>
      </c>
      <c r="G350" s="50">
        <v>145619</v>
      </c>
      <c r="H350" s="50">
        <v>2802933</v>
      </c>
      <c r="I350" s="50">
        <v>22287105</v>
      </c>
      <c r="J350" s="50">
        <v>109218</v>
      </c>
      <c r="K350" s="50">
        <v>0</v>
      </c>
      <c r="L350" s="50">
        <v>997525</v>
      </c>
      <c r="M350" s="50">
        <v>13175</v>
      </c>
      <c r="N350" s="50">
        <v>838684</v>
      </c>
    </row>
    <row r="351" spans="2:14">
      <c r="B351" s="50" t="s">
        <v>26</v>
      </c>
      <c r="C351" s="50">
        <v>1</v>
      </c>
      <c r="D351" s="50">
        <v>64</v>
      </c>
      <c r="E351" s="50">
        <v>1</v>
      </c>
      <c r="F351" s="50">
        <v>9</v>
      </c>
      <c r="G351" s="50">
        <v>46681</v>
      </c>
      <c r="H351" s="50">
        <v>1298306</v>
      </c>
      <c r="I351" s="50">
        <v>5964717</v>
      </c>
      <c r="J351" s="50">
        <v>19490</v>
      </c>
      <c r="K351" s="50">
        <v>0</v>
      </c>
      <c r="L351" s="50">
        <v>110226</v>
      </c>
      <c r="M351" s="50">
        <v>3507</v>
      </c>
      <c r="N351" s="50">
        <v>418303</v>
      </c>
    </row>
    <row r="352" spans="2:14">
      <c r="B352" s="50" t="s">
        <v>27</v>
      </c>
      <c r="C352" s="50">
        <v>0</v>
      </c>
      <c r="D352" s="50">
        <v>47</v>
      </c>
      <c r="E352" s="50">
        <v>1</v>
      </c>
      <c r="F352" s="50">
        <v>11</v>
      </c>
      <c r="G352" s="50">
        <v>55718</v>
      </c>
      <c r="H352" s="50">
        <v>1167391</v>
      </c>
      <c r="I352" s="50">
        <v>6594533</v>
      </c>
      <c r="J352" s="50">
        <v>7976</v>
      </c>
      <c r="K352" s="50">
        <v>0</v>
      </c>
      <c r="L352" s="50">
        <v>86436</v>
      </c>
      <c r="M352" s="50">
        <v>2857</v>
      </c>
      <c r="N352" s="50">
        <v>326443</v>
      </c>
    </row>
    <row r="353" spans="1:14">
      <c r="A353">
        <v>5217</v>
      </c>
      <c r="B353" s="50" t="s">
        <v>25</v>
      </c>
      <c r="C353" s="50">
        <v>3</v>
      </c>
      <c r="D353" s="50">
        <v>124</v>
      </c>
      <c r="E353" s="50">
        <v>1</v>
      </c>
      <c r="F353" s="50">
        <v>13</v>
      </c>
      <c r="G353" s="50">
        <v>59942</v>
      </c>
      <c r="H353" s="50">
        <v>1555051</v>
      </c>
      <c r="I353" s="50">
        <v>7091528</v>
      </c>
      <c r="J353" s="50">
        <v>23904</v>
      </c>
      <c r="K353" s="50">
        <v>0</v>
      </c>
      <c r="L353" s="50">
        <v>88453</v>
      </c>
      <c r="M353" s="50">
        <v>4865</v>
      </c>
      <c r="N353" s="50">
        <v>651186</v>
      </c>
    </row>
    <row r="354" spans="2:14">
      <c r="B354" s="50" t="s">
        <v>26</v>
      </c>
      <c r="C354" s="50">
        <v>4</v>
      </c>
      <c r="D354" s="50">
        <v>196</v>
      </c>
      <c r="E354" s="50">
        <v>5</v>
      </c>
      <c r="F354" s="50">
        <v>19</v>
      </c>
      <c r="G354" s="50">
        <v>134193</v>
      </c>
      <c r="H354" s="50">
        <v>2075475</v>
      </c>
      <c r="I354" s="50">
        <v>16859915</v>
      </c>
      <c r="J354" s="50">
        <v>21236</v>
      </c>
      <c r="K354" s="50">
        <v>0</v>
      </c>
      <c r="L354" s="50">
        <v>458763</v>
      </c>
      <c r="M354" s="50">
        <v>7658</v>
      </c>
      <c r="N354" s="50">
        <v>575602</v>
      </c>
    </row>
    <row r="355" spans="2:14">
      <c r="B355" s="50" t="s">
        <v>27</v>
      </c>
      <c r="C355" s="50">
        <v>2</v>
      </c>
      <c r="D355" s="50">
        <v>75</v>
      </c>
      <c r="E355" s="50">
        <v>4</v>
      </c>
      <c r="F355" s="50">
        <v>9</v>
      </c>
      <c r="G355" s="50">
        <v>88684</v>
      </c>
      <c r="H355" s="50">
        <v>1706345</v>
      </c>
      <c r="I355" s="50">
        <v>10026419</v>
      </c>
      <c r="J355" s="50">
        <v>7632</v>
      </c>
      <c r="K355" s="50">
        <v>0</v>
      </c>
      <c r="L355" s="50">
        <v>153817</v>
      </c>
      <c r="M355" s="50">
        <v>4408</v>
      </c>
      <c r="N355" s="50">
        <v>489224</v>
      </c>
    </row>
    <row r="356" spans="1:14">
      <c r="A356">
        <v>5218</v>
      </c>
      <c r="B356" s="50" t="s">
        <v>25</v>
      </c>
      <c r="C356" s="50">
        <v>8</v>
      </c>
      <c r="D356" s="50">
        <v>272</v>
      </c>
      <c r="E356" s="50">
        <v>7</v>
      </c>
      <c r="F356" s="50">
        <v>25</v>
      </c>
      <c r="G356" s="50">
        <v>184713</v>
      </c>
      <c r="H356" s="50">
        <v>2759341</v>
      </c>
      <c r="I356" s="50">
        <v>28705879</v>
      </c>
      <c r="J356" s="50">
        <v>93927</v>
      </c>
      <c r="K356" s="50">
        <v>0</v>
      </c>
      <c r="L356" s="50">
        <v>1008133</v>
      </c>
      <c r="M356" s="50">
        <v>13395</v>
      </c>
      <c r="N356" s="50">
        <v>828567</v>
      </c>
    </row>
    <row r="357" spans="2:14">
      <c r="B357" s="50" t="s">
        <v>26</v>
      </c>
      <c r="C357" s="50">
        <v>1</v>
      </c>
      <c r="D357" s="50">
        <v>61</v>
      </c>
      <c r="E357" s="50">
        <v>2</v>
      </c>
      <c r="F357" s="50">
        <v>19</v>
      </c>
      <c r="G357" s="50">
        <v>65717</v>
      </c>
      <c r="H357" s="50">
        <v>1369707</v>
      </c>
      <c r="I357" s="50">
        <v>10262718</v>
      </c>
      <c r="J357" s="50">
        <v>8628</v>
      </c>
      <c r="K357" s="50">
        <v>0</v>
      </c>
      <c r="L357" s="50">
        <v>64015</v>
      </c>
      <c r="M357" s="50">
        <v>3725</v>
      </c>
      <c r="N357" s="50">
        <v>466602</v>
      </c>
    </row>
    <row r="358" spans="2:14">
      <c r="B358" s="50" t="s">
        <v>27</v>
      </c>
      <c r="C358" s="50">
        <v>0</v>
      </c>
      <c r="D358" s="50">
        <v>62</v>
      </c>
      <c r="E358" s="50">
        <v>1</v>
      </c>
      <c r="F358" s="50">
        <v>8</v>
      </c>
      <c r="G358" s="50">
        <v>37140</v>
      </c>
      <c r="H358" s="50">
        <v>1312498</v>
      </c>
      <c r="I358" s="50">
        <v>5646283</v>
      </c>
      <c r="J358" s="50">
        <v>7302</v>
      </c>
      <c r="K358" s="50">
        <v>0</v>
      </c>
      <c r="L358" s="50">
        <v>68958</v>
      </c>
      <c r="M358" s="50">
        <v>2936</v>
      </c>
      <c r="N358" s="50">
        <v>444216</v>
      </c>
    </row>
    <row r="359" spans="1:14">
      <c r="A359">
        <v>5219</v>
      </c>
      <c r="B359" s="50" t="s">
        <v>25</v>
      </c>
      <c r="C359" s="50">
        <v>9</v>
      </c>
      <c r="D359" s="50">
        <v>320</v>
      </c>
      <c r="E359" s="50">
        <v>9</v>
      </c>
      <c r="F359" s="50">
        <v>22</v>
      </c>
      <c r="G359" s="50">
        <v>180876</v>
      </c>
      <c r="H359" s="50">
        <v>2510247</v>
      </c>
      <c r="I359" s="50">
        <v>24756673</v>
      </c>
      <c r="J359" s="50">
        <v>93058</v>
      </c>
      <c r="K359" s="50">
        <v>0</v>
      </c>
      <c r="L359" s="50">
        <v>720044</v>
      </c>
      <c r="M359" s="50">
        <v>13142</v>
      </c>
      <c r="N359" s="50">
        <v>669254</v>
      </c>
    </row>
    <row r="360" spans="2:14">
      <c r="B360" s="50" t="s">
        <v>26</v>
      </c>
      <c r="C360" s="50">
        <v>0</v>
      </c>
      <c r="D360" s="50">
        <v>30</v>
      </c>
      <c r="E360" s="50">
        <v>0</v>
      </c>
      <c r="F360" s="50">
        <v>9</v>
      </c>
      <c r="G360" s="50">
        <v>32781</v>
      </c>
      <c r="H360" s="50">
        <v>673317</v>
      </c>
      <c r="I360" s="50">
        <v>3978137</v>
      </c>
      <c r="J360" s="50">
        <v>3010</v>
      </c>
      <c r="K360" s="50">
        <v>0</v>
      </c>
      <c r="L360" s="50">
        <v>34561</v>
      </c>
      <c r="M360" s="50">
        <v>1642</v>
      </c>
      <c r="N360" s="50">
        <v>178626</v>
      </c>
    </row>
    <row r="361" spans="2:14">
      <c r="B361" s="50" t="s">
        <v>27</v>
      </c>
      <c r="C361" s="50">
        <v>0</v>
      </c>
      <c r="D361" s="50">
        <v>45</v>
      </c>
      <c r="E361" s="50">
        <v>0</v>
      </c>
      <c r="F361" s="50">
        <v>12</v>
      </c>
      <c r="G361" s="50">
        <v>44672</v>
      </c>
      <c r="H361" s="50">
        <v>726463</v>
      </c>
      <c r="I361" s="50">
        <v>5411222</v>
      </c>
      <c r="J361" s="50">
        <v>4414</v>
      </c>
      <c r="K361" s="50">
        <v>0</v>
      </c>
      <c r="L361" s="50">
        <v>61972</v>
      </c>
      <c r="M361" s="50">
        <v>2104</v>
      </c>
      <c r="N361" s="50">
        <v>324141</v>
      </c>
    </row>
    <row r="362" spans="1:14">
      <c r="A362">
        <v>5220</v>
      </c>
      <c r="B362" s="50" t="s">
        <v>25</v>
      </c>
      <c r="C362" s="50">
        <v>4</v>
      </c>
      <c r="D362" s="50">
        <v>160</v>
      </c>
      <c r="E362" s="50">
        <v>3</v>
      </c>
      <c r="F362" s="50">
        <v>19</v>
      </c>
      <c r="G362" s="50">
        <v>94205</v>
      </c>
      <c r="H362" s="50">
        <v>2275262</v>
      </c>
      <c r="I362" s="50">
        <v>14609031</v>
      </c>
      <c r="J362" s="50">
        <v>36850</v>
      </c>
      <c r="K362" s="50">
        <v>0</v>
      </c>
      <c r="L362" s="50">
        <v>204891</v>
      </c>
      <c r="M362" s="50">
        <v>7415</v>
      </c>
      <c r="N362" s="50">
        <v>825320</v>
      </c>
    </row>
    <row r="363" spans="2:14">
      <c r="B363" s="50" t="s">
        <v>26</v>
      </c>
      <c r="C363" s="50">
        <v>0</v>
      </c>
      <c r="D363" s="50">
        <v>50</v>
      </c>
      <c r="E363" s="50">
        <v>1</v>
      </c>
      <c r="F363" s="50">
        <v>11</v>
      </c>
      <c r="G363" s="50">
        <v>63926</v>
      </c>
      <c r="H363" s="50">
        <v>1980293</v>
      </c>
      <c r="I363" s="50">
        <v>10062269</v>
      </c>
      <c r="J363" s="50">
        <v>70588</v>
      </c>
      <c r="K363" s="50">
        <v>0</v>
      </c>
      <c r="L363" s="50">
        <v>111332</v>
      </c>
      <c r="M363" s="50">
        <v>5979</v>
      </c>
      <c r="N363" s="50">
        <v>810350</v>
      </c>
    </row>
    <row r="364" spans="2:14">
      <c r="B364" s="50" t="s">
        <v>27</v>
      </c>
      <c r="C364" s="50">
        <v>5</v>
      </c>
      <c r="D364" s="50">
        <v>185</v>
      </c>
      <c r="E364" s="50">
        <v>6</v>
      </c>
      <c r="F364" s="50">
        <v>14</v>
      </c>
      <c r="G364" s="50">
        <v>116223</v>
      </c>
      <c r="H364" s="50">
        <v>2540004</v>
      </c>
      <c r="I364" s="50">
        <v>16805939</v>
      </c>
      <c r="J364" s="50">
        <v>33726</v>
      </c>
      <c r="K364" s="50">
        <v>0</v>
      </c>
      <c r="L364" s="50">
        <v>328147</v>
      </c>
      <c r="M364" s="50">
        <v>8327</v>
      </c>
      <c r="N364" s="50">
        <v>822930</v>
      </c>
    </row>
    <row r="365" spans="1:14">
      <c r="A365">
        <v>5221</v>
      </c>
      <c r="B365" s="50" t="s">
        <v>25</v>
      </c>
      <c r="C365" s="50">
        <v>6</v>
      </c>
      <c r="D365" s="50">
        <v>273</v>
      </c>
      <c r="E365" s="50">
        <v>7</v>
      </c>
      <c r="F365" s="50">
        <v>20</v>
      </c>
      <c r="G365" s="50">
        <v>166764</v>
      </c>
      <c r="H365" s="50">
        <v>1782348</v>
      </c>
      <c r="I365" s="50">
        <v>17572167</v>
      </c>
      <c r="J365" s="50">
        <v>16760</v>
      </c>
      <c r="K365" s="50">
        <v>0</v>
      </c>
      <c r="L365" s="50">
        <v>327397</v>
      </c>
      <c r="M365" s="50">
        <v>8369</v>
      </c>
      <c r="N365" s="50">
        <v>487703</v>
      </c>
    </row>
    <row r="366" spans="2:14">
      <c r="B366" s="50" t="s">
        <v>26</v>
      </c>
      <c r="C366" s="50">
        <v>2</v>
      </c>
      <c r="D366" s="50">
        <v>82</v>
      </c>
      <c r="E366" s="50">
        <v>3</v>
      </c>
      <c r="F366" s="50">
        <v>14</v>
      </c>
      <c r="G366" s="50">
        <v>78137</v>
      </c>
      <c r="H366" s="50">
        <v>1435582</v>
      </c>
      <c r="I366" s="50">
        <v>8747179</v>
      </c>
      <c r="J366" s="50">
        <v>33276</v>
      </c>
      <c r="K366" s="50">
        <v>0</v>
      </c>
      <c r="L366" s="50">
        <v>100935</v>
      </c>
      <c r="M366" s="50">
        <v>4769</v>
      </c>
      <c r="N366" s="50">
        <v>557777</v>
      </c>
    </row>
    <row r="367" spans="2:14">
      <c r="B367" s="50" t="s">
        <v>27</v>
      </c>
      <c r="C367" s="50">
        <v>1</v>
      </c>
      <c r="D367" s="50">
        <v>40</v>
      </c>
      <c r="E367" s="50">
        <v>0</v>
      </c>
      <c r="F367" s="50">
        <v>12</v>
      </c>
      <c r="G367" s="50">
        <v>38181</v>
      </c>
      <c r="H367" s="50">
        <v>546693</v>
      </c>
      <c r="I367" s="50">
        <v>3935406</v>
      </c>
      <c r="J367" s="50">
        <v>374</v>
      </c>
      <c r="K367" s="50">
        <v>0</v>
      </c>
      <c r="L367" s="50">
        <v>137116</v>
      </c>
      <c r="M367" s="50">
        <v>1710</v>
      </c>
      <c r="N367" s="50">
        <v>175312</v>
      </c>
    </row>
  </sheetData>
  <conditionalFormatting sqref="F143:F145">
    <cfRule type="dataBar" priority="1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{8ed42d14-e02c-4eca-9cc3-42673a14367d}</x14:id>
        </ext>
      </extLst>
    </cfRule>
  </conditionalFormatting>
  <conditionalFormatting sqref="F146:F148">
    <cfRule type="dataBar" priority="1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{f6d64983-5c78-4638-bcf9-2db3d97a8db3}</x14:id>
        </ext>
      </extLst>
    </cfRule>
  </conditionalFormatting>
  <conditionalFormatting sqref="F149:F151">
    <cfRule type="dataBar" priority="1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{f36f8738-aba2-4d9a-9cf9-40b28b660d82}</x14:id>
        </ext>
      </extLst>
    </cfRule>
  </conditionalFormatting>
  <conditionalFormatting sqref="F152:F154">
    <cfRule type="dataBar" priority="1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{4df833a0-4975-497a-ae8a-2f8cc5c72248}</x14:id>
        </ext>
      </extLst>
    </cfRule>
  </conditionalFormatting>
  <conditionalFormatting sqref="F155:F157">
    <cfRule type="dataBar" priority="1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{232baf33-2740-48b7-bf92-ace86d393e78}</x14:id>
        </ext>
      </extLst>
    </cfRule>
  </conditionalFormatting>
  <conditionalFormatting sqref="F194:F19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{23ba174e-f1d8-4af3-9f31-a3be68882b84}</x14:id>
        </ext>
      </extLst>
    </cfRule>
  </conditionalFormatting>
  <conditionalFormatting sqref="G143:G145">
    <cfRule type="dataBar" priority="1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{20cb519b-50fd-4134-9b3b-5fc6d9685f10}</x14:id>
        </ext>
      </extLst>
    </cfRule>
  </conditionalFormatting>
  <conditionalFormatting sqref="G146:G148">
    <cfRule type="dataBar" priority="13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{cbbda73f-6e1a-4e9c-910a-e61976ca38e6}</x14:id>
        </ext>
      </extLst>
    </cfRule>
  </conditionalFormatting>
  <conditionalFormatting sqref="G149:G151">
    <cfRule type="dataBar" priority="1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{15978ec6-00ba-4667-ad0f-9de0454ed5fa}</x14:id>
        </ext>
      </extLst>
    </cfRule>
  </conditionalFormatting>
  <conditionalFormatting sqref="G152:G154">
    <cfRule type="dataBar" priority="1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{b3e213ba-0d27-4d8e-82cf-92cb95495edb}</x14:id>
        </ext>
      </extLst>
    </cfRule>
  </conditionalFormatting>
  <conditionalFormatting sqref="G155:G157">
    <cfRule type="dataBar" priority="1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{80d5af81-3a45-4a87-8c4b-982844445f3c}</x14:id>
        </ext>
      </extLst>
    </cfRule>
  </conditionalFormatting>
  <conditionalFormatting sqref="G194:G19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{3155660c-9277-4f72-a3e5-da8de18b41cb}</x14:id>
        </ext>
      </extLst>
    </cfRule>
  </conditionalFormatting>
  <conditionalFormatting sqref="N143:N157">
    <cfRule type="dataBar" priority="1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{fb12a5f6-3697-44cb-950a-f6f348a3becb}</x14:id>
        </ext>
      </extLst>
    </cfRule>
  </conditionalFormatting>
  <conditionalFormatting sqref="N149:N157">
    <cfRule type="dataBar" priority="1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{25b8109b-9a59-4db1-bba3-0a88b5fa3bd4}</x14:id>
        </ext>
      </extLst>
    </cfRule>
  </conditionalFormatting>
  <conditionalFormatting sqref="N194:N19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{272eaeba-9fef-43d6-90d4-906c5152afc6}</x14:id>
        </ext>
      </extLst>
    </cfRule>
  </conditionalFormatting>
  <conditionalFormatting sqref="O2:O13">
    <cfRule type="dataBar" priority="1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{6d99c946-cf8b-4d1e-8b94-b69cf0461192}</x14:id>
        </ext>
      </extLst>
    </cfRule>
  </conditionalFormatting>
  <conditionalFormatting sqref="O14:O16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{14cd9b66-123b-4c42-ab6f-6a6efd964fbc}</x14:id>
        </ext>
      </extLst>
    </cfRule>
  </conditionalFormatting>
  <conditionalFormatting sqref="O17:O19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{1d4c5da8-bfd2-47ce-b5ff-873fc2ad805e}</x14:id>
        </ext>
      </extLst>
    </cfRule>
  </conditionalFormatting>
  <conditionalFormatting sqref="O32:O3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{de928a78-2db7-466a-b877-293ea0f1f964}</x14:id>
        </ext>
      </extLst>
    </cfRule>
  </conditionalFormatting>
  <conditionalFormatting sqref="O38:O40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{162f80f3-9129-49f9-8106-9cd41d59e7f4}</x14:id>
        </ext>
      </extLst>
    </cfRule>
  </conditionalFormatting>
  <conditionalFormatting sqref="O41:O43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{6d5058d6-4547-4c52-a57e-f02c11de4ad3}</x14:id>
        </ext>
      </extLst>
    </cfRule>
  </conditionalFormatting>
  <conditionalFormatting sqref="P2:P13">
    <cfRule type="dataBar" priority="1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{a1370ddb-d272-4118-a3e9-68552a5bf382}</x14:id>
        </ext>
      </extLst>
    </cfRule>
  </conditionalFormatting>
  <conditionalFormatting sqref="P14:P1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{871e6d2d-3609-4098-a42d-14de18d7545b}</x14:id>
        </ext>
      </extLst>
    </cfRule>
  </conditionalFormatting>
  <conditionalFormatting sqref="P17:P19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{be7b0abc-94ee-4b53-8e22-c075b57efd19}</x14:id>
        </ext>
      </extLst>
    </cfRule>
  </conditionalFormatting>
  <conditionalFormatting sqref="P32:P34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{936515bc-8848-4329-b2cd-5000cccf91d0}</x14:id>
        </ext>
      </extLst>
    </cfRule>
  </conditionalFormatting>
  <conditionalFormatting sqref="P38:P40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{ef34800e-d6a7-4c46-950d-7c66ec2e547d}</x14:id>
        </ext>
      </extLst>
    </cfRule>
  </conditionalFormatting>
  <conditionalFormatting sqref="P41:P43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{78bd9165-9208-49d2-b724-c2fb1e89473d}</x14:id>
        </ext>
      </extLst>
    </cfRule>
  </conditionalFormatting>
  <conditionalFormatting sqref="P143:P172">
    <cfRule type="cellIs" dxfId="37" priority="121" operator="equal">
      <formula>$S$143</formula>
    </cfRule>
  </conditionalFormatting>
  <conditionalFormatting sqref="Q14:Q16">
    <cfRule type="cellIs" dxfId="38" priority="26" operator="equal">
      <formula>配置!$D$4</formula>
    </cfRule>
    <cfRule type="cellIs" dxfId="39" priority="27" operator="equal">
      <formula>配置!$D$3</formula>
    </cfRule>
    <cfRule type="cellIs" dxfId="37" priority="28" operator="equal">
      <formula>配置!$D$2</formula>
    </cfRule>
  </conditionalFormatting>
  <conditionalFormatting sqref="Q17:Q19">
    <cfRule type="cellIs" dxfId="38" priority="35" operator="equal">
      <formula>配置!$D$4</formula>
    </cfRule>
    <cfRule type="cellIs" dxfId="39" priority="36" operator="equal">
      <formula>配置!$D$3</formula>
    </cfRule>
    <cfRule type="cellIs" dxfId="37" priority="37" operator="equal">
      <formula>配置!$D$2</formula>
    </cfRule>
  </conditionalFormatting>
  <conditionalFormatting sqref="Q32:Q34">
    <cfRule type="cellIs" dxfId="38" priority="14" operator="equal">
      <formula>配置!$D$4</formula>
    </cfRule>
    <cfRule type="cellIs" dxfId="39" priority="15" operator="equal">
      <formula>配置!$D$3</formula>
    </cfRule>
    <cfRule type="cellIs" dxfId="37" priority="16" operator="equal">
      <formula>配置!$D$2</formula>
    </cfRule>
  </conditionalFormatting>
  <conditionalFormatting sqref="Q38:Q40">
    <cfRule type="cellIs" dxfId="38" priority="21" operator="equal">
      <formula>配置!$D$4</formula>
    </cfRule>
    <cfRule type="cellIs" dxfId="39" priority="22" operator="equal">
      <formula>配置!$D$3</formula>
    </cfRule>
    <cfRule type="cellIs" dxfId="37" priority="23" operator="equal">
      <formula>配置!$D$2</formula>
    </cfRule>
  </conditionalFormatting>
  <conditionalFormatting sqref="Q41:Q43">
    <cfRule type="cellIs" dxfId="38" priority="5" operator="equal">
      <formula>配置!$D$4</formula>
    </cfRule>
    <cfRule type="cellIs" dxfId="39" priority="6" operator="equal">
      <formula>配置!$D$3</formula>
    </cfRule>
    <cfRule type="cellIs" dxfId="37" priority="7" operator="equal">
      <formula>配置!$D$2</formula>
    </cfRule>
  </conditionalFormatting>
  <conditionalFormatting sqref="Q44:Q139">
    <cfRule type="cellIs" dxfId="38" priority="56" operator="equal">
      <formula>配置!$D$4</formula>
    </cfRule>
    <cfRule type="cellIs" dxfId="39" priority="57" operator="equal">
      <formula>配置!$D$3</formula>
    </cfRule>
    <cfRule type="cellIs" dxfId="37" priority="58" operator="equal">
      <formula>配置!$D$2</formula>
    </cfRule>
  </conditionalFormatting>
  <conditionalFormatting sqref="O140:O141 Q1:R1 Q2 Q4:Q5 Q7:Q8 Q10:Q11 Q13 Q20 Q22:Q23 Q25:Q26 Q28:Q29 Q31 Q35 Q37">
    <cfRule type="cellIs" dxfId="37" priority="138" operator="equal">
      <formula>配置!$D$2</formula>
    </cfRule>
  </conditionalFormatting>
  <conditionalFormatting sqref="Q2 Q4:Q5 Q7:Q8 Q10:Q11 Q13 Q20 Q22:Q23 Q25:Q26 Q28:Q29 Q31 Q35 Q37">
    <cfRule type="cellIs" dxfId="38" priority="137" operator="equal">
      <formula>配置!$D$4</formula>
    </cfRule>
  </conditionalFormatting>
  <conditionalFormatting sqref="Q2:Q13 Q20:Q31 Q35:Q37">
    <cfRule type="cellIs" dxfId="38" priority="128" operator="equal">
      <formula>配置!$D$4</formula>
    </cfRule>
    <cfRule type="cellIs" dxfId="39" priority="129" operator="equal">
      <formula>配置!$D$3</formula>
    </cfRule>
    <cfRule type="cellIs" dxfId="37" priority="130" operator="equal">
      <formula>配置!$D$2</formula>
    </cfRule>
  </conditionalFormatting>
  <conditionalFormatting sqref="Q14 Q16">
    <cfRule type="cellIs" dxfId="38" priority="31" operator="equal">
      <formula>配置!$D$4</formula>
    </cfRule>
    <cfRule type="cellIs" dxfId="37" priority="32" operator="equal">
      <formula>配置!$D$2</formula>
    </cfRule>
  </conditionalFormatting>
  <conditionalFormatting sqref="Q17 Q19">
    <cfRule type="cellIs" dxfId="38" priority="38" operator="equal">
      <formula>配置!$D$4</formula>
    </cfRule>
    <cfRule type="cellIs" dxfId="37" priority="39" operator="equal">
      <formula>配置!$D$2</formula>
    </cfRule>
  </conditionalFormatting>
  <conditionalFormatting sqref="O20:O31 O35:O37">
    <cfRule type="dataBar" priority="1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{d695b81d-d1c2-48dc-85a7-c9ccc003c040}</x14:id>
        </ext>
      </extLst>
    </cfRule>
  </conditionalFormatting>
  <conditionalFormatting sqref="P20:P31 P35:P37">
    <cfRule type="dataBar" priority="1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{df7298e4-2666-4841-bd96-07480ba6f72a}</x14:id>
        </ext>
      </extLst>
    </cfRule>
  </conditionalFormatting>
  <conditionalFormatting sqref="Q32 Q34">
    <cfRule type="cellIs" dxfId="38" priority="17" operator="equal">
      <formula>配置!$D$4</formula>
    </cfRule>
    <cfRule type="cellIs" dxfId="37" priority="18" operator="equal">
      <formula>配置!$D$2</formula>
    </cfRule>
  </conditionalFormatting>
  <conditionalFormatting sqref="Q38 Q40">
    <cfRule type="cellIs" dxfId="38" priority="24" operator="equal">
      <formula>配置!$D$4</formula>
    </cfRule>
    <cfRule type="cellIs" dxfId="37" priority="25" operator="equal">
      <formula>配置!$D$2</formula>
    </cfRule>
  </conditionalFormatting>
  <conditionalFormatting sqref="Q41 Q43">
    <cfRule type="cellIs" dxfId="38" priority="10" operator="equal">
      <formula>配置!$D$4</formula>
    </cfRule>
    <cfRule type="cellIs" dxfId="37" priority="11" operator="equal">
      <formula>配置!$D$2</formula>
    </cfRule>
  </conditionalFormatting>
  <conditionalFormatting sqref="O44:O55 O74:O91 O110:O127">
    <cfRule type="dataBar" priority="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{bc6024c6-6470-49ba-8cd6-6763b468b9f8}</x14:id>
        </ext>
      </extLst>
    </cfRule>
  </conditionalFormatting>
  <conditionalFormatting sqref="P44:P55 P74:P91 P110:P127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{5d1b955a-53fd-4921-8c30-6f7381d30e05}</x14:id>
        </ext>
      </extLst>
    </cfRule>
  </conditionalFormatting>
  <conditionalFormatting sqref="Q76:Q77 Q112:Q113 Q44 Q79:Q80 Q115:Q116 Q46:Q47 Q82:Q83 Q118:Q119 Q49:Q50 Q85:Q86 Q121:Q122 Q52:Q53 Q88:Q89 Q124:Q125 Q55:Q56 Q91:Q92 Q127:Q128 Q58:Q59 Q94:Q95 Q130:Q131 Q61:Q62 Q97:Q98 Q133:Q134 Q64:Q65 Q100:Q101 Q136:Q137 Q67:Q68 Q103:Q104 Q139 Q70:Q71 Q106:Q107 Q73:Q74 Q109:Q110">
    <cfRule type="cellIs" dxfId="38" priority="61" operator="equal">
      <formula>配置!$D$4</formula>
    </cfRule>
    <cfRule type="cellIs" dxfId="37" priority="62" operator="equal">
      <formula>配置!$D$2</formula>
    </cfRule>
  </conditionalFormatting>
  <conditionalFormatting sqref="O56:O73 O92:O109 O128:O139">
    <cfRule type="dataBar" priority="1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{76c6d07f-58de-46a3-93eb-ff7379ce4158}</x14:id>
        </ext>
      </extLst>
    </cfRule>
  </conditionalFormatting>
  <conditionalFormatting sqref="P56:P73 P92:P109 P128:P139">
    <cfRule type="dataBar" priority="1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{96dcc3b5-7e0b-498e-88f8-0c4939746736}</x14:id>
        </ext>
      </extLst>
    </cfRule>
  </conditionalFormatting>
  <conditionalFormatting sqref="R143:R164 P176:P190">
    <cfRule type="cellIs" dxfId="37" priority="122" operator="equal">
      <formula>$S$143</formula>
    </cfRule>
  </conditionalFormatting>
  <conditionalFormatting sqref="F158:F160 F176:F178 F197:F199">
    <cfRule type="dataBar" priority="5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{aabca16b-821e-42f8-a4b3-1ad658fe2d0e}</x14:id>
        </ext>
      </extLst>
    </cfRule>
  </conditionalFormatting>
  <conditionalFormatting sqref="G158:G160 G176:G178 G197:G199">
    <cfRule type="dataBar" priority="5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{8fb35405-42e0-4652-86c9-be379f9c1a09}</x14:id>
        </ext>
      </extLst>
    </cfRule>
  </conditionalFormatting>
  <conditionalFormatting sqref="N158:N193 N197:N202">
    <cfRule type="dataBar" priority="1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{6329fd13-3dff-402b-b02c-f4f32ee745d2}</x14:id>
        </ext>
      </extLst>
    </cfRule>
  </conditionalFormatting>
  <conditionalFormatting sqref="F161:F163 F179:F181 F200:F202">
    <cfRule type="dataBar" priority="4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{1b05a7e9-b791-4e9c-a2d4-438dfc0192df}</x14:id>
        </ext>
      </extLst>
    </cfRule>
  </conditionalFormatting>
  <conditionalFormatting sqref="G161:G163 G179:G181 G200:G202">
    <cfRule type="dataBar" priority="4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{fe688940-8fe8-412f-a1d3-e70c087378be}</x14:id>
        </ext>
      </extLst>
    </cfRule>
  </conditionalFormatting>
  <conditionalFormatting sqref="F164:F166 F182:F18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{386ec5e6-f5ef-42d2-89ad-c51aa8863d07}</x14:id>
        </ext>
      </extLst>
    </cfRule>
  </conditionalFormatting>
  <conditionalFormatting sqref="G164:G166 G182:G18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{a7cda5fd-78dc-4943-815c-4c5ea6f4b254}</x14:id>
        </ext>
      </extLst>
    </cfRule>
  </conditionalFormatting>
  <conditionalFormatting sqref="N164:N172 N182:N190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{ad1e9a36-0f7e-4a40-8094-50f9f8d94a58}</x14:id>
        </ext>
      </extLst>
    </cfRule>
  </conditionalFormatting>
  <conditionalFormatting sqref="F167:F169 F185:F187">
    <cfRule type="dataBar" priority="4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{e52a422d-1c18-4220-8fb3-f5ff393ccc2f}</x14:id>
        </ext>
      </extLst>
    </cfRule>
  </conditionalFormatting>
  <conditionalFormatting sqref="G167:G169 G185:G187">
    <cfRule type="dataBar" priority="4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{5554128c-e79b-4f1a-aa0d-3f61d536a4e1}</x14:id>
        </ext>
      </extLst>
    </cfRule>
  </conditionalFormatting>
  <conditionalFormatting sqref="F170:F172 F188:F190">
    <cfRule type="dataBar" priority="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{6f23fcfd-8aa8-41fc-853e-16412c31fe0c}</x14:id>
        </ext>
      </extLst>
    </cfRule>
  </conditionalFormatting>
  <conditionalFormatting sqref="G170:G172 G188:G190">
    <cfRule type="dataBar" priority="4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{e38f4fba-71ef-42b0-9fab-caea4f10ea78}</x14:id>
        </ext>
      </extLst>
    </cfRule>
  </conditionalFormatting>
  <conditionalFormatting sqref="F173:F175 F191:F193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{c93a1c19-f6b4-45ec-b25f-88115e6ba625}</x14:id>
        </ext>
      </extLst>
    </cfRule>
  </conditionalFormatting>
  <conditionalFormatting sqref="G173:G175 G191:G193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{ce310e47-2ba7-47ef-97cf-e236607f7f33}</x14:id>
        </ext>
      </extLst>
    </cfRule>
  </conditionalFormatting>
  <conditionalFormatting sqref="P173:Q175">
    <cfRule type="cellIs" dxfId="37" priority="1" operator="equal">
      <formula>$S$143</formula>
    </cfRule>
  </conditionalFormatting>
  <dataValidations count="1">
    <dataValidation type="list" allowBlank="1" showInputMessage="1" showErrorMessage="1" sqref="Q2:Q139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ed42d14-e02c-4eca-9cc3-42673a1436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F143:F145</xm:sqref>
        </x14:conditionalFormatting>
        <x14:conditionalFormatting xmlns:xm="http://schemas.microsoft.com/office/excel/2006/main">
          <x14:cfRule type="dataBar" id="{f6d64983-5c78-4638-bcf9-2db3d97a8d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F146:F148</xm:sqref>
        </x14:conditionalFormatting>
        <x14:conditionalFormatting xmlns:xm="http://schemas.microsoft.com/office/excel/2006/main">
          <x14:cfRule type="dataBar" id="{f36f8738-aba2-4d9a-9cf9-40b28b660d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F149:F151</xm:sqref>
        </x14:conditionalFormatting>
        <x14:conditionalFormatting xmlns:xm="http://schemas.microsoft.com/office/excel/2006/main">
          <x14:cfRule type="dataBar" id="{4df833a0-4975-497a-ae8a-2f8cc5c722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F152:F154</xm:sqref>
        </x14:conditionalFormatting>
        <x14:conditionalFormatting xmlns:xm="http://schemas.microsoft.com/office/excel/2006/main">
          <x14:cfRule type="dataBar" id="{232baf33-2740-48b7-bf92-ace86d393e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F155:F157</xm:sqref>
        </x14:conditionalFormatting>
        <x14:conditionalFormatting xmlns:xm="http://schemas.microsoft.com/office/excel/2006/main">
          <x14:cfRule type="dataBar" id="{23ba174e-f1d8-4af3-9f31-a3be68882b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F194:F196</xm:sqref>
        </x14:conditionalFormatting>
        <x14:conditionalFormatting xmlns:xm="http://schemas.microsoft.com/office/excel/2006/main">
          <x14:cfRule type="dataBar" id="{20cb519b-50fd-4134-9b3b-5fc6d9685f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G143:G145</xm:sqref>
        </x14:conditionalFormatting>
        <x14:conditionalFormatting xmlns:xm="http://schemas.microsoft.com/office/excel/2006/main">
          <x14:cfRule type="dataBar" id="{cbbda73f-6e1a-4e9c-910a-e61976ca38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G146:G148</xm:sqref>
        </x14:conditionalFormatting>
        <x14:conditionalFormatting xmlns:xm="http://schemas.microsoft.com/office/excel/2006/main">
          <x14:cfRule type="dataBar" id="{15978ec6-00ba-4667-ad0f-9de0454ed5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G149:G151</xm:sqref>
        </x14:conditionalFormatting>
        <x14:conditionalFormatting xmlns:xm="http://schemas.microsoft.com/office/excel/2006/main">
          <x14:cfRule type="dataBar" id="{b3e213ba-0d27-4d8e-82cf-92cb95495e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G152:G154</xm:sqref>
        </x14:conditionalFormatting>
        <x14:conditionalFormatting xmlns:xm="http://schemas.microsoft.com/office/excel/2006/main">
          <x14:cfRule type="dataBar" id="{80d5af81-3a45-4a87-8c4b-982844445f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G155:G157</xm:sqref>
        </x14:conditionalFormatting>
        <x14:conditionalFormatting xmlns:xm="http://schemas.microsoft.com/office/excel/2006/main">
          <x14:cfRule type="dataBar" id="{3155660c-9277-4f72-a3e5-da8de18b41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G194:G196</xm:sqref>
        </x14:conditionalFormatting>
        <x14:conditionalFormatting xmlns:xm="http://schemas.microsoft.com/office/excel/2006/main">
          <x14:cfRule type="dataBar" id="{fb12a5f6-3697-44cb-950a-f6f348a3be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N143:N157</xm:sqref>
        </x14:conditionalFormatting>
        <x14:conditionalFormatting xmlns:xm="http://schemas.microsoft.com/office/excel/2006/main">
          <x14:cfRule type="dataBar" id="{25b8109b-9a59-4db1-bba3-0a88b5fa3b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N149:N157</xm:sqref>
        </x14:conditionalFormatting>
        <x14:conditionalFormatting xmlns:xm="http://schemas.microsoft.com/office/excel/2006/main">
          <x14:cfRule type="dataBar" id="{272eaeba-9fef-43d6-90d4-906c5152af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N194:N196</xm:sqref>
        </x14:conditionalFormatting>
        <x14:conditionalFormatting xmlns:xm="http://schemas.microsoft.com/office/excel/2006/main">
          <x14:cfRule type="dataBar" id="{6d99c946-cf8b-4d1e-8b94-b69cf04611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O2:O13</xm:sqref>
        </x14:conditionalFormatting>
        <x14:conditionalFormatting xmlns:xm="http://schemas.microsoft.com/office/excel/2006/main">
          <x14:cfRule type="dataBar" id="{14cd9b66-123b-4c42-ab6f-6a6efd964f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O14:O16</xm:sqref>
        </x14:conditionalFormatting>
        <x14:conditionalFormatting xmlns:xm="http://schemas.microsoft.com/office/excel/2006/main">
          <x14:cfRule type="dataBar" id="{1d4c5da8-bfd2-47ce-b5ff-873fc2ad80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O17:O19</xm:sqref>
        </x14:conditionalFormatting>
        <x14:conditionalFormatting xmlns:xm="http://schemas.microsoft.com/office/excel/2006/main">
          <x14:cfRule type="dataBar" id="{de928a78-2db7-466a-b877-293ea0f1f9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O32:O34</xm:sqref>
        </x14:conditionalFormatting>
        <x14:conditionalFormatting xmlns:xm="http://schemas.microsoft.com/office/excel/2006/main">
          <x14:cfRule type="dataBar" id="{162f80f3-9129-49f9-8106-9cd41d59e7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O38:O40</xm:sqref>
        </x14:conditionalFormatting>
        <x14:conditionalFormatting xmlns:xm="http://schemas.microsoft.com/office/excel/2006/main">
          <x14:cfRule type="dataBar" id="{6d5058d6-4547-4c52-a57e-f02c11de4a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O41:O43</xm:sqref>
        </x14:conditionalFormatting>
        <x14:conditionalFormatting xmlns:xm="http://schemas.microsoft.com/office/excel/2006/main">
          <x14:cfRule type="dataBar" id="{a1370ddb-d272-4118-a3e9-68552a5bf3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P2:P13</xm:sqref>
        </x14:conditionalFormatting>
        <x14:conditionalFormatting xmlns:xm="http://schemas.microsoft.com/office/excel/2006/main">
          <x14:cfRule type="dataBar" id="{871e6d2d-3609-4098-a42d-14de18d754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P14:P16</xm:sqref>
        </x14:conditionalFormatting>
        <x14:conditionalFormatting xmlns:xm="http://schemas.microsoft.com/office/excel/2006/main">
          <x14:cfRule type="dataBar" id="{be7b0abc-94ee-4b53-8e22-c075b57efd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P17:P19</xm:sqref>
        </x14:conditionalFormatting>
        <x14:conditionalFormatting xmlns:xm="http://schemas.microsoft.com/office/excel/2006/main">
          <x14:cfRule type="dataBar" id="{936515bc-8848-4329-b2cd-5000cccf91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P32:P34</xm:sqref>
        </x14:conditionalFormatting>
        <x14:conditionalFormatting xmlns:xm="http://schemas.microsoft.com/office/excel/2006/main">
          <x14:cfRule type="dataBar" id="{ef34800e-d6a7-4c46-950d-7c66ec2e54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P38:P40</xm:sqref>
        </x14:conditionalFormatting>
        <x14:conditionalFormatting xmlns:xm="http://schemas.microsoft.com/office/excel/2006/main">
          <x14:cfRule type="dataBar" id="{78bd9165-9208-49d2-b724-c2fb1e8947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P41:P43</xm:sqref>
        </x14:conditionalFormatting>
        <x14:conditionalFormatting xmlns:xm="http://schemas.microsoft.com/office/excel/2006/main">
          <x14:cfRule type="dataBar" id="{d695b81d-d1c2-48dc-85a7-c9ccc003c0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O20:O31 O35:O37</xm:sqref>
        </x14:conditionalFormatting>
        <x14:conditionalFormatting xmlns:xm="http://schemas.microsoft.com/office/excel/2006/main">
          <x14:cfRule type="dataBar" id="{df7298e4-2666-4841-bd96-07480ba6f7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P20:P31 P35:P37</xm:sqref>
        </x14:conditionalFormatting>
        <x14:conditionalFormatting xmlns:xm="http://schemas.microsoft.com/office/excel/2006/main">
          <x14:cfRule type="dataBar" id="{bc6024c6-6470-49ba-8cd6-6763b468b9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O44:O55 O74:O91 O110:O127</xm:sqref>
        </x14:conditionalFormatting>
        <x14:conditionalFormatting xmlns:xm="http://schemas.microsoft.com/office/excel/2006/main">
          <x14:cfRule type="dataBar" id="{5d1b955a-53fd-4921-8c30-6f7381d30e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P44:P55 P74:P91 P110:P127</xm:sqref>
        </x14:conditionalFormatting>
        <x14:conditionalFormatting xmlns:xm="http://schemas.microsoft.com/office/excel/2006/main">
          <x14:cfRule type="dataBar" id="{76c6d07f-58de-46a3-93eb-ff7379ce41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O56:O73 O92:O109 O128:O139</xm:sqref>
        </x14:conditionalFormatting>
        <x14:conditionalFormatting xmlns:xm="http://schemas.microsoft.com/office/excel/2006/main">
          <x14:cfRule type="dataBar" id="{96dcc3b5-7e0b-498e-88f8-0c49397467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P56:P73 P92:P109 P128:P139</xm:sqref>
        </x14:conditionalFormatting>
        <x14:conditionalFormatting xmlns:xm="http://schemas.microsoft.com/office/excel/2006/main">
          <x14:cfRule type="dataBar" id="{aabca16b-821e-42f8-a4b3-1ad658fe2d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F158:F160 F176:F178 F197:F199</xm:sqref>
        </x14:conditionalFormatting>
        <x14:conditionalFormatting xmlns:xm="http://schemas.microsoft.com/office/excel/2006/main">
          <x14:cfRule type="dataBar" id="{8fb35405-42e0-4652-86c9-be379f9c1a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G158:G160 G176:G178 G197:G199</xm:sqref>
        </x14:conditionalFormatting>
        <x14:conditionalFormatting xmlns:xm="http://schemas.microsoft.com/office/excel/2006/main">
          <x14:cfRule type="dataBar" id="{6329fd13-3dff-402b-b02c-f4f32ee745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N158:N193 N197:N202</xm:sqref>
        </x14:conditionalFormatting>
        <x14:conditionalFormatting xmlns:xm="http://schemas.microsoft.com/office/excel/2006/main">
          <x14:cfRule type="dataBar" id="{1b05a7e9-b791-4e9c-a2d4-438dfc0192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F161:F163 F179:F181 F200:F202</xm:sqref>
        </x14:conditionalFormatting>
        <x14:conditionalFormatting xmlns:xm="http://schemas.microsoft.com/office/excel/2006/main">
          <x14:cfRule type="dataBar" id="{fe688940-8fe8-412f-a1d3-e70c087378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G161:G163 G179:G181 G200:G202</xm:sqref>
        </x14:conditionalFormatting>
        <x14:conditionalFormatting xmlns:xm="http://schemas.microsoft.com/office/excel/2006/main">
          <x14:cfRule type="dataBar" id="{386ec5e6-f5ef-42d2-89ad-c51aa8863d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F164:F166 F182:F184</xm:sqref>
        </x14:conditionalFormatting>
        <x14:conditionalFormatting xmlns:xm="http://schemas.microsoft.com/office/excel/2006/main">
          <x14:cfRule type="dataBar" id="{a7cda5fd-78dc-4943-815c-4c5ea6f4b2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G164:G166 G182:G184</xm:sqref>
        </x14:conditionalFormatting>
        <x14:conditionalFormatting xmlns:xm="http://schemas.microsoft.com/office/excel/2006/main">
          <x14:cfRule type="dataBar" id="{ad1e9a36-0f7e-4a40-8094-50f9f8d94a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N164:N172 N182:N190</xm:sqref>
        </x14:conditionalFormatting>
        <x14:conditionalFormatting xmlns:xm="http://schemas.microsoft.com/office/excel/2006/main">
          <x14:cfRule type="dataBar" id="{e52a422d-1c18-4220-8fb3-f5ff393ccc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F167:F169 F185:F187</xm:sqref>
        </x14:conditionalFormatting>
        <x14:conditionalFormatting xmlns:xm="http://schemas.microsoft.com/office/excel/2006/main">
          <x14:cfRule type="dataBar" id="{5554128c-e79b-4f1a-aa0d-3f61d536a4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G167:G169 G185:G187</xm:sqref>
        </x14:conditionalFormatting>
        <x14:conditionalFormatting xmlns:xm="http://schemas.microsoft.com/office/excel/2006/main">
          <x14:cfRule type="dataBar" id="{6f23fcfd-8aa8-41fc-853e-16412c31fe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F170:F172 F188:F190</xm:sqref>
        </x14:conditionalFormatting>
        <x14:conditionalFormatting xmlns:xm="http://schemas.microsoft.com/office/excel/2006/main">
          <x14:cfRule type="dataBar" id="{e38f4fba-71ef-42b0-9fab-caea4f10ea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G170:G172 G188:G190</xm:sqref>
        </x14:conditionalFormatting>
        <x14:conditionalFormatting xmlns:xm="http://schemas.microsoft.com/office/excel/2006/main">
          <x14:cfRule type="dataBar" id="{c93a1c19-f6b4-45ec-b25f-88115e6ba6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F173:F175 F191:F193</xm:sqref>
        </x14:conditionalFormatting>
        <x14:conditionalFormatting xmlns:xm="http://schemas.microsoft.com/office/excel/2006/main">
          <x14:cfRule type="dataBar" id="{ce310e47-2ba7-47ef-97cf-e236607f7f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G173:G175 G191:G193</xm:sqref>
        </x14:conditionalFormatting>
      </x14:conditionalFormatting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7"/>
  <sheetViews>
    <sheetView workbookViewId="0">
      <selection activeCell="E25" sqref="E25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391">
        <v>7033</v>
      </c>
      <c r="B2" s="391">
        <f>VLOOKUP(表1_86121822242672103[[#This Row],[区服]],$P$29:$Q$36,2,FALSE)</f>
        <v>46</v>
      </c>
      <c r="C2" s="392" t="s">
        <v>239</v>
      </c>
      <c r="D2" s="393" t="str">
        <f>表1_86121822242672103[[#This Row],[目标国家]]</f>
        <v>魏</v>
      </c>
      <c r="E2" s="394">
        <f>(VLOOKUP(表1_86121822242672103[[#This Row],[目标区服]],$R$29:$S$32,2,FALSE)-表1_86121822242672103[[#This Row],[开服天数]])*配置!$B$1</f>
        <v>1000</v>
      </c>
      <c r="F2" s="394">
        <f>表1_86121822242672103[[#This Row],[补偿Coin]]*(表1_86121822242672103[[#This Row],[活跃高战玩家数]]+表1_86121822242672103[[#This Row],[活跃中坚玩家数]])</f>
        <v>10000</v>
      </c>
      <c r="G2" s="394">
        <f>(VLOOKUP(表1_86121822242672103[[#This Row],[目标区服]],$R$29:$S$32,2,FALSE)-表1_86121822242672103[[#This Row],[开服天数]])*配置!$B$2</f>
        <v>10</v>
      </c>
      <c r="H2" s="395" t="s">
        <v>25</v>
      </c>
      <c r="I2" s="395">
        <f>IF(表1_86121822242672103[[#This Row],[原国家]]="魏",0,IF(表1_86121822242672103[[#This Row],[原国家]]="蜀",1,2))</f>
        <v>0</v>
      </c>
      <c r="J2" s="401">
        <v>0</v>
      </c>
      <c r="K2" s="401">
        <v>30</v>
      </c>
      <c r="L2" s="401">
        <v>0</v>
      </c>
      <c r="M2" s="401">
        <v>10</v>
      </c>
      <c r="N2" s="401">
        <v>18645</v>
      </c>
      <c r="O2" s="401">
        <v>905289</v>
      </c>
      <c r="P2" s="401">
        <v>4723244</v>
      </c>
      <c r="Q2" s="31" t="s">
        <v>25</v>
      </c>
      <c r="R2" s="376">
        <f>IF(表1_86121822242672103[[#This Row],[目标国家]]="魏",0,IF(表1_86121822242672103[[#This Row],[目标国家]]="蜀",1,2))</f>
        <v>0</v>
      </c>
      <c r="S2" s="401">
        <v>2478</v>
      </c>
      <c r="T2" s="401">
        <v>0</v>
      </c>
      <c r="U2" s="401">
        <v>55347</v>
      </c>
      <c r="V2" s="401">
        <v>1872</v>
      </c>
      <c r="W2" s="401">
        <v>346314</v>
      </c>
      <c r="X2" s="405" t="str">
        <f>"{"&amp;"'coin':"&amp;表1_86121822242672103[[#This Row],[补偿Coin]]&amp;",'"&amp;配置!$A$2&amp;"':"&amp;表1_86121822242672103[[#This Row],[补偿辎重]]&amp;"},"</f>
        <v>{'coin':1000,'item036':10},</v>
      </c>
      <c r="Y2" s="410" t="str">
        <f>"      '"&amp;表1_86121822242672103[[#This Row],[区服]]&amp;"':{"</f>
        <v>      '7033':{</v>
      </c>
    </row>
    <row r="3" s="354" customFormat="1" ht="14.25" customHeight="1" spans="1:25">
      <c r="A3" s="396">
        <v>7033</v>
      </c>
      <c r="B3" s="391">
        <f>VLOOKUP(表1_86121822242672103[[#This Row],[区服]],$P$29:$Q$36,2,FALSE)</f>
        <v>46</v>
      </c>
      <c r="C3" s="392" t="s">
        <v>239</v>
      </c>
      <c r="D3" s="395" t="str">
        <f>表1_86121822242672103[[#This Row],[目标国家]]</f>
        <v>蜀</v>
      </c>
      <c r="E3" s="397">
        <f>(VLOOKUP(表1_86121822242672103[[#This Row],[目标区服]],$R$29:$S$32,2,FALSE)-表1_86121822242672103[[#This Row],[开服天数]])*配置!$B$1</f>
        <v>1000</v>
      </c>
      <c r="F3" s="397">
        <f>表1_86121822242672103[[#This Row],[补偿Coin]]*(表1_86121822242672103[[#This Row],[活跃高战玩家数]]+表1_86121822242672103[[#This Row],[活跃中坚玩家数]])</f>
        <v>41000</v>
      </c>
      <c r="G3" s="397">
        <f>(VLOOKUP(表1_86121822242672103[[#This Row],[目标区服]],$R$29:$S$32,2,FALSE)-表1_86121822242672103[[#This Row],[开服天数]])*配置!$B$2</f>
        <v>10</v>
      </c>
      <c r="H3" s="395" t="s">
        <v>26</v>
      </c>
      <c r="I3" s="395">
        <f>IF(表1_86121822242672103[[#This Row],[原国家]]="魏",0,IF(表1_86121822242672103[[#This Row],[原国家]]="蜀",1,2))</f>
        <v>1</v>
      </c>
      <c r="J3" s="401">
        <v>9</v>
      </c>
      <c r="K3" s="401">
        <v>324</v>
      </c>
      <c r="L3" s="401">
        <v>8</v>
      </c>
      <c r="M3" s="401">
        <v>33</v>
      </c>
      <c r="N3" s="401">
        <v>217128</v>
      </c>
      <c r="O3" s="401">
        <v>2728598</v>
      </c>
      <c r="P3" s="401">
        <v>36467356</v>
      </c>
      <c r="Q3" s="31" t="s">
        <v>26</v>
      </c>
      <c r="R3" s="376">
        <f>IF(表1_86121822242672103[[#This Row],[目标国家]]="魏",0,IF(表1_86121822242672103[[#This Row],[目标国家]]="蜀",1,2))</f>
        <v>1</v>
      </c>
      <c r="S3" s="401">
        <v>96204</v>
      </c>
      <c r="T3" s="401">
        <v>0</v>
      </c>
      <c r="U3" s="401">
        <v>707638</v>
      </c>
      <c r="V3" s="401">
        <v>14840</v>
      </c>
      <c r="W3" s="406">
        <v>908565</v>
      </c>
      <c r="X3" s="405" t="str">
        <f>"{"&amp;"'coin':"&amp;表1_86121822242672103[[#This Row],[补偿Coin]]&amp;",'"&amp;配置!$A$2&amp;"':"&amp;表1_86121822242672103[[#This Row],[补偿辎重]]&amp;"},"</f>
        <v>{'coin':1000,'item036':10},</v>
      </c>
      <c r="Y3" s="410" t="str">
        <f>"            'to_zone':'"&amp;表1_86121822242672103[[#This Row],[目标区服]]&amp;"',
            'reward':"&amp;表1_86121822242672103[[#This Row],[辅助导出]]&amp;"
            'country':["&amp;R2&amp;","&amp;R3&amp;","&amp;R4&amp;"],"</f>
        <v>            'to_zone':'h1_716',
            'reward':{'coin':1000,'item036':10},
            'country':[0,1,2],</v>
      </c>
    </row>
    <row r="4" s="354" customFormat="1" ht="14.25" customHeight="1" spans="1:25">
      <c r="A4" s="396">
        <v>7033</v>
      </c>
      <c r="B4" s="391">
        <f>VLOOKUP(表1_86121822242672103[[#This Row],[区服]],$P$29:$Q$36,2,FALSE)</f>
        <v>46</v>
      </c>
      <c r="C4" s="392" t="s">
        <v>239</v>
      </c>
      <c r="D4" s="395" t="str">
        <f>表1_86121822242672103[[#This Row],[目标国家]]</f>
        <v>吴</v>
      </c>
      <c r="E4" s="397">
        <f>(VLOOKUP(表1_86121822242672103[[#This Row],[目标区服]],$R$29:$S$32,2,FALSE)-表1_86121822242672103[[#This Row],[开服天数]])*配置!$B$1</f>
        <v>1000</v>
      </c>
      <c r="F4" s="397">
        <f>表1_86121822242672103[[#This Row],[补偿Coin]]*(表1_86121822242672103[[#This Row],[活跃高战玩家数]]+表1_86121822242672103[[#This Row],[活跃中坚玩家数]])</f>
        <v>12000</v>
      </c>
      <c r="G4" s="397">
        <f>(VLOOKUP(表1_86121822242672103[[#This Row],[目标区服]],$R$29:$S$32,2,FALSE)-表1_86121822242672103[[#This Row],[开服天数]])*配置!$B$2</f>
        <v>10</v>
      </c>
      <c r="H4" s="395" t="s">
        <v>27</v>
      </c>
      <c r="I4" s="395">
        <f>IF(表1_86121822242672103[[#This Row],[原国家]]="魏",0,IF(表1_86121822242672103[[#This Row],[原国家]]="蜀",1,2))</f>
        <v>2</v>
      </c>
      <c r="J4" s="401">
        <v>0</v>
      </c>
      <c r="K4" s="401">
        <v>41</v>
      </c>
      <c r="L4" s="401">
        <v>0</v>
      </c>
      <c r="M4" s="401">
        <v>12</v>
      </c>
      <c r="N4" s="401">
        <v>34966</v>
      </c>
      <c r="O4" s="401">
        <v>1003173</v>
      </c>
      <c r="P4" s="401">
        <v>6534369</v>
      </c>
      <c r="Q4" s="31" t="s">
        <v>27</v>
      </c>
      <c r="R4" s="376">
        <f>IF(表1_86121822242672103[[#This Row],[目标国家]]="魏",0,IF(表1_86121822242672103[[#This Row],[目标国家]]="蜀",1,2))</f>
        <v>2</v>
      </c>
      <c r="S4" s="401">
        <v>1984</v>
      </c>
      <c r="T4" s="401">
        <v>0</v>
      </c>
      <c r="U4" s="401">
        <v>51046</v>
      </c>
      <c r="V4" s="401">
        <v>2326</v>
      </c>
      <c r="W4" s="401">
        <v>427497</v>
      </c>
      <c r="X4" s="405" t="str">
        <f>"{"&amp;"'coin':"&amp;表1_86121822242672103[[#This Row],[补偿Coin]]&amp;",'"&amp;配置!$A$2&amp;"':"&amp;表1_86121822242672103[[#This Row],[补偿辎重]]&amp;"},"</f>
        <v>{'coin':1000,'item036':10},</v>
      </c>
      <c r="Y4" s="410" t="str">
        <f>"      },"</f>
        <v>      },</v>
      </c>
    </row>
    <row r="5" s="354" customFormat="1" ht="14.25" customHeight="1" spans="1:25">
      <c r="A5" s="396">
        <v>7034</v>
      </c>
      <c r="B5" s="391">
        <f>VLOOKUP(表1_86121822242672103[[#This Row],[区服]],$P$29:$Q$36,2,FALSE)</f>
        <v>45</v>
      </c>
      <c r="C5" s="392" t="s">
        <v>239</v>
      </c>
      <c r="D5" s="395" t="str">
        <f>表1_86121822242672103[[#This Row],[目标国家]]</f>
        <v>魏</v>
      </c>
      <c r="E5" s="397">
        <f>(VLOOKUP(表1_86121822242672103[[#This Row],[目标区服]],$R$29:$S$32,2,FALSE)-表1_86121822242672103[[#This Row],[开服天数]])*配置!$B$1</f>
        <v>1500</v>
      </c>
      <c r="F5" s="397">
        <f>表1_86121822242672103[[#This Row],[补偿Coin]]*(表1_86121822242672103[[#This Row],[活跃高战玩家数]]+表1_86121822242672103[[#This Row],[活跃中坚玩家数]])</f>
        <v>40500</v>
      </c>
      <c r="G5" s="397">
        <f>(VLOOKUP(表1_86121822242672103[[#This Row],[目标区服]],$R$29:$S$32,2,FALSE)-表1_86121822242672103[[#This Row],[开服天数]])*配置!$B$2</f>
        <v>15</v>
      </c>
      <c r="H5" s="395" t="s">
        <v>25</v>
      </c>
      <c r="I5" s="395">
        <f>IF(表1_86121822242672103[[#This Row],[原国家]]="魏",0,IF(表1_86121822242672103[[#This Row],[原国家]]="蜀",1,2))</f>
        <v>0</v>
      </c>
      <c r="J5" s="401">
        <v>5</v>
      </c>
      <c r="K5" s="401">
        <v>230</v>
      </c>
      <c r="L5" s="401">
        <v>5</v>
      </c>
      <c r="M5" s="401">
        <v>22</v>
      </c>
      <c r="N5" s="401">
        <v>124036</v>
      </c>
      <c r="O5" s="401">
        <v>2512894</v>
      </c>
      <c r="P5" s="401">
        <v>24551849</v>
      </c>
      <c r="Q5" s="31" t="s">
        <v>25</v>
      </c>
      <c r="R5" s="376">
        <f>IF(表1_86121822242672103[[#This Row],[目标国家]]="魏",0,IF(表1_86121822242672103[[#This Row],[目标国家]]="蜀",1,2))</f>
        <v>0</v>
      </c>
      <c r="S5" s="401">
        <v>78090</v>
      </c>
      <c r="T5" s="401">
        <v>0</v>
      </c>
      <c r="U5" s="401">
        <v>745053</v>
      </c>
      <c r="V5" s="401">
        <v>11103</v>
      </c>
      <c r="W5" s="406">
        <v>709519</v>
      </c>
      <c r="X5" s="405" t="str">
        <f>"{"&amp;"'coin':"&amp;表1_86121822242672103[[#This Row],[补偿Coin]]&amp;",'"&amp;配置!$A$2&amp;"':"&amp;表1_86121822242672103[[#This Row],[补偿辎重]]&amp;"},"</f>
        <v>{'coin':1500,'item036':15},</v>
      </c>
      <c r="Y5" s="410" t="str">
        <f>"      '"&amp;表1_86121822242672103[[#This Row],[区服]]&amp;"':{"</f>
        <v>      '7034':{</v>
      </c>
    </row>
    <row r="6" s="354" customFormat="1" ht="14.25" customHeight="1" spans="1:25">
      <c r="A6" s="391">
        <v>7034</v>
      </c>
      <c r="B6" s="391">
        <f>VLOOKUP(表1_86121822242672103[[#This Row],[区服]],$P$29:$Q$36,2,FALSE)</f>
        <v>45</v>
      </c>
      <c r="C6" s="392" t="s">
        <v>239</v>
      </c>
      <c r="D6" s="395" t="str">
        <f>表1_86121822242672103[[#This Row],[目标国家]]</f>
        <v>蜀</v>
      </c>
      <c r="E6" s="397">
        <f>(VLOOKUP(表1_86121822242672103[[#This Row],[目标区服]],$R$29:$S$32,2,FALSE)-表1_86121822242672103[[#This Row],[开服天数]])*配置!$B$1</f>
        <v>1500</v>
      </c>
      <c r="F6" s="397">
        <f>表1_86121822242672103[[#This Row],[补偿Coin]]*(表1_86121822242672103[[#This Row],[活跃高战玩家数]]+表1_86121822242672103[[#This Row],[活跃中坚玩家数]])</f>
        <v>31500</v>
      </c>
      <c r="G6" s="397">
        <f>(VLOOKUP(表1_86121822242672103[[#This Row],[目标区服]],$R$29:$S$32,2,FALSE)-表1_86121822242672103[[#This Row],[开服天数]])*配置!$B$2</f>
        <v>15</v>
      </c>
      <c r="H6" s="395" t="s">
        <v>26</v>
      </c>
      <c r="I6" s="395">
        <f>IF(表1_86121822242672103[[#This Row],[原国家]]="魏",0,IF(表1_86121822242672103[[#This Row],[原国家]]="蜀",1,2))</f>
        <v>1</v>
      </c>
      <c r="J6" s="401">
        <v>2</v>
      </c>
      <c r="K6" s="401">
        <v>95</v>
      </c>
      <c r="L6" s="401">
        <v>2</v>
      </c>
      <c r="M6" s="401">
        <v>19</v>
      </c>
      <c r="N6" s="401">
        <v>65924</v>
      </c>
      <c r="O6" s="401">
        <v>1961036</v>
      </c>
      <c r="P6" s="401">
        <v>14904950</v>
      </c>
      <c r="Q6" s="31" t="s">
        <v>26</v>
      </c>
      <c r="R6" s="376">
        <f>IF(表1_86121822242672103[[#This Row],[目标国家]]="魏",0,IF(表1_86121822242672103[[#This Row],[目标国家]]="蜀",1,2))</f>
        <v>1</v>
      </c>
      <c r="S6" s="401">
        <v>25592</v>
      </c>
      <c r="T6" s="401">
        <v>0</v>
      </c>
      <c r="U6" s="401">
        <v>107729</v>
      </c>
      <c r="V6" s="401">
        <v>5752</v>
      </c>
      <c r="W6" s="401">
        <v>552743</v>
      </c>
      <c r="X6" s="405" t="str">
        <f>"{"&amp;"'coin':"&amp;表1_86121822242672103[[#This Row],[补偿Coin]]&amp;",'"&amp;配置!$A$2&amp;"':"&amp;表1_86121822242672103[[#This Row],[补偿辎重]]&amp;"},"</f>
        <v>{'coin':1500,'item036':15},</v>
      </c>
      <c r="Y6" s="410" t="str">
        <f>"            'to_zone':'"&amp;表1_86121822242672103[[#This Row],[目标区服]]&amp;"',
            'reward':"&amp;表1_86121822242672103[[#This Row],[辅助导出]]&amp;"
            'country':["&amp;R5&amp;","&amp;R6&amp;","&amp;R7&amp;"],"</f>
        <v>            'to_zone':'h1_716',
            'reward':{'coin':1500,'item036':15},
            'country':[0,1,0],</v>
      </c>
    </row>
    <row r="7" s="354" customFormat="1" ht="14.25" customHeight="1" spans="1:25">
      <c r="A7" s="391">
        <v>7034</v>
      </c>
      <c r="B7" s="391">
        <f>VLOOKUP(表1_86121822242672103[[#This Row],[区服]],$P$29:$Q$36,2,FALSE)</f>
        <v>45</v>
      </c>
      <c r="C7" s="392" t="s">
        <v>239</v>
      </c>
      <c r="D7" s="395" t="str">
        <f>表1_86121822242672103[[#This Row],[目标国家]]</f>
        <v>魏</v>
      </c>
      <c r="E7" s="397">
        <f>(VLOOKUP(表1_86121822242672103[[#This Row],[目标区服]],$R$29:$S$32,2,FALSE)-表1_86121822242672103[[#This Row],[开服天数]])*配置!$B$1</f>
        <v>1500</v>
      </c>
      <c r="F7" s="397">
        <f>表1_86121822242672103[[#This Row],[补偿Coin]]*(表1_86121822242672103[[#This Row],[活跃高战玩家数]]+表1_86121822242672103[[#This Row],[活跃中坚玩家数]])</f>
        <v>39000</v>
      </c>
      <c r="G7" s="397">
        <f>(VLOOKUP(表1_86121822242672103[[#This Row],[目标区服]],$R$29:$S$32,2,FALSE)-表1_86121822242672103[[#This Row],[开服天数]])*配置!$B$2</f>
        <v>15</v>
      </c>
      <c r="H7" s="395" t="s">
        <v>27</v>
      </c>
      <c r="I7" s="395">
        <f>IF(表1_86121822242672103[[#This Row],[原国家]]="魏",0,IF(表1_86121822242672103[[#This Row],[原国家]]="蜀",1,2))</f>
        <v>2</v>
      </c>
      <c r="J7" s="401">
        <v>2</v>
      </c>
      <c r="K7" s="401">
        <v>70</v>
      </c>
      <c r="L7" s="401">
        <v>2</v>
      </c>
      <c r="M7" s="401">
        <v>24</v>
      </c>
      <c r="N7" s="401">
        <v>104040</v>
      </c>
      <c r="O7" s="401">
        <v>1842043</v>
      </c>
      <c r="P7" s="401">
        <v>20532202</v>
      </c>
      <c r="Q7" s="31" t="s">
        <v>25</v>
      </c>
      <c r="R7" s="376">
        <f>IF(表1_86121822242672103[[#This Row],[目标国家]]="魏",0,IF(表1_86121822242672103[[#This Row],[目标国家]]="蜀",1,2))</f>
        <v>0</v>
      </c>
      <c r="S7" s="401">
        <v>37810</v>
      </c>
      <c r="T7" s="401">
        <v>0</v>
      </c>
      <c r="U7" s="401">
        <v>156447</v>
      </c>
      <c r="V7" s="401">
        <v>6527</v>
      </c>
      <c r="W7" s="401">
        <v>618678</v>
      </c>
      <c r="X7" s="405" t="str">
        <f>"{"&amp;"'coin':"&amp;表1_86121822242672103[[#This Row],[补偿Coin]]&amp;",'"&amp;配置!$A$2&amp;"':"&amp;表1_86121822242672103[[#This Row],[补偿辎重]]&amp;"},"</f>
        <v>{'coin':1500,'item036':15},</v>
      </c>
      <c r="Y7" s="410" t="str">
        <f>"      },"</f>
        <v>      },</v>
      </c>
    </row>
    <row r="8" s="354" customFormat="1" ht="14.25" customHeight="1" spans="1:25">
      <c r="A8" s="396">
        <v>7035</v>
      </c>
      <c r="B8" s="391">
        <f>VLOOKUP(表1_86121822242672103[[#This Row],[区服]],$P$29:$Q$36,2,FALSE)</f>
        <v>44</v>
      </c>
      <c r="C8" s="392" t="s">
        <v>239</v>
      </c>
      <c r="D8" s="395" t="str">
        <f>表1_86121822242672103[[#This Row],[目标国家]]</f>
        <v>魏</v>
      </c>
      <c r="E8" s="397">
        <f>(VLOOKUP(表1_86121822242672103[[#This Row],[目标区服]],$R$29:$S$32,2,FALSE)-表1_86121822242672103[[#This Row],[开服天数]])*配置!$B$1</f>
        <v>2000</v>
      </c>
      <c r="F8" s="397">
        <f>表1_86121822242672103[[#This Row],[补偿Coin]]*(表1_86121822242672103[[#This Row],[活跃高战玩家数]]+表1_86121822242672103[[#This Row],[活跃中坚玩家数]])</f>
        <v>26000</v>
      </c>
      <c r="G8" s="398">
        <f>(VLOOKUP(表1_86121822242672103[[#This Row],[目标区服]],$R$29:$S$32,2,FALSE)-表1_86121822242672103[[#This Row],[开服天数]])*配置!$B$2</f>
        <v>20</v>
      </c>
      <c r="H8" s="395" t="s">
        <v>25</v>
      </c>
      <c r="I8" s="402">
        <f>IF(表1_86121822242672103[[#This Row],[原国家]]="魏",0,IF(表1_86121822242672103[[#This Row],[原国家]]="蜀",1,2))</f>
        <v>0</v>
      </c>
      <c r="J8" s="401">
        <v>2</v>
      </c>
      <c r="K8" s="401">
        <v>60</v>
      </c>
      <c r="L8" s="401">
        <v>0</v>
      </c>
      <c r="M8" s="401">
        <v>13</v>
      </c>
      <c r="N8" s="401">
        <v>36235</v>
      </c>
      <c r="O8" s="401">
        <v>1081781</v>
      </c>
      <c r="P8" s="401">
        <v>7866855</v>
      </c>
      <c r="Q8" s="31" t="s">
        <v>25</v>
      </c>
      <c r="R8" s="212">
        <f>IF(表1_86121822242672103[[#This Row],[目标国家]]="魏",0,IF(表1_86121822242672103[[#This Row],[目标国家]]="蜀",1,2))</f>
        <v>0</v>
      </c>
      <c r="S8" s="401">
        <v>3244</v>
      </c>
      <c r="T8" s="401">
        <v>0</v>
      </c>
      <c r="U8" s="401">
        <v>63549</v>
      </c>
      <c r="V8" s="401">
        <v>2978</v>
      </c>
      <c r="W8" s="401">
        <v>330552</v>
      </c>
      <c r="X8" s="407" t="str">
        <f>"{"&amp;"'coin':"&amp;表1_86121822242672103[[#This Row],[补偿Coin]]&amp;",'"&amp;配置!$A$2&amp;"':"&amp;表1_86121822242672103[[#This Row],[补偿辎重]]&amp;"},"</f>
        <v>{'coin':2000,'item036':20},</v>
      </c>
      <c r="Y8" s="407" t="str">
        <f>"      '"&amp;表1_86121822242672103[[#This Row],[区服]]&amp;"':{"</f>
        <v>      '7035':{</v>
      </c>
    </row>
    <row r="9" s="354" customFormat="1" ht="14.25" customHeight="1" spans="1:25">
      <c r="A9" s="396">
        <v>7035</v>
      </c>
      <c r="B9" s="391">
        <f>VLOOKUP(表1_86121822242672103[[#This Row],[区服]],$P$29:$Q$36,2,FALSE)</f>
        <v>44</v>
      </c>
      <c r="C9" s="392" t="s">
        <v>239</v>
      </c>
      <c r="D9" s="395" t="str">
        <f>表1_86121822242672103[[#This Row],[目标国家]]</f>
        <v>吴</v>
      </c>
      <c r="E9" s="397">
        <f>(VLOOKUP(表1_86121822242672103[[#This Row],[目标区服]],$R$29:$S$32,2,FALSE)-表1_86121822242672103[[#This Row],[开服天数]])*配置!$B$1</f>
        <v>2000</v>
      </c>
      <c r="F9" s="397">
        <f>表1_86121822242672103[[#This Row],[补偿Coin]]*(表1_86121822242672103[[#This Row],[活跃高战玩家数]]+表1_86121822242672103[[#This Row],[活跃中坚玩家数]])</f>
        <v>64000</v>
      </c>
      <c r="G9" s="398">
        <f>(VLOOKUP(表1_86121822242672103[[#This Row],[目标区服]],$R$29:$S$32,2,FALSE)-表1_86121822242672103[[#This Row],[开服天数]])*配置!$B$2</f>
        <v>20</v>
      </c>
      <c r="H9" s="395" t="s">
        <v>26</v>
      </c>
      <c r="I9" s="402">
        <f>IF(表1_86121822242672103[[#This Row],[原国家]]="魏",0,IF(表1_86121822242672103[[#This Row],[原国家]]="蜀",1,2))</f>
        <v>1</v>
      </c>
      <c r="J9" s="401">
        <v>2</v>
      </c>
      <c r="K9" s="401">
        <v>131</v>
      </c>
      <c r="L9" s="401">
        <v>3</v>
      </c>
      <c r="M9" s="401">
        <v>29</v>
      </c>
      <c r="N9" s="401">
        <v>105668</v>
      </c>
      <c r="O9" s="401">
        <v>2166400</v>
      </c>
      <c r="P9" s="401">
        <v>22412237</v>
      </c>
      <c r="Q9" s="31" t="s">
        <v>27</v>
      </c>
      <c r="R9" s="212">
        <f>IF(表1_86121822242672103[[#This Row],[目标国家]]="魏",0,IF(表1_86121822242672103[[#This Row],[目标国家]]="蜀",1,2))</f>
        <v>2</v>
      </c>
      <c r="S9" s="401">
        <v>38008</v>
      </c>
      <c r="T9" s="401">
        <v>0</v>
      </c>
      <c r="U9" s="401">
        <v>224910</v>
      </c>
      <c r="V9" s="401">
        <v>7698</v>
      </c>
      <c r="W9" s="401">
        <v>611074</v>
      </c>
      <c r="X9" s="407" t="str">
        <f>"{"&amp;"'coin':"&amp;表1_86121822242672103[[#This Row],[补偿Coin]]&amp;",'"&amp;配置!$A$2&amp;"':"&amp;表1_86121822242672103[[#This Row],[补偿辎重]]&amp;"},"</f>
        <v>{'coin':2000,'item036':20},</v>
      </c>
      <c r="Y9" s="407" t="str">
        <f>"            'to_zone':'"&amp;表1_86121822242672103[[#This Row],[目标区服]]&amp;"',
            'reward':"&amp;表1_86121822242672103[[#This Row],[辅助导出]]&amp;"
            'country':["&amp;R8&amp;","&amp;R9&amp;","&amp;R10&amp;"],"</f>
        <v>            'to_zone':'h1_716',
            'reward':{'coin':2000,'item036':20},
            'country':[0,2,2],</v>
      </c>
    </row>
    <row r="10" s="354" customFormat="1" ht="14.25" customHeight="1" spans="1:25">
      <c r="A10" s="396">
        <v>7035</v>
      </c>
      <c r="B10" s="391">
        <f>VLOOKUP(表1_86121822242672103[[#This Row],[区服]],$P$29:$Q$36,2,FALSE)</f>
        <v>44</v>
      </c>
      <c r="C10" s="392" t="s">
        <v>239</v>
      </c>
      <c r="D10" s="395" t="str">
        <f>表1_86121822242672103[[#This Row],[目标国家]]</f>
        <v>吴</v>
      </c>
      <c r="E10" s="397">
        <f>(VLOOKUP(表1_86121822242672103[[#This Row],[目标区服]],$R$29:$S$32,2,FALSE)-表1_86121822242672103[[#This Row],[开服天数]])*配置!$B$1</f>
        <v>2000</v>
      </c>
      <c r="F10" s="397">
        <f>表1_86121822242672103[[#This Row],[补偿Coin]]*(表1_86121822242672103[[#This Row],[活跃高战玩家数]]+表1_86121822242672103[[#This Row],[活跃中坚玩家数]])</f>
        <v>64000</v>
      </c>
      <c r="G10" s="398">
        <f>(VLOOKUP(表1_86121822242672103[[#This Row],[目标区服]],$R$29:$S$32,2,FALSE)-表1_86121822242672103[[#This Row],[开服天数]])*配置!$B$2</f>
        <v>20</v>
      </c>
      <c r="H10" s="395" t="s">
        <v>27</v>
      </c>
      <c r="I10" s="402">
        <f>IF(表1_86121822242672103[[#This Row],[原国家]]="魏",0,IF(表1_86121822242672103[[#This Row],[原国家]]="蜀",1,2))</f>
        <v>2</v>
      </c>
      <c r="J10" s="401">
        <v>5</v>
      </c>
      <c r="K10" s="401">
        <v>204</v>
      </c>
      <c r="L10" s="401">
        <v>6</v>
      </c>
      <c r="M10" s="401">
        <v>26</v>
      </c>
      <c r="N10" s="401">
        <v>139966</v>
      </c>
      <c r="O10" s="401">
        <v>2382277</v>
      </c>
      <c r="P10" s="401">
        <v>26151366</v>
      </c>
      <c r="Q10" s="31" t="s">
        <v>27</v>
      </c>
      <c r="R10" s="212">
        <f>IF(表1_86121822242672103[[#This Row],[目标国家]]="魏",0,IF(表1_86121822242672103[[#This Row],[目标国家]]="蜀",1,2))</f>
        <v>2</v>
      </c>
      <c r="S10" s="401">
        <v>78928</v>
      </c>
      <c r="T10" s="401">
        <v>0</v>
      </c>
      <c r="U10" s="401">
        <v>229402</v>
      </c>
      <c r="V10" s="401">
        <v>10719</v>
      </c>
      <c r="W10" s="406">
        <v>771078</v>
      </c>
      <c r="X10" s="407" t="str">
        <f>"{"&amp;"'coin':"&amp;表1_86121822242672103[[#This Row],[补偿Coin]]&amp;",'"&amp;配置!$A$2&amp;"':"&amp;表1_86121822242672103[[#This Row],[补偿辎重]]&amp;"},"</f>
        <v>{'coin':2000,'item036':20},</v>
      </c>
      <c r="Y10" s="407" t="str">
        <f>"      },"</f>
        <v>      },</v>
      </c>
    </row>
    <row r="11" s="354" customFormat="1" ht="14.25" customHeight="1" spans="1:25">
      <c r="A11" s="257">
        <v>7036</v>
      </c>
      <c r="B11" s="150">
        <f>VLOOKUP(表1_86121822242672103[[#This Row],[区服]],$P$29:$Q$36,2,FALSE)</f>
        <v>43</v>
      </c>
      <c r="C11" s="151" t="s">
        <v>240</v>
      </c>
      <c r="D11" s="152" t="str">
        <f>表1_86121822242672103[[#This Row],[目标国家]]</f>
        <v>魏</v>
      </c>
      <c r="E11" s="154">
        <f>(VLOOKUP(表1_86121822242672103[[#This Row],[目标区服]],$R$29:$S$32,2,FALSE)-表1_86121822242672103[[#This Row],[开服天数]])*配置!$B$1</f>
        <v>1000</v>
      </c>
      <c r="F11" s="154">
        <f>表1_86121822242672103[[#This Row],[补偿Coin]]*(表1_86121822242672103[[#This Row],[活跃高战玩家数]]+表1_86121822242672103[[#This Row],[活跃中坚玩家数]])</f>
        <v>18000</v>
      </c>
      <c r="G11" s="258">
        <f>(VLOOKUP(表1_86121822242672103[[#This Row],[目标区服]],$R$29:$S$32,2,FALSE)-表1_86121822242672103[[#This Row],[开服天数]])*配置!$B$2</f>
        <v>10</v>
      </c>
      <c r="H11" s="152" t="s">
        <v>25</v>
      </c>
      <c r="I11" s="267">
        <f>IF(表1_86121822242672103[[#This Row],[原国家]]="魏",0,IF(表1_86121822242672103[[#This Row],[原国家]]="蜀",1,2))</f>
        <v>0</v>
      </c>
      <c r="J11" s="403">
        <v>2</v>
      </c>
      <c r="K11" s="403">
        <v>91</v>
      </c>
      <c r="L11" s="403">
        <v>2</v>
      </c>
      <c r="M11" s="403">
        <v>16</v>
      </c>
      <c r="N11" s="403">
        <v>83724</v>
      </c>
      <c r="O11" s="403">
        <v>1631341</v>
      </c>
      <c r="P11" s="403">
        <v>11408839</v>
      </c>
      <c r="Q11" s="31" t="s">
        <v>25</v>
      </c>
      <c r="R11" s="152">
        <f>IF(表1_86121822242672103[[#This Row],[目标国家]]="魏",0,IF(表1_86121822242672103[[#This Row],[目标国家]]="蜀",1,2))</f>
        <v>0</v>
      </c>
      <c r="S11" s="403">
        <v>5386</v>
      </c>
      <c r="T11" s="403">
        <v>0</v>
      </c>
      <c r="U11" s="403">
        <v>231843</v>
      </c>
      <c r="V11" s="403">
        <v>4578</v>
      </c>
      <c r="W11" s="403">
        <v>500420</v>
      </c>
      <c r="X11" s="277" t="str">
        <f>"{"&amp;"'coin':"&amp;表1_86121822242672103[[#This Row],[补偿Coin]]&amp;",'"&amp;配置!$A$2&amp;"':"&amp;表1_86121822242672103[[#This Row],[补偿辎重]]&amp;"},"</f>
        <v>{'coin':1000,'item036':10},</v>
      </c>
      <c r="Y11" s="277" t="str">
        <f>"      '"&amp;表1_86121822242672103[[#This Row],[区服]]&amp;"':{"</f>
        <v>      '7036':{</v>
      </c>
    </row>
    <row r="12" s="354" customFormat="1" ht="14.25" customHeight="1" spans="1:25">
      <c r="A12" s="257">
        <v>7036</v>
      </c>
      <c r="B12" s="150">
        <f>VLOOKUP(表1_86121822242672103[[#This Row],[区服]],$P$29:$Q$36,2,FALSE)</f>
        <v>43</v>
      </c>
      <c r="C12" s="151" t="s">
        <v>240</v>
      </c>
      <c r="D12" s="152" t="str">
        <f>表1_86121822242672103[[#This Row],[目标国家]]</f>
        <v>蜀</v>
      </c>
      <c r="E12" s="154">
        <f>(VLOOKUP(表1_86121822242672103[[#This Row],[目标区服]],$R$29:$S$32,2,FALSE)-表1_86121822242672103[[#This Row],[开服天数]])*配置!$B$1</f>
        <v>1000</v>
      </c>
      <c r="F12" s="154">
        <f>表1_86121822242672103[[#This Row],[补偿Coin]]*(表1_86121822242672103[[#This Row],[活跃高战玩家数]]+表1_86121822242672103[[#This Row],[活跃中坚玩家数]])</f>
        <v>24000</v>
      </c>
      <c r="G12" s="258">
        <f>(VLOOKUP(表1_86121822242672103[[#This Row],[目标区服]],$R$29:$S$32,2,FALSE)-表1_86121822242672103[[#This Row],[开服天数]])*配置!$B$2</f>
        <v>10</v>
      </c>
      <c r="H12" s="152" t="s">
        <v>26</v>
      </c>
      <c r="I12" s="267">
        <f>IF(表1_86121822242672103[[#This Row],[原国家]]="魏",0,IF(表1_86121822242672103[[#This Row],[原国家]]="蜀",1,2))</f>
        <v>1</v>
      </c>
      <c r="J12" s="403">
        <v>4</v>
      </c>
      <c r="K12" s="403">
        <v>196</v>
      </c>
      <c r="L12" s="403">
        <v>4</v>
      </c>
      <c r="M12" s="403">
        <v>20</v>
      </c>
      <c r="N12" s="403">
        <v>122818</v>
      </c>
      <c r="O12" s="403">
        <v>2425380</v>
      </c>
      <c r="P12" s="403">
        <v>19413326</v>
      </c>
      <c r="Q12" s="31" t="s">
        <v>26</v>
      </c>
      <c r="R12" s="152">
        <f>IF(表1_86121822242672103[[#This Row],[目标国家]]="魏",0,IF(表1_86121822242672103[[#This Row],[目标国家]]="蜀",1,2))</f>
        <v>1</v>
      </c>
      <c r="S12" s="403">
        <v>74790</v>
      </c>
      <c r="T12" s="403">
        <v>0</v>
      </c>
      <c r="U12" s="403">
        <v>356618</v>
      </c>
      <c r="V12" s="403">
        <v>9762</v>
      </c>
      <c r="W12" s="408">
        <v>652673</v>
      </c>
      <c r="X12" s="277" t="str">
        <f>"{"&amp;"'coin':"&amp;表1_86121822242672103[[#This Row],[补偿Coin]]&amp;",'"&amp;配置!$A$2&amp;"':"&amp;表1_86121822242672103[[#This Row],[补偿辎重]]&amp;"},"</f>
        <v>{'coin':1000,'item036':10},</v>
      </c>
      <c r="Y12" s="277" t="str">
        <f>"            'to_zone':'"&amp;表1_86121822242672103[[#This Row],[目标区服]]&amp;"',
            'reward':"&amp;表1_86121822242672103[[#This Row],[辅助导出]]&amp;"
            'country':["&amp;R11&amp;","&amp;R12&amp;","&amp;R13&amp;"],"</f>
        <v>            'to_zone':'h1_717',
            'reward':{'coin':1000,'item036':10},
            'country':[0,1,2],</v>
      </c>
    </row>
    <row r="13" s="354" customFormat="1" ht="14.25" customHeight="1" spans="1:25">
      <c r="A13" s="257">
        <v>7036</v>
      </c>
      <c r="B13" s="150">
        <f>VLOOKUP(表1_86121822242672103[[#This Row],[区服]],$P$29:$Q$36,2,FALSE)</f>
        <v>43</v>
      </c>
      <c r="C13" s="151" t="s">
        <v>240</v>
      </c>
      <c r="D13" s="152" t="str">
        <f>表1_86121822242672103[[#This Row],[目标国家]]</f>
        <v>吴</v>
      </c>
      <c r="E13" s="154">
        <f>(VLOOKUP(表1_86121822242672103[[#This Row],[目标区服]],$R$29:$S$32,2,FALSE)-表1_86121822242672103[[#This Row],[开服天数]])*配置!$B$1</f>
        <v>1000</v>
      </c>
      <c r="F13" s="154">
        <f>表1_86121822242672103[[#This Row],[补偿Coin]]*(表1_86121822242672103[[#This Row],[活跃高战玩家数]]+表1_86121822242672103[[#This Row],[活跃中坚玩家数]])</f>
        <v>18000</v>
      </c>
      <c r="G13" s="258">
        <f>(VLOOKUP(表1_86121822242672103[[#This Row],[目标区服]],$R$29:$S$32,2,FALSE)-表1_86121822242672103[[#This Row],[开服天数]])*配置!$B$2</f>
        <v>10</v>
      </c>
      <c r="H13" s="152" t="s">
        <v>27</v>
      </c>
      <c r="I13" s="267">
        <f>IF(表1_86121822242672103[[#This Row],[原国家]]="魏",0,IF(表1_86121822242672103[[#This Row],[原国家]]="蜀",1,2))</f>
        <v>2</v>
      </c>
      <c r="J13" s="403">
        <v>3</v>
      </c>
      <c r="K13" s="403">
        <v>108</v>
      </c>
      <c r="L13" s="403">
        <v>4</v>
      </c>
      <c r="M13" s="403">
        <v>14</v>
      </c>
      <c r="N13" s="403">
        <v>81735</v>
      </c>
      <c r="O13" s="403">
        <v>1556315</v>
      </c>
      <c r="P13" s="403">
        <v>11130415</v>
      </c>
      <c r="Q13" s="31" t="s">
        <v>27</v>
      </c>
      <c r="R13" s="152">
        <f>IF(表1_86121822242672103[[#This Row],[目标国家]]="魏",0,IF(表1_86121822242672103[[#This Row],[目标国家]]="蜀",1,2))</f>
        <v>2</v>
      </c>
      <c r="S13" s="403">
        <v>9546</v>
      </c>
      <c r="T13" s="403">
        <v>0</v>
      </c>
      <c r="U13" s="403">
        <v>234597</v>
      </c>
      <c r="V13" s="403">
        <v>4861</v>
      </c>
      <c r="W13" s="403">
        <v>493074</v>
      </c>
      <c r="X13" s="277" t="str">
        <f>"{"&amp;"'coin':"&amp;表1_86121822242672103[[#This Row],[补偿Coin]]&amp;",'"&amp;配置!$A$2&amp;"':"&amp;表1_86121822242672103[[#This Row],[补偿辎重]]&amp;"},"</f>
        <v>{'coin':1000,'item036':10},</v>
      </c>
      <c r="Y13" s="277" t="str">
        <f>"      },"</f>
        <v>      },</v>
      </c>
    </row>
    <row r="14" s="354" customFormat="1" ht="14.25" customHeight="1" spans="1:25">
      <c r="A14" s="257">
        <v>7037</v>
      </c>
      <c r="B14" s="150">
        <f>VLOOKUP(表1_86121822242672103[[#This Row],[区服]],$P$29:$Q$36,2,FALSE)</f>
        <v>43</v>
      </c>
      <c r="C14" s="151" t="s">
        <v>240</v>
      </c>
      <c r="D14" s="152" t="str">
        <f>表1_86121822242672103[[#This Row],[目标国家]]</f>
        <v>魏</v>
      </c>
      <c r="E14" s="154">
        <f>(VLOOKUP(表1_86121822242672103[[#This Row],[目标区服]],$R$29:$S$32,2,FALSE)-表1_86121822242672103[[#This Row],[开服天数]])*配置!$B$1</f>
        <v>1000</v>
      </c>
      <c r="F14" s="154">
        <f>表1_86121822242672103[[#This Row],[补偿Coin]]*(表1_86121822242672103[[#This Row],[活跃高战玩家数]]+表1_86121822242672103[[#This Row],[活跃中坚玩家数]])</f>
        <v>20000</v>
      </c>
      <c r="G14" s="258">
        <f>(VLOOKUP(表1_86121822242672103[[#This Row],[目标区服]],$R$29:$S$32,2,FALSE)-表1_86121822242672103[[#This Row],[开服天数]])*配置!$B$2</f>
        <v>10</v>
      </c>
      <c r="H14" s="152" t="s">
        <v>25</v>
      </c>
      <c r="I14" s="267">
        <f>IF(表1_86121822242672103[[#This Row],[原国家]]="魏",0,IF(表1_86121822242672103[[#This Row],[原国家]]="蜀",1,2))</f>
        <v>0</v>
      </c>
      <c r="J14" s="403">
        <v>8</v>
      </c>
      <c r="K14" s="403">
        <v>279</v>
      </c>
      <c r="L14" s="403">
        <v>7</v>
      </c>
      <c r="M14" s="403">
        <v>13</v>
      </c>
      <c r="N14" s="403">
        <v>131861</v>
      </c>
      <c r="O14" s="403">
        <v>2523814</v>
      </c>
      <c r="P14" s="403">
        <v>17561571</v>
      </c>
      <c r="Q14" s="31" t="s">
        <v>25</v>
      </c>
      <c r="R14" s="152">
        <f>IF(表1_86121822242672103[[#This Row],[目标国家]]="魏",0,IF(表1_86121822242672103[[#This Row],[目标国家]]="蜀",1,2))</f>
        <v>0</v>
      </c>
      <c r="S14" s="403">
        <v>56644</v>
      </c>
      <c r="T14" s="403">
        <v>0</v>
      </c>
      <c r="U14" s="403">
        <v>442847</v>
      </c>
      <c r="V14" s="403">
        <v>10450</v>
      </c>
      <c r="W14" s="408">
        <v>682857</v>
      </c>
      <c r="X14" s="277" t="str">
        <f>"{"&amp;"'coin':"&amp;表1_86121822242672103[[#This Row],[补偿Coin]]&amp;",'"&amp;配置!$A$2&amp;"':"&amp;表1_86121822242672103[[#This Row],[补偿辎重]]&amp;"},"</f>
        <v>{'coin':1000,'item036':10},</v>
      </c>
      <c r="Y14" s="277" t="str">
        <f>"      '"&amp;表1_86121822242672103[[#This Row],[区服]]&amp;"':{"</f>
        <v>      '7037':{</v>
      </c>
    </row>
    <row r="15" s="354" customFormat="1" ht="14.25" customHeight="1" spans="1:25">
      <c r="A15" s="257">
        <v>7037</v>
      </c>
      <c r="B15" s="150">
        <f>VLOOKUP(表1_86121822242672103[[#This Row],[区服]],$P$29:$Q$36,2,FALSE)</f>
        <v>43</v>
      </c>
      <c r="C15" s="151" t="s">
        <v>240</v>
      </c>
      <c r="D15" s="152" t="str">
        <f>表1_86121822242672103[[#This Row],[目标国家]]</f>
        <v>蜀</v>
      </c>
      <c r="E15" s="154">
        <f>(VLOOKUP(表1_86121822242672103[[#This Row],[目标区服]],$R$29:$S$32,2,FALSE)-表1_86121822242672103[[#This Row],[开服天数]])*配置!$B$1</f>
        <v>1000</v>
      </c>
      <c r="F15" s="154">
        <f>表1_86121822242672103[[#This Row],[补偿Coin]]*(表1_86121822242672103[[#This Row],[活跃高战玩家数]]+表1_86121822242672103[[#This Row],[活跃中坚玩家数]])</f>
        <v>11000</v>
      </c>
      <c r="G15" s="258">
        <f>(VLOOKUP(表1_86121822242672103[[#This Row],[目标区服]],$R$29:$S$32,2,FALSE)-表1_86121822242672103[[#This Row],[开服天数]])*配置!$B$2</f>
        <v>10</v>
      </c>
      <c r="H15" s="152" t="s">
        <v>26</v>
      </c>
      <c r="I15" s="267">
        <f>IF(表1_86121822242672103[[#This Row],[原国家]]="魏",0,IF(表1_86121822242672103[[#This Row],[原国家]]="蜀",1,2))</f>
        <v>1</v>
      </c>
      <c r="J15" s="403">
        <v>0</v>
      </c>
      <c r="K15" s="403">
        <v>49</v>
      </c>
      <c r="L15" s="403">
        <v>2</v>
      </c>
      <c r="M15" s="403">
        <v>9</v>
      </c>
      <c r="N15" s="403">
        <v>55872</v>
      </c>
      <c r="O15" s="403">
        <v>1401481</v>
      </c>
      <c r="P15" s="403">
        <v>5876027</v>
      </c>
      <c r="Q15" s="31" t="s">
        <v>26</v>
      </c>
      <c r="R15" s="152">
        <f>IF(表1_86121822242672103[[#This Row],[目标国家]]="魏",0,IF(表1_86121822242672103[[#This Row],[目标国家]]="蜀",1,2))</f>
        <v>1</v>
      </c>
      <c r="S15" s="403">
        <v>9258</v>
      </c>
      <c r="T15" s="403">
        <v>0</v>
      </c>
      <c r="U15" s="403">
        <v>139903</v>
      </c>
      <c r="V15" s="403">
        <v>3106</v>
      </c>
      <c r="W15" s="403">
        <v>375345</v>
      </c>
      <c r="X15" s="277" t="str">
        <f>"{"&amp;"'coin':"&amp;表1_86121822242672103[[#This Row],[补偿Coin]]&amp;",'"&amp;配置!$A$2&amp;"':"&amp;表1_86121822242672103[[#This Row],[补偿辎重]]&amp;"},"</f>
        <v>{'coin':1000,'item036':10},</v>
      </c>
      <c r="Y15" s="277" t="str">
        <f>"            'to_zone':'"&amp;表1_86121822242672103[[#This Row],[目标区服]]&amp;"',
            'reward':"&amp;表1_86121822242672103[[#This Row],[辅助导出]]&amp;"
            'country':["&amp;R14&amp;","&amp;R15&amp;","&amp;R16&amp;"],"</f>
        <v>            'to_zone':'h1_717',
            'reward':{'coin':1000,'item036':10},
            'country':[0,1,2],</v>
      </c>
    </row>
    <row r="16" s="354" customFormat="1" ht="14.25" customHeight="1" spans="1:25">
      <c r="A16" s="257">
        <v>7037</v>
      </c>
      <c r="B16" s="150">
        <f>VLOOKUP(表1_86121822242672103[[#This Row],[区服]],$P$29:$Q$36,2,FALSE)</f>
        <v>43</v>
      </c>
      <c r="C16" s="151" t="s">
        <v>240</v>
      </c>
      <c r="D16" s="152" t="str">
        <f>表1_86121822242672103[[#This Row],[目标国家]]</f>
        <v>吴</v>
      </c>
      <c r="E16" s="154">
        <f>(VLOOKUP(表1_86121822242672103[[#This Row],[目标区服]],$R$29:$S$32,2,FALSE)-表1_86121822242672103[[#This Row],[开服天数]])*配置!$B$1</f>
        <v>1000</v>
      </c>
      <c r="F16" s="154">
        <f>表1_86121822242672103[[#This Row],[补偿Coin]]*(表1_86121822242672103[[#This Row],[活跃高战玩家数]]+表1_86121822242672103[[#This Row],[活跃中坚玩家数]])</f>
        <v>15000</v>
      </c>
      <c r="G16" s="258">
        <f>(VLOOKUP(表1_86121822242672103[[#This Row],[目标区服]],$R$29:$S$32,2,FALSE)-表1_86121822242672103[[#This Row],[开服天数]])*配置!$B$2</f>
        <v>10</v>
      </c>
      <c r="H16" s="152" t="s">
        <v>27</v>
      </c>
      <c r="I16" s="267">
        <f>IF(表1_86121822242672103[[#This Row],[原国家]]="魏",0,IF(表1_86121822242672103[[#This Row],[原国家]]="蜀",1,2))</f>
        <v>2</v>
      </c>
      <c r="J16" s="403">
        <v>1</v>
      </c>
      <c r="K16" s="403">
        <v>67</v>
      </c>
      <c r="L16" s="403">
        <v>1</v>
      </c>
      <c r="M16" s="403">
        <v>14</v>
      </c>
      <c r="N16" s="403">
        <v>56716</v>
      </c>
      <c r="O16" s="403">
        <v>1334625</v>
      </c>
      <c r="P16" s="403">
        <v>6766705</v>
      </c>
      <c r="Q16" s="31" t="s">
        <v>27</v>
      </c>
      <c r="R16" s="152">
        <f>IF(表1_86121822242672103[[#This Row],[目标国家]]="魏",0,IF(表1_86121822242672103[[#This Row],[目标国家]]="蜀",1,2))</f>
        <v>2</v>
      </c>
      <c r="S16" s="403">
        <v>14654</v>
      </c>
      <c r="T16" s="403">
        <v>0</v>
      </c>
      <c r="U16" s="403">
        <v>61439</v>
      </c>
      <c r="V16" s="403">
        <v>3535</v>
      </c>
      <c r="W16" s="403">
        <v>496002</v>
      </c>
      <c r="X16" s="277" t="str">
        <f>"{"&amp;"'coin':"&amp;表1_86121822242672103[[#This Row],[补偿Coin]]&amp;",'"&amp;配置!$A$2&amp;"':"&amp;表1_86121822242672103[[#This Row],[补偿辎重]]&amp;"},"</f>
        <v>{'coin':1000,'item036':10},</v>
      </c>
      <c r="Y16" s="277" t="str">
        <f>"      },"</f>
        <v>      },</v>
      </c>
    </row>
    <row r="17" ht="14.25" customHeight="1" spans="1:25">
      <c r="A17" s="150">
        <v>7038</v>
      </c>
      <c r="B17" s="150">
        <f>VLOOKUP(表1_86121822242672103[[#This Row],[区服]],$P$29:$Q$36,2,FALSE)</f>
        <v>42</v>
      </c>
      <c r="C17" s="151" t="s">
        <v>240</v>
      </c>
      <c r="D17" s="152" t="str">
        <f>表1_86121822242672103[[#This Row],[目标国家]]</f>
        <v>蜀</v>
      </c>
      <c r="E17" s="154">
        <f>(VLOOKUP(表1_86121822242672103[[#This Row],[目标区服]],$R$29:$S$32,2,FALSE)-表1_86121822242672103[[#This Row],[开服天数]])*配置!$B$1</f>
        <v>1500</v>
      </c>
      <c r="F17" s="154">
        <f>表1_86121822242672103[[#This Row],[补偿Coin]]*(表1_86121822242672103[[#This Row],[活跃高战玩家数]]+表1_86121822242672103[[#This Row],[活跃中坚玩家数]])</f>
        <v>30000</v>
      </c>
      <c r="G17" s="154">
        <f>(VLOOKUP(表1_86121822242672103[[#This Row],[目标区服]],$R$29:$S$32,2,FALSE)-表1_86121822242672103[[#This Row],[开服天数]])*配置!$B$2</f>
        <v>15</v>
      </c>
      <c r="H17" s="152" t="s">
        <v>25</v>
      </c>
      <c r="I17" s="152">
        <f>IF(表1_86121822242672103[[#This Row],[原国家]]="魏",0,IF(表1_86121822242672103[[#This Row],[原国家]]="蜀",1,2))</f>
        <v>0</v>
      </c>
      <c r="J17" s="403">
        <v>0</v>
      </c>
      <c r="K17" s="403">
        <v>30</v>
      </c>
      <c r="L17" s="403">
        <v>1</v>
      </c>
      <c r="M17" s="403">
        <v>19</v>
      </c>
      <c r="N17" s="403">
        <v>82552</v>
      </c>
      <c r="O17" s="403">
        <v>1140780</v>
      </c>
      <c r="P17" s="403">
        <v>10039561</v>
      </c>
      <c r="Q17" s="31" t="s">
        <v>26</v>
      </c>
      <c r="R17" s="152">
        <f>IF(表1_86121822242672103[[#This Row],[目标国家]]="魏",0,IF(表1_86121822242672103[[#This Row],[目标国家]]="蜀",1,2))</f>
        <v>1</v>
      </c>
      <c r="S17" s="403">
        <v>8834</v>
      </c>
      <c r="T17" s="403">
        <v>0</v>
      </c>
      <c r="U17" s="403">
        <v>89796</v>
      </c>
      <c r="V17" s="403">
        <v>3167</v>
      </c>
      <c r="W17" s="403">
        <v>327320</v>
      </c>
      <c r="X17" s="196" t="str">
        <f>"{"&amp;"'coin':"&amp;表1_86121822242672103[[#This Row],[补偿Coin]]&amp;",'"&amp;配置!$A$2&amp;"':"&amp;表1_86121822242672103[[#This Row],[补偿辎重]]&amp;"},"</f>
        <v>{'coin':1500,'item036':15},</v>
      </c>
      <c r="Y17" s="194" t="str">
        <f>"      '"&amp;表1_86121822242672103[[#This Row],[区服]]&amp;"':{"</f>
        <v>      '7038':{</v>
      </c>
    </row>
    <row r="18" ht="14.25" customHeight="1" spans="1:25">
      <c r="A18" s="150">
        <v>7038</v>
      </c>
      <c r="B18" s="150">
        <f>VLOOKUP(表1_86121822242672103[[#This Row],[区服]],$P$29:$Q$36,2,FALSE)</f>
        <v>42</v>
      </c>
      <c r="C18" s="151" t="s">
        <v>240</v>
      </c>
      <c r="D18" s="152" t="str">
        <f>表1_86121822242672103[[#This Row],[目标国家]]</f>
        <v>魏</v>
      </c>
      <c r="E18" s="154">
        <f>(VLOOKUP(表1_86121822242672103[[#This Row],[目标区服]],$R$29:$S$32,2,FALSE)-表1_86121822242672103[[#This Row],[开服天数]])*配置!$B$1</f>
        <v>1500</v>
      </c>
      <c r="F18" s="154">
        <f>表1_86121822242672103[[#This Row],[补偿Coin]]*(表1_86121822242672103[[#This Row],[活跃高战玩家数]]+表1_86121822242672103[[#This Row],[活跃中坚玩家数]])</f>
        <v>16500</v>
      </c>
      <c r="G18" s="154">
        <f>(VLOOKUP(表1_86121822242672103[[#This Row],[目标区服]],$R$29:$S$32,2,FALSE)-表1_86121822242672103[[#This Row],[开服天数]])*配置!$B$2</f>
        <v>15</v>
      </c>
      <c r="H18" s="152" t="s">
        <v>26</v>
      </c>
      <c r="I18" s="152">
        <f>IF(表1_86121822242672103[[#This Row],[原国家]]="魏",0,IF(表1_86121822242672103[[#This Row],[原国家]]="蜀",1,2))</f>
        <v>1</v>
      </c>
      <c r="J18" s="403">
        <v>0</v>
      </c>
      <c r="K18" s="403">
        <v>27</v>
      </c>
      <c r="L18" s="403">
        <v>0</v>
      </c>
      <c r="M18" s="403">
        <v>11</v>
      </c>
      <c r="N18" s="403">
        <v>28731</v>
      </c>
      <c r="O18" s="403">
        <v>686795</v>
      </c>
      <c r="P18" s="403">
        <v>4150724</v>
      </c>
      <c r="Q18" s="31" t="s">
        <v>25</v>
      </c>
      <c r="R18" s="152">
        <f>IF(表1_86121822242672103[[#This Row],[目标国家]]="魏",0,IF(表1_86121822242672103[[#This Row],[目标国家]]="蜀",1,2))</f>
        <v>0</v>
      </c>
      <c r="S18" s="403">
        <v>2986</v>
      </c>
      <c r="T18" s="403">
        <v>0</v>
      </c>
      <c r="U18" s="403">
        <v>50566</v>
      </c>
      <c r="V18" s="403">
        <v>1630</v>
      </c>
      <c r="W18" s="403">
        <v>238278</v>
      </c>
      <c r="X18" s="196" t="str">
        <f>"{"&amp;"'coin':"&amp;表1_86121822242672103[[#This Row],[补偿Coin]]&amp;",'"&amp;配置!$A$2&amp;"':"&amp;表1_86121822242672103[[#This Row],[补偿辎重]]&amp;"},"</f>
        <v>{'coin':1500,'item036':15},</v>
      </c>
      <c r="Y18" s="194" t="str">
        <f>"            'to_zone':'"&amp;表1_86121822242672103[[#This Row],[目标区服]]&amp;"',
            'reward':"&amp;表1_86121822242672103[[#This Row],[辅助导出]]&amp;"
            'country':["&amp;R17&amp;","&amp;R18&amp;","&amp;R19&amp;"],"</f>
        <v>            'to_zone':'h1_717',
            'reward':{'coin':1500,'item036':15},
            'country':[1,0,2],</v>
      </c>
    </row>
    <row r="19" ht="14.25" customHeight="1" spans="1:25">
      <c r="A19" s="150">
        <v>7038</v>
      </c>
      <c r="B19" s="150">
        <f>VLOOKUP(表1_86121822242672103[[#This Row],[区服]],$P$29:$Q$36,2,FALSE)</f>
        <v>42</v>
      </c>
      <c r="C19" s="151" t="s">
        <v>240</v>
      </c>
      <c r="D19" s="152" t="str">
        <f>表1_86121822242672103[[#This Row],[目标国家]]</f>
        <v>吴</v>
      </c>
      <c r="E19" s="154">
        <f>(VLOOKUP(表1_86121822242672103[[#This Row],[目标区服]],$R$29:$S$32,2,FALSE)-表1_86121822242672103[[#This Row],[开服天数]])*配置!$B$1</f>
        <v>1500</v>
      </c>
      <c r="F19" s="154">
        <f>表1_86121822242672103[[#This Row],[补偿Coin]]*(表1_86121822242672103[[#This Row],[活跃高战玩家数]]+表1_86121822242672103[[#This Row],[活跃中坚玩家数]])</f>
        <v>43500</v>
      </c>
      <c r="G19" s="154">
        <f>(VLOOKUP(表1_86121822242672103[[#This Row],[目标区服]],$R$29:$S$32,2,FALSE)-表1_86121822242672103[[#This Row],[开服天数]])*配置!$B$2</f>
        <v>15</v>
      </c>
      <c r="H19" s="152" t="s">
        <v>27</v>
      </c>
      <c r="I19" s="152">
        <f>IF(表1_86121822242672103[[#This Row],[原国家]]="魏",0,IF(表1_86121822242672103[[#This Row],[原国家]]="蜀",1,2))</f>
        <v>2</v>
      </c>
      <c r="J19" s="403">
        <v>9</v>
      </c>
      <c r="K19" s="403">
        <v>338</v>
      </c>
      <c r="L19" s="403">
        <v>7</v>
      </c>
      <c r="M19" s="403">
        <v>22</v>
      </c>
      <c r="N19" s="403">
        <v>162591</v>
      </c>
      <c r="O19" s="403">
        <v>2535740</v>
      </c>
      <c r="P19" s="403">
        <v>21012691</v>
      </c>
      <c r="Q19" s="31" t="s">
        <v>27</v>
      </c>
      <c r="R19" s="152">
        <f>IF(表1_86121822242672103[[#This Row],[目标国家]]="魏",0,IF(表1_86121822242672103[[#This Row],[目标国家]]="蜀",1,2))</f>
        <v>2</v>
      </c>
      <c r="S19" s="403">
        <v>58458</v>
      </c>
      <c r="T19" s="403">
        <v>0</v>
      </c>
      <c r="U19" s="403">
        <v>316877</v>
      </c>
      <c r="V19" s="403">
        <v>11642</v>
      </c>
      <c r="W19" s="408">
        <v>799917</v>
      </c>
      <c r="X19" s="196" t="str">
        <f>"{"&amp;"'coin':"&amp;表1_86121822242672103[[#This Row],[补偿Coin]]&amp;",'"&amp;配置!$A$2&amp;"':"&amp;表1_86121822242672103[[#This Row],[补偿辎重]]&amp;"},"</f>
        <v>{'coin':1500,'item036':15},</v>
      </c>
      <c r="Y19" s="194" t="str">
        <f>"      },"</f>
        <v>      },</v>
      </c>
    </row>
    <row r="20" ht="14.25" customHeight="1" spans="1:25">
      <c r="A20" s="91">
        <v>7039</v>
      </c>
      <c r="B20" s="91">
        <f>VLOOKUP(表1_86121822242672103[[#This Row],[区服]],$P$29:$Q$36,2,FALSE)</f>
        <v>42</v>
      </c>
      <c r="C20" s="92" t="s">
        <v>241</v>
      </c>
      <c r="D20" s="93" t="str">
        <f>表1_86121822242672103[[#This Row],[目标国家]]</f>
        <v>吴</v>
      </c>
      <c r="E20" s="95">
        <f>(VLOOKUP(表1_86121822242672103[[#This Row],[目标区服]],$R$29:$S$32,2,FALSE)-表1_86121822242672103[[#This Row],[开服天数]])*配置!$B$1</f>
        <v>1000</v>
      </c>
      <c r="F20" s="95">
        <f>表1_86121822242672103[[#This Row],[补偿Coin]]*(表1_86121822242672103[[#This Row],[活跃高战玩家数]]+表1_86121822242672103[[#This Row],[活跃中坚玩家数]])</f>
        <v>26000</v>
      </c>
      <c r="G20" s="95">
        <f>(VLOOKUP(表1_86121822242672103[[#This Row],[目标区服]],$R$29:$S$32,2,FALSE)-表1_86121822242672103[[#This Row],[开服天数]])*配置!$B$2</f>
        <v>10</v>
      </c>
      <c r="H20" s="93" t="s">
        <v>25</v>
      </c>
      <c r="I20" s="93">
        <f>IF(表1_86121822242672103[[#This Row],[原国家]]="魏",0,IF(表1_86121822242672103[[#This Row],[原国家]]="蜀",1,2))</f>
        <v>0</v>
      </c>
      <c r="J20" s="404">
        <v>4</v>
      </c>
      <c r="K20" s="404">
        <v>154</v>
      </c>
      <c r="L20" s="404">
        <v>3</v>
      </c>
      <c r="M20" s="404">
        <v>23</v>
      </c>
      <c r="N20" s="404">
        <v>94096</v>
      </c>
      <c r="O20" s="404">
        <v>2522255</v>
      </c>
      <c r="P20" s="404">
        <v>16956671</v>
      </c>
      <c r="Q20" s="31" t="s">
        <v>27</v>
      </c>
      <c r="R20" s="93">
        <f>IF(表1_86121822242672103[[#This Row],[目标国家]]="魏",0,IF(表1_86121822242672103[[#This Row],[目标国家]]="蜀",1,2))</f>
        <v>2</v>
      </c>
      <c r="S20" s="404">
        <v>48628</v>
      </c>
      <c r="T20" s="404">
        <v>0</v>
      </c>
      <c r="U20" s="404">
        <v>262377</v>
      </c>
      <c r="V20" s="404">
        <v>8218</v>
      </c>
      <c r="W20" s="409">
        <v>767592</v>
      </c>
      <c r="X20" s="140" t="str">
        <f>"{"&amp;"'coin':"&amp;表1_86121822242672103[[#This Row],[补偿Coin]]&amp;",'"&amp;配置!$A$2&amp;"':"&amp;表1_86121822242672103[[#This Row],[补偿辎重]]&amp;"},"</f>
        <v>{'coin':1000,'item036':10},</v>
      </c>
      <c r="Y20" s="138" t="str">
        <f>"      '"&amp;表1_86121822242672103[[#This Row],[区服]]&amp;"':{"</f>
        <v>      '7039':{</v>
      </c>
    </row>
    <row r="21" ht="14.25" customHeight="1" spans="1:25">
      <c r="A21" s="91">
        <v>7039</v>
      </c>
      <c r="B21" s="91">
        <f>VLOOKUP(表1_86121822242672103[[#This Row],[区服]],$P$29:$Q$36,2,FALSE)</f>
        <v>42</v>
      </c>
      <c r="C21" s="92" t="s">
        <v>241</v>
      </c>
      <c r="D21" s="93" t="str">
        <f>表1_86121822242672103[[#This Row],[目标国家]]</f>
        <v>蜀</v>
      </c>
      <c r="E21" s="95">
        <f>(VLOOKUP(表1_86121822242672103[[#This Row],[目标区服]],$R$29:$S$32,2,FALSE)-表1_86121822242672103[[#This Row],[开服天数]])*配置!$B$1</f>
        <v>1000</v>
      </c>
      <c r="F21" s="95">
        <f>表1_86121822242672103[[#This Row],[补偿Coin]]*(表1_86121822242672103[[#This Row],[活跃高战玩家数]]+表1_86121822242672103[[#This Row],[活跃中坚玩家数]])</f>
        <v>38000</v>
      </c>
      <c r="G21" s="95">
        <f>(VLOOKUP(表1_86121822242672103[[#This Row],[目标区服]],$R$29:$S$32,2,FALSE)-表1_86121822242672103[[#This Row],[开服天数]])*配置!$B$2</f>
        <v>10</v>
      </c>
      <c r="H21" s="93" t="s">
        <v>26</v>
      </c>
      <c r="I21" s="93">
        <f>IF(表1_86121822242672103[[#This Row],[原国家]]="魏",0,IF(表1_86121822242672103[[#This Row],[原国家]]="蜀",1,2))</f>
        <v>1</v>
      </c>
      <c r="J21" s="404">
        <v>3</v>
      </c>
      <c r="K21" s="404">
        <v>157</v>
      </c>
      <c r="L21" s="404">
        <v>6</v>
      </c>
      <c r="M21" s="404">
        <v>32</v>
      </c>
      <c r="N21" s="404">
        <v>157081</v>
      </c>
      <c r="O21" s="404">
        <v>2568555</v>
      </c>
      <c r="P21" s="404">
        <v>26847471</v>
      </c>
      <c r="Q21" s="31" t="s">
        <v>26</v>
      </c>
      <c r="R21" s="93">
        <f>IF(表1_86121822242672103[[#This Row],[目标国家]]="魏",0,IF(表1_86121822242672103[[#This Row],[目标国家]]="蜀",1,2))</f>
        <v>1</v>
      </c>
      <c r="S21" s="404">
        <v>102752</v>
      </c>
      <c r="T21" s="404">
        <v>23566</v>
      </c>
      <c r="U21" s="404">
        <v>679060</v>
      </c>
      <c r="V21" s="404">
        <v>11566</v>
      </c>
      <c r="W21" s="409">
        <v>668042</v>
      </c>
      <c r="X21" s="140" t="str">
        <f>"{"&amp;"'coin':"&amp;表1_86121822242672103[[#This Row],[补偿Coin]]&amp;",'"&amp;配置!$A$2&amp;"':"&amp;表1_86121822242672103[[#This Row],[补偿辎重]]&amp;"},"</f>
        <v>{'coin':1000,'item036':10},</v>
      </c>
      <c r="Y21" s="138" t="str">
        <f>"            'to_zone':'"&amp;表1_86121822242672103[[#This Row],[目标区服]]&amp;"',
            'reward':"&amp;表1_86121822242672103[[#This Row],[辅助导出]]&amp;"
            'country':["&amp;R20&amp;","&amp;R21&amp;","&amp;R22&amp;"],"</f>
        <v>            'to_zone':'h1_718',
            'reward':{'coin':1000,'item036':10},
            'country':[2,1,0],</v>
      </c>
    </row>
    <row r="22" ht="14.25" customHeight="1" spans="1:25">
      <c r="A22" s="91">
        <v>7039</v>
      </c>
      <c r="B22" s="91">
        <f>VLOOKUP(表1_86121822242672103[[#This Row],[区服]],$P$29:$Q$36,2,FALSE)</f>
        <v>42</v>
      </c>
      <c r="C22" s="92" t="s">
        <v>241</v>
      </c>
      <c r="D22" s="93" t="str">
        <f>表1_86121822242672103[[#This Row],[目标国家]]</f>
        <v>魏</v>
      </c>
      <c r="E22" s="95">
        <f>(VLOOKUP(表1_86121822242672103[[#This Row],[目标区服]],$R$29:$S$32,2,FALSE)-表1_86121822242672103[[#This Row],[开服天数]])*配置!$B$1</f>
        <v>1000</v>
      </c>
      <c r="F22" s="95">
        <f>表1_86121822242672103[[#This Row],[补偿Coin]]*(表1_86121822242672103[[#This Row],[活跃高战玩家数]]+表1_86121822242672103[[#This Row],[活跃中坚玩家数]])</f>
        <v>13000</v>
      </c>
      <c r="G22" s="95">
        <f>(VLOOKUP(表1_86121822242672103[[#This Row],[目标区服]],$R$29:$S$32,2,FALSE)-表1_86121822242672103[[#This Row],[开服天数]])*配置!$B$2</f>
        <v>10</v>
      </c>
      <c r="H22" s="93" t="s">
        <v>27</v>
      </c>
      <c r="I22" s="93">
        <f>IF(表1_86121822242672103[[#This Row],[原国家]]="魏",0,IF(表1_86121822242672103[[#This Row],[原国家]]="蜀",1,2))</f>
        <v>2</v>
      </c>
      <c r="J22" s="404">
        <v>2</v>
      </c>
      <c r="K22" s="404">
        <v>84</v>
      </c>
      <c r="L22" s="404">
        <v>1</v>
      </c>
      <c r="M22" s="404">
        <v>12</v>
      </c>
      <c r="N22" s="404">
        <v>49696</v>
      </c>
      <c r="O22" s="404">
        <v>1560059</v>
      </c>
      <c r="P22" s="404">
        <v>8127580</v>
      </c>
      <c r="Q22" s="31" t="s">
        <v>25</v>
      </c>
      <c r="R22" s="93">
        <f>IF(表1_86121822242672103[[#This Row],[目标国家]]="魏",0,IF(表1_86121822242672103[[#This Row],[目标国家]]="蜀",1,2))</f>
        <v>0</v>
      </c>
      <c r="S22" s="404">
        <v>16770</v>
      </c>
      <c r="T22" s="404">
        <v>0</v>
      </c>
      <c r="U22" s="404">
        <v>159499</v>
      </c>
      <c r="V22" s="404">
        <v>4244</v>
      </c>
      <c r="W22" s="404">
        <v>521465</v>
      </c>
      <c r="X22" s="140" t="str">
        <f>"{"&amp;"'coin':"&amp;表1_86121822242672103[[#This Row],[补偿Coin]]&amp;",'"&amp;配置!$A$2&amp;"':"&amp;表1_86121822242672103[[#This Row],[补偿辎重]]&amp;"},"</f>
        <v>{'coin':1000,'item036':10},</v>
      </c>
      <c r="Y22" s="138" t="str">
        <f>"      },"</f>
        <v>      },</v>
      </c>
    </row>
    <row r="23" ht="14.25" customHeight="1" spans="1:25">
      <c r="A23" s="91">
        <v>7040</v>
      </c>
      <c r="B23" s="91">
        <f>VLOOKUP(表1_86121822242672103[[#This Row],[区服]],$P$29:$Q$36,2,FALSE)</f>
        <v>41</v>
      </c>
      <c r="C23" s="92" t="s">
        <v>241</v>
      </c>
      <c r="D23" s="93" t="str">
        <f>表1_86121822242672103[[#This Row],[目标国家]]</f>
        <v>魏</v>
      </c>
      <c r="E23" s="95">
        <f>(VLOOKUP(表1_86121822242672103[[#This Row],[目标区服]],$R$29:$S$32,2,FALSE)-表1_86121822242672103[[#This Row],[开服天数]])*配置!$B$1</f>
        <v>1500</v>
      </c>
      <c r="F23" s="95">
        <f>表1_86121822242672103[[#This Row],[补偿Coin]]*(表1_86121822242672103[[#This Row],[活跃高战玩家数]]+表1_86121822242672103[[#This Row],[活跃中坚玩家数]])</f>
        <v>33000</v>
      </c>
      <c r="G23" s="95">
        <f>(VLOOKUP(表1_86121822242672103[[#This Row],[目标区服]],$R$29:$S$32,2,FALSE)-表1_86121822242672103[[#This Row],[开服天数]])*配置!$B$2</f>
        <v>15</v>
      </c>
      <c r="H23" s="93" t="s">
        <v>25</v>
      </c>
      <c r="I23" s="93">
        <f>IF(表1_86121822242672103[[#This Row],[原国家]]="魏",0,IF(表1_86121822242672103[[#This Row],[原国家]]="蜀",1,2))</f>
        <v>0</v>
      </c>
      <c r="J23" s="404">
        <v>4</v>
      </c>
      <c r="K23" s="404">
        <v>143</v>
      </c>
      <c r="L23" s="404">
        <v>3</v>
      </c>
      <c r="M23" s="404">
        <v>19</v>
      </c>
      <c r="N23" s="404">
        <v>99301</v>
      </c>
      <c r="O23" s="404">
        <v>2475672</v>
      </c>
      <c r="P23" s="404">
        <v>15669470</v>
      </c>
      <c r="Q23" s="31" t="s">
        <v>25</v>
      </c>
      <c r="R23" s="93">
        <f>IF(表1_86121822242672103[[#This Row],[目标国家]]="魏",0,IF(表1_86121822242672103[[#This Row],[目标国家]]="蜀",1,2))</f>
        <v>0</v>
      </c>
      <c r="S23" s="404">
        <v>76694</v>
      </c>
      <c r="T23" s="404">
        <v>0</v>
      </c>
      <c r="U23" s="404">
        <v>568975</v>
      </c>
      <c r="V23" s="404">
        <v>8954</v>
      </c>
      <c r="W23" s="409">
        <v>757935</v>
      </c>
      <c r="X23" s="140" t="str">
        <f>"{"&amp;"'coin':"&amp;表1_86121822242672103[[#This Row],[补偿Coin]]&amp;",'"&amp;配置!$A$2&amp;"':"&amp;表1_86121822242672103[[#This Row],[补偿辎重]]&amp;"},"</f>
        <v>{'coin':1500,'item036':15},</v>
      </c>
      <c r="Y23" s="138" t="str">
        <f>"      '"&amp;表1_86121822242672103[[#This Row],[区服]]&amp;"':{"</f>
        <v>      '7040':{</v>
      </c>
    </row>
    <row r="24" ht="14.25" customHeight="1" spans="1:25">
      <c r="A24" s="91">
        <v>7040</v>
      </c>
      <c r="B24" s="91">
        <f>VLOOKUP(表1_86121822242672103[[#This Row],[区服]],$P$29:$Q$36,2,FALSE)</f>
        <v>41</v>
      </c>
      <c r="C24" s="92" t="s">
        <v>241</v>
      </c>
      <c r="D24" s="93" t="str">
        <f>表1_86121822242672103[[#This Row],[目标国家]]</f>
        <v>魏</v>
      </c>
      <c r="E24" s="95">
        <f>(VLOOKUP(表1_86121822242672103[[#This Row],[目标区服]],$R$29:$S$32,2,FALSE)-表1_86121822242672103[[#This Row],[开服天数]])*配置!$B$1</f>
        <v>1500</v>
      </c>
      <c r="F24" s="95">
        <f>表1_86121822242672103[[#This Row],[补偿Coin]]*(表1_86121822242672103[[#This Row],[活跃高战玩家数]]+表1_86121822242672103[[#This Row],[活跃中坚玩家数]])</f>
        <v>34500</v>
      </c>
      <c r="G24" s="95">
        <f>(VLOOKUP(表1_86121822242672103[[#This Row],[目标区服]],$R$29:$S$32,2,FALSE)-表1_86121822242672103[[#This Row],[开服天数]])*配置!$B$2</f>
        <v>15</v>
      </c>
      <c r="H24" s="93" t="s">
        <v>26</v>
      </c>
      <c r="I24" s="93">
        <f>IF(表1_86121822242672103[[#This Row],[原国家]]="魏",0,IF(表1_86121822242672103[[#This Row],[原国家]]="蜀",1,2))</f>
        <v>1</v>
      </c>
      <c r="J24" s="404">
        <v>2</v>
      </c>
      <c r="K24" s="404">
        <v>116</v>
      </c>
      <c r="L24" s="404">
        <v>3</v>
      </c>
      <c r="M24" s="404">
        <v>20</v>
      </c>
      <c r="N24" s="404">
        <v>96624</v>
      </c>
      <c r="O24" s="404">
        <v>1669361</v>
      </c>
      <c r="P24" s="404">
        <v>13584614</v>
      </c>
      <c r="Q24" s="31" t="s">
        <v>25</v>
      </c>
      <c r="R24" s="93">
        <f>IF(表1_86121822242672103[[#This Row],[目标国家]]="魏",0,IF(表1_86121822242672103[[#This Row],[目标国家]]="蜀",1,2))</f>
        <v>0</v>
      </c>
      <c r="S24" s="404">
        <v>15534</v>
      </c>
      <c r="T24" s="404">
        <v>0</v>
      </c>
      <c r="U24" s="404">
        <v>227217</v>
      </c>
      <c r="V24" s="404">
        <v>5450</v>
      </c>
      <c r="W24" s="404">
        <v>470877</v>
      </c>
      <c r="X24" s="140" t="str">
        <f>"{"&amp;"'coin':"&amp;表1_86121822242672103[[#This Row],[补偿Coin]]&amp;",'"&amp;配置!$A$2&amp;"':"&amp;表1_86121822242672103[[#This Row],[补偿辎重]]&amp;"},"</f>
        <v>{'coin':1500,'item036':15},</v>
      </c>
      <c r="Y24" s="138" t="str">
        <f>"            'to_zone':'"&amp;表1_86121822242672103[[#This Row],[目标区服]]&amp;"',
            'reward':"&amp;表1_86121822242672103[[#This Row],[辅助导出]]&amp;"
            'country':["&amp;R23&amp;","&amp;R24&amp;","&amp;R25&amp;"],"</f>
        <v>            'to_zone':'h1_718',
            'reward':{'coin':1500,'item036':15},
            'country':[0,0,2],</v>
      </c>
    </row>
    <row r="25" ht="14.25" customHeight="1" spans="1:25">
      <c r="A25" s="91">
        <v>7040</v>
      </c>
      <c r="B25" s="91">
        <f>VLOOKUP(表1_86121822242672103[[#This Row],[区服]],$P$29:$Q$36,2,FALSE)</f>
        <v>41</v>
      </c>
      <c r="C25" s="92" t="s">
        <v>241</v>
      </c>
      <c r="D25" s="93" t="str">
        <f>表1_86121822242672103[[#This Row],[目标国家]]</f>
        <v>吴</v>
      </c>
      <c r="E25" s="95">
        <f>(VLOOKUP(表1_86121822242672103[[#This Row],[目标区服]],$R$29:$S$32,2,FALSE)-表1_86121822242672103[[#This Row],[开服天数]])*配置!$B$1</f>
        <v>1500</v>
      </c>
      <c r="F25" s="95">
        <f>表1_86121822242672103[[#This Row],[补偿Coin]]*(表1_86121822242672103[[#This Row],[活跃高战玩家数]]+表1_86121822242672103[[#This Row],[活跃中坚玩家数]])</f>
        <v>18000</v>
      </c>
      <c r="G25" s="95">
        <f>(VLOOKUP(表1_86121822242672103[[#This Row],[目标区服]],$R$29:$S$32,2,FALSE)-表1_86121822242672103[[#This Row],[开服天数]])*配置!$B$2</f>
        <v>15</v>
      </c>
      <c r="H25" s="93" t="s">
        <v>27</v>
      </c>
      <c r="I25" s="93">
        <f>IF(表1_86121822242672103[[#This Row],[原国家]]="魏",0,IF(表1_86121822242672103[[#This Row],[原国家]]="蜀",1,2))</f>
        <v>2</v>
      </c>
      <c r="J25" s="404">
        <v>3</v>
      </c>
      <c r="K25" s="404">
        <v>136</v>
      </c>
      <c r="L25" s="404">
        <v>4</v>
      </c>
      <c r="M25" s="404">
        <v>8</v>
      </c>
      <c r="N25" s="404">
        <v>78049</v>
      </c>
      <c r="O25" s="404">
        <v>1844483</v>
      </c>
      <c r="P25" s="404">
        <v>10512791</v>
      </c>
      <c r="Q25" s="31" t="s">
        <v>27</v>
      </c>
      <c r="R25" s="93">
        <f>IF(表1_86121822242672103[[#This Row],[目标国家]]="魏",0,IF(表1_86121822242672103[[#This Row],[目标国家]]="蜀",1,2))</f>
        <v>2</v>
      </c>
      <c r="S25" s="404">
        <v>50494</v>
      </c>
      <c r="T25" s="404">
        <v>0</v>
      </c>
      <c r="U25" s="404">
        <v>134880</v>
      </c>
      <c r="V25" s="404">
        <v>6528</v>
      </c>
      <c r="W25" s="404">
        <v>591393</v>
      </c>
      <c r="X25" s="140" t="str">
        <f>"{"&amp;"'coin':"&amp;表1_86121822242672103[[#This Row],[补偿Coin]]&amp;",'"&amp;配置!$A$2&amp;"':"&amp;表1_86121822242672103[[#This Row],[补偿辎重]]&amp;"},"</f>
        <v>{'coin':1500,'item036':15},</v>
      </c>
      <c r="Y25" s="138" t="str">
        <f>"      },"</f>
        <v>      },</v>
      </c>
    </row>
    <row r="28" ht="37.5" customHeight="1" spans="1:19">
      <c r="A28" s="36" t="s">
        <v>28</v>
      </c>
      <c r="B28" s="37" t="s">
        <v>29</v>
      </c>
      <c r="C28" s="38" t="s">
        <v>30</v>
      </c>
      <c r="D28" s="38" t="s">
        <v>31</v>
      </c>
      <c r="E28" s="38" t="s">
        <v>32</v>
      </c>
      <c r="F28" s="38" t="s">
        <v>33</v>
      </c>
      <c r="G28" s="38" t="s">
        <v>15</v>
      </c>
      <c r="H28" s="37" t="s">
        <v>18</v>
      </c>
      <c r="I28" s="37" t="s">
        <v>19</v>
      </c>
      <c r="J28" s="37" t="s">
        <v>34</v>
      </c>
      <c r="K28" s="38" t="s">
        <v>35</v>
      </c>
      <c r="L28" s="38" t="s">
        <v>36</v>
      </c>
      <c r="M28" s="38" t="s">
        <v>37</v>
      </c>
      <c r="N28" s="38" t="s">
        <v>88</v>
      </c>
      <c r="P28" s="51" t="s">
        <v>0</v>
      </c>
      <c r="Q28" s="51" t="s">
        <v>1</v>
      </c>
      <c r="R28" s="51"/>
      <c r="S28" s="51" t="s">
        <v>38</v>
      </c>
    </row>
    <row r="29" ht="15.75" customHeight="1" spans="1:19">
      <c r="A29" s="39" t="s">
        <v>239</v>
      </c>
      <c r="B29" s="39" t="s">
        <v>25</v>
      </c>
      <c r="C29" s="39">
        <f>COUNTIFS(表1_86121822242672103[目标区服],表2_97131923252773102[[#This Row],[合区区服]],表1_86121822242672103[目标国家（映射）],表2_97131923252773102[[#This Row],[国家]])</f>
        <v>4</v>
      </c>
      <c r="D29" s="39">
        <f>SUMIFS(表1_86121822242672103[活跃高战玩家数],表1_86121822242672103[目标区服],表2_97131923252773102[[#This Row],[合区区服]],表1_86121822242672103[目标国家（映射）],表2_97131923252773102[[#This Row],[国家]])</f>
        <v>7</v>
      </c>
      <c r="E29" s="39">
        <f>SUMIFS(表1_86121822242672103[活跃中坚玩家数],表1_86121822242672103[目标区服],表2_97131923252773102[[#This Row],[合区区服]],表1_86121822242672103[目标国家（映射）],表2_97131923252773102[[#This Row],[国家]])</f>
        <v>69</v>
      </c>
      <c r="F29" s="39">
        <f t="array" ref="F29">MAX((表1_86121822242672103[目标区服]=表2_97131923252773102[[#This Row],[合区区服]])*(表1_86121822242672103[目标国家（映射）]=表2_97131923252773102[[#This Row],[国家]])*表1_86121822242672103[活跃尖端战力])</f>
        <v>2512894</v>
      </c>
      <c r="G29" s="40">
        <f>SUMIFS(表1_86121822242672103[活跃总战力],表1_86121822242672103[目标区服],表2_97131923252773102[[#This Row],[合区区服]],表1_86121822242672103[目标国家（映射）],表2_97131923252773102[[#This Row],[国家]])</f>
        <v>57674150</v>
      </c>
      <c r="H29" s="39">
        <f>SUMIFS(表1_86121822242672103[活跃实际充值],表1_86121822242672103[目标区服],表2_97131923252773102[[#This Row],[合区区服]],表1_86121822242672103[目标国家（映射）],表2_97131923252773102[[#This Row],[国家]])</f>
        <v>121622</v>
      </c>
      <c r="I29" s="39">
        <f>SUMIFS(表1_86121822242672103[活跃虚拟充值],表1_86121822242672103[目标区服],表2_97131923252773102[[#This Row],[合区区服]],表1_86121822242672103[目标国家（映射）],表2_97131923252773102[[#This Row],[国家]])</f>
        <v>0</v>
      </c>
      <c r="J29" s="39">
        <f>SUMIFS(表1_86121822242672103[活跃Coin],表1_86121822242672103[目标区服],表2_97131923252773102[[#This Row],[合区区服]],表1_86121822242672103[目标国家（映射）],表2_97131923252773102[[#This Row],[国家]])</f>
        <v>1020396</v>
      </c>
      <c r="K29" s="39">
        <f>SUMIFS(表1_86121822242672103[共计补偿Coin],表1_86121822242672103[目标区服],表2_97131923252773102[[#This Row],[合区区服]],表1_86121822242672103[目标国家（映射）],表2_97131923252773102[[#This Row],[国家]])</f>
        <v>115500</v>
      </c>
      <c r="L29" s="39">
        <f>表2_97131923252773102[[#This Row],[活跃Coin]]+表2_97131923252773102[[#This Row],[共计补偿Coin]]</f>
        <v>1135896</v>
      </c>
      <c r="M29" s="39">
        <f>SUMIFS(表1_86121822242672103[综合国力],表1_86121822242672103[目标区服],表2_97131923252773102[[#This Row],[合区区服]],表1_86121822242672103[目标国家（映射）],表2_97131923252773102[[#This Row],[国家]])</f>
        <v>22480</v>
      </c>
      <c r="N29" s="39">
        <f t="array" ref="N29">MAX((表1_86121822242672103[目标区服]=表2_97131923252773102[[#This Row],[合区区服]])*(表1_86121822242672103[目标国家（映射）]=表2_97131923252773102[[#This Row],[国家]])*表1_86121822242672103[单将最高战力])</f>
        <v>709519</v>
      </c>
      <c r="P29" s="51">
        <v>7033</v>
      </c>
      <c r="Q29" s="51">
        <v>46</v>
      </c>
      <c r="R29" s="51" t="s">
        <v>239</v>
      </c>
      <c r="S29" s="51">
        <v>48</v>
      </c>
    </row>
    <row r="30" ht="15" spans="1:19">
      <c r="A30" s="39" t="s">
        <v>239</v>
      </c>
      <c r="B30" s="39" t="s">
        <v>26</v>
      </c>
      <c r="C30" s="39">
        <f>COUNTIFS(表1_86121822242672103[目标区服],表2_97131923252773102[[#This Row],[合区区服]],表1_86121822242672103[目标国家（映射）],表2_97131923252773102[[#This Row],[国家]])</f>
        <v>2</v>
      </c>
      <c r="D30" s="39">
        <f>SUMIFS(表1_86121822242672103[活跃高战玩家数],表1_86121822242672103[目标区服],表2_97131923252773102[[#This Row],[合区区服]],表1_86121822242672103[目标国家（映射）],表2_97131923252773102[[#This Row],[国家]])</f>
        <v>10</v>
      </c>
      <c r="E30" s="39">
        <f>SUMIFS(表1_86121822242672103[活跃中坚玩家数],表1_86121822242672103[目标区服],表2_97131923252773102[[#This Row],[合区区服]],表1_86121822242672103[目标国家（映射）],表2_97131923252773102[[#This Row],[国家]])</f>
        <v>52</v>
      </c>
      <c r="F30" s="39">
        <f t="array" ref="F30">MAX((表1_86121822242672103[目标区服]=表2_97131923252773102[[#This Row],[合区区服]])*(表1_86121822242672103[目标国家（映射）]=表2_97131923252773102[[#This Row],[国家]])*表1_86121822242672103[活跃尖端战力])</f>
        <v>2728598</v>
      </c>
      <c r="G30" s="40">
        <f>SUMIFS(表1_86121822242672103[活跃总战力],表1_86121822242672103[目标区服],表2_97131923252773102[[#This Row],[合区区服]],表1_86121822242672103[目标国家（映射）],表2_97131923252773102[[#This Row],[国家]])</f>
        <v>51372306</v>
      </c>
      <c r="H30" s="39">
        <f>SUMIFS(表1_86121822242672103[活跃实际充值],表1_86121822242672103[目标区服],表2_97131923252773102[[#This Row],[合区区服]],表1_86121822242672103[目标国家（映射）],表2_97131923252773102[[#This Row],[国家]])</f>
        <v>121796</v>
      </c>
      <c r="I30" s="39">
        <f>SUMIFS(表1_86121822242672103[活跃虚拟充值],表1_86121822242672103[目标区服],表2_97131923252773102[[#This Row],[合区区服]],表1_86121822242672103[目标国家（映射）],表2_97131923252773102[[#This Row],[国家]])</f>
        <v>0</v>
      </c>
      <c r="J30" s="39">
        <f>SUMIFS(表1_86121822242672103[活跃Coin],表1_86121822242672103[目标区服],表2_97131923252773102[[#This Row],[合区区服]],表1_86121822242672103[目标国家（映射）],表2_97131923252773102[[#This Row],[国家]])</f>
        <v>815367</v>
      </c>
      <c r="K30" s="39">
        <f>SUMIFS(表1_86121822242672103[共计补偿Coin],表1_86121822242672103[目标区服],表2_97131923252773102[[#This Row],[合区区服]],表1_86121822242672103[目标国家（映射）],表2_97131923252773102[[#This Row],[国家]])</f>
        <v>72500</v>
      </c>
      <c r="L30" s="39">
        <f>表2_97131923252773102[[#This Row],[活跃Coin]]+表2_97131923252773102[[#This Row],[共计补偿Coin]]</f>
        <v>887867</v>
      </c>
      <c r="M30" s="39">
        <f>SUMIFS(表1_86121822242672103[综合国力],表1_86121822242672103[目标区服],表2_97131923252773102[[#This Row],[合区区服]],表1_86121822242672103[目标国家（映射）],表2_97131923252773102[[#This Row],[国家]])</f>
        <v>20592</v>
      </c>
      <c r="N30" s="39">
        <f t="array" ref="N30">MAX((表1_86121822242672103[目标区服]=表2_97131923252773102[[#This Row],[合区区服]])*(表1_86121822242672103[目标国家（映射）]=表2_97131923252773102[[#This Row],[国家]])*表1_86121822242672103[单将最高战力])</f>
        <v>908565</v>
      </c>
      <c r="P30" s="51">
        <v>7034</v>
      </c>
      <c r="Q30" s="51">
        <v>45</v>
      </c>
      <c r="R30" s="51" t="s">
        <v>240</v>
      </c>
      <c r="S30" s="51">
        <v>45</v>
      </c>
    </row>
    <row r="31" ht="15" spans="1:19">
      <c r="A31" s="39" t="s">
        <v>239</v>
      </c>
      <c r="B31" s="39" t="s">
        <v>27</v>
      </c>
      <c r="C31" s="39">
        <f>COUNTIFS(表1_86121822242672103[目标区服],表2_97131923252773102[[#This Row],[合区区服]],表1_86121822242672103[目标国家（映射）],表2_97131923252773102[[#This Row],[国家]])</f>
        <v>3</v>
      </c>
      <c r="D31" s="39">
        <f>SUMIFS(表1_86121822242672103[活跃高战玩家数],表1_86121822242672103[目标区服],表2_97131923252773102[[#This Row],[合区区服]],表1_86121822242672103[目标国家（映射）],表2_97131923252773102[[#This Row],[国家]])</f>
        <v>9</v>
      </c>
      <c r="E31" s="39">
        <f>SUMIFS(表1_86121822242672103[活跃中坚玩家数],表1_86121822242672103[目标区服],表2_97131923252773102[[#This Row],[合区区服]],表1_86121822242672103[目标国家（映射）],表2_97131923252773102[[#This Row],[国家]])</f>
        <v>67</v>
      </c>
      <c r="F31" s="39">
        <f t="array" ref="F31">MAX((表1_86121822242672103[目标区服]=表2_97131923252773102[[#This Row],[合区区服]])*(表1_86121822242672103[目标国家（映射）]=表2_97131923252773102[[#This Row],[国家]])*表1_86121822242672103[活跃尖端战力])</f>
        <v>2382277</v>
      </c>
      <c r="G31" s="40">
        <f>SUMIFS(表1_86121822242672103[活跃总战力],表1_86121822242672103[目标区服],表2_97131923252773102[[#This Row],[合区区服]],表1_86121822242672103[目标国家（映射）],表2_97131923252773102[[#This Row],[国家]])</f>
        <v>55097972</v>
      </c>
      <c r="H31" s="39">
        <f>SUMIFS(表1_86121822242672103[活跃实际充值],表1_86121822242672103[目标区服],表2_97131923252773102[[#This Row],[合区区服]],表1_86121822242672103[目标国家（映射）],表2_97131923252773102[[#This Row],[国家]])</f>
        <v>118920</v>
      </c>
      <c r="I31" s="39">
        <f>SUMIFS(表1_86121822242672103[活跃虚拟充值],表1_86121822242672103[目标区服],表2_97131923252773102[[#This Row],[合区区服]],表1_86121822242672103[目标国家（映射）],表2_97131923252773102[[#This Row],[国家]])</f>
        <v>0</v>
      </c>
      <c r="J31" s="39">
        <f>SUMIFS(表1_86121822242672103[活跃Coin],表1_86121822242672103[目标区服],表2_97131923252773102[[#This Row],[合区区服]],表1_86121822242672103[目标国家（映射）],表2_97131923252773102[[#This Row],[国家]])</f>
        <v>505358</v>
      </c>
      <c r="K31" s="39">
        <f>SUMIFS(表1_86121822242672103[共计补偿Coin],表1_86121822242672103[目标区服],表2_97131923252773102[[#This Row],[合区区服]],表1_86121822242672103[目标国家（映射）],表2_97131923252773102[[#This Row],[国家]])</f>
        <v>140000</v>
      </c>
      <c r="L31" s="39">
        <f>表2_97131923252773102[[#This Row],[活跃Coin]]+表2_97131923252773102[[#This Row],[共计补偿Coin]]</f>
        <v>645358</v>
      </c>
      <c r="M31" s="39">
        <f>SUMIFS(表1_86121822242672103[综合国力],表1_86121822242672103[目标区服],表2_97131923252773102[[#This Row],[合区区服]],表1_86121822242672103[目标国家（映射）],表2_97131923252773102[[#This Row],[国家]])</f>
        <v>20743</v>
      </c>
      <c r="N31" s="39">
        <f t="array" ref="N31">MAX((表1_86121822242672103[目标区服]=表2_97131923252773102[[#This Row],[合区区服]])*(表1_86121822242672103[目标国家（映射）]=表2_97131923252773102[[#This Row],[国家]])*表1_86121822242672103[单将最高战力])</f>
        <v>771078</v>
      </c>
      <c r="P31" s="51">
        <v>7035</v>
      </c>
      <c r="Q31" s="51">
        <v>44</v>
      </c>
      <c r="R31" s="51" t="s">
        <v>241</v>
      </c>
      <c r="S31" s="51">
        <v>44</v>
      </c>
    </row>
    <row r="32" ht="15" spans="1:19">
      <c r="A32" s="186" t="s">
        <v>240</v>
      </c>
      <c r="B32" s="186" t="s">
        <v>25</v>
      </c>
      <c r="C32" s="186">
        <f>COUNTIFS(表1_86121822242672103[目标区服],表2_97131923252773102[[#This Row],[合区区服]],表1_86121822242672103[目标国家（映射）],表2_97131923252773102[[#This Row],[国家]])</f>
        <v>3</v>
      </c>
      <c r="D32" s="186">
        <f>SUMIFS(表1_86121822242672103[活跃高战玩家数],表1_86121822242672103[目标区服],表2_97131923252773102[[#This Row],[合区区服]],表1_86121822242672103[目标国家（映射）],表2_97131923252773102[[#This Row],[国家]])</f>
        <v>9</v>
      </c>
      <c r="E32" s="186">
        <f>SUMIFS(表1_86121822242672103[活跃中坚玩家数],表1_86121822242672103[目标区服],表2_97131923252773102[[#This Row],[合区区服]],表1_86121822242672103[目标国家（映射）],表2_97131923252773102[[#This Row],[国家]])</f>
        <v>40</v>
      </c>
      <c r="F32" s="186">
        <f t="array" ref="F32">MAX((表1_86121822242672103[目标区服]=表2_97131923252773102[[#This Row],[合区区服]])*(表1_86121822242672103[目标国家（映射）]=表2_97131923252773102[[#This Row],[国家]])*表1_86121822242672103[活跃尖端战力])</f>
        <v>2523814</v>
      </c>
      <c r="G32" s="187">
        <f>SUMIFS(表1_86121822242672103[活跃总战力],表1_86121822242672103[目标区服],表2_97131923252773102[[#This Row],[合区区服]],表1_86121822242672103[目标国家（映射）],表2_97131923252773102[[#This Row],[国家]])</f>
        <v>33121134</v>
      </c>
      <c r="H32" s="186">
        <f>SUMIFS(表1_86121822242672103[活跃实际充值],表1_86121822242672103[目标区服],表2_97131923252773102[[#This Row],[合区区服]],表1_86121822242672103[目标国家（映射）],表2_97131923252773102[[#This Row],[国家]])</f>
        <v>65016</v>
      </c>
      <c r="I32" s="186">
        <f>SUMIFS(表1_86121822242672103[活跃虚拟充值],表1_86121822242672103[目标区服],表2_97131923252773102[[#This Row],[合区区服]],表1_86121822242672103[目标国家（映射）],表2_97131923252773102[[#This Row],[国家]])</f>
        <v>0</v>
      </c>
      <c r="J32" s="186">
        <f>SUMIFS(表1_86121822242672103[活跃Coin],表1_86121822242672103[目标区服],表2_97131923252773102[[#This Row],[合区区服]],表1_86121822242672103[目标国家（映射）],表2_97131923252773102[[#This Row],[国家]])</f>
        <v>725256</v>
      </c>
      <c r="K32" s="186">
        <f>SUMIFS(表1_86121822242672103[共计补偿Coin],表1_86121822242672103[目标区服],表2_97131923252773102[[#This Row],[合区区服]],表1_86121822242672103[目标国家（映射）],表2_97131923252773102[[#This Row],[国家]])</f>
        <v>54500</v>
      </c>
      <c r="L32" s="186">
        <f>表2_97131923252773102[[#This Row],[活跃Coin]]+表2_97131923252773102[[#This Row],[共计补偿Coin]]</f>
        <v>779756</v>
      </c>
      <c r="M32" s="186">
        <f>SUMIFS(表1_86121822242672103[综合国力],表1_86121822242672103[目标区服],表2_97131923252773102[[#This Row],[合区区服]],表1_86121822242672103[目标国家（映射）],表2_97131923252773102[[#This Row],[国家]])</f>
        <v>16658</v>
      </c>
      <c r="N32" s="186">
        <f t="array" ref="N32">MAX((表1_86121822242672103[目标区服]=表2_97131923252773102[[#This Row],[合区区服]])*(表1_86121822242672103[目标国家（映射）]=表2_97131923252773102[[#This Row],[国家]])*表1_86121822242672103[单将最高战力])</f>
        <v>682857</v>
      </c>
      <c r="P32" s="51">
        <v>7036</v>
      </c>
      <c r="Q32" s="51">
        <v>43</v>
      </c>
      <c r="R32" s="51"/>
      <c r="S32" s="51"/>
    </row>
    <row r="33" ht="15" spans="1:17">
      <c r="A33" s="186" t="s">
        <v>240</v>
      </c>
      <c r="B33" s="186" t="s">
        <v>26</v>
      </c>
      <c r="C33" s="186">
        <f>COUNTIFS(表1_86121822242672103[目标区服],表2_97131923252773102[[#This Row],[合区区服]],表1_86121822242672103[目标国家（映射）],表2_97131923252773102[[#This Row],[国家]])</f>
        <v>3</v>
      </c>
      <c r="D33" s="186">
        <f>SUMIFS(表1_86121822242672103[活跃高战玩家数],表1_86121822242672103[目标区服],表2_97131923252773102[[#This Row],[合区区服]],表1_86121822242672103[目标国家（映射）],表2_97131923252773102[[#This Row],[国家]])</f>
        <v>7</v>
      </c>
      <c r="E33" s="186">
        <f>SUMIFS(表1_86121822242672103[活跃中坚玩家数],表1_86121822242672103[目标区服],表2_97131923252773102[[#This Row],[合区区服]],表1_86121822242672103[目标国家（映射）],表2_97131923252773102[[#This Row],[国家]])</f>
        <v>48</v>
      </c>
      <c r="F33" s="186">
        <f t="array" ref="F33">MAX((表1_86121822242672103[目标区服]=表2_97131923252773102[[#This Row],[合区区服]])*(表1_86121822242672103[目标国家（映射）]=表2_97131923252773102[[#This Row],[国家]])*表1_86121822242672103[活跃尖端战力])</f>
        <v>2425380</v>
      </c>
      <c r="G33" s="187">
        <f>SUMIFS(表1_86121822242672103[活跃总战力],表1_86121822242672103[目标区服],表2_97131923252773102[[#This Row],[合区区服]],表1_86121822242672103[目标国家（映射）],表2_97131923252773102[[#This Row],[国家]])</f>
        <v>35328914</v>
      </c>
      <c r="H33" s="186">
        <f>SUMIFS(表1_86121822242672103[活跃实际充值],表1_86121822242672103[目标区服],表2_97131923252773102[[#This Row],[合区区服]],表1_86121822242672103[目标国家（映射）],表2_97131923252773102[[#This Row],[国家]])</f>
        <v>92882</v>
      </c>
      <c r="I33" s="186">
        <f>SUMIFS(表1_86121822242672103[活跃虚拟充值],表1_86121822242672103[目标区服],表2_97131923252773102[[#This Row],[合区区服]],表1_86121822242672103[目标国家（映射）],表2_97131923252773102[[#This Row],[国家]])</f>
        <v>0</v>
      </c>
      <c r="J33" s="186">
        <f>SUMIFS(表1_86121822242672103[活跃Coin],表1_86121822242672103[目标区服],表2_97131923252773102[[#This Row],[合区区服]],表1_86121822242672103[目标国家（映射）],表2_97131923252773102[[#This Row],[国家]])</f>
        <v>586317</v>
      </c>
      <c r="K33" s="186">
        <f>SUMIFS(表1_86121822242672103[共计补偿Coin],表1_86121822242672103[目标区服],表2_97131923252773102[[#This Row],[合区区服]],表1_86121822242672103[目标国家（映射）],表2_97131923252773102[[#This Row],[国家]])</f>
        <v>65000</v>
      </c>
      <c r="L33" s="186">
        <f>表2_97131923252773102[[#This Row],[活跃Coin]]+表2_97131923252773102[[#This Row],[共计补偿Coin]]</f>
        <v>651317</v>
      </c>
      <c r="M33" s="186">
        <f>SUMIFS(表1_86121822242672103[综合国力],表1_86121822242672103[目标区服],表2_97131923252773102[[#This Row],[合区区服]],表1_86121822242672103[目标国家（映射）],表2_97131923252773102[[#This Row],[国家]])</f>
        <v>16035</v>
      </c>
      <c r="N33" s="186">
        <f t="array" ref="N33">MAX((表1_86121822242672103[目标区服]=表2_97131923252773102[[#This Row],[合区区服]])*(表1_86121822242672103[目标国家（映射）]=表2_97131923252773102[[#This Row],[国家]])*表1_86121822242672103[单将最高战力])</f>
        <v>652673</v>
      </c>
      <c r="P33" s="51">
        <v>7037</v>
      </c>
      <c r="Q33" s="51">
        <v>43</v>
      </c>
    </row>
    <row r="34" ht="15" spans="1:17">
      <c r="A34" s="186" t="s">
        <v>240</v>
      </c>
      <c r="B34" s="188" t="s">
        <v>27</v>
      </c>
      <c r="C34" s="188">
        <f>COUNTIFS(表1_86121822242672103[目标区服],表2_97131923252773102[[#This Row],[合区区服]],表1_86121822242672103[目标国家（映射）],表2_97131923252773102[[#This Row],[国家]])</f>
        <v>3</v>
      </c>
      <c r="D34" s="188">
        <f>SUMIFS(表1_86121822242672103[活跃高战玩家数],表1_86121822242672103[目标区服],表2_97131923252773102[[#This Row],[合区区服]],表1_86121822242672103[目标国家（映射）],表2_97131923252773102[[#This Row],[国家]])</f>
        <v>12</v>
      </c>
      <c r="E34" s="188">
        <f>SUMIFS(表1_86121822242672103[活跃中坚玩家数],表1_86121822242672103[目标区服],表2_97131923252773102[[#This Row],[合区区服]],表1_86121822242672103[目标国家（映射）],表2_97131923252773102[[#This Row],[国家]])</f>
        <v>50</v>
      </c>
      <c r="F34" s="188">
        <f t="array" ref="F34">MAX((表1_86121822242672103[目标区服]=表2_97131923252773102[[#This Row],[合区区服]])*(表1_86121822242672103[目标国家（映射）]=表2_97131923252773102[[#This Row],[国家]])*表1_86121822242672103[活跃尖端战力])</f>
        <v>2535740</v>
      </c>
      <c r="G34" s="309">
        <f>SUMIFS(表1_86121822242672103[活跃总战力],表1_86121822242672103[目标区服],表2_97131923252773102[[#This Row],[合区区服]],表1_86121822242672103[目标国家（映射）],表2_97131923252773102[[#This Row],[国家]])</f>
        <v>38909811</v>
      </c>
      <c r="H34" s="188">
        <f>SUMIFS(表1_86121822242672103[活跃实际充值],表1_86121822242672103[目标区服],表2_97131923252773102[[#This Row],[合区区服]],表1_86121822242672103[目标国家（映射）],表2_97131923252773102[[#This Row],[国家]])</f>
        <v>82658</v>
      </c>
      <c r="I34" s="188">
        <f>SUMIFS(表1_86121822242672103[活跃虚拟充值],表1_86121822242672103[目标区服],表2_97131923252773102[[#This Row],[合区区服]],表1_86121822242672103[目标国家（映射）],表2_97131923252773102[[#This Row],[国家]])</f>
        <v>0</v>
      </c>
      <c r="J34" s="188">
        <f>SUMIFS(表1_86121822242672103[活跃Coin],表1_86121822242672103[目标区服],表2_97131923252773102[[#This Row],[合区区服]],表1_86121822242672103[目标国家（映射）],表2_97131923252773102[[#This Row],[国家]])</f>
        <v>612913</v>
      </c>
      <c r="K34" s="188">
        <f>SUMIFS(表1_86121822242672103[共计补偿Coin],表1_86121822242672103[目标区服],表2_97131923252773102[[#This Row],[合区区服]],表1_86121822242672103[目标国家（映射）],表2_97131923252773102[[#This Row],[国家]])</f>
        <v>76500</v>
      </c>
      <c r="L34" s="188">
        <f>表2_97131923252773102[[#This Row],[活跃Coin]]+表2_97131923252773102[[#This Row],[共计补偿Coin]]</f>
        <v>689413</v>
      </c>
      <c r="M34" s="188">
        <f>SUMIFS(表1_86121822242672103[综合国力],表1_86121822242672103[目标区服],表2_97131923252773102[[#This Row],[合区区服]],表1_86121822242672103[目标国家（映射）],表2_97131923252773102[[#This Row],[国家]])</f>
        <v>20038</v>
      </c>
      <c r="N34" s="186">
        <f t="array" ref="N34">MAX((表1_86121822242672103[目标区服]=表2_97131923252773102[[#This Row],[合区区服]])*(表1_86121822242672103[目标国家（映射）]=表2_97131923252773102[[#This Row],[国家]])*表1_86121822242672103[单将最高战力])</f>
        <v>799917</v>
      </c>
      <c r="P34" s="51">
        <v>7038</v>
      </c>
      <c r="Q34" s="51">
        <v>42</v>
      </c>
    </row>
    <row r="35" ht="15" spans="1:17">
      <c r="A35" s="177" t="s">
        <v>241</v>
      </c>
      <c r="B35" s="178" t="s">
        <v>25</v>
      </c>
      <c r="C35" s="178">
        <f>COUNTIFS(表1_86121822242672103[目标区服],表2_97131923252773102[[#This Row],[合区区服]],表1_86121822242672103[目标国家（映射）],表2_97131923252773102[[#This Row],[国家]])</f>
        <v>3</v>
      </c>
      <c r="D35" s="178">
        <f>SUMIFS(表1_86121822242672103[活跃高战玩家数],表1_86121822242672103[目标区服],表2_97131923252773102[[#This Row],[合区区服]],表1_86121822242672103[目标国家（映射）],表2_97131923252773102[[#This Row],[国家]])</f>
        <v>7</v>
      </c>
      <c r="E35" s="178">
        <f>SUMIFS(表1_86121822242672103[活跃中坚玩家数],表1_86121822242672103[目标区服],表2_97131923252773102[[#This Row],[合区区服]],表1_86121822242672103[目标国家（映射）],表2_97131923252773102[[#This Row],[国家]])</f>
        <v>51</v>
      </c>
      <c r="F35" s="178">
        <f t="array" ref="F35">MAX((表1_86121822242672103[目标区服]=表2_97131923252773102[[#This Row],[合区区服]])*(表1_86121822242672103[目标国家（映射）]=表2_97131923252773102[[#This Row],[国家]])*表1_86121822242672103[活跃尖端战力])</f>
        <v>2475672</v>
      </c>
      <c r="G35" s="179">
        <f>SUMIFS(表1_86121822242672103[活跃总战力],表1_86121822242672103[目标区服],表2_97131923252773102[[#This Row],[合区区服]],表1_86121822242672103[目标国家（映射）],表2_97131923252773102[[#This Row],[国家]])</f>
        <v>37381664</v>
      </c>
      <c r="H35" s="178">
        <f>SUMIFS(表1_86121822242672103[活跃实际充值],表1_86121822242672103[目标区服],表2_97131923252773102[[#This Row],[合区区服]],表1_86121822242672103[目标国家（映射）],表2_97131923252773102[[#This Row],[国家]])</f>
        <v>108998</v>
      </c>
      <c r="I35" s="178">
        <f>SUMIFS(表1_86121822242672103[活跃虚拟充值],表1_86121822242672103[目标区服],表2_97131923252773102[[#This Row],[合区区服]],表1_86121822242672103[目标国家（映射）],表2_97131923252773102[[#This Row],[国家]])</f>
        <v>0</v>
      </c>
      <c r="J35" s="178">
        <f>SUMIFS(表1_86121822242672103[活跃Coin],表1_86121822242672103[目标区服],表2_97131923252773102[[#This Row],[合区区服]],表1_86121822242672103[目标国家（映射）],表2_97131923252773102[[#This Row],[国家]])</f>
        <v>955691</v>
      </c>
      <c r="K35" s="178">
        <f>SUMIFS(表1_86121822242672103[共计补偿Coin],表1_86121822242672103[目标区服],表2_97131923252773102[[#This Row],[合区区服]],表1_86121822242672103[目标国家（映射）],表2_97131923252773102[[#This Row],[国家]])</f>
        <v>80500</v>
      </c>
      <c r="L35" s="178">
        <f>表2_97131923252773102[[#This Row],[活跃Coin]]+表2_97131923252773102[[#This Row],[共计补偿Coin]]</f>
        <v>1036191</v>
      </c>
      <c r="M35" s="178">
        <f>SUMIFS(表1_86121822242672103[综合国力],表1_86121822242672103[目标区服],表2_97131923252773102[[#This Row],[合区区服]],表1_86121822242672103[目标国家（映射）],表2_97131923252773102[[#This Row],[国家]])</f>
        <v>18648</v>
      </c>
      <c r="N35" s="178">
        <f t="array" ref="N35">MAX((表1_86121822242672103[目标区服]=表2_97131923252773102[[#This Row],[合区区服]])*(表1_86121822242672103[目标国家（映射）]=表2_97131923252773102[[#This Row],[国家]])*表1_86121822242672103[单将最高战力])</f>
        <v>757935</v>
      </c>
      <c r="P35" s="51">
        <v>7039</v>
      </c>
      <c r="Q35" s="51">
        <v>42</v>
      </c>
    </row>
    <row r="36" ht="15" spans="1:17">
      <c r="A36" s="177" t="s">
        <v>241</v>
      </c>
      <c r="B36" s="178" t="s">
        <v>26</v>
      </c>
      <c r="C36" s="178">
        <f>COUNTIFS(表1_86121822242672103[目标区服],表2_97131923252773102[[#This Row],[合区区服]],表1_86121822242672103[目标国家（映射）],表2_97131923252773102[[#This Row],[国家]])</f>
        <v>1</v>
      </c>
      <c r="D36" s="178">
        <f>SUMIFS(表1_86121822242672103[活跃高战玩家数],表1_86121822242672103[目标区服],表2_97131923252773102[[#This Row],[合区区服]],表1_86121822242672103[目标国家（映射）],表2_97131923252773102[[#This Row],[国家]])</f>
        <v>6</v>
      </c>
      <c r="E36" s="178">
        <f>SUMIFS(表1_86121822242672103[活跃中坚玩家数],表1_86121822242672103[目标区服],表2_97131923252773102[[#This Row],[合区区服]],表1_86121822242672103[目标国家（映射）],表2_97131923252773102[[#This Row],[国家]])</f>
        <v>32</v>
      </c>
      <c r="F36" s="178">
        <f t="array" ref="F36">MAX((表1_86121822242672103[目标区服]=表2_97131923252773102[[#This Row],[合区区服]])*(表1_86121822242672103[目标国家（映射）]=表2_97131923252773102[[#This Row],[国家]])*表1_86121822242672103[活跃尖端战力])</f>
        <v>2568555</v>
      </c>
      <c r="G36" s="179">
        <f>SUMIFS(表1_86121822242672103[活跃总战力],表1_86121822242672103[目标区服],表2_97131923252773102[[#This Row],[合区区服]],表1_86121822242672103[目标国家（映射）],表2_97131923252773102[[#This Row],[国家]])</f>
        <v>26847471</v>
      </c>
      <c r="H36" s="178">
        <f>SUMIFS(表1_86121822242672103[活跃实际充值],表1_86121822242672103[目标区服],表2_97131923252773102[[#This Row],[合区区服]],表1_86121822242672103[目标国家（映射）],表2_97131923252773102[[#This Row],[国家]])</f>
        <v>102752</v>
      </c>
      <c r="I36" s="178">
        <f>SUMIFS(表1_86121822242672103[活跃虚拟充值],表1_86121822242672103[目标区服],表2_97131923252773102[[#This Row],[合区区服]],表1_86121822242672103[目标国家（映射）],表2_97131923252773102[[#This Row],[国家]])</f>
        <v>23566</v>
      </c>
      <c r="J36" s="178">
        <f>SUMIFS(表1_86121822242672103[活跃Coin],表1_86121822242672103[目标区服],表2_97131923252773102[[#This Row],[合区区服]],表1_86121822242672103[目标国家（映射）],表2_97131923252773102[[#This Row],[国家]])</f>
        <v>679060</v>
      </c>
      <c r="K36" s="178">
        <f>SUMIFS(表1_86121822242672103[共计补偿Coin],表1_86121822242672103[目标区服],表2_97131923252773102[[#This Row],[合区区服]],表1_86121822242672103[目标国家（映射）],表2_97131923252773102[[#This Row],[国家]])</f>
        <v>38000</v>
      </c>
      <c r="L36" s="178">
        <f>表2_97131923252773102[[#This Row],[活跃Coin]]+表2_97131923252773102[[#This Row],[共计补偿Coin]]</f>
        <v>717060</v>
      </c>
      <c r="M36" s="178">
        <f>SUMIFS(表1_86121822242672103[综合国力],表1_86121822242672103[目标区服],表2_97131923252773102[[#This Row],[合区区服]],表1_86121822242672103[目标国家（映射）],表2_97131923252773102[[#This Row],[国家]])</f>
        <v>11566</v>
      </c>
      <c r="N36" s="178">
        <f t="array" ref="N36">MAX((表1_86121822242672103[目标区服]=表2_97131923252773102[[#This Row],[合区区服]])*(表1_86121822242672103[目标国家（映射）]=表2_97131923252773102[[#This Row],[国家]])*表1_86121822242672103[单将最高战力])</f>
        <v>668042</v>
      </c>
      <c r="P36" s="51">
        <v>7040</v>
      </c>
      <c r="Q36" s="51">
        <v>41</v>
      </c>
    </row>
    <row r="37" ht="15" spans="1:14">
      <c r="A37" s="177" t="s">
        <v>241</v>
      </c>
      <c r="B37" s="180" t="s">
        <v>27</v>
      </c>
      <c r="C37" s="180">
        <f>COUNTIFS(表1_86121822242672103[目标区服],表2_97131923252773102[[#This Row],[合区区服]],表1_86121822242672103[目标国家（映射）],表2_97131923252773102[[#This Row],[国家]])</f>
        <v>2</v>
      </c>
      <c r="D37" s="180">
        <f>SUMIFS(表1_86121822242672103[活跃高战玩家数],表1_86121822242672103[目标区服],表2_97131923252773102[[#This Row],[合区区服]],表1_86121822242672103[目标国家（映射）],表2_97131923252773102[[#This Row],[国家]])</f>
        <v>7</v>
      </c>
      <c r="E37" s="180">
        <f>SUMIFS(表1_86121822242672103[活跃中坚玩家数],表1_86121822242672103[目标区服],表2_97131923252773102[[#This Row],[合区区服]],表1_86121822242672103[目标国家（映射）],表2_97131923252773102[[#This Row],[国家]])</f>
        <v>31</v>
      </c>
      <c r="F37" s="180">
        <f t="array" ref="F37">MAX((表1_86121822242672103[目标区服]=表2_97131923252773102[[#This Row],[合区区服]])*(表1_86121822242672103[目标国家（映射）]=表2_97131923252773102[[#This Row],[国家]])*表1_86121822242672103[活跃尖端战力])</f>
        <v>2522255</v>
      </c>
      <c r="G37" s="262">
        <f>SUMIFS(表1_86121822242672103[活跃总战力],表1_86121822242672103[目标区服],表2_97131923252773102[[#This Row],[合区区服]],表1_86121822242672103[目标国家（映射）],表2_97131923252773102[[#This Row],[国家]])</f>
        <v>27469462</v>
      </c>
      <c r="H37" s="180">
        <f>SUMIFS(表1_86121822242672103[活跃实际充值],表1_86121822242672103[目标区服],表2_97131923252773102[[#This Row],[合区区服]],表1_86121822242672103[目标国家（映射）],表2_97131923252773102[[#This Row],[国家]])</f>
        <v>99122</v>
      </c>
      <c r="I37" s="180">
        <f>SUMIFS(表1_86121822242672103[活跃虚拟充值],表1_86121822242672103[目标区服],表2_97131923252773102[[#This Row],[合区区服]],表1_86121822242672103[目标国家（映射）],表2_97131923252773102[[#This Row],[国家]])</f>
        <v>0</v>
      </c>
      <c r="J37" s="180">
        <f>SUMIFS(表1_86121822242672103[活跃Coin],表1_86121822242672103[目标区服],表2_97131923252773102[[#This Row],[合区区服]],表1_86121822242672103[目标国家（映射）],表2_97131923252773102[[#This Row],[国家]])</f>
        <v>397257</v>
      </c>
      <c r="K37" s="180">
        <f>SUMIFS(表1_86121822242672103[共计补偿Coin],表1_86121822242672103[目标区服],表2_97131923252773102[[#This Row],[合区区服]],表1_86121822242672103[目标国家（映射）],表2_97131923252773102[[#This Row],[国家]])</f>
        <v>44000</v>
      </c>
      <c r="L37" s="180">
        <f>表2_97131923252773102[[#This Row],[活跃Coin]]+表2_97131923252773102[[#This Row],[共计补偿Coin]]</f>
        <v>441257</v>
      </c>
      <c r="M37" s="180">
        <f>SUMIFS(表1_86121822242672103[综合国力],表1_86121822242672103[目标区服],表2_97131923252773102[[#This Row],[合区区服]],表1_86121822242672103[目标国家（映射）],表2_97131923252773102[[#This Row],[国家]])</f>
        <v>14746</v>
      </c>
      <c r="N37" s="178">
        <f t="array" ref="N37">MAX((表1_86121822242672103[目标区服]=表2_97131923252773102[[#This Row],[合区区服]])*(表1_86121822242672103[目标国家（映射）]=表2_97131923252773102[[#This Row],[国家]])*表1_86121822242672103[单将最高战力])</f>
        <v>767592</v>
      </c>
    </row>
    <row r="43" ht="27" spans="2:14">
      <c r="B43" s="49"/>
      <c r="C43" s="50" t="s">
        <v>9</v>
      </c>
      <c r="D43" s="50" t="s">
        <v>10</v>
      </c>
      <c r="E43" s="50" t="s">
        <v>11</v>
      </c>
      <c r="F43" s="50" t="s">
        <v>12</v>
      </c>
      <c r="G43" s="50" t="s">
        <v>13</v>
      </c>
      <c r="H43" s="50" t="s">
        <v>14</v>
      </c>
      <c r="I43" s="50" t="s">
        <v>15</v>
      </c>
      <c r="J43" s="50" t="s">
        <v>18</v>
      </c>
      <c r="K43" s="50" t="s">
        <v>19</v>
      </c>
      <c r="L43" s="50" t="s">
        <v>20</v>
      </c>
      <c r="M43" s="50" t="s">
        <v>21</v>
      </c>
      <c r="N43" s="50" t="s">
        <v>82</v>
      </c>
    </row>
    <row r="44" ht="14.25" spans="1:14">
      <c r="A44" s="399">
        <v>7033</v>
      </c>
      <c r="B44" s="400" t="s">
        <v>25</v>
      </c>
      <c r="C44" s="400">
        <v>0</v>
      </c>
      <c r="D44" s="400">
        <v>30</v>
      </c>
      <c r="E44" s="400">
        <v>0</v>
      </c>
      <c r="F44" s="400">
        <v>10</v>
      </c>
      <c r="G44" s="400">
        <v>18645</v>
      </c>
      <c r="H44" s="400">
        <v>905289</v>
      </c>
      <c r="I44" s="400">
        <v>4723244</v>
      </c>
      <c r="J44" s="400">
        <v>2478</v>
      </c>
      <c r="K44" s="400">
        <v>0</v>
      </c>
      <c r="L44" s="400">
        <v>55347</v>
      </c>
      <c r="M44" s="400">
        <v>1872</v>
      </c>
      <c r="N44" s="400">
        <v>346314</v>
      </c>
    </row>
    <row r="45" ht="14.25" spans="1:14">
      <c r="A45" s="399"/>
      <c r="B45" s="400" t="s">
        <v>26</v>
      </c>
      <c r="C45" s="400">
        <v>9</v>
      </c>
      <c r="D45" s="400">
        <v>324</v>
      </c>
      <c r="E45" s="400">
        <v>8</v>
      </c>
      <c r="F45" s="400">
        <v>33</v>
      </c>
      <c r="G45" s="400">
        <v>217128</v>
      </c>
      <c r="H45" s="400">
        <v>2728598</v>
      </c>
      <c r="I45" s="400">
        <v>36467356</v>
      </c>
      <c r="J45" s="400">
        <v>96204</v>
      </c>
      <c r="K45" s="400">
        <v>0</v>
      </c>
      <c r="L45" s="400">
        <v>707638</v>
      </c>
      <c r="M45" s="400">
        <v>14840</v>
      </c>
      <c r="N45" s="400">
        <v>908565</v>
      </c>
    </row>
    <row r="46" ht="14.25" spans="1:14">
      <c r="A46" s="399"/>
      <c r="B46" s="400" t="s">
        <v>27</v>
      </c>
      <c r="C46" s="400">
        <v>0</v>
      </c>
      <c r="D46" s="400">
        <v>41</v>
      </c>
      <c r="E46" s="400">
        <v>0</v>
      </c>
      <c r="F46" s="400">
        <v>12</v>
      </c>
      <c r="G46" s="400">
        <v>34966</v>
      </c>
      <c r="H46" s="400">
        <v>1003173</v>
      </c>
      <c r="I46" s="400">
        <v>6534369</v>
      </c>
      <c r="J46" s="400">
        <v>1984</v>
      </c>
      <c r="K46" s="400">
        <v>0</v>
      </c>
      <c r="L46" s="400">
        <v>51046</v>
      </c>
      <c r="M46" s="400">
        <v>2326</v>
      </c>
      <c r="N46" s="400">
        <v>427497</v>
      </c>
    </row>
    <row r="47" ht="14.25" spans="1:14">
      <c r="A47" s="399">
        <v>7034</v>
      </c>
      <c r="B47" s="400" t="s">
        <v>25</v>
      </c>
      <c r="C47" s="400">
        <v>5</v>
      </c>
      <c r="D47" s="400">
        <v>230</v>
      </c>
      <c r="E47" s="400">
        <v>5</v>
      </c>
      <c r="F47" s="400">
        <v>22</v>
      </c>
      <c r="G47" s="400">
        <v>124036</v>
      </c>
      <c r="H47" s="400">
        <v>2512894</v>
      </c>
      <c r="I47" s="400">
        <v>24551849</v>
      </c>
      <c r="J47" s="400">
        <v>78090</v>
      </c>
      <c r="K47" s="400">
        <v>0</v>
      </c>
      <c r="L47" s="400">
        <v>745053</v>
      </c>
      <c r="M47" s="400">
        <v>11103</v>
      </c>
      <c r="N47" s="400">
        <v>709519</v>
      </c>
    </row>
    <row r="48" ht="14.25" spans="1:14">
      <c r="A48" s="399"/>
      <c r="B48" s="400" t="s">
        <v>26</v>
      </c>
      <c r="C48" s="400">
        <v>2</v>
      </c>
      <c r="D48" s="400">
        <v>95</v>
      </c>
      <c r="E48" s="400">
        <v>2</v>
      </c>
      <c r="F48" s="400">
        <v>19</v>
      </c>
      <c r="G48" s="400">
        <v>65924</v>
      </c>
      <c r="H48" s="400">
        <v>1961036</v>
      </c>
      <c r="I48" s="400">
        <v>14904950</v>
      </c>
      <c r="J48" s="400">
        <v>25592</v>
      </c>
      <c r="K48" s="400">
        <v>0</v>
      </c>
      <c r="L48" s="400">
        <v>107729</v>
      </c>
      <c r="M48" s="400">
        <v>5752</v>
      </c>
      <c r="N48" s="400">
        <v>552743</v>
      </c>
    </row>
    <row r="49" ht="14.25" spans="1:14">
      <c r="A49" s="399"/>
      <c r="B49" s="400" t="s">
        <v>27</v>
      </c>
      <c r="C49" s="400">
        <v>2</v>
      </c>
      <c r="D49" s="400">
        <v>70</v>
      </c>
      <c r="E49" s="400">
        <v>2</v>
      </c>
      <c r="F49" s="400">
        <v>24</v>
      </c>
      <c r="G49" s="400">
        <v>104040</v>
      </c>
      <c r="H49" s="400">
        <v>1842043</v>
      </c>
      <c r="I49" s="400">
        <v>20532202</v>
      </c>
      <c r="J49" s="400">
        <v>37810</v>
      </c>
      <c r="K49" s="400">
        <v>0</v>
      </c>
      <c r="L49" s="400">
        <v>156447</v>
      </c>
      <c r="M49" s="400">
        <v>6527</v>
      </c>
      <c r="N49" s="400">
        <v>618678</v>
      </c>
    </row>
    <row r="50" ht="14.25" spans="1:14">
      <c r="A50" s="399">
        <v>7035</v>
      </c>
      <c r="B50" s="400" t="s">
        <v>25</v>
      </c>
      <c r="C50" s="400">
        <v>2</v>
      </c>
      <c r="D50" s="400">
        <v>60</v>
      </c>
      <c r="E50" s="400">
        <v>0</v>
      </c>
      <c r="F50" s="400">
        <v>13</v>
      </c>
      <c r="G50" s="400">
        <v>36235</v>
      </c>
      <c r="H50" s="400">
        <v>1081781</v>
      </c>
      <c r="I50" s="400">
        <v>7866855</v>
      </c>
      <c r="J50" s="400">
        <v>3244</v>
      </c>
      <c r="K50" s="400">
        <v>0</v>
      </c>
      <c r="L50" s="400">
        <v>63549</v>
      </c>
      <c r="M50" s="400">
        <v>2978</v>
      </c>
      <c r="N50" s="400">
        <v>330552</v>
      </c>
    </row>
    <row r="51" ht="14.25" spans="1:14">
      <c r="A51" s="399"/>
      <c r="B51" s="400" t="s">
        <v>26</v>
      </c>
      <c r="C51" s="400">
        <v>2</v>
      </c>
      <c r="D51" s="400">
        <v>131</v>
      </c>
      <c r="E51" s="400">
        <v>3</v>
      </c>
      <c r="F51" s="400">
        <v>29</v>
      </c>
      <c r="G51" s="400">
        <v>105668</v>
      </c>
      <c r="H51" s="400">
        <v>2166400</v>
      </c>
      <c r="I51" s="400">
        <v>22412237</v>
      </c>
      <c r="J51" s="400">
        <v>38008</v>
      </c>
      <c r="K51" s="400">
        <v>0</v>
      </c>
      <c r="L51" s="400">
        <v>224910</v>
      </c>
      <c r="M51" s="400">
        <v>7698</v>
      </c>
      <c r="N51" s="400">
        <v>611074</v>
      </c>
    </row>
    <row r="52" ht="14.25" spans="1:14">
      <c r="A52" s="399"/>
      <c r="B52" s="400" t="s">
        <v>27</v>
      </c>
      <c r="C52" s="400">
        <v>5</v>
      </c>
      <c r="D52" s="400">
        <v>204</v>
      </c>
      <c r="E52" s="400">
        <v>6</v>
      </c>
      <c r="F52" s="400">
        <v>26</v>
      </c>
      <c r="G52" s="400">
        <v>139966</v>
      </c>
      <c r="H52" s="400">
        <v>2382277</v>
      </c>
      <c r="I52" s="400">
        <v>26151366</v>
      </c>
      <c r="J52" s="400">
        <v>78928</v>
      </c>
      <c r="K52" s="400">
        <v>0</v>
      </c>
      <c r="L52" s="400">
        <v>229402</v>
      </c>
      <c r="M52" s="400">
        <v>10719</v>
      </c>
      <c r="N52" s="400">
        <v>771078</v>
      </c>
    </row>
    <row r="53" ht="14.25" spans="1:14">
      <c r="A53" s="399">
        <v>7036</v>
      </c>
      <c r="B53" s="400" t="s">
        <v>25</v>
      </c>
      <c r="C53" s="400">
        <v>2</v>
      </c>
      <c r="D53" s="400">
        <v>91</v>
      </c>
      <c r="E53" s="400">
        <v>2</v>
      </c>
      <c r="F53" s="400">
        <v>16</v>
      </c>
      <c r="G53" s="400">
        <v>83724</v>
      </c>
      <c r="H53" s="400">
        <v>1631341</v>
      </c>
      <c r="I53" s="400">
        <v>11408839</v>
      </c>
      <c r="J53" s="400">
        <v>5386</v>
      </c>
      <c r="K53" s="400">
        <v>0</v>
      </c>
      <c r="L53" s="400">
        <v>231843</v>
      </c>
      <c r="M53" s="400">
        <v>4578</v>
      </c>
      <c r="N53" s="400">
        <v>500420</v>
      </c>
    </row>
    <row r="54" ht="14.25" spans="1:14">
      <c r="A54" s="399"/>
      <c r="B54" s="400" t="s">
        <v>26</v>
      </c>
      <c r="C54" s="400">
        <v>4</v>
      </c>
      <c r="D54" s="400">
        <v>196</v>
      </c>
      <c r="E54" s="400">
        <v>4</v>
      </c>
      <c r="F54" s="400">
        <v>20</v>
      </c>
      <c r="G54" s="400">
        <v>122818</v>
      </c>
      <c r="H54" s="400">
        <v>2425380</v>
      </c>
      <c r="I54" s="400">
        <v>19413326</v>
      </c>
      <c r="J54" s="400">
        <v>74790</v>
      </c>
      <c r="K54" s="400">
        <v>0</v>
      </c>
      <c r="L54" s="400">
        <v>356618</v>
      </c>
      <c r="M54" s="400">
        <v>9762</v>
      </c>
      <c r="N54" s="400">
        <v>652673</v>
      </c>
    </row>
    <row r="55" ht="14.25" spans="1:14">
      <c r="A55" s="399"/>
      <c r="B55" s="400" t="s">
        <v>27</v>
      </c>
      <c r="C55" s="400">
        <v>3</v>
      </c>
      <c r="D55" s="400">
        <v>108</v>
      </c>
      <c r="E55" s="400">
        <v>4</v>
      </c>
      <c r="F55" s="400">
        <v>14</v>
      </c>
      <c r="G55" s="400">
        <v>81735</v>
      </c>
      <c r="H55" s="400">
        <v>1556315</v>
      </c>
      <c r="I55" s="400">
        <v>11130415</v>
      </c>
      <c r="J55" s="400">
        <v>9546</v>
      </c>
      <c r="K55" s="400">
        <v>0</v>
      </c>
      <c r="L55" s="400">
        <v>234597</v>
      </c>
      <c r="M55" s="400">
        <v>4861</v>
      </c>
      <c r="N55" s="400">
        <v>493074</v>
      </c>
    </row>
    <row r="56" ht="14.25" spans="1:14">
      <c r="A56" s="399">
        <v>7037</v>
      </c>
      <c r="B56" s="400" t="s">
        <v>25</v>
      </c>
      <c r="C56" s="400">
        <v>8</v>
      </c>
      <c r="D56" s="400">
        <v>279</v>
      </c>
      <c r="E56" s="400">
        <v>7</v>
      </c>
      <c r="F56" s="400">
        <v>13</v>
      </c>
      <c r="G56" s="400">
        <v>131861</v>
      </c>
      <c r="H56" s="400">
        <v>2523814</v>
      </c>
      <c r="I56" s="400">
        <v>17561571</v>
      </c>
      <c r="J56" s="400">
        <v>56644</v>
      </c>
      <c r="K56" s="400">
        <v>0</v>
      </c>
      <c r="L56" s="400">
        <v>442847</v>
      </c>
      <c r="M56" s="400">
        <v>10450</v>
      </c>
      <c r="N56" s="400">
        <v>682857</v>
      </c>
    </row>
    <row r="57" ht="14.25" spans="1:14">
      <c r="A57" s="399"/>
      <c r="B57" s="400" t="s">
        <v>26</v>
      </c>
      <c r="C57" s="400">
        <v>0</v>
      </c>
      <c r="D57" s="400">
        <v>49</v>
      </c>
      <c r="E57" s="400">
        <v>2</v>
      </c>
      <c r="F57" s="400">
        <v>9</v>
      </c>
      <c r="G57" s="400">
        <v>55872</v>
      </c>
      <c r="H57" s="400">
        <v>1401481</v>
      </c>
      <c r="I57" s="400">
        <v>5876027</v>
      </c>
      <c r="J57" s="400">
        <v>9258</v>
      </c>
      <c r="K57" s="400">
        <v>0</v>
      </c>
      <c r="L57" s="400">
        <v>139903</v>
      </c>
      <c r="M57" s="400">
        <v>3106</v>
      </c>
      <c r="N57" s="400">
        <v>375345</v>
      </c>
    </row>
    <row r="58" ht="14.25" spans="1:14">
      <c r="A58" s="399"/>
      <c r="B58" s="400" t="s">
        <v>27</v>
      </c>
      <c r="C58" s="400">
        <v>1</v>
      </c>
      <c r="D58" s="400">
        <v>67</v>
      </c>
      <c r="E58" s="400">
        <v>1</v>
      </c>
      <c r="F58" s="400">
        <v>14</v>
      </c>
      <c r="G58" s="400">
        <v>56716</v>
      </c>
      <c r="H58" s="400">
        <v>1334625</v>
      </c>
      <c r="I58" s="400">
        <v>6766705</v>
      </c>
      <c r="J58" s="400">
        <v>14654</v>
      </c>
      <c r="K58" s="400">
        <v>0</v>
      </c>
      <c r="L58" s="400">
        <v>61439</v>
      </c>
      <c r="M58" s="400">
        <v>3535</v>
      </c>
      <c r="N58" s="400">
        <v>496002</v>
      </c>
    </row>
    <row r="59" ht="14.25" spans="1:14">
      <c r="A59" s="399">
        <v>7038</v>
      </c>
      <c r="B59" s="400" t="s">
        <v>25</v>
      </c>
      <c r="C59" s="400">
        <v>0</v>
      </c>
      <c r="D59" s="400">
        <v>30</v>
      </c>
      <c r="E59" s="400">
        <v>1</v>
      </c>
      <c r="F59" s="400">
        <v>19</v>
      </c>
      <c r="G59" s="400">
        <v>82552</v>
      </c>
      <c r="H59" s="400">
        <v>1140780</v>
      </c>
      <c r="I59" s="400">
        <v>10039561</v>
      </c>
      <c r="J59" s="400">
        <v>8834</v>
      </c>
      <c r="K59" s="400">
        <v>0</v>
      </c>
      <c r="L59" s="400">
        <v>89796</v>
      </c>
      <c r="M59" s="400">
        <v>3167</v>
      </c>
      <c r="N59" s="400">
        <v>327320</v>
      </c>
    </row>
    <row r="60" ht="14.25" spans="1:14">
      <c r="A60" s="399"/>
      <c r="B60" s="400" t="s">
        <v>26</v>
      </c>
      <c r="C60" s="400">
        <v>0</v>
      </c>
      <c r="D60" s="400">
        <v>27</v>
      </c>
      <c r="E60" s="400">
        <v>0</v>
      </c>
      <c r="F60" s="400">
        <v>11</v>
      </c>
      <c r="G60" s="400">
        <v>28731</v>
      </c>
      <c r="H60" s="400">
        <v>686795</v>
      </c>
      <c r="I60" s="400">
        <v>4150724</v>
      </c>
      <c r="J60" s="400">
        <v>2986</v>
      </c>
      <c r="K60" s="400">
        <v>0</v>
      </c>
      <c r="L60" s="400">
        <v>50566</v>
      </c>
      <c r="M60" s="400">
        <v>1630</v>
      </c>
      <c r="N60" s="400">
        <v>238278</v>
      </c>
    </row>
    <row r="61" ht="14.25" spans="1:14">
      <c r="A61" s="399"/>
      <c r="B61" s="400" t="s">
        <v>27</v>
      </c>
      <c r="C61" s="400">
        <v>9</v>
      </c>
      <c r="D61" s="400">
        <v>338</v>
      </c>
      <c r="E61" s="400">
        <v>7</v>
      </c>
      <c r="F61" s="400">
        <v>22</v>
      </c>
      <c r="G61" s="400">
        <v>162591</v>
      </c>
      <c r="H61" s="400">
        <v>2535740</v>
      </c>
      <c r="I61" s="400">
        <v>21012691</v>
      </c>
      <c r="J61" s="400">
        <v>58458</v>
      </c>
      <c r="K61" s="400">
        <v>0</v>
      </c>
      <c r="L61" s="400">
        <v>316877</v>
      </c>
      <c r="M61" s="400">
        <v>11642</v>
      </c>
      <c r="N61" s="400">
        <v>799917</v>
      </c>
    </row>
    <row r="62" ht="14.25" spans="1:14">
      <c r="A62" s="399">
        <v>7039</v>
      </c>
      <c r="B62" s="400" t="s">
        <v>25</v>
      </c>
      <c r="C62" s="400">
        <v>4</v>
      </c>
      <c r="D62" s="400">
        <v>154</v>
      </c>
      <c r="E62" s="400">
        <v>3</v>
      </c>
      <c r="F62" s="400">
        <v>23</v>
      </c>
      <c r="G62" s="400">
        <v>94096</v>
      </c>
      <c r="H62" s="400">
        <v>2522255</v>
      </c>
      <c r="I62" s="400">
        <v>16956671</v>
      </c>
      <c r="J62" s="400">
        <v>48628</v>
      </c>
      <c r="K62" s="400">
        <v>0</v>
      </c>
      <c r="L62" s="400">
        <v>262377</v>
      </c>
      <c r="M62" s="400">
        <v>8218</v>
      </c>
      <c r="N62" s="400">
        <v>767592</v>
      </c>
    </row>
    <row r="63" ht="14.25" spans="1:14">
      <c r="A63" s="399"/>
      <c r="B63" s="400" t="s">
        <v>26</v>
      </c>
      <c r="C63" s="400">
        <v>3</v>
      </c>
      <c r="D63" s="400">
        <v>157</v>
      </c>
      <c r="E63" s="400">
        <v>6</v>
      </c>
      <c r="F63" s="400">
        <v>32</v>
      </c>
      <c r="G63" s="400">
        <v>157081</v>
      </c>
      <c r="H63" s="400">
        <v>2568555</v>
      </c>
      <c r="I63" s="400">
        <v>26847471</v>
      </c>
      <c r="J63" s="400">
        <v>102752</v>
      </c>
      <c r="K63" s="400">
        <v>23566</v>
      </c>
      <c r="L63" s="400">
        <v>679060</v>
      </c>
      <c r="M63" s="400">
        <v>11566</v>
      </c>
      <c r="N63" s="400">
        <v>668042</v>
      </c>
    </row>
    <row r="64" ht="14.25" spans="1:14">
      <c r="A64" s="399"/>
      <c r="B64" s="400" t="s">
        <v>27</v>
      </c>
      <c r="C64" s="400">
        <v>2</v>
      </c>
      <c r="D64" s="400">
        <v>84</v>
      </c>
      <c r="E64" s="400">
        <v>1</v>
      </c>
      <c r="F64" s="400">
        <v>12</v>
      </c>
      <c r="G64" s="400">
        <v>49696</v>
      </c>
      <c r="H64" s="400">
        <v>1560059</v>
      </c>
      <c r="I64" s="400">
        <v>8127580</v>
      </c>
      <c r="J64" s="400">
        <v>16770</v>
      </c>
      <c r="K64" s="400">
        <v>0</v>
      </c>
      <c r="L64" s="400">
        <v>159499</v>
      </c>
      <c r="M64" s="400">
        <v>4244</v>
      </c>
      <c r="N64" s="400">
        <v>521465</v>
      </c>
    </row>
    <row r="65" ht="14.25" spans="1:14">
      <c r="A65" s="399">
        <v>7040</v>
      </c>
      <c r="B65" s="400" t="s">
        <v>25</v>
      </c>
      <c r="C65" s="400">
        <v>4</v>
      </c>
      <c r="D65" s="400">
        <v>143</v>
      </c>
      <c r="E65" s="400">
        <v>3</v>
      </c>
      <c r="F65" s="400">
        <v>19</v>
      </c>
      <c r="G65" s="400">
        <v>99301</v>
      </c>
      <c r="H65" s="400">
        <v>2475672</v>
      </c>
      <c r="I65" s="400">
        <v>15669470</v>
      </c>
      <c r="J65" s="400">
        <v>76694</v>
      </c>
      <c r="K65" s="400">
        <v>0</v>
      </c>
      <c r="L65" s="400">
        <v>568975</v>
      </c>
      <c r="M65" s="400">
        <v>8954</v>
      </c>
      <c r="N65" s="400">
        <v>757935</v>
      </c>
    </row>
    <row r="66" ht="14.25" spans="1:14">
      <c r="A66" s="399"/>
      <c r="B66" s="400" t="s">
        <v>26</v>
      </c>
      <c r="C66" s="400">
        <v>2</v>
      </c>
      <c r="D66" s="400">
        <v>116</v>
      </c>
      <c r="E66" s="400">
        <v>3</v>
      </c>
      <c r="F66" s="400">
        <v>20</v>
      </c>
      <c r="G66" s="400">
        <v>96624</v>
      </c>
      <c r="H66" s="400">
        <v>1669361</v>
      </c>
      <c r="I66" s="400">
        <v>13584614</v>
      </c>
      <c r="J66" s="400">
        <v>15534</v>
      </c>
      <c r="K66" s="400">
        <v>0</v>
      </c>
      <c r="L66" s="400">
        <v>227217</v>
      </c>
      <c r="M66" s="400">
        <v>5450</v>
      </c>
      <c r="N66" s="400">
        <v>470877</v>
      </c>
    </row>
    <row r="67" ht="14.25" spans="1:14">
      <c r="A67" s="399"/>
      <c r="B67" s="400" t="s">
        <v>27</v>
      </c>
      <c r="C67" s="400">
        <v>3</v>
      </c>
      <c r="D67" s="400">
        <v>136</v>
      </c>
      <c r="E67" s="400">
        <v>4</v>
      </c>
      <c r="F67" s="400">
        <v>8</v>
      </c>
      <c r="G67" s="400">
        <v>78049</v>
      </c>
      <c r="H67" s="400">
        <v>1844483</v>
      </c>
      <c r="I67" s="400">
        <v>10512791</v>
      </c>
      <c r="J67" s="400">
        <v>50494</v>
      </c>
      <c r="K67" s="400">
        <v>0</v>
      </c>
      <c r="L67" s="400">
        <v>134880</v>
      </c>
      <c r="M67" s="400">
        <v>6528</v>
      </c>
      <c r="N67" s="400">
        <v>591393</v>
      </c>
    </row>
  </sheetData>
  <conditionalFormatting sqref="F29:F31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{fbe7eb09-dc7b-428c-9f9d-87cfbffc7e4c}</x14:id>
        </ext>
      </extLst>
    </cfRule>
  </conditionalFormatting>
  <conditionalFormatting sqref="F32:F34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{50166487-3cec-42dc-a433-4de5b8ba6b1a}</x14:id>
        </ext>
      </extLst>
    </cfRule>
  </conditionalFormatting>
  <conditionalFormatting sqref="F35:F3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{1ff1cc1f-6777-4e11-aab2-4d77b7747e45}</x14:id>
        </ext>
      </extLst>
    </cfRule>
  </conditionalFormatting>
  <conditionalFormatting sqref="G29:G31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{4fd3045d-45f6-4eac-9814-fe6898f60ea4}</x14:id>
        </ext>
      </extLst>
    </cfRule>
  </conditionalFormatting>
  <conditionalFormatting sqref="G32:G34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{0f2a3011-b3ce-4e44-8e96-6d5851330956}</x14:id>
        </ext>
      </extLst>
    </cfRule>
  </conditionalFormatting>
  <conditionalFormatting sqref="G35:G3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{35dffc81-2752-41fb-9a9d-8b1f1cde19c1}</x14:id>
        </ext>
      </extLst>
    </cfRule>
  </conditionalFormatting>
  <conditionalFormatting sqref="N29:N37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{b9e6235c-7b62-4ef9-aae0-a99785b1bd75}</x14:id>
        </ext>
      </extLst>
    </cfRule>
  </conditionalFormatting>
  <conditionalFormatting sqref="P29:P36">
    <cfRule type="cellIs" dxfId="37" priority="8" operator="equal">
      <formula>$S$29</formula>
    </cfRule>
  </conditionalFormatting>
  <conditionalFormatting sqref="Q14:Q16">
    <cfRule type="cellIs" dxfId="38" priority="1" operator="equal">
      <formula>配置!$D$4</formula>
    </cfRule>
    <cfRule type="cellIs" dxfId="39" priority="2" operator="equal">
      <formula>配置!$D$3</formula>
    </cfRule>
    <cfRule type="cellIs" dxfId="37" priority="3" operator="equal">
      <formula>配置!$D$2</formula>
    </cfRule>
  </conditionalFormatting>
  <conditionalFormatting sqref="R29:R32">
    <cfRule type="cellIs" dxfId="37" priority="9" operator="equal">
      <formula>$S$29</formula>
    </cfRule>
  </conditionalFormatting>
  <conditionalFormatting sqref="O26:O27 Q1:R1 Q2 Q4:Q5 Q7:Q8 Q10:Q11 Q13 Q17 Q19:Q20 Q22:Q23 Q25">
    <cfRule type="cellIs" dxfId="37" priority="25" operator="equal">
      <formula>配置!$D$2</formula>
    </cfRule>
  </conditionalFormatting>
  <conditionalFormatting sqref="Q2 Q4:Q5 Q7:Q8 Q10:Q11 Q13 Q17 Q19:Q20 Q22:Q23 Q25">
    <cfRule type="cellIs" dxfId="38" priority="24" operator="equal">
      <formula>配置!$D$4</formula>
    </cfRule>
  </conditionalFormatting>
  <conditionalFormatting sqref="Q2:Q13 Q17:Q25">
    <cfRule type="cellIs" dxfId="38" priority="15" operator="equal">
      <formula>配置!$D$4</formula>
    </cfRule>
    <cfRule type="cellIs" dxfId="39" priority="16" operator="equal">
      <formula>配置!$D$3</formula>
    </cfRule>
    <cfRule type="cellIs" dxfId="37" priority="17" operator="equal">
      <formula>配置!$D$2</formula>
    </cfRule>
  </conditionalFormatting>
  <conditionalFormatting sqref="Q14 Q16">
    <cfRule type="cellIs" dxfId="38" priority="6" operator="equal">
      <formula>配置!$D$4</formula>
    </cfRule>
    <cfRule type="cellIs" dxfId="37" priority="7" operator="equal">
      <formula>配置!$D$2</formula>
    </cfRule>
  </conditionalFormatting>
  <dataValidations count="1">
    <dataValidation type="list" allowBlank="1" showInputMessage="1" showErrorMessage="1" sqref="Q2:Q13 Q14:Q16 Q17:Q25">
      <formula1>配置!$D$2:$D$4</formula1>
    </dataValidation>
  </dataValidations>
  <pageMargins left="0.7" right="0.7" top="0.75" bottom="0.75" header="0.3" footer="0.3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be7eb09-dc7b-428c-9f9d-87cfbffc7e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50166487-3cec-42dc-a433-4de5b8ba6b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1ff1cc1f-6777-4e11-aab2-4d77b7747e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F35:F37</xm:sqref>
        </x14:conditionalFormatting>
        <x14:conditionalFormatting xmlns:xm="http://schemas.microsoft.com/office/excel/2006/main">
          <x14:cfRule type="dataBar" id="{4fd3045d-45f6-4eac-9814-fe6898f60e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0f2a3011-b3ce-4e44-8e96-6d58513309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35dffc81-2752-41fb-9a9d-8b1f1cde19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G35:G37</xm:sqref>
        </x14:conditionalFormatting>
        <x14:conditionalFormatting xmlns:xm="http://schemas.microsoft.com/office/excel/2006/main">
          <x14:cfRule type="dataBar" id="{b9e6235c-7b62-4ef9-aae0-a99785b1bd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N29:N37</xm:sqref>
        </x14:conditionalFormatting>
      </x14:conditionalFormatting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11"/>
  <sheetViews>
    <sheetView workbookViewId="0">
      <selection activeCell="E16" sqref="E16"/>
    </sheetView>
  </sheetViews>
  <sheetFormatPr defaultColWidth="9" defaultRowHeight="13.5"/>
  <cols>
    <col min="7" max="7" width="9.375"/>
    <col min="9" max="9" width="9.375"/>
  </cols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86">
        <v>206</v>
      </c>
      <c r="B2" s="86">
        <f>VLOOKUP(表1_86121822242672104[[#This Row],[区服]],$P$47:$Q$54,2,FALSE)</f>
        <v>45</v>
      </c>
      <c r="C2" s="87" t="s">
        <v>242</v>
      </c>
      <c r="D2" s="315" t="str">
        <f>表1_86121822242672104[[#This Row],[目标国家]]</f>
        <v>魏</v>
      </c>
      <c r="E2" s="89">
        <f>(VLOOKUP(表1_86121822242672104[[#This Row],[目标区服]],$R$47:$S$50,2,FALSE)-表1_86121822242672104[[#This Row],[开服天数]])*配置!$B$1</f>
        <v>1000</v>
      </c>
      <c r="F2" s="89">
        <f>表1_86121822242672104[[#This Row],[补偿Coin]]*(表1_86121822242672104[[#This Row],[活跃高战玩家数]]+表1_86121822242672104[[#This Row],[活跃中坚玩家数]])</f>
        <v>20000</v>
      </c>
      <c r="G2" s="89">
        <f>(VLOOKUP(表1_86121822242672104[[#This Row],[目标区服]],$R$47:$S$50,2,FALSE)-表1_86121822242672104[[#This Row],[开服天数]])*配置!$B$2</f>
        <v>10</v>
      </c>
      <c r="H2" s="88" t="s">
        <v>25</v>
      </c>
      <c r="I2" s="88">
        <f>IF(表1_86121822242672104[[#This Row],[原国家]]="魏",0,IF(表1_86121822242672104[[#This Row],[原国家]]="蜀",1,2))</f>
        <v>0</v>
      </c>
      <c r="J2" s="329">
        <v>3</v>
      </c>
      <c r="K2" s="329">
        <v>122</v>
      </c>
      <c r="L2" s="329">
        <v>2</v>
      </c>
      <c r="M2" s="329">
        <v>18</v>
      </c>
      <c r="N2" s="329">
        <v>70217</v>
      </c>
      <c r="O2" s="329">
        <v>2194195</v>
      </c>
      <c r="P2" s="329">
        <v>18087637</v>
      </c>
      <c r="Q2" s="31" t="s">
        <v>25</v>
      </c>
      <c r="R2" s="88">
        <f>IF(表1_86121822242672104[[#This Row],[目标国家]]="魏",0,IF(表1_86121822242672104[[#This Row],[目标国家]]="蜀",1,2))</f>
        <v>0</v>
      </c>
      <c r="S2" s="329">
        <v>44300</v>
      </c>
      <c r="T2" s="329">
        <v>0</v>
      </c>
      <c r="U2" s="329">
        <v>423602</v>
      </c>
      <c r="V2" s="329">
        <v>7414</v>
      </c>
      <c r="W2" s="390">
        <v>655612</v>
      </c>
      <c r="X2" s="134" t="str">
        <f>"{"&amp;"'coin':"&amp;表1_86121822242672104[[#This Row],[补偿Coin]]&amp;",'"&amp;配置!$A$2&amp;"':"&amp;表1_86121822242672104[[#This Row],[补偿辎重]]&amp;"},"</f>
        <v>{'coin':1000,'item036':10},</v>
      </c>
      <c r="Y2" s="388" t="str">
        <f>"      '"&amp;表1_86121822242672104[[#This Row],[区服]]&amp;"':{"</f>
        <v>      '206':{</v>
      </c>
    </row>
    <row r="3" s="354" customFormat="1" ht="14.25" customHeight="1" spans="1:25">
      <c r="A3" s="355">
        <v>206</v>
      </c>
      <c r="B3" s="86">
        <f>VLOOKUP(表1_86121822242672104[[#This Row],[区服]],$P$47:$Q$54,2,FALSE)</f>
        <v>45</v>
      </c>
      <c r="C3" s="87" t="s">
        <v>242</v>
      </c>
      <c r="D3" s="88" t="str">
        <f>表1_86121822242672104[[#This Row],[目标国家]]</f>
        <v>蜀</v>
      </c>
      <c r="E3" s="90">
        <f>(VLOOKUP(表1_86121822242672104[[#This Row],[目标区服]],$R$47:$S$50,2,FALSE)-表1_86121822242672104[[#This Row],[开服天数]])*配置!$B$1</f>
        <v>1000</v>
      </c>
      <c r="F3" s="90">
        <f>表1_86121822242672104[[#This Row],[补偿Coin]]*(表1_86121822242672104[[#This Row],[活跃高战玩家数]]+表1_86121822242672104[[#This Row],[活跃中坚玩家数]])</f>
        <v>34000</v>
      </c>
      <c r="G3" s="90">
        <f>(VLOOKUP(表1_86121822242672104[[#This Row],[目标区服]],$R$47:$S$50,2,FALSE)-表1_86121822242672104[[#This Row],[开服天数]])*配置!$B$2</f>
        <v>10</v>
      </c>
      <c r="H3" s="88" t="s">
        <v>26</v>
      </c>
      <c r="I3" s="88">
        <f>IF(表1_86121822242672104[[#This Row],[原国家]]="魏",0,IF(表1_86121822242672104[[#This Row],[原国家]]="蜀",1,2))</f>
        <v>1</v>
      </c>
      <c r="J3" s="329">
        <v>3</v>
      </c>
      <c r="K3" s="329">
        <v>145</v>
      </c>
      <c r="L3" s="329">
        <v>5</v>
      </c>
      <c r="M3" s="329">
        <v>29</v>
      </c>
      <c r="N3" s="329">
        <v>118387</v>
      </c>
      <c r="O3" s="329">
        <v>3786293</v>
      </c>
      <c r="P3" s="329">
        <v>34310017</v>
      </c>
      <c r="Q3" s="31" t="s">
        <v>26</v>
      </c>
      <c r="R3" s="88">
        <f>IF(表1_86121822242672104[[#This Row],[目标国家]]="魏",0,IF(表1_86121822242672104[[#This Row],[目标国家]]="蜀",1,2))</f>
        <v>1</v>
      </c>
      <c r="S3" s="329">
        <v>194734</v>
      </c>
      <c r="T3" s="329">
        <v>0</v>
      </c>
      <c r="U3" s="329">
        <v>842030</v>
      </c>
      <c r="V3" s="329">
        <v>15822</v>
      </c>
      <c r="W3" s="338">
        <v>991004</v>
      </c>
      <c r="X3" s="134" t="str">
        <f>"{"&amp;"'coin':"&amp;表1_86121822242672104[[#This Row],[补偿Coin]]&amp;",'"&amp;配置!$A$2&amp;"':"&amp;表1_86121822242672104[[#This Row],[补偿辎重]]&amp;"},"</f>
        <v>{'coin':1000,'item036':10},</v>
      </c>
      <c r="Y3" s="388" t="str">
        <f>"            'to_zone':'"&amp;表1_86121822242672104[[#This Row],[目标区服]]&amp;"',
            'reward':"&amp;表1_86121822242672104[[#This Row],[辅助导出]]&amp;"
            'country':["&amp;R2&amp;","&amp;R3&amp;","&amp;R4&amp;"],"</f>
        <v>            'to_zone':'h1_90',
            'reward':{'coin':1000,'item036':10},
            'country':[0,1,2],</v>
      </c>
    </row>
    <row r="4" s="354" customFormat="1" ht="14.25" customHeight="1" spans="1:25">
      <c r="A4" s="355">
        <v>206</v>
      </c>
      <c r="B4" s="86">
        <f>VLOOKUP(表1_86121822242672104[[#This Row],[区服]],$P$47:$Q$54,2,FALSE)</f>
        <v>45</v>
      </c>
      <c r="C4" s="87" t="s">
        <v>242</v>
      </c>
      <c r="D4" s="88" t="str">
        <f>表1_86121822242672104[[#This Row],[目标国家]]</f>
        <v>吴</v>
      </c>
      <c r="E4" s="90">
        <f>(VLOOKUP(表1_86121822242672104[[#This Row],[目标区服]],$R$47:$S$50,2,FALSE)-表1_86121822242672104[[#This Row],[开服天数]])*配置!$B$1</f>
        <v>1000</v>
      </c>
      <c r="F4" s="90">
        <f>表1_86121822242672104[[#This Row],[补偿Coin]]*(表1_86121822242672104[[#This Row],[活跃高战玩家数]]+表1_86121822242672104[[#This Row],[活跃中坚玩家数]])</f>
        <v>34000</v>
      </c>
      <c r="G4" s="90">
        <f>(VLOOKUP(表1_86121822242672104[[#This Row],[目标区服]],$R$47:$S$50,2,FALSE)-表1_86121822242672104[[#This Row],[开服天数]])*配置!$B$2</f>
        <v>10</v>
      </c>
      <c r="H4" s="88" t="s">
        <v>27</v>
      </c>
      <c r="I4" s="88">
        <f>IF(表1_86121822242672104[[#This Row],[原国家]]="魏",0,IF(表1_86121822242672104[[#This Row],[原国家]]="蜀",1,2))</f>
        <v>2</v>
      </c>
      <c r="J4" s="329">
        <v>3</v>
      </c>
      <c r="K4" s="329">
        <v>128</v>
      </c>
      <c r="L4" s="329">
        <v>3</v>
      </c>
      <c r="M4" s="329">
        <v>31</v>
      </c>
      <c r="N4" s="329">
        <v>132164</v>
      </c>
      <c r="O4" s="329">
        <v>2503667</v>
      </c>
      <c r="P4" s="329">
        <v>32116377</v>
      </c>
      <c r="Q4" s="31" t="s">
        <v>27</v>
      </c>
      <c r="R4" s="88">
        <f>IF(表1_86121822242672104[[#This Row],[目标国家]]="魏",0,IF(表1_86121822242672104[[#This Row],[目标国家]]="蜀",1,2))</f>
        <v>2</v>
      </c>
      <c r="S4" s="329">
        <v>58800</v>
      </c>
      <c r="T4" s="329">
        <v>0</v>
      </c>
      <c r="U4" s="329">
        <v>491778</v>
      </c>
      <c r="V4" s="329">
        <v>9966</v>
      </c>
      <c r="W4" s="329">
        <v>803935</v>
      </c>
      <c r="X4" s="134" t="str">
        <f>"{"&amp;"'coin':"&amp;表1_86121822242672104[[#This Row],[补偿Coin]]&amp;",'"&amp;配置!$A$2&amp;"':"&amp;表1_86121822242672104[[#This Row],[补偿辎重]]&amp;"},"</f>
        <v>{'coin':1000,'item036':10},</v>
      </c>
      <c r="Y4" s="388" t="str">
        <f>"      },"</f>
        <v>      },</v>
      </c>
    </row>
    <row r="5" s="354" customFormat="1" ht="14.25" customHeight="1" spans="1:25">
      <c r="A5" s="355">
        <v>207</v>
      </c>
      <c r="B5" s="86">
        <f>VLOOKUP(表1_86121822242672104[[#This Row],[区服]],$P$47:$Q$54,2,FALSE)</f>
        <v>45</v>
      </c>
      <c r="C5" s="87" t="s">
        <v>242</v>
      </c>
      <c r="D5" s="88" t="str">
        <f>表1_86121822242672104[[#This Row],[目标国家]]</f>
        <v>蜀</v>
      </c>
      <c r="E5" s="90">
        <f>(VLOOKUP(表1_86121822242672104[[#This Row],[目标区服]],$R$47:$S$50,2,FALSE)-表1_86121822242672104[[#This Row],[开服天数]])*配置!$B$1</f>
        <v>1000</v>
      </c>
      <c r="F5" s="90">
        <f>表1_86121822242672104[[#This Row],[补偿Coin]]*(表1_86121822242672104[[#This Row],[活跃高战玩家数]]+表1_86121822242672104[[#This Row],[活跃中坚玩家数]])</f>
        <v>14000</v>
      </c>
      <c r="G5" s="90">
        <f>(VLOOKUP(表1_86121822242672104[[#This Row],[目标区服]],$R$47:$S$50,2,FALSE)-表1_86121822242672104[[#This Row],[开服天数]])*配置!$B$2</f>
        <v>10</v>
      </c>
      <c r="H5" s="88" t="s">
        <v>25</v>
      </c>
      <c r="I5" s="88">
        <f>IF(表1_86121822242672104[[#This Row],[原国家]]="魏",0,IF(表1_86121822242672104[[#This Row],[原国家]]="蜀",1,2))</f>
        <v>0</v>
      </c>
      <c r="J5" s="329">
        <v>1</v>
      </c>
      <c r="K5" s="329">
        <v>50</v>
      </c>
      <c r="L5" s="329">
        <v>0</v>
      </c>
      <c r="M5" s="329">
        <v>14</v>
      </c>
      <c r="N5" s="329">
        <v>38378</v>
      </c>
      <c r="O5" s="329">
        <v>1148112</v>
      </c>
      <c r="P5" s="329">
        <v>6526168</v>
      </c>
      <c r="Q5" s="31" t="s">
        <v>26</v>
      </c>
      <c r="R5" s="88">
        <f>IF(表1_86121822242672104[[#This Row],[目标国家]]="魏",0,IF(表1_86121822242672104[[#This Row],[目标国家]]="蜀",1,2))</f>
        <v>1</v>
      </c>
      <c r="S5" s="329">
        <v>1306</v>
      </c>
      <c r="T5" s="329">
        <v>0</v>
      </c>
      <c r="U5" s="329">
        <v>57736</v>
      </c>
      <c r="V5" s="329">
        <v>2660</v>
      </c>
      <c r="W5" s="329">
        <v>441637</v>
      </c>
      <c r="X5" s="134" t="str">
        <f>"{"&amp;"'coin':"&amp;表1_86121822242672104[[#This Row],[补偿Coin]]&amp;",'"&amp;配置!$A$2&amp;"':"&amp;表1_86121822242672104[[#This Row],[补偿辎重]]&amp;"},"</f>
        <v>{'coin':1000,'item036':10},</v>
      </c>
      <c r="Y5" s="388" t="str">
        <f>"      '"&amp;表1_86121822242672104[[#This Row],[区服]]&amp;"':{"</f>
        <v>      '207':{</v>
      </c>
    </row>
    <row r="6" s="354" customFormat="1" ht="15" customHeight="1" spans="1:25">
      <c r="A6" s="86">
        <v>207</v>
      </c>
      <c r="B6" s="86">
        <f>VLOOKUP(表1_86121822242672104[[#This Row],[区服]],$P$47:$Q$54,2,FALSE)</f>
        <v>45</v>
      </c>
      <c r="C6" s="87" t="s">
        <v>242</v>
      </c>
      <c r="D6" s="88" t="str">
        <f>表1_86121822242672104[[#This Row],[目标国家]]</f>
        <v>魏</v>
      </c>
      <c r="E6" s="90">
        <f>(VLOOKUP(表1_86121822242672104[[#This Row],[目标区服]],$R$47:$S$50,2,FALSE)-表1_86121822242672104[[#This Row],[开服天数]])*配置!$B$1</f>
        <v>1000</v>
      </c>
      <c r="F6" s="90">
        <f>表1_86121822242672104[[#This Row],[补偿Coin]]*(表1_86121822242672104[[#This Row],[活跃高战玩家数]]+表1_86121822242672104[[#This Row],[活跃中坚玩家数]])</f>
        <v>20000</v>
      </c>
      <c r="G6" s="90">
        <f>(VLOOKUP(表1_86121822242672104[[#This Row],[目标区服]],$R$47:$S$50,2,FALSE)-表1_86121822242672104[[#This Row],[开服天数]])*配置!$B$2</f>
        <v>10</v>
      </c>
      <c r="H6" s="88" t="s">
        <v>26</v>
      </c>
      <c r="I6" s="88">
        <f>IF(表1_86121822242672104[[#This Row],[原国家]]="魏",0,IF(表1_86121822242672104[[#This Row],[原国家]]="蜀",1,2))</f>
        <v>1</v>
      </c>
      <c r="J6" s="329">
        <v>5</v>
      </c>
      <c r="K6" s="329">
        <v>187</v>
      </c>
      <c r="L6" s="329">
        <v>3</v>
      </c>
      <c r="M6" s="329">
        <v>17</v>
      </c>
      <c r="N6" s="329">
        <v>118107</v>
      </c>
      <c r="O6" s="329">
        <v>3077206</v>
      </c>
      <c r="P6" s="329">
        <v>19436368</v>
      </c>
      <c r="Q6" s="31" t="s">
        <v>25</v>
      </c>
      <c r="R6" s="88">
        <f>IF(表1_86121822242672104[[#This Row],[目标国家]]="魏",0,IF(表1_86121822242672104[[#This Row],[目标国家]]="蜀",1,2))</f>
        <v>0</v>
      </c>
      <c r="S6" s="329">
        <v>153343</v>
      </c>
      <c r="T6" s="329">
        <v>0</v>
      </c>
      <c r="U6" s="329">
        <v>622873</v>
      </c>
      <c r="V6" s="329">
        <v>12893</v>
      </c>
      <c r="W6" s="338">
        <v>1176507</v>
      </c>
      <c r="X6" s="134" t="str">
        <f>"{"&amp;"'coin':"&amp;表1_86121822242672104[[#This Row],[补偿Coin]]&amp;",'"&amp;配置!$A$2&amp;"':"&amp;表1_86121822242672104[[#This Row],[补偿辎重]]&amp;"},"</f>
        <v>{'coin':1000,'item036':10},</v>
      </c>
      <c r="Y6" s="388" t="str">
        <f>"            'to_zone':'"&amp;表1_86121822242672104[[#This Row],[目标区服]]&amp;"',
            'reward':"&amp;表1_86121822242672104[[#This Row],[辅助导出]]&amp;"
            'country':["&amp;R5&amp;","&amp;R6&amp;","&amp;R7&amp;"],"</f>
        <v>            'to_zone':'h1_90',
            'reward':{'coin':1000,'item036':10},
            'country':[1,0,2],</v>
      </c>
    </row>
    <row r="7" s="354" customFormat="1" ht="14.25" customHeight="1" spans="1:25">
      <c r="A7" s="86">
        <v>207</v>
      </c>
      <c r="B7" s="86">
        <f>VLOOKUP(表1_86121822242672104[[#This Row],[区服]],$P$47:$Q$54,2,FALSE)</f>
        <v>45</v>
      </c>
      <c r="C7" s="87" t="s">
        <v>242</v>
      </c>
      <c r="D7" s="88" t="str">
        <f>表1_86121822242672104[[#This Row],[目标国家]]</f>
        <v>吴</v>
      </c>
      <c r="E7" s="90">
        <f>(VLOOKUP(表1_86121822242672104[[#This Row],[目标区服]],$R$47:$S$50,2,FALSE)-表1_86121822242672104[[#This Row],[开服天数]])*配置!$B$1</f>
        <v>1000</v>
      </c>
      <c r="F7" s="90">
        <f>表1_86121822242672104[[#This Row],[补偿Coin]]*(表1_86121822242672104[[#This Row],[活跃高战玩家数]]+表1_86121822242672104[[#This Row],[活跃中坚玩家数]])</f>
        <v>27000</v>
      </c>
      <c r="G7" s="90">
        <f>(VLOOKUP(表1_86121822242672104[[#This Row],[目标区服]],$R$47:$S$50,2,FALSE)-表1_86121822242672104[[#This Row],[开服天数]])*配置!$B$2</f>
        <v>10</v>
      </c>
      <c r="H7" s="88" t="s">
        <v>27</v>
      </c>
      <c r="I7" s="88">
        <f>IF(表1_86121822242672104[[#This Row],[原国家]]="魏",0,IF(表1_86121822242672104[[#This Row],[原国家]]="蜀",1,2))</f>
        <v>2</v>
      </c>
      <c r="J7" s="329">
        <v>3</v>
      </c>
      <c r="K7" s="329">
        <v>158</v>
      </c>
      <c r="L7" s="329">
        <v>7</v>
      </c>
      <c r="M7" s="329">
        <v>20</v>
      </c>
      <c r="N7" s="329">
        <v>119496</v>
      </c>
      <c r="O7" s="329">
        <v>2979907</v>
      </c>
      <c r="P7" s="329">
        <v>20980981</v>
      </c>
      <c r="Q7" s="31" t="s">
        <v>27</v>
      </c>
      <c r="R7" s="88">
        <f>IF(表1_86121822242672104[[#This Row],[目标国家]]="魏",0,IF(表1_86121822242672104[[#This Row],[目标国家]]="蜀",1,2))</f>
        <v>2</v>
      </c>
      <c r="S7" s="329">
        <v>94312</v>
      </c>
      <c r="T7" s="329">
        <v>0</v>
      </c>
      <c r="U7" s="329">
        <v>395482</v>
      </c>
      <c r="V7" s="329">
        <v>10582</v>
      </c>
      <c r="W7" s="338">
        <v>1062690</v>
      </c>
      <c r="X7" s="134" t="str">
        <f>"{"&amp;"'coin':"&amp;表1_86121822242672104[[#This Row],[补偿Coin]]&amp;",'"&amp;配置!$A$2&amp;"':"&amp;表1_86121822242672104[[#This Row],[补偿辎重]]&amp;"},"</f>
        <v>{'coin':1000,'item036':10},</v>
      </c>
      <c r="Y7" s="388" t="str">
        <f>"      },"</f>
        <v>      },</v>
      </c>
    </row>
    <row r="8" s="354" customFormat="1" ht="14.25" customHeight="1" spans="1:25">
      <c r="A8" s="150">
        <v>208</v>
      </c>
      <c r="B8" s="150">
        <f>VLOOKUP(表1_86121822242672104[[#This Row],[区服]],$P$47:$Q$54,2,FALSE)</f>
        <v>44</v>
      </c>
      <c r="C8" s="151" t="s">
        <v>243</v>
      </c>
      <c r="D8" s="256" t="str">
        <f>表1_86121822242672104[[#This Row],[目标国家]]</f>
        <v>魏</v>
      </c>
      <c r="E8" s="153">
        <f>(VLOOKUP(表1_86121822242672104[[#This Row],[目标区服]],$R$47:$S$50,2,FALSE)-表1_86121822242672104[[#This Row],[开服天数]])*配置!$B$1</f>
        <v>1000</v>
      </c>
      <c r="F8" s="153">
        <f>表1_86121822242672104[[#This Row],[补偿Coin]]*(表1_86121822242672104[[#This Row],[活跃高战玩家数]]+表1_86121822242672104[[#This Row],[活跃中坚玩家数]])</f>
        <v>24000</v>
      </c>
      <c r="G8" s="153">
        <f>(VLOOKUP(表1_86121822242672104[[#This Row],[目标区服]],$R$47:$S$50,2,FALSE)-表1_86121822242672104[[#This Row],[开服天数]])*配置!$B$2</f>
        <v>10</v>
      </c>
      <c r="H8" s="152" t="s">
        <v>25</v>
      </c>
      <c r="I8" s="152">
        <f>IF(表1_86121822242672104[[#This Row],[原国家]]="魏",0,IF(表1_86121822242672104[[#This Row],[原国家]]="蜀",1,2))</f>
        <v>0</v>
      </c>
      <c r="J8" s="327">
        <v>5</v>
      </c>
      <c r="K8" s="327">
        <v>177</v>
      </c>
      <c r="L8" s="327">
        <v>7</v>
      </c>
      <c r="M8" s="327">
        <v>17</v>
      </c>
      <c r="N8" s="327">
        <v>128300</v>
      </c>
      <c r="O8" s="327">
        <v>3257818</v>
      </c>
      <c r="P8" s="327">
        <v>22899031</v>
      </c>
      <c r="Q8" s="31" t="s">
        <v>25</v>
      </c>
      <c r="R8" s="152">
        <f>IF(表1_86121822242672104[[#This Row],[目标国家]]="魏",0,IF(表1_86121822242672104[[#This Row],[目标国家]]="蜀",1,2))</f>
        <v>0</v>
      </c>
      <c r="S8" s="327">
        <v>131444</v>
      </c>
      <c r="T8" s="327">
        <v>6</v>
      </c>
      <c r="U8" s="327">
        <v>523202</v>
      </c>
      <c r="V8" s="327">
        <v>12664</v>
      </c>
      <c r="W8" s="337">
        <v>916120</v>
      </c>
      <c r="X8" s="196" t="str">
        <f>"{"&amp;"'coin':"&amp;表1_86121822242672104[[#This Row],[补偿Coin]]&amp;",'"&amp;配置!$A$2&amp;"':"&amp;表1_86121822242672104[[#This Row],[补偿辎重]]&amp;"},"</f>
        <v>{'coin':1000,'item036':10},</v>
      </c>
      <c r="Y8" s="194" t="str">
        <f>"      '"&amp;表1_86121822242672104[[#This Row],[区服]]&amp;"':{"</f>
        <v>      '208':{</v>
      </c>
    </row>
    <row r="9" s="354" customFormat="1" ht="14.25" customHeight="1" spans="1:25">
      <c r="A9" s="150">
        <v>208</v>
      </c>
      <c r="B9" s="150">
        <f>VLOOKUP(表1_86121822242672104[[#This Row],[区服]],$P$47:$Q$54,2,FALSE)</f>
        <v>44</v>
      </c>
      <c r="C9" s="151" t="s">
        <v>243</v>
      </c>
      <c r="D9" s="152" t="str">
        <f>表1_86121822242672104[[#This Row],[目标国家]]</f>
        <v>吴</v>
      </c>
      <c r="E9" s="154">
        <f>(VLOOKUP(表1_86121822242672104[[#This Row],[目标区服]],$R$47:$S$50,2,FALSE)-表1_86121822242672104[[#This Row],[开服天数]])*配置!$B$1</f>
        <v>1000</v>
      </c>
      <c r="F9" s="154">
        <f>表1_86121822242672104[[#This Row],[补偿Coin]]*(表1_86121822242672104[[#This Row],[活跃高战玩家数]]+表1_86121822242672104[[#This Row],[活跃中坚玩家数]])</f>
        <v>25000</v>
      </c>
      <c r="G9" s="154">
        <f>(VLOOKUP(表1_86121822242672104[[#This Row],[目标区服]],$R$47:$S$50,2,FALSE)-表1_86121822242672104[[#This Row],[开服天数]])*配置!$B$2</f>
        <v>10</v>
      </c>
      <c r="H9" s="152" t="s">
        <v>26</v>
      </c>
      <c r="I9" s="152">
        <f>IF(表1_86121822242672104[[#This Row],[原国家]]="魏",0,IF(表1_86121822242672104[[#This Row],[原国家]]="蜀",1,2))</f>
        <v>1</v>
      </c>
      <c r="J9" s="327">
        <v>4</v>
      </c>
      <c r="K9" s="327">
        <v>169</v>
      </c>
      <c r="L9" s="327">
        <v>3</v>
      </c>
      <c r="M9" s="327">
        <v>22</v>
      </c>
      <c r="N9" s="327">
        <v>123180</v>
      </c>
      <c r="O9" s="327">
        <v>2728158</v>
      </c>
      <c r="P9" s="327">
        <v>19746887</v>
      </c>
      <c r="Q9" s="31" t="s">
        <v>27</v>
      </c>
      <c r="R9" s="152">
        <f>IF(表1_86121822242672104[[#This Row],[目标国家]]="魏",0,IF(表1_86121822242672104[[#This Row],[目标国家]]="蜀",1,2))</f>
        <v>2</v>
      </c>
      <c r="S9" s="327">
        <v>59024</v>
      </c>
      <c r="T9" s="327">
        <v>0</v>
      </c>
      <c r="U9" s="327">
        <v>670782</v>
      </c>
      <c r="V9" s="327">
        <v>9514</v>
      </c>
      <c r="W9" s="344">
        <v>816834</v>
      </c>
      <c r="X9" s="196" t="str">
        <f>"{"&amp;"'coin':"&amp;表1_86121822242672104[[#This Row],[补偿Coin]]&amp;",'"&amp;配置!$A$2&amp;"':"&amp;表1_86121822242672104[[#This Row],[补偿辎重]]&amp;"},"</f>
        <v>{'coin':1000,'item036':10},</v>
      </c>
      <c r="Y9" s="194" t="str">
        <f>"            'to_zone':'"&amp;表1_86121822242672104[[#This Row],[目标区服]]&amp;"',
            'reward':"&amp;表1_86121822242672104[[#This Row],[辅助导出]]&amp;"
            'country':["&amp;R8&amp;","&amp;R9&amp;","&amp;R10&amp;"],"</f>
        <v>            'to_zone':'h1_91',
            'reward':{'coin':1000,'item036':10},
            'country':[0,2,0],</v>
      </c>
    </row>
    <row r="10" s="354" customFormat="1" ht="14.25" customHeight="1" spans="1:25">
      <c r="A10" s="150">
        <v>208</v>
      </c>
      <c r="B10" s="150">
        <f>VLOOKUP(表1_86121822242672104[[#This Row],[区服]],$P$47:$Q$54,2,FALSE)</f>
        <v>44</v>
      </c>
      <c r="C10" s="151" t="s">
        <v>243</v>
      </c>
      <c r="D10" s="152" t="str">
        <f>表1_86121822242672104[[#This Row],[目标国家]]</f>
        <v>魏</v>
      </c>
      <c r="E10" s="154">
        <f>(VLOOKUP(表1_86121822242672104[[#This Row],[目标区服]],$R$47:$S$50,2,FALSE)-表1_86121822242672104[[#This Row],[开服天数]])*配置!$B$1</f>
        <v>1000</v>
      </c>
      <c r="F10" s="154">
        <f>表1_86121822242672104[[#This Row],[补偿Coin]]*(表1_86121822242672104[[#This Row],[活跃高战玩家数]]+表1_86121822242672104[[#This Row],[活跃中坚玩家数]])</f>
        <v>12000</v>
      </c>
      <c r="G10" s="154">
        <f>(VLOOKUP(表1_86121822242672104[[#This Row],[目标区服]],$R$47:$S$50,2,FALSE)-表1_86121822242672104[[#This Row],[开服天数]])*配置!$B$2</f>
        <v>10</v>
      </c>
      <c r="H10" s="152" t="s">
        <v>27</v>
      </c>
      <c r="I10" s="152">
        <f>IF(表1_86121822242672104[[#This Row],[原国家]]="魏",0,IF(表1_86121822242672104[[#This Row],[原国家]]="蜀",1,2))</f>
        <v>2</v>
      </c>
      <c r="J10" s="327">
        <v>0</v>
      </c>
      <c r="K10" s="327">
        <v>49</v>
      </c>
      <c r="L10" s="327">
        <v>0</v>
      </c>
      <c r="M10" s="327">
        <v>12</v>
      </c>
      <c r="N10" s="327">
        <v>35266</v>
      </c>
      <c r="O10" s="327">
        <v>1042725</v>
      </c>
      <c r="P10" s="327">
        <v>6010276</v>
      </c>
      <c r="Q10" s="31" t="s">
        <v>25</v>
      </c>
      <c r="R10" s="152">
        <f>IF(表1_86121822242672104[[#This Row],[目标国家]]="魏",0,IF(表1_86121822242672104[[#This Row],[目标国家]]="蜀",1,2))</f>
        <v>0</v>
      </c>
      <c r="S10" s="327">
        <v>6560</v>
      </c>
      <c r="T10" s="327">
        <v>0</v>
      </c>
      <c r="U10" s="327">
        <v>81928</v>
      </c>
      <c r="V10" s="327">
        <v>2547</v>
      </c>
      <c r="W10" s="344">
        <v>348792</v>
      </c>
      <c r="X10" s="196" t="str">
        <f>"{"&amp;"'coin':"&amp;表1_86121822242672104[[#This Row],[补偿Coin]]&amp;",'"&amp;配置!$A$2&amp;"':"&amp;表1_86121822242672104[[#This Row],[补偿辎重]]&amp;"},"</f>
        <v>{'coin':1000,'item036':10},</v>
      </c>
      <c r="Y10" s="194" t="str">
        <f>"      },"</f>
        <v>      },</v>
      </c>
    </row>
    <row r="11" s="354" customFormat="1" ht="14.25" customHeight="1" spans="1:25">
      <c r="A11" s="150">
        <v>209</v>
      </c>
      <c r="B11" s="150">
        <f>VLOOKUP(表1_86121822242672104[[#This Row],[区服]],$P$47:$Q$54,2,FALSE)</f>
        <v>44</v>
      </c>
      <c r="C11" s="151" t="s">
        <v>243</v>
      </c>
      <c r="D11" s="256" t="str">
        <f>表1_86121822242672104[[#This Row],[目标国家]]</f>
        <v>蜀</v>
      </c>
      <c r="E11" s="153">
        <f>(VLOOKUP(表1_86121822242672104[[#This Row],[目标区服]],$R$47:$S$50,2,FALSE)-表1_86121822242672104[[#This Row],[开服天数]])*配置!$B$1</f>
        <v>1000</v>
      </c>
      <c r="F11" s="153">
        <f>表1_86121822242672104[[#This Row],[补偿Coin]]*(表1_86121822242672104[[#This Row],[活跃高战玩家数]]+表1_86121822242672104[[#This Row],[活跃中坚玩家数]])</f>
        <v>19000</v>
      </c>
      <c r="G11" s="153">
        <f>(VLOOKUP(表1_86121822242672104[[#This Row],[目标区服]],$R$47:$S$50,2,FALSE)-表1_86121822242672104[[#This Row],[开服天数]])*配置!$B$2</f>
        <v>10</v>
      </c>
      <c r="H11" s="152" t="s">
        <v>25</v>
      </c>
      <c r="I11" s="152">
        <f>IF(表1_86121822242672104[[#This Row],[原国家]]="魏",0,IF(表1_86121822242672104[[#This Row],[原国家]]="蜀",1,2))</f>
        <v>0</v>
      </c>
      <c r="J11" s="327">
        <v>3</v>
      </c>
      <c r="K11" s="327">
        <v>137</v>
      </c>
      <c r="L11" s="327">
        <v>5</v>
      </c>
      <c r="M11" s="327">
        <v>14</v>
      </c>
      <c r="N11" s="327">
        <v>97947</v>
      </c>
      <c r="O11" s="327">
        <v>2897234</v>
      </c>
      <c r="P11" s="327">
        <v>17935206</v>
      </c>
      <c r="Q11" s="31" t="s">
        <v>26</v>
      </c>
      <c r="R11" s="152">
        <f>IF(表1_86121822242672104[[#This Row],[目标国家]]="魏",0,IF(表1_86121822242672104[[#This Row],[目标国家]]="蜀",1,2))</f>
        <v>1</v>
      </c>
      <c r="S11" s="327">
        <v>80004</v>
      </c>
      <c r="T11" s="327">
        <v>0</v>
      </c>
      <c r="U11" s="327">
        <v>579156</v>
      </c>
      <c r="V11" s="327">
        <v>9540</v>
      </c>
      <c r="W11" s="337">
        <v>897576</v>
      </c>
      <c r="X11" s="196" t="str">
        <f>"{"&amp;"'coin':"&amp;表1_86121822242672104[[#This Row],[补偿Coin]]&amp;",'"&amp;配置!$A$2&amp;"':"&amp;表1_86121822242672104[[#This Row],[补偿辎重]]&amp;"},"</f>
        <v>{'coin':1000,'item036':10},</v>
      </c>
      <c r="Y11" s="194" t="str">
        <f>"      '"&amp;表1_86121822242672104[[#This Row],[区服]]&amp;"':{"</f>
        <v>      '209':{</v>
      </c>
    </row>
    <row r="12" s="354" customFormat="1" ht="14.25" customHeight="1" spans="1:25">
      <c r="A12" s="150">
        <v>209</v>
      </c>
      <c r="B12" s="150">
        <f>VLOOKUP(表1_86121822242672104[[#This Row],[区服]],$P$47:$Q$54,2,FALSE)</f>
        <v>44</v>
      </c>
      <c r="C12" s="151" t="s">
        <v>243</v>
      </c>
      <c r="D12" s="152" t="str">
        <f>表1_86121822242672104[[#This Row],[目标国家]]</f>
        <v>蜀</v>
      </c>
      <c r="E12" s="154">
        <f>(VLOOKUP(表1_86121822242672104[[#This Row],[目标区服]],$R$47:$S$50,2,FALSE)-表1_86121822242672104[[#This Row],[开服天数]])*配置!$B$1</f>
        <v>1000</v>
      </c>
      <c r="F12" s="154">
        <f>表1_86121822242672104[[#This Row],[补偿Coin]]*(表1_86121822242672104[[#This Row],[活跃高战玩家数]]+表1_86121822242672104[[#This Row],[活跃中坚玩家数]])</f>
        <v>24000</v>
      </c>
      <c r="G12" s="154">
        <f>(VLOOKUP(表1_86121822242672104[[#This Row],[目标区服]],$R$47:$S$50,2,FALSE)-表1_86121822242672104[[#This Row],[开服天数]])*配置!$B$2</f>
        <v>10</v>
      </c>
      <c r="H12" s="152" t="s">
        <v>26</v>
      </c>
      <c r="I12" s="152">
        <f>IF(表1_86121822242672104[[#This Row],[原国家]]="魏",0,IF(表1_86121822242672104[[#This Row],[原国家]]="蜀",1,2))</f>
        <v>1</v>
      </c>
      <c r="J12" s="327">
        <v>2</v>
      </c>
      <c r="K12" s="327">
        <v>67</v>
      </c>
      <c r="L12" s="327">
        <v>1</v>
      </c>
      <c r="M12" s="327">
        <v>23</v>
      </c>
      <c r="N12" s="327">
        <v>73932</v>
      </c>
      <c r="O12" s="327">
        <v>1566177</v>
      </c>
      <c r="P12" s="327">
        <v>14373968</v>
      </c>
      <c r="Q12" s="31" t="s">
        <v>26</v>
      </c>
      <c r="R12" s="152">
        <f>IF(表1_86121822242672104[[#This Row],[目标国家]]="魏",0,IF(表1_86121822242672104[[#This Row],[目标国家]]="蜀",1,2))</f>
        <v>1</v>
      </c>
      <c r="S12" s="327">
        <v>35106</v>
      </c>
      <c r="T12" s="327">
        <v>0</v>
      </c>
      <c r="U12" s="327">
        <v>173843</v>
      </c>
      <c r="V12" s="327">
        <v>5383</v>
      </c>
      <c r="W12" s="344">
        <v>407611</v>
      </c>
      <c r="X12" s="196" t="str">
        <f>"{"&amp;"'coin':"&amp;表1_86121822242672104[[#This Row],[补偿Coin]]&amp;",'"&amp;配置!$A$2&amp;"':"&amp;表1_86121822242672104[[#This Row],[补偿辎重]]&amp;"},"</f>
        <v>{'coin':1000,'item036':10},</v>
      </c>
      <c r="Y12" s="194" t="str">
        <f>"            'to_zone':'"&amp;表1_86121822242672104[[#This Row],[目标区服]]&amp;"',
            'reward':"&amp;表1_86121822242672104[[#This Row],[辅助导出]]&amp;"
            'country':["&amp;R11&amp;","&amp;R12&amp;","&amp;R13&amp;"],"</f>
        <v>            'to_zone':'h1_91',
            'reward':{'coin':1000,'item036':10},
            'country':[1,1,2],</v>
      </c>
    </row>
    <row r="13" s="354" customFormat="1" ht="14.25" customHeight="1" spans="1:25">
      <c r="A13" s="150">
        <v>209</v>
      </c>
      <c r="B13" s="150">
        <f>VLOOKUP(表1_86121822242672104[[#This Row],[区服]],$P$47:$Q$54,2,FALSE)</f>
        <v>44</v>
      </c>
      <c r="C13" s="151" t="s">
        <v>243</v>
      </c>
      <c r="D13" s="152" t="str">
        <f>表1_86121822242672104[[#This Row],[目标国家]]</f>
        <v>吴</v>
      </c>
      <c r="E13" s="154">
        <f>(VLOOKUP(表1_86121822242672104[[#This Row],[目标区服]],$R$47:$S$50,2,FALSE)-表1_86121822242672104[[#This Row],[开服天数]])*配置!$B$1</f>
        <v>1000</v>
      </c>
      <c r="F13" s="154">
        <f>表1_86121822242672104[[#This Row],[补偿Coin]]*(表1_86121822242672104[[#This Row],[活跃高战玩家数]]+表1_86121822242672104[[#This Row],[活跃中坚玩家数]])</f>
        <v>28000</v>
      </c>
      <c r="G13" s="154">
        <f>(VLOOKUP(表1_86121822242672104[[#This Row],[目标区服]],$R$47:$S$50,2,FALSE)-表1_86121822242672104[[#This Row],[开服天数]])*配置!$B$2</f>
        <v>10</v>
      </c>
      <c r="H13" s="152" t="s">
        <v>27</v>
      </c>
      <c r="I13" s="152">
        <f>IF(表1_86121822242672104[[#This Row],[原国家]]="魏",0,IF(表1_86121822242672104[[#This Row],[原国家]]="蜀",1,2))</f>
        <v>2</v>
      </c>
      <c r="J13" s="327">
        <v>4</v>
      </c>
      <c r="K13" s="327">
        <v>191</v>
      </c>
      <c r="L13" s="327">
        <v>4</v>
      </c>
      <c r="M13" s="327">
        <v>24</v>
      </c>
      <c r="N13" s="327">
        <v>115120</v>
      </c>
      <c r="O13" s="327">
        <v>2568448</v>
      </c>
      <c r="P13" s="327">
        <v>20992451</v>
      </c>
      <c r="Q13" s="31" t="s">
        <v>27</v>
      </c>
      <c r="R13" s="152">
        <f>IF(表1_86121822242672104[[#This Row],[目标国家]]="魏",0,IF(表1_86121822242672104[[#This Row],[目标国家]]="蜀",1,2))</f>
        <v>2</v>
      </c>
      <c r="S13" s="327">
        <v>54752</v>
      </c>
      <c r="T13" s="327">
        <v>0</v>
      </c>
      <c r="U13" s="327">
        <v>564726</v>
      </c>
      <c r="V13" s="327">
        <v>9478</v>
      </c>
      <c r="W13" s="337">
        <v>818181</v>
      </c>
      <c r="X13" s="196" t="str">
        <f>"{"&amp;"'coin':"&amp;表1_86121822242672104[[#This Row],[补偿Coin]]&amp;",'"&amp;配置!$A$2&amp;"':"&amp;表1_86121822242672104[[#This Row],[补偿辎重]]&amp;"},"</f>
        <v>{'coin':1000,'item036':10},</v>
      </c>
      <c r="Y13" s="194" t="str">
        <f>"      },"</f>
        <v>      },</v>
      </c>
    </row>
    <row r="14" s="354" customFormat="1" ht="14.25" customHeight="1" spans="1:25">
      <c r="A14" s="86">
        <v>210</v>
      </c>
      <c r="B14" s="86">
        <f>VLOOKUP(表1_86121822242672104[[#This Row],[区服]],$P$47:$Q$54,2,FALSE)</f>
        <v>43</v>
      </c>
      <c r="C14" s="87" t="s">
        <v>244</v>
      </c>
      <c r="D14" s="315" t="str">
        <f>表1_86121822242672104[[#This Row],[目标国家]]</f>
        <v>魏</v>
      </c>
      <c r="E14" s="89">
        <f>(VLOOKUP(表1_86121822242672104[[#This Row],[目标区服]],$R$47:$S$50,2,FALSE)-表1_86121822242672104[[#This Row],[开服天数]])*配置!$B$1</f>
        <v>1000</v>
      </c>
      <c r="F14" s="89">
        <f>表1_86121822242672104[[#This Row],[补偿Coin]]*(表1_86121822242672104[[#This Row],[活跃高战玩家数]]+表1_86121822242672104[[#This Row],[活跃中坚玩家数]])</f>
        <v>21000</v>
      </c>
      <c r="G14" s="89">
        <f>(VLOOKUP(表1_86121822242672104[[#This Row],[目标区服]],$R$47:$S$50,2,FALSE)-表1_86121822242672104[[#This Row],[开服天数]])*配置!$B$2</f>
        <v>10</v>
      </c>
      <c r="H14" s="88" t="s">
        <v>25</v>
      </c>
      <c r="I14" s="88">
        <f>IF(表1_86121822242672104[[#This Row],[原国家]]="魏",0,IF(表1_86121822242672104[[#This Row],[原国家]]="蜀",1,2))</f>
        <v>0</v>
      </c>
      <c r="J14" s="329">
        <v>4</v>
      </c>
      <c r="K14" s="329">
        <v>143</v>
      </c>
      <c r="L14" s="329">
        <v>4</v>
      </c>
      <c r="M14" s="329">
        <v>17</v>
      </c>
      <c r="N14" s="329">
        <v>102088</v>
      </c>
      <c r="O14" s="329">
        <v>3068202</v>
      </c>
      <c r="P14" s="329">
        <v>21330788</v>
      </c>
      <c r="Q14" s="132" t="s">
        <v>25</v>
      </c>
      <c r="R14" s="88">
        <f>IF(表1_86121822242672104[[#This Row],[目标国家]]="魏",0,IF(表1_86121822242672104[[#This Row],[目标国家]]="蜀",1,2))</f>
        <v>0</v>
      </c>
      <c r="S14" s="329">
        <v>73432</v>
      </c>
      <c r="T14" s="329">
        <v>128</v>
      </c>
      <c r="U14" s="329">
        <v>316057</v>
      </c>
      <c r="V14" s="329">
        <v>9903</v>
      </c>
      <c r="W14" s="390">
        <v>894992</v>
      </c>
      <c r="X14" s="134" t="str">
        <f>"{"&amp;"'coin':"&amp;表1_86121822242672104[[#This Row],[补偿Coin]]&amp;",'"&amp;配置!$A$2&amp;"':"&amp;表1_86121822242672104[[#This Row],[补偿辎重]]&amp;"},"</f>
        <v>{'coin':1000,'item036':10},</v>
      </c>
      <c r="Y14" s="136" t="str">
        <f>"      '"&amp;表1_86121822242672104[[#This Row],[区服]]&amp;"':{"</f>
        <v>      '210':{</v>
      </c>
    </row>
    <row r="15" s="354" customFormat="1" ht="14.25" customHeight="1" spans="1:25">
      <c r="A15" s="86">
        <v>210</v>
      </c>
      <c r="B15" s="86">
        <f>VLOOKUP(表1_86121822242672104[[#This Row],[区服]],$P$47:$Q$54,2,FALSE)</f>
        <v>43</v>
      </c>
      <c r="C15" s="87" t="s">
        <v>244</v>
      </c>
      <c r="D15" s="88" t="str">
        <f>表1_86121822242672104[[#This Row],[目标国家]]</f>
        <v>吴</v>
      </c>
      <c r="E15" s="90">
        <f>(VLOOKUP(表1_86121822242672104[[#This Row],[目标区服]],$R$47:$S$50,2,FALSE)-表1_86121822242672104[[#This Row],[开服天数]])*配置!$B$1</f>
        <v>1000</v>
      </c>
      <c r="F15" s="90">
        <f>表1_86121822242672104[[#This Row],[补偿Coin]]*(表1_86121822242672104[[#This Row],[活跃高战玩家数]]+表1_86121822242672104[[#This Row],[活跃中坚玩家数]])</f>
        <v>33000</v>
      </c>
      <c r="G15" s="90">
        <f>(VLOOKUP(表1_86121822242672104[[#This Row],[目标区服]],$R$47:$S$50,2,FALSE)-表1_86121822242672104[[#This Row],[开服天数]])*配置!$B$2</f>
        <v>10</v>
      </c>
      <c r="H15" s="88" t="s">
        <v>26</v>
      </c>
      <c r="I15" s="88">
        <f>IF(表1_86121822242672104[[#This Row],[原国家]]="魏",0,IF(表1_86121822242672104[[#This Row],[原国家]]="蜀",1,2))</f>
        <v>1</v>
      </c>
      <c r="J15" s="329">
        <v>3</v>
      </c>
      <c r="K15" s="329">
        <v>172</v>
      </c>
      <c r="L15" s="329">
        <v>3</v>
      </c>
      <c r="M15" s="329">
        <v>30</v>
      </c>
      <c r="N15" s="329">
        <v>118818</v>
      </c>
      <c r="O15" s="329">
        <v>2483954</v>
      </c>
      <c r="P15" s="329">
        <v>27394754</v>
      </c>
      <c r="Q15" s="132" t="s">
        <v>27</v>
      </c>
      <c r="R15" s="88">
        <f>IF(表1_86121822242672104[[#This Row],[目标国家]]="魏",0,IF(表1_86121822242672104[[#This Row],[目标国家]]="蜀",1,2))</f>
        <v>2</v>
      </c>
      <c r="S15" s="329">
        <v>48988</v>
      </c>
      <c r="T15" s="329">
        <v>0</v>
      </c>
      <c r="U15" s="329">
        <v>560450</v>
      </c>
      <c r="V15" s="329">
        <v>9587</v>
      </c>
      <c r="W15" s="390">
        <v>725517</v>
      </c>
      <c r="X15" s="134" t="str">
        <f>"{"&amp;"'coin':"&amp;表1_86121822242672104[[#This Row],[补偿Coin]]&amp;",'"&amp;配置!$A$2&amp;"':"&amp;表1_86121822242672104[[#This Row],[补偿辎重]]&amp;"},"</f>
        <v>{'coin':1000,'item036':10},</v>
      </c>
      <c r="Y15" s="136" t="str">
        <f>"            'to_zone':'"&amp;表1_86121822242672104[[#This Row],[目标区服]]&amp;"',
            'reward':"&amp;表1_86121822242672104[[#This Row],[辅助导出]]&amp;"
            'country':["&amp;R14&amp;","&amp;R15&amp;","&amp;R16&amp;"],"</f>
        <v>            'to_zone':'h1_92',
            'reward':{'coin':1000,'item036':10},
            'country':[0,2,0],</v>
      </c>
    </row>
    <row r="16" s="354" customFormat="1" ht="14.25" customHeight="1" spans="1:25">
      <c r="A16" s="86">
        <v>210</v>
      </c>
      <c r="B16" s="86">
        <f>VLOOKUP(表1_86121822242672104[[#This Row],[区服]],$P$47:$Q$54,2,FALSE)</f>
        <v>43</v>
      </c>
      <c r="C16" s="87" t="s">
        <v>244</v>
      </c>
      <c r="D16" s="88" t="str">
        <f>表1_86121822242672104[[#This Row],[目标国家]]</f>
        <v>魏</v>
      </c>
      <c r="E16" s="90">
        <f>(VLOOKUP(表1_86121822242672104[[#This Row],[目标区服]],$R$47:$S$50,2,FALSE)-表1_86121822242672104[[#This Row],[开服天数]])*配置!$B$1</f>
        <v>1000</v>
      </c>
      <c r="F16" s="90">
        <f>表1_86121822242672104[[#This Row],[补偿Coin]]*(表1_86121822242672104[[#This Row],[活跃高战玩家数]]+表1_86121822242672104[[#This Row],[活跃中坚玩家数]])</f>
        <v>26000</v>
      </c>
      <c r="G16" s="90">
        <f>(VLOOKUP(表1_86121822242672104[[#This Row],[目标区服]],$R$47:$S$50,2,FALSE)-表1_86121822242672104[[#This Row],[开服天数]])*配置!$B$2</f>
        <v>10</v>
      </c>
      <c r="H16" s="88" t="s">
        <v>27</v>
      </c>
      <c r="I16" s="88">
        <f>IF(表1_86121822242672104[[#This Row],[原国家]]="魏",0,IF(表1_86121822242672104[[#This Row],[原国家]]="蜀",1,2))</f>
        <v>2</v>
      </c>
      <c r="J16" s="329">
        <v>2</v>
      </c>
      <c r="K16" s="329">
        <v>80</v>
      </c>
      <c r="L16" s="329">
        <v>3</v>
      </c>
      <c r="M16" s="329">
        <v>23</v>
      </c>
      <c r="N16" s="329">
        <v>104149</v>
      </c>
      <c r="O16" s="329">
        <v>3048379</v>
      </c>
      <c r="P16" s="329">
        <v>23552039</v>
      </c>
      <c r="Q16" s="132" t="s">
        <v>25</v>
      </c>
      <c r="R16" s="88">
        <f>IF(表1_86121822242672104[[#This Row],[目标国家]]="魏",0,IF(表1_86121822242672104[[#This Row],[目标国家]]="蜀",1,2))</f>
        <v>0</v>
      </c>
      <c r="S16" s="329">
        <v>96434</v>
      </c>
      <c r="T16" s="329">
        <v>0</v>
      </c>
      <c r="U16" s="329">
        <v>654586</v>
      </c>
      <c r="V16" s="329">
        <v>10144</v>
      </c>
      <c r="W16" s="338">
        <v>1025310</v>
      </c>
      <c r="X16" s="134" t="str">
        <f>"{"&amp;"'coin':"&amp;表1_86121822242672104[[#This Row],[补偿Coin]]&amp;",'"&amp;配置!$A$2&amp;"':"&amp;表1_86121822242672104[[#This Row],[补偿辎重]]&amp;"},"</f>
        <v>{'coin':1000,'item036':10},</v>
      </c>
      <c r="Y16" s="136" t="str">
        <f>"      },"</f>
        <v>      },</v>
      </c>
    </row>
    <row r="17" s="354" customFormat="1" ht="14.25" customHeight="1" spans="1:25">
      <c r="A17" s="86">
        <v>211</v>
      </c>
      <c r="B17" s="86">
        <f>VLOOKUP(表1_86121822242672104[[#This Row],[区服]],$P$47:$Q$54,2,FALSE)</f>
        <v>43</v>
      </c>
      <c r="C17" s="87" t="s">
        <v>244</v>
      </c>
      <c r="D17" s="315" t="str">
        <f>表1_86121822242672104[[#This Row],[目标国家]]</f>
        <v>蜀</v>
      </c>
      <c r="E17" s="89">
        <f>(VLOOKUP(表1_86121822242672104[[#This Row],[目标区服]],$R$47:$S$50,2,FALSE)-表1_86121822242672104[[#This Row],[开服天数]])*配置!$B$1</f>
        <v>1000</v>
      </c>
      <c r="F17" s="89">
        <f>表1_86121822242672104[[#This Row],[补偿Coin]]*(表1_86121822242672104[[#This Row],[活跃高战玩家数]]+表1_86121822242672104[[#This Row],[活跃中坚玩家数]])</f>
        <v>20000</v>
      </c>
      <c r="G17" s="89">
        <f>(VLOOKUP(表1_86121822242672104[[#This Row],[目标区服]],$R$47:$S$50,2,FALSE)-表1_86121822242672104[[#This Row],[开服天数]])*配置!$B$2</f>
        <v>10</v>
      </c>
      <c r="H17" s="88" t="s">
        <v>25</v>
      </c>
      <c r="I17" s="88">
        <f>IF(表1_86121822242672104[[#This Row],[原国家]]="魏",0,IF(表1_86121822242672104[[#This Row],[原国家]]="蜀",1,2))</f>
        <v>0</v>
      </c>
      <c r="J17" s="329">
        <v>0</v>
      </c>
      <c r="K17" s="329">
        <v>39</v>
      </c>
      <c r="L17" s="329">
        <v>0</v>
      </c>
      <c r="M17" s="329">
        <v>20</v>
      </c>
      <c r="N17" s="329">
        <v>42215</v>
      </c>
      <c r="O17" s="329">
        <v>992425</v>
      </c>
      <c r="P17" s="329">
        <v>10538081</v>
      </c>
      <c r="Q17" s="132" t="s">
        <v>26</v>
      </c>
      <c r="R17" s="88">
        <f>IF(表1_86121822242672104[[#This Row],[目标国家]]="魏",0,IF(表1_86121822242672104[[#This Row],[目标国家]]="蜀",1,2))</f>
        <v>1</v>
      </c>
      <c r="S17" s="329">
        <v>12892</v>
      </c>
      <c r="T17" s="329">
        <v>0</v>
      </c>
      <c r="U17" s="329">
        <v>150920</v>
      </c>
      <c r="V17" s="329">
        <v>3109</v>
      </c>
      <c r="W17" s="390">
        <v>316106</v>
      </c>
      <c r="X17" s="134" t="str">
        <f>"{"&amp;"'coin':"&amp;表1_86121822242672104[[#This Row],[补偿Coin]]&amp;",'"&amp;配置!$A$2&amp;"':"&amp;表1_86121822242672104[[#This Row],[补偿辎重]]&amp;"},"</f>
        <v>{'coin':1000,'item036':10},</v>
      </c>
      <c r="Y17" s="136" t="str">
        <f>"      '"&amp;表1_86121822242672104[[#This Row],[区服]]&amp;"':{"</f>
        <v>      '211':{</v>
      </c>
    </row>
    <row r="18" ht="14.25" customHeight="1" spans="1:25">
      <c r="A18" s="86">
        <v>211</v>
      </c>
      <c r="B18" s="86">
        <f>VLOOKUP(表1_86121822242672104[[#This Row],[区服]],$P$47:$Q$54,2,FALSE)</f>
        <v>43</v>
      </c>
      <c r="C18" s="87" t="s">
        <v>244</v>
      </c>
      <c r="D18" s="88" t="str">
        <f>表1_86121822242672104[[#This Row],[目标国家]]</f>
        <v>蜀</v>
      </c>
      <c r="E18" s="90">
        <f>(VLOOKUP(表1_86121822242672104[[#This Row],[目标区服]],$R$47:$S$50,2,FALSE)-表1_86121822242672104[[#This Row],[开服天数]])*配置!$B$1</f>
        <v>1000</v>
      </c>
      <c r="F18" s="90">
        <f>表1_86121822242672104[[#This Row],[补偿Coin]]*(表1_86121822242672104[[#This Row],[活跃高战玩家数]]+表1_86121822242672104[[#This Row],[活跃中坚玩家数]])</f>
        <v>30000</v>
      </c>
      <c r="G18" s="90">
        <f>(VLOOKUP(表1_86121822242672104[[#This Row],[目标区服]],$R$47:$S$50,2,FALSE)-表1_86121822242672104[[#This Row],[开服天数]])*配置!$B$2</f>
        <v>10</v>
      </c>
      <c r="H18" s="88" t="s">
        <v>26</v>
      </c>
      <c r="I18" s="88">
        <f>IF(表1_86121822242672104[[#This Row],[原国家]]="魏",0,IF(表1_86121822242672104[[#This Row],[原国家]]="蜀",1,2))</f>
        <v>1</v>
      </c>
      <c r="J18" s="329">
        <v>6</v>
      </c>
      <c r="K18" s="329">
        <v>228</v>
      </c>
      <c r="L18" s="329">
        <v>6</v>
      </c>
      <c r="M18" s="329">
        <v>24</v>
      </c>
      <c r="N18" s="329">
        <v>147842</v>
      </c>
      <c r="O18" s="329">
        <v>3646209</v>
      </c>
      <c r="P18" s="329">
        <v>29407281</v>
      </c>
      <c r="Q18" s="132" t="s">
        <v>26</v>
      </c>
      <c r="R18" s="88">
        <f>IF(表1_86121822242672104[[#This Row],[目标国家]]="魏",0,IF(表1_86121822242672104[[#This Row],[目标国家]]="蜀",1,2))</f>
        <v>1</v>
      </c>
      <c r="S18" s="329">
        <v>180412</v>
      </c>
      <c r="T18" s="329">
        <v>0</v>
      </c>
      <c r="U18" s="329">
        <v>1169211</v>
      </c>
      <c r="V18" s="329">
        <v>16203</v>
      </c>
      <c r="W18" s="338">
        <v>1225371</v>
      </c>
      <c r="X18" s="134" t="str">
        <f>"{"&amp;"'coin':"&amp;表1_86121822242672104[[#This Row],[补偿Coin]]&amp;",'"&amp;配置!$A$2&amp;"':"&amp;表1_86121822242672104[[#This Row],[补偿辎重]]&amp;"},"</f>
        <v>{'coin':1000,'item036':10},</v>
      </c>
      <c r="Y18" s="136" t="str">
        <f>"            'to_zone':'"&amp;表1_86121822242672104[[#This Row],[目标区服]]&amp;"',
            'reward':"&amp;表1_86121822242672104[[#This Row],[辅助导出]]&amp;"
            'country':["&amp;R17&amp;","&amp;R18&amp;","&amp;R19&amp;"],"</f>
        <v>            'to_zone':'h1_92',
            'reward':{'coin':1000,'item036':10},
            'country':[1,1,2],</v>
      </c>
    </row>
    <row r="19" ht="14.25" customHeight="1" spans="1:25">
      <c r="A19" s="86">
        <v>211</v>
      </c>
      <c r="B19" s="86">
        <f>VLOOKUP(表1_86121822242672104[[#This Row],[区服]],$P$47:$Q$54,2,FALSE)</f>
        <v>43</v>
      </c>
      <c r="C19" s="87" t="s">
        <v>244</v>
      </c>
      <c r="D19" s="88" t="str">
        <f>表1_86121822242672104[[#This Row],[目标国家]]</f>
        <v>吴</v>
      </c>
      <c r="E19" s="90">
        <f>(VLOOKUP(表1_86121822242672104[[#This Row],[目标区服]],$R$47:$S$50,2,FALSE)-表1_86121822242672104[[#This Row],[开服天数]])*配置!$B$1</f>
        <v>1000</v>
      </c>
      <c r="F19" s="90">
        <f>表1_86121822242672104[[#This Row],[补偿Coin]]*(表1_86121822242672104[[#This Row],[活跃高战玩家数]]+表1_86121822242672104[[#This Row],[活跃中坚玩家数]])</f>
        <v>26000</v>
      </c>
      <c r="G19" s="90">
        <f>(VLOOKUP(表1_86121822242672104[[#This Row],[目标区服]],$R$47:$S$50,2,FALSE)-表1_86121822242672104[[#This Row],[开服天数]])*配置!$B$2</f>
        <v>10</v>
      </c>
      <c r="H19" s="88" t="s">
        <v>27</v>
      </c>
      <c r="I19" s="88">
        <f>IF(表1_86121822242672104[[#This Row],[原国家]]="魏",0,IF(表1_86121822242672104[[#This Row],[原国家]]="蜀",1,2))</f>
        <v>2</v>
      </c>
      <c r="J19" s="329">
        <v>3</v>
      </c>
      <c r="K19" s="329">
        <v>128</v>
      </c>
      <c r="L19" s="329">
        <v>4</v>
      </c>
      <c r="M19" s="329">
        <v>22</v>
      </c>
      <c r="N19" s="329">
        <v>112225</v>
      </c>
      <c r="O19" s="329">
        <v>3304903</v>
      </c>
      <c r="P19" s="329">
        <v>23348080</v>
      </c>
      <c r="Q19" s="132" t="s">
        <v>27</v>
      </c>
      <c r="R19" s="88">
        <f>IF(表1_86121822242672104[[#This Row],[目标国家]]="魏",0,IF(表1_86121822242672104[[#This Row],[目标国家]]="蜀",1,2))</f>
        <v>2</v>
      </c>
      <c r="S19" s="329">
        <v>112436</v>
      </c>
      <c r="T19" s="329">
        <v>0</v>
      </c>
      <c r="U19" s="329">
        <v>296388</v>
      </c>
      <c r="V19" s="329">
        <v>11302</v>
      </c>
      <c r="W19" s="338">
        <v>866788</v>
      </c>
      <c r="X19" s="134" t="str">
        <f>"{"&amp;"'coin':"&amp;表1_86121822242672104[[#This Row],[补偿Coin]]&amp;",'"&amp;配置!$A$2&amp;"':"&amp;表1_86121822242672104[[#This Row],[补偿辎重]]&amp;"},"</f>
        <v>{'coin':1000,'item036':10},</v>
      </c>
      <c r="Y19" s="136" t="str">
        <f>"      },"</f>
        <v>      },</v>
      </c>
    </row>
    <row r="20" ht="14.25" customHeight="1" spans="1:25">
      <c r="A20" s="91">
        <v>212</v>
      </c>
      <c r="B20" s="91">
        <f>VLOOKUP(表1_86121822242672104[[#This Row],[区服]],$P$47:$Q$54,2,FALSE)</f>
        <v>42</v>
      </c>
      <c r="C20" s="92" t="s">
        <v>245</v>
      </c>
      <c r="D20" s="313" t="str">
        <f>表1_86121822242672104[[#This Row],[目标国家]]</f>
        <v>魏</v>
      </c>
      <c r="E20" s="94">
        <f>(VLOOKUP(表1_86121822242672104[[#This Row],[目标区服]],$R$47:$S$50,2,FALSE)-表1_86121822242672104[[#This Row],[开服天数]])*配置!$B$1</f>
        <v>1000</v>
      </c>
      <c r="F20" s="94">
        <f>表1_86121822242672104[[#This Row],[补偿Coin]]*(表1_86121822242672104[[#This Row],[活跃高战玩家数]]+表1_86121822242672104[[#This Row],[活跃中坚玩家数]])</f>
        <v>44000</v>
      </c>
      <c r="G20" s="94">
        <f>(VLOOKUP(表1_86121822242672104[[#This Row],[目标区服]],$R$47:$S$50,2,FALSE)-表1_86121822242672104[[#This Row],[开服天数]])*配置!$B$2</f>
        <v>10</v>
      </c>
      <c r="H20" s="93" t="s">
        <v>25</v>
      </c>
      <c r="I20" s="93">
        <f>IF(表1_86121822242672104[[#This Row],[原国家]]="魏",0,IF(表1_86121822242672104[[#This Row],[原国家]]="蜀",1,2))</f>
        <v>0</v>
      </c>
      <c r="J20" s="325">
        <v>7</v>
      </c>
      <c r="K20" s="325">
        <v>279</v>
      </c>
      <c r="L20" s="325">
        <v>8</v>
      </c>
      <c r="M20" s="325">
        <v>36</v>
      </c>
      <c r="N20" s="325">
        <v>216269</v>
      </c>
      <c r="O20" s="325">
        <v>3936179</v>
      </c>
      <c r="P20" s="325">
        <v>45244136</v>
      </c>
      <c r="Q20" s="31" t="s">
        <v>25</v>
      </c>
      <c r="R20" s="93">
        <f>IF(表1_86121822242672104[[#This Row],[目标国家]]="魏",0,IF(表1_86121822242672104[[#This Row],[目标国家]]="蜀",1,2))</f>
        <v>0</v>
      </c>
      <c r="S20" s="325">
        <v>280462</v>
      </c>
      <c r="T20" s="325">
        <v>0</v>
      </c>
      <c r="U20" s="325">
        <v>1527160</v>
      </c>
      <c r="V20" s="325">
        <v>22209</v>
      </c>
      <c r="W20" s="336">
        <v>1025200</v>
      </c>
      <c r="X20" s="140" t="str">
        <f>"{"&amp;"'coin':"&amp;表1_86121822242672104[[#This Row],[补偿Coin]]&amp;",'"&amp;配置!$A$2&amp;"':"&amp;表1_86121822242672104[[#This Row],[补偿辎重]]&amp;"},"</f>
        <v>{'coin':1000,'item036':10},</v>
      </c>
      <c r="Y20" s="138" t="str">
        <f>"      '"&amp;表1_86121822242672104[[#This Row],[区服]]&amp;"':{"</f>
        <v>      '212':{</v>
      </c>
    </row>
    <row r="21" ht="14.25" customHeight="1" spans="1:25">
      <c r="A21" s="91">
        <v>212</v>
      </c>
      <c r="B21" s="91">
        <f>VLOOKUP(表1_86121822242672104[[#This Row],[区服]],$P$47:$Q$54,2,FALSE)</f>
        <v>42</v>
      </c>
      <c r="C21" s="92" t="s">
        <v>245</v>
      </c>
      <c r="D21" s="93" t="str">
        <f>表1_86121822242672104[[#This Row],[目标国家]]</f>
        <v>吴</v>
      </c>
      <c r="E21" s="95">
        <f>(VLOOKUP(表1_86121822242672104[[#This Row],[目标区服]],$R$47:$S$50,2,FALSE)-表1_86121822242672104[[#This Row],[开服天数]])*配置!$B$1</f>
        <v>1000</v>
      </c>
      <c r="F21" s="95">
        <f>表1_86121822242672104[[#This Row],[补偿Coin]]*(表1_86121822242672104[[#This Row],[活跃高战玩家数]]+表1_86121822242672104[[#This Row],[活跃中坚玩家数]])</f>
        <v>24000</v>
      </c>
      <c r="G21" s="95">
        <f>(VLOOKUP(表1_86121822242672104[[#This Row],[目标区服]],$R$47:$S$50,2,FALSE)-表1_86121822242672104[[#This Row],[开服天数]])*配置!$B$2</f>
        <v>10</v>
      </c>
      <c r="H21" s="93" t="s">
        <v>26</v>
      </c>
      <c r="I21" s="93">
        <f>IF(表1_86121822242672104[[#This Row],[原国家]]="魏",0,IF(表1_86121822242672104[[#This Row],[原国家]]="蜀",1,2))</f>
        <v>1</v>
      </c>
      <c r="J21" s="325">
        <v>1</v>
      </c>
      <c r="K21" s="325">
        <v>60</v>
      </c>
      <c r="L21" s="325">
        <v>2</v>
      </c>
      <c r="M21" s="325">
        <v>22</v>
      </c>
      <c r="N21" s="325">
        <v>72100</v>
      </c>
      <c r="O21" s="325">
        <v>2129501</v>
      </c>
      <c r="P21" s="325">
        <v>15935673</v>
      </c>
      <c r="Q21" s="31" t="s">
        <v>27</v>
      </c>
      <c r="R21" s="93">
        <f>IF(表1_86121822242672104[[#This Row],[目标国家]]="魏",0,IF(表1_86121822242672104[[#This Row],[目标国家]]="蜀",1,2))</f>
        <v>2</v>
      </c>
      <c r="S21" s="325">
        <v>39350</v>
      </c>
      <c r="T21" s="325">
        <v>0</v>
      </c>
      <c r="U21" s="325">
        <v>159424</v>
      </c>
      <c r="V21" s="325">
        <v>6043</v>
      </c>
      <c r="W21" s="325">
        <v>677457</v>
      </c>
      <c r="X21" s="140" t="str">
        <f>"{"&amp;"'coin':"&amp;表1_86121822242672104[[#This Row],[补偿Coin]]&amp;",'"&amp;配置!$A$2&amp;"':"&amp;表1_86121822242672104[[#This Row],[补偿辎重]]&amp;"},"</f>
        <v>{'coin':1000,'item036':10},</v>
      </c>
      <c r="Y21" s="138" t="str">
        <f>"            'to_zone':'"&amp;表1_86121822242672104[[#This Row],[目标区服]]&amp;"',
            'reward':"&amp;表1_86121822242672104[[#This Row],[辅助导出]]&amp;"
            'country':["&amp;R20&amp;","&amp;R21&amp;","&amp;R22&amp;"],"</f>
        <v>            'to_zone':'h1_93',
            'reward':{'coin':1000,'item036':10},
            'country':[0,2,2],</v>
      </c>
    </row>
    <row r="22" ht="14.25" customHeight="1" spans="1:25">
      <c r="A22" s="91">
        <v>212</v>
      </c>
      <c r="B22" s="91">
        <f>VLOOKUP(表1_86121822242672104[[#This Row],[区服]],$P$47:$Q$54,2,FALSE)</f>
        <v>42</v>
      </c>
      <c r="C22" s="92" t="s">
        <v>245</v>
      </c>
      <c r="D22" s="93" t="str">
        <f>表1_86121822242672104[[#This Row],[目标国家]]</f>
        <v>吴</v>
      </c>
      <c r="E22" s="95">
        <f>(VLOOKUP(表1_86121822242672104[[#This Row],[目标区服]],$R$47:$S$50,2,FALSE)-表1_86121822242672104[[#This Row],[开服天数]])*配置!$B$1</f>
        <v>1000</v>
      </c>
      <c r="F22" s="95">
        <f>表1_86121822242672104[[#This Row],[补偿Coin]]*(表1_86121822242672104[[#This Row],[活跃高战玩家数]]+表1_86121822242672104[[#This Row],[活跃中坚玩家数]])</f>
        <v>14000</v>
      </c>
      <c r="G22" s="95">
        <f>(VLOOKUP(表1_86121822242672104[[#This Row],[目标区服]],$R$47:$S$50,2,FALSE)-表1_86121822242672104[[#This Row],[开服天数]])*配置!$B$2</f>
        <v>10</v>
      </c>
      <c r="H22" s="93" t="s">
        <v>27</v>
      </c>
      <c r="I22" s="93">
        <f>IF(表1_86121822242672104[[#This Row],[原国家]]="魏",0,IF(表1_86121822242672104[[#This Row],[原国家]]="蜀",1,2))</f>
        <v>2</v>
      </c>
      <c r="J22" s="325">
        <v>1</v>
      </c>
      <c r="K22" s="325">
        <v>56</v>
      </c>
      <c r="L22" s="325">
        <v>0</v>
      </c>
      <c r="M22" s="325">
        <v>14</v>
      </c>
      <c r="N22" s="325">
        <v>28246</v>
      </c>
      <c r="O22" s="325">
        <v>1244530</v>
      </c>
      <c r="P22" s="325">
        <v>7464835</v>
      </c>
      <c r="Q22" s="31" t="s">
        <v>27</v>
      </c>
      <c r="R22" s="93">
        <f>IF(表1_86121822242672104[[#This Row],[目标国家]]="魏",0,IF(表1_86121822242672104[[#This Row],[目标国家]]="蜀",1,2))</f>
        <v>2</v>
      </c>
      <c r="S22" s="325">
        <v>9502</v>
      </c>
      <c r="T22" s="325">
        <v>0</v>
      </c>
      <c r="U22" s="325">
        <v>141500</v>
      </c>
      <c r="V22" s="325">
        <v>3148</v>
      </c>
      <c r="W22" s="325">
        <v>393454</v>
      </c>
      <c r="X22" s="140" t="str">
        <f>"{"&amp;"'coin':"&amp;表1_86121822242672104[[#This Row],[补偿Coin]]&amp;",'"&amp;配置!$A$2&amp;"':"&amp;表1_86121822242672104[[#This Row],[补偿辎重]]&amp;"},"</f>
        <v>{'coin':1000,'item036':10},</v>
      </c>
      <c r="Y22" s="138" t="str">
        <f>"      },"</f>
        <v>      },</v>
      </c>
    </row>
    <row r="23" ht="14.25" customHeight="1" spans="1:25">
      <c r="A23" s="91">
        <v>213</v>
      </c>
      <c r="B23" s="91">
        <f>VLOOKUP(表1_86121822242672104[[#This Row],[区服]],$P$47:$Q$54,2,FALSE)</f>
        <v>41</v>
      </c>
      <c r="C23" s="92" t="s">
        <v>245</v>
      </c>
      <c r="D23" s="313" t="str">
        <f>表1_86121822242672104[[#This Row],[目标国家]]</f>
        <v>蜀</v>
      </c>
      <c r="E23" s="94">
        <f>(VLOOKUP(表1_86121822242672104[[#This Row],[目标区服]],$R$47:$S$50,2,FALSE)-表1_86121822242672104[[#This Row],[开服天数]])*配置!$B$1</f>
        <v>1500</v>
      </c>
      <c r="F23" s="94">
        <f>表1_86121822242672104[[#This Row],[补偿Coin]]*(表1_86121822242672104[[#This Row],[活跃高战玩家数]]+表1_86121822242672104[[#This Row],[活跃中坚玩家数]])</f>
        <v>49500</v>
      </c>
      <c r="G23" s="94">
        <f>(VLOOKUP(表1_86121822242672104[[#This Row],[目标区服]],$R$47:$S$50,2,FALSE)-表1_86121822242672104[[#This Row],[开服天数]])*配置!$B$2</f>
        <v>15</v>
      </c>
      <c r="H23" s="93" t="s">
        <v>25</v>
      </c>
      <c r="I23" s="93">
        <f>IF(表1_86121822242672104[[#This Row],[原国家]]="魏",0,IF(表1_86121822242672104[[#This Row],[原国家]]="蜀",1,2))</f>
        <v>0</v>
      </c>
      <c r="J23" s="325">
        <v>4</v>
      </c>
      <c r="K23" s="325">
        <v>209</v>
      </c>
      <c r="L23" s="325">
        <v>6</v>
      </c>
      <c r="M23" s="325">
        <v>27</v>
      </c>
      <c r="N23" s="325">
        <v>140319</v>
      </c>
      <c r="O23" s="325">
        <v>2385192</v>
      </c>
      <c r="P23" s="325">
        <v>26228397</v>
      </c>
      <c r="Q23" s="31" t="s">
        <v>26</v>
      </c>
      <c r="R23" s="93">
        <f>IF(表1_86121822242672104[[#This Row],[目标国家]]="魏",0,IF(表1_86121822242672104[[#This Row],[目标国家]]="蜀",1,2))</f>
        <v>1</v>
      </c>
      <c r="S23" s="325">
        <v>50396</v>
      </c>
      <c r="T23" s="325">
        <v>0</v>
      </c>
      <c r="U23" s="325">
        <v>398676</v>
      </c>
      <c r="V23" s="325">
        <v>9910</v>
      </c>
      <c r="W23" s="336">
        <v>879745</v>
      </c>
      <c r="X23" s="140" t="str">
        <f>"{"&amp;"'coin':"&amp;表1_86121822242672104[[#This Row],[补偿Coin]]&amp;",'"&amp;配置!$A$2&amp;"':"&amp;表1_86121822242672104[[#This Row],[补偿辎重]]&amp;"},"</f>
        <v>{'coin':1500,'item036':15},</v>
      </c>
      <c r="Y23" s="138" t="str">
        <f>"      '"&amp;表1_86121822242672104[[#This Row],[区服]]&amp;"':{"</f>
        <v>      '213':{</v>
      </c>
    </row>
    <row r="24" ht="14.25" customHeight="1" spans="1:25">
      <c r="A24" s="91">
        <v>213</v>
      </c>
      <c r="B24" s="91">
        <f>VLOOKUP(表1_86121822242672104[[#This Row],[区服]],$P$47:$Q$54,2,FALSE)</f>
        <v>41</v>
      </c>
      <c r="C24" s="92" t="s">
        <v>245</v>
      </c>
      <c r="D24" s="93" t="str">
        <f>表1_86121822242672104[[#This Row],[目标国家]]</f>
        <v>蜀</v>
      </c>
      <c r="E24" s="95">
        <f>(VLOOKUP(表1_86121822242672104[[#This Row],[目标区服]],$R$47:$S$50,2,FALSE)-表1_86121822242672104[[#This Row],[开服天数]])*配置!$B$1</f>
        <v>1500</v>
      </c>
      <c r="F24" s="95">
        <f>表1_86121822242672104[[#This Row],[补偿Coin]]*(表1_86121822242672104[[#This Row],[活跃高战玩家数]]+表1_86121822242672104[[#This Row],[活跃中坚玩家数]])</f>
        <v>28500</v>
      </c>
      <c r="G24" s="95">
        <f>(VLOOKUP(表1_86121822242672104[[#This Row],[目标区服]],$R$47:$S$50,2,FALSE)-表1_86121822242672104[[#This Row],[开服天数]])*配置!$B$2</f>
        <v>15</v>
      </c>
      <c r="H24" s="93" t="s">
        <v>26</v>
      </c>
      <c r="I24" s="93">
        <f>IF(表1_86121822242672104[[#This Row],[原国家]]="魏",0,IF(表1_86121822242672104[[#This Row],[原国家]]="蜀",1,2))</f>
        <v>1</v>
      </c>
      <c r="J24" s="325">
        <v>2</v>
      </c>
      <c r="K24" s="325">
        <v>92</v>
      </c>
      <c r="L24" s="325">
        <v>1</v>
      </c>
      <c r="M24" s="325">
        <v>18</v>
      </c>
      <c r="N24" s="325">
        <v>61928</v>
      </c>
      <c r="O24" s="325">
        <v>2103674</v>
      </c>
      <c r="P24" s="325">
        <v>12705975</v>
      </c>
      <c r="Q24" s="31" t="s">
        <v>26</v>
      </c>
      <c r="R24" s="93">
        <f>IF(表1_86121822242672104[[#This Row],[目标国家]]="魏",0,IF(表1_86121822242672104[[#This Row],[目标国家]]="蜀",1,2))</f>
        <v>1</v>
      </c>
      <c r="S24" s="325">
        <v>37436</v>
      </c>
      <c r="T24" s="325">
        <v>0</v>
      </c>
      <c r="U24" s="325">
        <v>258617</v>
      </c>
      <c r="V24" s="325">
        <v>6056</v>
      </c>
      <c r="W24" s="325">
        <v>734334</v>
      </c>
      <c r="X24" s="140" t="str">
        <f>"{"&amp;"'coin':"&amp;表1_86121822242672104[[#This Row],[补偿Coin]]&amp;",'"&amp;配置!$A$2&amp;"':"&amp;表1_86121822242672104[[#This Row],[补偿辎重]]&amp;"},"</f>
        <v>{'coin':1500,'item036':15},</v>
      </c>
      <c r="Y24" s="138" t="str">
        <f>"            'to_zone':'"&amp;表1_86121822242672104[[#This Row],[目标区服]]&amp;"',
            'reward':"&amp;表1_86121822242672104[[#This Row],[辅助导出]]&amp;"
            'country':["&amp;R23&amp;","&amp;R24&amp;","&amp;R25&amp;"],"</f>
        <v>            'to_zone':'h1_93',
            'reward':{'coin':1500,'item036':15},
            'country':[1,1,2],</v>
      </c>
    </row>
    <row r="25" ht="14.25" customHeight="1" spans="1:25">
      <c r="A25" s="91">
        <v>213</v>
      </c>
      <c r="B25" s="91">
        <f>VLOOKUP(表1_86121822242672104[[#This Row],[区服]],$P$47:$Q$54,2,FALSE)</f>
        <v>41</v>
      </c>
      <c r="C25" s="92" t="s">
        <v>245</v>
      </c>
      <c r="D25" s="93" t="str">
        <f>表1_86121822242672104[[#This Row],[目标国家]]</f>
        <v>吴</v>
      </c>
      <c r="E25" s="95">
        <f>(VLOOKUP(表1_86121822242672104[[#This Row],[目标区服]],$R$47:$S$50,2,FALSE)-表1_86121822242672104[[#This Row],[开服天数]])*配置!$B$1</f>
        <v>1500</v>
      </c>
      <c r="F25" s="95">
        <f>表1_86121822242672104[[#This Row],[补偿Coin]]*(表1_86121822242672104[[#This Row],[活跃高战玩家数]]+表1_86121822242672104[[#This Row],[活跃中坚玩家数]])</f>
        <v>31500</v>
      </c>
      <c r="G25" s="95">
        <f>(VLOOKUP(表1_86121822242672104[[#This Row],[目标区服]],$R$47:$S$50,2,FALSE)-表1_86121822242672104[[#This Row],[开服天数]])*配置!$B$2</f>
        <v>15</v>
      </c>
      <c r="H25" s="93" t="s">
        <v>27</v>
      </c>
      <c r="I25" s="93">
        <f>IF(表1_86121822242672104[[#This Row],[原国家]]="魏",0,IF(表1_86121822242672104[[#This Row],[原国家]]="蜀",1,2))</f>
        <v>2</v>
      </c>
      <c r="J25" s="325">
        <v>3</v>
      </c>
      <c r="K25" s="325">
        <v>94</v>
      </c>
      <c r="L25" s="325">
        <v>2</v>
      </c>
      <c r="M25" s="325">
        <v>19</v>
      </c>
      <c r="N25" s="325">
        <v>87421</v>
      </c>
      <c r="O25" s="325">
        <v>2704780</v>
      </c>
      <c r="P25" s="325">
        <v>17010052</v>
      </c>
      <c r="Q25" s="31" t="s">
        <v>27</v>
      </c>
      <c r="R25" s="93">
        <f>IF(表1_86121822242672104[[#This Row],[目标国家]]="魏",0,IF(表1_86121822242672104[[#This Row],[目标国家]]="蜀",1,2))</f>
        <v>2</v>
      </c>
      <c r="S25" s="325">
        <v>15494</v>
      </c>
      <c r="T25" s="325">
        <v>90388</v>
      </c>
      <c r="U25" s="325">
        <v>443357</v>
      </c>
      <c r="V25" s="325">
        <v>7673</v>
      </c>
      <c r="W25" s="336">
        <v>1067770</v>
      </c>
      <c r="X25" s="140" t="str">
        <f>"{"&amp;"'coin':"&amp;表1_86121822242672104[[#This Row],[补偿Coin]]&amp;",'"&amp;配置!$A$2&amp;"':"&amp;表1_86121822242672104[[#This Row],[补偿辎重]]&amp;"},"</f>
        <v>{'coin':1500,'item036':15},</v>
      </c>
      <c r="Y25" s="138" t="str">
        <f>"      },"</f>
        <v>      },</v>
      </c>
    </row>
    <row r="26" ht="14.25" customHeight="1" spans="1:25">
      <c r="A26" s="150">
        <v>214</v>
      </c>
      <c r="B26" s="150">
        <f>VLOOKUP(表1_86121822242672104[[#This Row],[区服]],$P$47:$Q$60,2,FALSE)</f>
        <v>41</v>
      </c>
      <c r="C26" s="151" t="s">
        <v>246</v>
      </c>
      <c r="D26" s="256" t="str">
        <f>表1_86121822242672104[[#This Row],[目标国家]]</f>
        <v>魏</v>
      </c>
      <c r="E26" s="153">
        <f>(VLOOKUP(表1_86121822242672104[[#This Row],[目标区服]],$R$47:$S$53,2,FALSE)-表1_86121822242672104[[#This Row],[开服天数]])*配置!$B$1</f>
        <v>1000</v>
      </c>
      <c r="F26" s="153">
        <f>表1_86121822242672104[[#This Row],[补偿Coin]]*(表1_86121822242672104[[#This Row],[活跃高战玩家数]]+表1_86121822242672104[[#This Row],[活跃中坚玩家数]])</f>
        <v>19000</v>
      </c>
      <c r="G26" s="153">
        <f>(VLOOKUP(表1_86121822242672104[[#This Row],[目标区服]],$R$47:$S$53,2,FALSE)-表1_86121822242672104[[#This Row],[开服天数]])*配置!$B$2</f>
        <v>10</v>
      </c>
      <c r="H26" s="152" t="s">
        <v>25</v>
      </c>
      <c r="I26" s="152">
        <f>IF(表1_86121822242672104[[#This Row],[原国家]]="魏",0,IF(表1_86121822242672104[[#This Row],[原国家]]="蜀",1,2))</f>
        <v>0</v>
      </c>
      <c r="J26" s="327">
        <v>0</v>
      </c>
      <c r="K26" s="327">
        <v>32</v>
      </c>
      <c r="L26" s="327">
        <v>2</v>
      </c>
      <c r="M26" s="327">
        <v>17</v>
      </c>
      <c r="N26" s="327">
        <v>63380</v>
      </c>
      <c r="O26" s="327">
        <v>2031872</v>
      </c>
      <c r="P26" s="327">
        <v>13260013</v>
      </c>
      <c r="Q26" s="31" t="s">
        <v>25</v>
      </c>
      <c r="R26" s="152">
        <f>IF(表1_86121822242672104[[#This Row],[目标国家]]="魏",0,IF(表1_86121822242672104[[#This Row],[目标国家]]="蜀",1,2))</f>
        <v>0</v>
      </c>
      <c r="S26" s="327">
        <v>67510</v>
      </c>
      <c r="T26" s="327">
        <v>0</v>
      </c>
      <c r="U26" s="327">
        <v>181476</v>
      </c>
      <c r="V26" s="327">
        <v>6110</v>
      </c>
      <c r="W26" s="327">
        <v>603639</v>
      </c>
      <c r="X26" s="196" t="str">
        <f>"{"&amp;"'coin':"&amp;表1_86121822242672104[[#This Row],[补偿Coin]]&amp;",'"&amp;配置!$A$2&amp;"':"&amp;表1_86121822242672104[[#This Row],[补偿辎重]]&amp;"},"</f>
        <v>{'coin':1000,'item036':10},</v>
      </c>
      <c r="Y26" s="194" t="str">
        <f>"      '"&amp;表1_86121822242672104[[#This Row],[区服]]&amp;"':{"</f>
        <v>      '214':{</v>
      </c>
    </row>
    <row r="27" ht="14.25" customHeight="1" spans="1:25">
      <c r="A27" s="150">
        <v>214</v>
      </c>
      <c r="B27" s="150">
        <f>VLOOKUP(表1_86121822242672104[[#This Row],[区服]],$P$47:$Q$60,2,FALSE)</f>
        <v>41</v>
      </c>
      <c r="C27" s="151" t="s">
        <v>246</v>
      </c>
      <c r="D27" s="152" t="str">
        <f>表1_86121822242672104[[#This Row],[目标国家]]</f>
        <v>蜀</v>
      </c>
      <c r="E27" s="153">
        <f>(VLOOKUP(表1_86121822242672104[[#This Row],[目标区服]],$R$47:$S$53,2,FALSE)-表1_86121822242672104[[#This Row],[开服天数]])*配置!$B$1</f>
        <v>1000</v>
      </c>
      <c r="F27" s="153">
        <f>表1_86121822242672104[[#This Row],[补偿Coin]]*(表1_86121822242672104[[#This Row],[活跃高战玩家数]]+表1_86121822242672104[[#This Row],[活跃中坚玩家数]])</f>
        <v>41000</v>
      </c>
      <c r="G27" s="153">
        <f>(VLOOKUP(表1_86121822242672104[[#This Row],[目标区服]],$R$47:$S$53,2,FALSE)-表1_86121822242672104[[#This Row],[开服天数]])*配置!$B$2</f>
        <v>10</v>
      </c>
      <c r="H27" s="152" t="s">
        <v>26</v>
      </c>
      <c r="I27" s="152">
        <f>IF(表1_86121822242672104[[#This Row],[原国家]]="魏",0,IF(表1_86121822242672104[[#This Row],[原国家]]="蜀",1,2))</f>
        <v>1</v>
      </c>
      <c r="J27" s="327">
        <v>7</v>
      </c>
      <c r="K27" s="327">
        <v>294</v>
      </c>
      <c r="L27" s="327">
        <v>7</v>
      </c>
      <c r="M27" s="327">
        <v>34</v>
      </c>
      <c r="N27" s="327">
        <v>192581</v>
      </c>
      <c r="O27" s="327">
        <v>3474394</v>
      </c>
      <c r="P27" s="327">
        <v>39817428</v>
      </c>
      <c r="Q27" s="31" t="s">
        <v>26</v>
      </c>
      <c r="R27" s="152">
        <f>IF(表1_86121822242672104[[#This Row],[目标国家]]="魏",0,IF(表1_86121822242672104[[#This Row],[目标国家]]="蜀",1,2))</f>
        <v>1</v>
      </c>
      <c r="S27" s="327">
        <v>200922</v>
      </c>
      <c r="T27" s="327">
        <v>0</v>
      </c>
      <c r="U27" s="327">
        <v>903401</v>
      </c>
      <c r="V27" s="327">
        <v>18538</v>
      </c>
      <c r="W27" s="337">
        <v>891720</v>
      </c>
      <c r="X27" s="196" t="str">
        <f>"{"&amp;"'coin':"&amp;表1_86121822242672104[[#This Row],[补偿Coin]]&amp;",'"&amp;配置!$A$2&amp;"':"&amp;表1_86121822242672104[[#This Row],[补偿辎重]]&amp;"},"</f>
        <v>{'coin':1000,'item036':10},</v>
      </c>
      <c r="Y27" s="194" t="str">
        <f>"            'to_zone':'"&amp;表1_86121822242672104[[#This Row],[目标区服]]&amp;"',
            'reward':"&amp;表1_86121822242672104[[#This Row],[辅助导出]]&amp;"
            'country':["&amp;R26&amp;","&amp;R27&amp;","&amp;R28&amp;"],"</f>
        <v>            'to_zone':'h1_94',
            'reward':{'coin':1000,'item036':10},
            'country':[0,1,0],</v>
      </c>
    </row>
    <row r="28" ht="14.25" customHeight="1" spans="1:25">
      <c r="A28" s="150">
        <v>214</v>
      </c>
      <c r="B28" s="150">
        <f>VLOOKUP(表1_86121822242672104[[#This Row],[区服]],$P$47:$Q$60,2,FALSE)</f>
        <v>41</v>
      </c>
      <c r="C28" s="151" t="s">
        <v>246</v>
      </c>
      <c r="D28" s="152" t="str">
        <f>表1_86121822242672104[[#This Row],[目标国家]]</f>
        <v>魏</v>
      </c>
      <c r="E28" s="153">
        <f>(VLOOKUP(表1_86121822242672104[[#This Row],[目标区服]],$R$47:$S$53,2,FALSE)-表1_86121822242672104[[#This Row],[开服天数]])*配置!$B$1</f>
        <v>1000</v>
      </c>
      <c r="F28" s="153">
        <f>表1_86121822242672104[[#This Row],[补偿Coin]]*(表1_86121822242672104[[#This Row],[活跃高战玩家数]]+表1_86121822242672104[[#This Row],[活跃中坚玩家数]])</f>
        <v>18000</v>
      </c>
      <c r="G28" s="153">
        <f>(VLOOKUP(表1_86121822242672104[[#This Row],[目标区服]],$R$47:$S$53,2,FALSE)-表1_86121822242672104[[#This Row],[开服天数]])*配置!$B$2</f>
        <v>10</v>
      </c>
      <c r="H28" s="152" t="s">
        <v>27</v>
      </c>
      <c r="I28" s="152">
        <f>IF(表1_86121822242672104[[#This Row],[原国家]]="魏",0,IF(表1_86121822242672104[[#This Row],[原国家]]="蜀",1,2))</f>
        <v>2</v>
      </c>
      <c r="J28" s="327">
        <v>2</v>
      </c>
      <c r="K28" s="327">
        <v>69</v>
      </c>
      <c r="L28" s="327">
        <v>1</v>
      </c>
      <c r="M28" s="327">
        <v>17</v>
      </c>
      <c r="N28" s="327">
        <v>55881</v>
      </c>
      <c r="O28" s="327">
        <v>2036979</v>
      </c>
      <c r="P28" s="327">
        <v>12541244</v>
      </c>
      <c r="Q28" s="31" t="s">
        <v>25</v>
      </c>
      <c r="R28" s="152">
        <f>IF(表1_86121822242672104[[#This Row],[目标国家]]="魏",0,IF(表1_86121822242672104[[#This Row],[目标国家]]="蜀",1,2))</f>
        <v>0</v>
      </c>
      <c r="S28" s="327">
        <v>76956</v>
      </c>
      <c r="T28" s="327">
        <v>0</v>
      </c>
      <c r="U28" s="327">
        <v>416380</v>
      </c>
      <c r="V28" s="327">
        <v>6977</v>
      </c>
      <c r="W28" s="327">
        <v>705330</v>
      </c>
      <c r="X28" s="196" t="str">
        <f>"{"&amp;"'coin':"&amp;表1_86121822242672104[[#This Row],[补偿Coin]]&amp;",'"&amp;配置!$A$2&amp;"':"&amp;表1_86121822242672104[[#This Row],[补偿辎重]]&amp;"},"</f>
        <v>{'coin':1000,'item036':10},</v>
      </c>
      <c r="Y28" s="194" t="str">
        <f>"      },"</f>
        <v>      },</v>
      </c>
    </row>
    <row r="29" ht="14.25" customHeight="1" spans="1:25">
      <c r="A29" s="150">
        <v>215</v>
      </c>
      <c r="B29" s="150">
        <f>VLOOKUP(表1_86121822242672104[[#This Row],[区服]],$P$47:$Q$60,2,FALSE)</f>
        <v>40</v>
      </c>
      <c r="C29" s="151" t="s">
        <v>246</v>
      </c>
      <c r="D29" s="256" t="str">
        <f>表1_86121822242672104[[#This Row],[目标国家]]</f>
        <v>魏</v>
      </c>
      <c r="E29" s="153">
        <f>(VLOOKUP(表1_86121822242672104[[#This Row],[目标区服]],$R$47:$S$53,2,FALSE)-表1_86121822242672104[[#This Row],[开服天数]])*配置!$B$1</f>
        <v>1500</v>
      </c>
      <c r="F29" s="153">
        <f>表1_86121822242672104[[#This Row],[补偿Coin]]*(表1_86121822242672104[[#This Row],[活跃高战玩家数]]+表1_86121822242672104[[#This Row],[活跃中坚玩家数]])</f>
        <v>40500</v>
      </c>
      <c r="G29" s="153">
        <f>(VLOOKUP(表1_86121822242672104[[#This Row],[目标区服]],$R$47:$S$53,2,FALSE)-表1_86121822242672104[[#This Row],[开服天数]])*配置!$B$2</f>
        <v>15</v>
      </c>
      <c r="H29" s="152" t="s">
        <v>25</v>
      </c>
      <c r="I29" s="152">
        <f>IF(表1_86121822242672104[[#This Row],[原国家]]="魏",0,IF(表1_86121822242672104[[#This Row],[原国家]]="蜀",1,2))</f>
        <v>0</v>
      </c>
      <c r="J29" s="327">
        <v>1</v>
      </c>
      <c r="K29" s="327">
        <v>47</v>
      </c>
      <c r="L29" s="327">
        <v>3</v>
      </c>
      <c r="M29" s="327">
        <v>24</v>
      </c>
      <c r="N29" s="327">
        <v>79920</v>
      </c>
      <c r="O29" s="327">
        <v>2723076</v>
      </c>
      <c r="P29" s="327">
        <v>21154858</v>
      </c>
      <c r="Q29" s="31" t="s">
        <v>25</v>
      </c>
      <c r="R29" s="152">
        <f>IF(表1_86121822242672104[[#This Row],[目标国家]]="魏",0,IF(表1_86121822242672104[[#This Row],[目标国家]]="蜀",1,2))</f>
        <v>0</v>
      </c>
      <c r="S29" s="327">
        <v>90324</v>
      </c>
      <c r="T29" s="327">
        <v>0</v>
      </c>
      <c r="U29" s="327">
        <v>438284</v>
      </c>
      <c r="V29" s="327">
        <v>8737</v>
      </c>
      <c r="W29" s="327">
        <v>762231</v>
      </c>
      <c r="X29" s="196" t="str">
        <f>"{"&amp;"'coin':"&amp;表1_86121822242672104[[#This Row],[补偿Coin]]&amp;",'"&amp;配置!$A$2&amp;"':"&amp;表1_86121822242672104[[#This Row],[补偿辎重]]&amp;"},"</f>
        <v>{'coin':1500,'item036':15},</v>
      </c>
      <c r="Y29" s="194" t="str">
        <f>"      '"&amp;表1_86121822242672104[[#This Row],[区服]]&amp;"':{"</f>
        <v>      '215':{</v>
      </c>
    </row>
    <row r="30" ht="14.25" customHeight="1" spans="1:25">
      <c r="A30" s="150">
        <v>215</v>
      </c>
      <c r="B30" s="150">
        <f>VLOOKUP(表1_86121822242672104[[#This Row],[区服]],$P$47:$Q$60,2,FALSE)</f>
        <v>40</v>
      </c>
      <c r="C30" s="151" t="s">
        <v>246</v>
      </c>
      <c r="D30" s="152" t="str">
        <f>表1_86121822242672104[[#This Row],[目标国家]]</f>
        <v>蜀</v>
      </c>
      <c r="E30" s="153">
        <f>(VLOOKUP(表1_86121822242672104[[#This Row],[目标区服]],$R$47:$S$53,2,FALSE)-表1_86121822242672104[[#This Row],[开服天数]])*配置!$B$1</f>
        <v>1500</v>
      </c>
      <c r="F30" s="153">
        <f>表1_86121822242672104[[#This Row],[补偿Coin]]*(表1_86121822242672104[[#This Row],[活跃高战玩家数]]+表1_86121822242672104[[#This Row],[活跃中坚玩家数]])</f>
        <v>27000</v>
      </c>
      <c r="G30" s="153">
        <f>(VLOOKUP(表1_86121822242672104[[#This Row],[目标区服]],$R$47:$S$53,2,FALSE)-表1_86121822242672104[[#This Row],[开服天数]])*配置!$B$2</f>
        <v>15</v>
      </c>
      <c r="H30" s="152" t="s">
        <v>26</v>
      </c>
      <c r="I30" s="152">
        <f>IF(表1_86121822242672104[[#This Row],[原国家]]="魏",0,IF(表1_86121822242672104[[#This Row],[原国家]]="蜀",1,2))</f>
        <v>1</v>
      </c>
      <c r="J30" s="327">
        <v>2</v>
      </c>
      <c r="K30" s="327">
        <v>95</v>
      </c>
      <c r="L30" s="327">
        <v>1</v>
      </c>
      <c r="M30" s="327">
        <v>17</v>
      </c>
      <c r="N30" s="327">
        <v>33596</v>
      </c>
      <c r="O30" s="327">
        <v>1556229</v>
      </c>
      <c r="P30" s="327">
        <v>11802347</v>
      </c>
      <c r="Q30" s="31" t="s">
        <v>26</v>
      </c>
      <c r="R30" s="152">
        <f>IF(表1_86121822242672104[[#This Row],[目标国家]]="魏",0,IF(表1_86121822242672104[[#This Row],[目标国家]]="蜀",1,2))</f>
        <v>1</v>
      </c>
      <c r="S30" s="327">
        <v>55430</v>
      </c>
      <c r="T30" s="327">
        <v>0</v>
      </c>
      <c r="U30" s="327">
        <v>56720</v>
      </c>
      <c r="V30" s="327">
        <v>5745</v>
      </c>
      <c r="W30" s="327">
        <v>579508</v>
      </c>
      <c r="X30" s="196" t="str">
        <f>"{"&amp;"'coin':"&amp;表1_86121822242672104[[#This Row],[补偿Coin]]&amp;",'"&amp;配置!$A$2&amp;"':"&amp;表1_86121822242672104[[#This Row],[补偿辎重]]&amp;"},"</f>
        <v>{'coin':1500,'item036':15},</v>
      </c>
      <c r="Y30" s="194" t="str">
        <f>"            'to_zone':'"&amp;表1_86121822242672104[[#This Row],[目标区服]]&amp;"',
            'reward':"&amp;表1_86121822242672104[[#This Row],[辅助导出]]&amp;"
            'country':["&amp;R29&amp;","&amp;R30&amp;","&amp;R31&amp;"],"</f>
        <v>            'to_zone':'h1_94',
            'reward':{'coin':1500,'item036':15},
            'country':[0,1,2],</v>
      </c>
    </row>
    <row r="31" ht="14.25" customHeight="1" spans="1:25">
      <c r="A31" s="150">
        <v>215</v>
      </c>
      <c r="B31" s="150">
        <f>VLOOKUP(表1_86121822242672104[[#This Row],[区服]],$P$47:$Q$60,2,FALSE)</f>
        <v>40</v>
      </c>
      <c r="C31" s="151" t="s">
        <v>246</v>
      </c>
      <c r="D31" s="152" t="str">
        <f>表1_86121822242672104[[#This Row],[目标国家]]</f>
        <v>吴</v>
      </c>
      <c r="E31" s="153">
        <f>(VLOOKUP(表1_86121822242672104[[#This Row],[目标区服]],$R$47:$S$53,2,FALSE)-表1_86121822242672104[[#This Row],[开服天数]])*配置!$B$1</f>
        <v>1500</v>
      </c>
      <c r="F31" s="153">
        <f>表1_86121822242672104[[#This Row],[补偿Coin]]*(表1_86121822242672104[[#This Row],[活跃高战玩家数]]+表1_86121822242672104[[#This Row],[活跃中坚玩家数]])</f>
        <v>66000</v>
      </c>
      <c r="G31" s="153">
        <f>(VLOOKUP(表1_86121822242672104[[#This Row],[目标区服]],$R$47:$S$53,2,FALSE)-表1_86121822242672104[[#This Row],[开服天数]])*配置!$B$2</f>
        <v>15</v>
      </c>
      <c r="H31" s="152" t="s">
        <v>27</v>
      </c>
      <c r="I31" s="152">
        <f>IF(表1_86121822242672104[[#This Row],[原国家]]="魏",0,IF(表1_86121822242672104[[#This Row],[原国家]]="蜀",1,2))</f>
        <v>2</v>
      </c>
      <c r="J31" s="327">
        <v>6</v>
      </c>
      <c r="K31" s="327">
        <v>253</v>
      </c>
      <c r="L31" s="327">
        <v>5</v>
      </c>
      <c r="M31" s="327">
        <v>39</v>
      </c>
      <c r="N31" s="327">
        <v>201490</v>
      </c>
      <c r="O31" s="327">
        <v>4908775</v>
      </c>
      <c r="P31" s="327">
        <v>47898502</v>
      </c>
      <c r="Q31" s="31" t="s">
        <v>27</v>
      </c>
      <c r="R31" s="152">
        <f>IF(表1_86121822242672104[[#This Row],[目标国家]]="魏",0,IF(表1_86121822242672104[[#This Row],[目标国家]]="蜀",1,2))</f>
        <v>2</v>
      </c>
      <c r="S31" s="327">
        <v>356162</v>
      </c>
      <c r="T31" s="327">
        <v>0</v>
      </c>
      <c r="U31" s="327">
        <v>1537567</v>
      </c>
      <c r="V31" s="327">
        <v>25289</v>
      </c>
      <c r="W31" s="337">
        <v>1242746</v>
      </c>
      <c r="X31" s="196" t="str">
        <f>"{"&amp;"'coin':"&amp;表1_86121822242672104[[#This Row],[补偿Coin]]&amp;",'"&amp;配置!$A$2&amp;"':"&amp;表1_86121822242672104[[#This Row],[补偿辎重]]&amp;"},"</f>
        <v>{'coin':1500,'item036':15},</v>
      </c>
      <c r="Y31" s="194" t="str">
        <f>"      },"</f>
        <v>      },</v>
      </c>
    </row>
    <row r="32" ht="14.25" customHeight="1" spans="1:25">
      <c r="A32" s="86">
        <v>216</v>
      </c>
      <c r="B32" s="86">
        <f>VLOOKUP(表1_86121822242672104[[#This Row],[区服]],$P$47:$Q$60,2,FALSE)</f>
        <v>39</v>
      </c>
      <c r="C32" s="87" t="s">
        <v>247</v>
      </c>
      <c r="D32" s="315" t="str">
        <f>表1_86121822242672104[[#This Row],[目标国家]]</f>
        <v>蜀</v>
      </c>
      <c r="E32" s="89">
        <f>(VLOOKUP(表1_86121822242672104[[#This Row],[目标区服]],$R$47:$S$53,2,FALSE)-表1_86121822242672104[[#This Row],[开服天数]])*配置!$B$1</f>
        <v>1000</v>
      </c>
      <c r="F32" s="89">
        <f>表1_86121822242672104[[#This Row],[补偿Coin]]*(表1_86121822242672104[[#This Row],[活跃高战玩家数]]+表1_86121822242672104[[#This Row],[活跃中坚玩家数]])</f>
        <v>10000</v>
      </c>
      <c r="G32" s="89">
        <f>(VLOOKUP(表1_86121822242672104[[#This Row],[目标区服]],$R$47:$S$53,2,FALSE)-表1_86121822242672104[[#This Row],[开服天数]])*配置!$B$2</f>
        <v>10</v>
      </c>
      <c r="H32" s="88" t="s">
        <v>25</v>
      </c>
      <c r="I32" s="88">
        <f>IF(表1_86121822242672104[[#This Row],[原国家]]="魏",0,IF(表1_86121822242672104[[#This Row],[原国家]]="蜀",1,2))</f>
        <v>0</v>
      </c>
      <c r="J32" s="329">
        <v>0</v>
      </c>
      <c r="K32" s="329">
        <v>23</v>
      </c>
      <c r="L32" s="329">
        <v>0</v>
      </c>
      <c r="M32" s="329">
        <v>10</v>
      </c>
      <c r="N32" s="329">
        <v>13384</v>
      </c>
      <c r="O32" s="329">
        <v>1105946</v>
      </c>
      <c r="P32" s="329">
        <v>4977987</v>
      </c>
      <c r="Q32" s="132" t="s">
        <v>26</v>
      </c>
      <c r="R32" s="88">
        <f>IF(表1_86121822242672104[[#This Row],[目标国家]]="魏",0,IF(表1_86121822242672104[[#This Row],[目标国家]]="蜀",1,2))</f>
        <v>1</v>
      </c>
      <c r="S32" s="329">
        <v>2468</v>
      </c>
      <c r="T32" s="329">
        <v>0</v>
      </c>
      <c r="U32" s="329">
        <v>51881</v>
      </c>
      <c r="V32" s="329">
        <v>2000</v>
      </c>
      <c r="W32" s="329">
        <v>404971</v>
      </c>
      <c r="X32" s="134" t="str">
        <f>"{"&amp;"'coin':"&amp;表1_86121822242672104[[#This Row],[补偿Coin]]&amp;",'"&amp;配置!$A$2&amp;"':"&amp;表1_86121822242672104[[#This Row],[补偿辎重]]&amp;"},"</f>
        <v>{'coin':1000,'item036':10},</v>
      </c>
      <c r="Y32" s="136" t="str">
        <f>"      '"&amp;表1_86121822242672104[[#This Row],[区服]]&amp;"':{"</f>
        <v>      '216':{</v>
      </c>
    </row>
    <row r="33" ht="14.25" customHeight="1" spans="1:25">
      <c r="A33" s="86">
        <v>216</v>
      </c>
      <c r="B33" s="86">
        <f>VLOOKUP(表1_86121822242672104[[#This Row],[区服]],$P$47:$Q$60,2,FALSE)</f>
        <v>39</v>
      </c>
      <c r="C33" s="87" t="s">
        <v>247</v>
      </c>
      <c r="D33" s="88" t="str">
        <f>表1_86121822242672104[[#This Row],[目标国家]]</f>
        <v>蜀</v>
      </c>
      <c r="E33" s="89">
        <f>(VLOOKUP(表1_86121822242672104[[#This Row],[目标区服]],$R$47:$S$53,2,FALSE)-表1_86121822242672104[[#This Row],[开服天数]])*配置!$B$1</f>
        <v>1000</v>
      </c>
      <c r="F33" s="89">
        <f>表1_86121822242672104[[#This Row],[补偿Coin]]*(表1_86121822242672104[[#This Row],[活跃高战玩家数]]+表1_86121822242672104[[#This Row],[活跃中坚玩家数]])</f>
        <v>50000</v>
      </c>
      <c r="G33" s="89">
        <f>(VLOOKUP(表1_86121822242672104[[#This Row],[目标区服]],$R$47:$S$53,2,FALSE)-表1_86121822242672104[[#This Row],[开服天数]])*配置!$B$2</f>
        <v>10</v>
      </c>
      <c r="H33" s="88" t="s">
        <v>26</v>
      </c>
      <c r="I33" s="88">
        <f>IF(表1_86121822242672104[[#This Row],[原国家]]="魏",0,IF(表1_86121822242672104[[#This Row],[原国家]]="蜀",1,2))</f>
        <v>1</v>
      </c>
      <c r="J33" s="329">
        <v>8</v>
      </c>
      <c r="K33" s="329">
        <v>328</v>
      </c>
      <c r="L33" s="329">
        <v>8</v>
      </c>
      <c r="M33" s="329">
        <v>42</v>
      </c>
      <c r="N33" s="329">
        <v>215241</v>
      </c>
      <c r="O33" s="329">
        <v>3116850</v>
      </c>
      <c r="P33" s="329">
        <v>44173783</v>
      </c>
      <c r="Q33" s="132" t="s">
        <v>26</v>
      </c>
      <c r="R33" s="88">
        <f>IF(表1_86121822242672104[[#This Row],[目标国家]]="魏",0,IF(表1_86121822242672104[[#This Row],[目标国家]]="蜀",1,2))</f>
        <v>1</v>
      </c>
      <c r="S33" s="329">
        <v>181074</v>
      </c>
      <c r="T33" s="329">
        <v>0</v>
      </c>
      <c r="U33" s="329">
        <v>1188991</v>
      </c>
      <c r="V33" s="329">
        <v>18717</v>
      </c>
      <c r="W33" s="338">
        <v>875626</v>
      </c>
      <c r="X33" s="134" t="str">
        <f>"{"&amp;"'coin':"&amp;表1_86121822242672104[[#This Row],[补偿Coin]]&amp;",'"&amp;配置!$A$2&amp;"':"&amp;表1_86121822242672104[[#This Row],[补偿辎重]]&amp;"},"</f>
        <v>{'coin':1000,'item036':10},</v>
      </c>
      <c r="Y33" s="136" t="str">
        <f>"            'to_zone':'"&amp;表1_86121822242672104[[#This Row],[目标区服]]&amp;"',
            'reward':"&amp;表1_86121822242672104[[#This Row],[辅助导出]]&amp;"
            'country':["&amp;R32&amp;","&amp;R33&amp;","&amp;R34&amp;"],"</f>
        <v>            'to_zone':'h1_95',
            'reward':{'coin':1000,'item036':10},
            'country':[1,1,0],</v>
      </c>
    </row>
    <row r="34" ht="14.25" customHeight="1" spans="1:25">
      <c r="A34" s="86">
        <v>216</v>
      </c>
      <c r="B34" s="86">
        <f>VLOOKUP(表1_86121822242672104[[#This Row],[区服]],$P$47:$Q$60,2,FALSE)</f>
        <v>39</v>
      </c>
      <c r="C34" s="87" t="s">
        <v>247</v>
      </c>
      <c r="D34" s="88" t="str">
        <f>表1_86121822242672104[[#This Row],[目标国家]]</f>
        <v>魏</v>
      </c>
      <c r="E34" s="89">
        <f>(VLOOKUP(表1_86121822242672104[[#This Row],[目标区服]],$R$47:$S$53,2,FALSE)-表1_86121822242672104[[#This Row],[开服天数]])*配置!$B$1</f>
        <v>1000</v>
      </c>
      <c r="F34" s="89">
        <f>表1_86121822242672104[[#This Row],[补偿Coin]]*(表1_86121822242672104[[#This Row],[活跃高战玩家数]]+表1_86121822242672104[[#This Row],[活跃中坚玩家数]])</f>
        <v>18000</v>
      </c>
      <c r="G34" s="89">
        <f>(VLOOKUP(表1_86121822242672104[[#This Row],[目标区服]],$R$47:$S$53,2,FALSE)-表1_86121822242672104[[#This Row],[开服天数]])*配置!$B$2</f>
        <v>10</v>
      </c>
      <c r="H34" s="88" t="s">
        <v>27</v>
      </c>
      <c r="I34" s="88">
        <f>IF(表1_86121822242672104[[#This Row],[原国家]]="魏",0,IF(表1_86121822242672104[[#This Row],[原国家]]="蜀",1,2))</f>
        <v>2</v>
      </c>
      <c r="J34" s="329">
        <v>1</v>
      </c>
      <c r="K34" s="329">
        <v>44</v>
      </c>
      <c r="L34" s="329">
        <v>2</v>
      </c>
      <c r="M34" s="329">
        <v>16</v>
      </c>
      <c r="N34" s="329">
        <v>73373</v>
      </c>
      <c r="O34" s="329">
        <v>2107608</v>
      </c>
      <c r="P34" s="329">
        <v>14783634</v>
      </c>
      <c r="Q34" s="132" t="s">
        <v>25</v>
      </c>
      <c r="R34" s="88">
        <f>IF(表1_86121822242672104[[#This Row],[目标国家]]="魏",0,IF(表1_86121822242672104[[#This Row],[目标国家]]="蜀",1,2))</f>
        <v>0</v>
      </c>
      <c r="S34" s="329">
        <v>67608</v>
      </c>
      <c r="T34" s="329">
        <v>0</v>
      </c>
      <c r="U34" s="329">
        <v>193326</v>
      </c>
      <c r="V34" s="329">
        <v>6617</v>
      </c>
      <c r="W34" s="329">
        <v>650967</v>
      </c>
      <c r="X34" s="134" t="str">
        <f>"{"&amp;"'coin':"&amp;表1_86121822242672104[[#This Row],[补偿Coin]]&amp;",'"&amp;配置!$A$2&amp;"':"&amp;表1_86121822242672104[[#This Row],[补偿辎重]]&amp;"},"</f>
        <v>{'coin':1000,'item036':10},</v>
      </c>
      <c r="Y34" s="136" t="str">
        <f>"      },"</f>
        <v>      },</v>
      </c>
    </row>
    <row r="35" ht="14.25" customHeight="1" spans="1:25">
      <c r="A35" s="86">
        <v>217</v>
      </c>
      <c r="B35" s="86">
        <f>VLOOKUP(表1_86121822242672104[[#This Row],[区服]],$P$47:$Q$60,2,FALSE)</f>
        <v>38</v>
      </c>
      <c r="C35" s="87" t="s">
        <v>247</v>
      </c>
      <c r="D35" s="315" t="str">
        <f>表1_86121822242672104[[#This Row],[目标国家]]</f>
        <v>魏</v>
      </c>
      <c r="E35" s="89">
        <f>(VLOOKUP(表1_86121822242672104[[#This Row],[目标区服]],$R$47:$S$53,2,FALSE)-表1_86121822242672104[[#This Row],[开服天数]])*配置!$B$1</f>
        <v>1500</v>
      </c>
      <c r="F35" s="89">
        <f>表1_86121822242672104[[#This Row],[补偿Coin]]*(表1_86121822242672104[[#This Row],[活跃高战玩家数]]+表1_86121822242672104[[#This Row],[活跃中坚玩家数]])</f>
        <v>46500</v>
      </c>
      <c r="G35" s="89">
        <f>(VLOOKUP(表1_86121822242672104[[#This Row],[目标区服]],$R$47:$S$53,2,FALSE)-表1_86121822242672104[[#This Row],[开服天数]])*配置!$B$2</f>
        <v>15</v>
      </c>
      <c r="H35" s="88" t="s">
        <v>25</v>
      </c>
      <c r="I35" s="88">
        <f>IF(表1_86121822242672104[[#This Row],[原国家]]="魏",0,IF(表1_86121822242672104[[#This Row],[原国家]]="蜀",1,2))</f>
        <v>0</v>
      </c>
      <c r="J35" s="329">
        <v>4</v>
      </c>
      <c r="K35" s="329">
        <v>149</v>
      </c>
      <c r="L35" s="329">
        <v>4</v>
      </c>
      <c r="M35" s="329">
        <v>27</v>
      </c>
      <c r="N35" s="329">
        <v>104557</v>
      </c>
      <c r="O35" s="329">
        <v>3171223</v>
      </c>
      <c r="P35" s="329">
        <v>26249908</v>
      </c>
      <c r="Q35" s="132" t="s">
        <v>25</v>
      </c>
      <c r="R35" s="88">
        <f>IF(表1_86121822242672104[[#This Row],[目标国家]]="魏",0,IF(表1_86121822242672104[[#This Row],[目标国家]]="蜀",1,2))</f>
        <v>0</v>
      </c>
      <c r="S35" s="329">
        <v>156067</v>
      </c>
      <c r="T35" s="329">
        <v>0</v>
      </c>
      <c r="U35" s="329">
        <v>582902</v>
      </c>
      <c r="V35" s="329">
        <v>13182</v>
      </c>
      <c r="W35" s="338">
        <v>855415</v>
      </c>
      <c r="X35" s="134" t="str">
        <f>"{"&amp;"'coin':"&amp;表1_86121822242672104[[#This Row],[补偿Coin]]&amp;",'"&amp;配置!$A$2&amp;"':"&amp;表1_86121822242672104[[#This Row],[补偿辎重]]&amp;"},"</f>
        <v>{'coin':1500,'item036':15},</v>
      </c>
      <c r="Y35" s="136" t="str">
        <f>"      '"&amp;表1_86121822242672104[[#This Row],[区服]]&amp;"':{"</f>
        <v>      '217':{</v>
      </c>
    </row>
    <row r="36" ht="14.25" customHeight="1" spans="1:25">
      <c r="A36" s="86">
        <v>217</v>
      </c>
      <c r="B36" s="86">
        <f>VLOOKUP(表1_86121822242672104[[#This Row],[区服]],$P$47:$Q$60,2,FALSE)</f>
        <v>38</v>
      </c>
      <c r="C36" s="87" t="s">
        <v>247</v>
      </c>
      <c r="D36" s="88" t="str">
        <f>表1_86121822242672104[[#This Row],[目标国家]]</f>
        <v>吴</v>
      </c>
      <c r="E36" s="89">
        <f>(VLOOKUP(表1_86121822242672104[[#This Row],[目标区服]],$R$47:$S$53,2,FALSE)-表1_86121822242672104[[#This Row],[开服天数]])*配置!$B$1</f>
        <v>1500</v>
      </c>
      <c r="F36" s="89">
        <f>表1_86121822242672104[[#This Row],[补偿Coin]]*(表1_86121822242672104[[#This Row],[活跃高战玩家数]]+表1_86121822242672104[[#This Row],[活跃中坚玩家数]])</f>
        <v>46500</v>
      </c>
      <c r="G36" s="89">
        <f>(VLOOKUP(表1_86121822242672104[[#This Row],[目标区服]],$R$47:$S$53,2,FALSE)-表1_86121822242672104[[#This Row],[开服天数]])*配置!$B$2</f>
        <v>15</v>
      </c>
      <c r="H36" s="88" t="s">
        <v>26</v>
      </c>
      <c r="I36" s="88">
        <f>IF(表1_86121822242672104[[#This Row],[原国家]]="魏",0,IF(表1_86121822242672104[[#This Row],[原国家]]="蜀",1,2))</f>
        <v>1</v>
      </c>
      <c r="J36" s="329">
        <v>4</v>
      </c>
      <c r="K36" s="329">
        <v>179</v>
      </c>
      <c r="L36" s="329">
        <v>4</v>
      </c>
      <c r="M36" s="329">
        <v>27</v>
      </c>
      <c r="N36" s="329">
        <v>117819</v>
      </c>
      <c r="O36" s="329">
        <v>2950888</v>
      </c>
      <c r="P36" s="329">
        <v>25176081</v>
      </c>
      <c r="Q36" s="132" t="s">
        <v>27</v>
      </c>
      <c r="R36" s="88">
        <f>IF(表1_86121822242672104[[#This Row],[目标国家]]="魏",0,IF(表1_86121822242672104[[#This Row],[目标国家]]="蜀",1,2))</f>
        <v>2</v>
      </c>
      <c r="S36" s="329">
        <v>59578</v>
      </c>
      <c r="T36" s="329">
        <v>0</v>
      </c>
      <c r="U36" s="329">
        <v>261668</v>
      </c>
      <c r="V36" s="329">
        <v>10165</v>
      </c>
      <c r="W36" s="329">
        <v>835798</v>
      </c>
      <c r="X36" s="134" t="str">
        <f>"{"&amp;"'coin':"&amp;表1_86121822242672104[[#This Row],[补偿Coin]]&amp;",'"&amp;配置!$A$2&amp;"':"&amp;表1_86121822242672104[[#This Row],[补偿辎重]]&amp;"},"</f>
        <v>{'coin':1500,'item036':15},</v>
      </c>
      <c r="Y36" s="136" t="str">
        <f>"            'to_zone':'"&amp;表1_86121822242672104[[#This Row],[目标区服]]&amp;"',
            'reward':"&amp;表1_86121822242672104[[#This Row],[辅助导出]]&amp;"
            'country':["&amp;R35&amp;","&amp;R36&amp;","&amp;R37&amp;"],"</f>
        <v>            'to_zone':'h1_95',
            'reward':{'coin':1500,'item036':15},
            'country':[0,2,2],</v>
      </c>
    </row>
    <row r="37" ht="14.25" customHeight="1" spans="1:25">
      <c r="A37" s="86">
        <v>217</v>
      </c>
      <c r="B37" s="86">
        <f>VLOOKUP(表1_86121822242672104[[#This Row],[区服]],$P$47:$Q$60,2,FALSE)</f>
        <v>38</v>
      </c>
      <c r="C37" s="87" t="s">
        <v>247</v>
      </c>
      <c r="D37" s="88" t="str">
        <f>表1_86121822242672104[[#This Row],[目标国家]]</f>
        <v>吴</v>
      </c>
      <c r="E37" s="89">
        <f>(VLOOKUP(表1_86121822242672104[[#This Row],[目标区服]],$R$47:$S$53,2,FALSE)-表1_86121822242672104[[#This Row],[开服天数]])*配置!$B$1</f>
        <v>1500</v>
      </c>
      <c r="F37" s="89">
        <f>表1_86121822242672104[[#This Row],[补偿Coin]]*(表1_86121822242672104[[#This Row],[活跃高战玩家数]]+表1_86121822242672104[[#This Row],[活跃中坚玩家数]])</f>
        <v>42000</v>
      </c>
      <c r="G37" s="89">
        <f>(VLOOKUP(表1_86121822242672104[[#This Row],[目标区服]],$R$47:$S$53,2,FALSE)-表1_86121822242672104[[#This Row],[开服天数]])*配置!$B$2</f>
        <v>15</v>
      </c>
      <c r="H37" s="88" t="s">
        <v>27</v>
      </c>
      <c r="I37" s="88">
        <f>IF(表1_86121822242672104[[#This Row],[原国家]]="魏",0,IF(表1_86121822242672104[[#This Row],[原国家]]="蜀",1,2))</f>
        <v>2</v>
      </c>
      <c r="J37" s="329">
        <v>1</v>
      </c>
      <c r="K37" s="329">
        <v>67</v>
      </c>
      <c r="L37" s="329">
        <v>1</v>
      </c>
      <c r="M37" s="329">
        <v>27</v>
      </c>
      <c r="N37" s="329">
        <v>94816</v>
      </c>
      <c r="O37" s="329">
        <v>1869176</v>
      </c>
      <c r="P37" s="329">
        <v>20020941</v>
      </c>
      <c r="Q37" s="132" t="s">
        <v>27</v>
      </c>
      <c r="R37" s="88">
        <f>IF(表1_86121822242672104[[#This Row],[目标国家]]="魏",0,IF(表1_86121822242672104[[#This Row],[目标国家]]="蜀",1,2))</f>
        <v>2</v>
      </c>
      <c r="S37" s="329">
        <v>42952</v>
      </c>
      <c r="T37" s="329">
        <v>30</v>
      </c>
      <c r="U37" s="329">
        <v>233072</v>
      </c>
      <c r="V37" s="329">
        <v>6520</v>
      </c>
      <c r="W37" s="329">
        <v>590354</v>
      </c>
      <c r="X37" s="134" t="str">
        <f>"{"&amp;"'coin':"&amp;表1_86121822242672104[[#This Row],[补偿Coin]]&amp;",'"&amp;配置!$A$2&amp;"':"&amp;表1_86121822242672104[[#This Row],[补偿辎重]]&amp;"},"</f>
        <v>{'coin':1500,'item036':15},</v>
      </c>
      <c r="Y37" s="136" t="str">
        <f>"      },"</f>
        <v>      },</v>
      </c>
    </row>
    <row r="38" ht="14.25" customHeight="1" spans="1:25">
      <c r="A38" s="214">
        <v>218</v>
      </c>
      <c r="B38" s="214">
        <f>VLOOKUP(表1_86121822242672104[[#This Row],[区服]],$P$47:$Q$60,2,FALSE)</f>
        <v>37</v>
      </c>
      <c r="C38" s="293" t="s">
        <v>248</v>
      </c>
      <c r="D38" s="322" t="str">
        <f>表1_86121822242672104[[#This Row],[目标国家]]</f>
        <v>吴</v>
      </c>
      <c r="E38" s="294">
        <f>(VLOOKUP(表1_86121822242672104[[#This Row],[目标区服]],$R$47:$S$53,2,FALSE)-表1_86121822242672104[[#This Row],[开服天数]])*配置!$B$1</f>
        <v>1000</v>
      </c>
      <c r="F38" s="294">
        <f>表1_86121822242672104[[#This Row],[补偿Coin]]*(表1_86121822242672104[[#This Row],[活跃高战玩家数]]+表1_86121822242672104[[#This Row],[活跃中坚玩家数]])</f>
        <v>15000</v>
      </c>
      <c r="G38" s="294">
        <f>(VLOOKUP(表1_86121822242672104[[#This Row],[目标区服]],$R$47:$S$53,2,FALSE)-表1_86121822242672104[[#This Row],[开服天数]])*配置!$B$2</f>
        <v>10</v>
      </c>
      <c r="H38" s="216" t="s">
        <v>25</v>
      </c>
      <c r="I38" s="216">
        <f>IF(表1_86121822242672104[[#This Row],[原国家]]="魏",0,IF(表1_86121822242672104[[#This Row],[原国家]]="蜀",1,2))</f>
        <v>0</v>
      </c>
      <c r="J38" s="333">
        <v>0</v>
      </c>
      <c r="K38" s="333">
        <v>28</v>
      </c>
      <c r="L38" s="333">
        <v>2</v>
      </c>
      <c r="M38" s="333">
        <v>13</v>
      </c>
      <c r="N38" s="333">
        <v>41508</v>
      </c>
      <c r="O38" s="333">
        <v>1848432</v>
      </c>
      <c r="P38" s="333">
        <v>9056473</v>
      </c>
      <c r="Q38" s="31" t="s">
        <v>27</v>
      </c>
      <c r="R38" s="216">
        <f>IF(表1_86121822242672104[[#This Row],[目标国家]]="魏",0,IF(表1_86121822242672104[[#This Row],[目标国家]]="蜀",1,2))</f>
        <v>2</v>
      </c>
      <c r="S38" s="333">
        <v>38260</v>
      </c>
      <c r="T38" s="333">
        <v>0</v>
      </c>
      <c r="U38" s="333">
        <v>124276</v>
      </c>
      <c r="V38" s="333">
        <v>4451</v>
      </c>
      <c r="W38" s="333">
        <v>604097</v>
      </c>
      <c r="X38" s="249" t="str">
        <f>"{"&amp;"'coin':"&amp;表1_86121822242672104[[#This Row],[补偿Coin]]&amp;",'"&amp;配置!$A$2&amp;"':"&amp;表1_86121822242672104[[#This Row],[补偿辎重]]&amp;"},"</f>
        <v>{'coin':1000,'item036':10},</v>
      </c>
      <c r="Y38" s="251" t="str">
        <f>"      '"&amp;表1_86121822242672104[[#This Row],[区服]]&amp;"':{"</f>
        <v>      '218':{</v>
      </c>
    </row>
    <row r="39" ht="14.25" customHeight="1" spans="1:25">
      <c r="A39" s="214">
        <v>218</v>
      </c>
      <c r="B39" s="214">
        <f>VLOOKUP(表1_86121822242672104[[#This Row],[区服]],$P$47:$Q$60,2,FALSE)</f>
        <v>37</v>
      </c>
      <c r="C39" s="293" t="s">
        <v>248</v>
      </c>
      <c r="D39" s="216" t="str">
        <f>表1_86121822242672104[[#This Row],[目标国家]]</f>
        <v>蜀</v>
      </c>
      <c r="E39" s="294">
        <f>(VLOOKUP(表1_86121822242672104[[#This Row],[目标区服]],$R$47:$S$53,2,FALSE)-表1_86121822242672104[[#This Row],[开服天数]])*配置!$B$1</f>
        <v>1000</v>
      </c>
      <c r="F39" s="294">
        <f>表1_86121822242672104[[#This Row],[补偿Coin]]*(表1_86121822242672104[[#This Row],[活跃高战玩家数]]+表1_86121822242672104[[#This Row],[活跃中坚玩家数]])</f>
        <v>48000</v>
      </c>
      <c r="G39" s="294">
        <f>(VLOOKUP(表1_86121822242672104[[#This Row],[目标区服]],$R$47:$S$53,2,FALSE)-表1_86121822242672104[[#This Row],[开服天数]])*配置!$B$2</f>
        <v>10</v>
      </c>
      <c r="H39" s="216" t="s">
        <v>26</v>
      </c>
      <c r="I39" s="216">
        <f>IF(表1_86121822242672104[[#This Row],[原国家]]="魏",0,IF(表1_86121822242672104[[#This Row],[原国家]]="蜀",1,2))</f>
        <v>1</v>
      </c>
      <c r="J39" s="333">
        <v>9</v>
      </c>
      <c r="K39" s="333">
        <v>319</v>
      </c>
      <c r="L39" s="333">
        <v>8</v>
      </c>
      <c r="M39" s="333">
        <v>40</v>
      </c>
      <c r="N39" s="333">
        <v>216068</v>
      </c>
      <c r="O39" s="333">
        <v>2989412</v>
      </c>
      <c r="P39" s="333">
        <v>38160443</v>
      </c>
      <c r="Q39" s="31" t="s">
        <v>26</v>
      </c>
      <c r="R39" s="216">
        <f>IF(表1_86121822242672104[[#This Row],[目标国家]]="魏",0,IF(表1_86121822242672104[[#This Row],[目标国家]]="蜀",1,2))</f>
        <v>1</v>
      </c>
      <c r="S39" s="333">
        <v>140257</v>
      </c>
      <c r="T39" s="333">
        <v>0</v>
      </c>
      <c r="U39" s="333">
        <v>754080</v>
      </c>
      <c r="V39" s="333">
        <v>16560</v>
      </c>
      <c r="W39" s="342">
        <v>907845</v>
      </c>
      <c r="X39" s="249" t="str">
        <f>"{"&amp;"'coin':"&amp;表1_86121822242672104[[#This Row],[补偿Coin]]&amp;",'"&amp;配置!$A$2&amp;"':"&amp;表1_86121822242672104[[#This Row],[补偿辎重]]&amp;"},"</f>
        <v>{'coin':1000,'item036':10},</v>
      </c>
      <c r="Y39" s="251" t="str">
        <f>"            'to_zone':'"&amp;表1_86121822242672104[[#This Row],[目标区服]]&amp;"',
            'reward':"&amp;表1_86121822242672104[[#This Row],[辅助导出]]&amp;"
            'country':["&amp;R38&amp;","&amp;R39&amp;","&amp;R40&amp;"],"</f>
        <v>            'to_zone':'h1_96',
            'reward':{'coin':1000,'item036':10},
            'country':[2,1,2],</v>
      </c>
    </row>
    <row r="40" ht="14.25" customHeight="1" spans="1:25">
      <c r="A40" s="214">
        <v>218</v>
      </c>
      <c r="B40" s="214">
        <f>VLOOKUP(表1_86121822242672104[[#This Row],[区服]],$P$47:$Q$60,2,FALSE)</f>
        <v>37</v>
      </c>
      <c r="C40" s="293" t="s">
        <v>248</v>
      </c>
      <c r="D40" s="216" t="str">
        <f>表1_86121822242672104[[#This Row],[目标国家]]</f>
        <v>吴</v>
      </c>
      <c r="E40" s="294">
        <f>(VLOOKUP(表1_86121822242672104[[#This Row],[目标区服]],$R$47:$S$53,2,FALSE)-表1_86121822242672104[[#This Row],[开服天数]])*配置!$B$1</f>
        <v>1000</v>
      </c>
      <c r="F40" s="294">
        <f>表1_86121822242672104[[#This Row],[补偿Coin]]*(表1_86121822242672104[[#This Row],[活跃高战玩家数]]+表1_86121822242672104[[#This Row],[活跃中坚玩家数]])</f>
        <v>19000</v>
      </c>
      <c r="G40" s="294">
        <f>(VLOOKUP(表1_86121822242672104[[#This Row],[目标区服]],$R$47:$S$53,2,FALSE)-表1_86121822242672104[[#This Row],[开服天数]])*配置!$B$2</f>
        <v>10</v>
      </c>
      <c r="H40" s="216" t="s">
        <v>27</v>
      </c>
      <c r="I40" s="216">
        <f>IF(表1_86121822242672104[[#This Row],[原国家]]="魏",0,IF(表1_86121822242672104[[#This Row],[原国家]]="蜀",1,2))</f>
        <v>2</v>
      </c>
      <c r="J40" s="333">
        <v>0</v>
      </c>
      <c r="K40" s="333">
        <v>48</v>
      </c>
      <c r="L40" s="333">
        <v>0</v>
      </c>
      <c r="M40" s="333">
        <v>19</v>
      </c>
      <c r="N40" s="333">
        <v>61109</v>
      </c>
      <c r="O40" s="333">
        <v>1102965</v>
      </c>
      <c r="P40" s="333">
        <v>10509689</v>
      </c>
      <c r="Q40" s="31" t="s">
        <v>27</v>
      </c>
      <c r="R40" s="216">
        <f>IF(表1_86121822242672104[[#This Row],[目标国家]]="魏",0,IF(表1_86121822242672104[[#This Row],[目标国家]]="蜀",1,2))</f>
        <v>2</v>
      </c>
      <c r="S40" s="333">
        <v>12072</v>
      </c>
      <c r="T40" s="333">
        <v>0</v>
      </c>
      <c r="U40" s="333">
        <v>115842</v>
      </c>
      <c r="V40" s="333">
        <v>3359</v>
      </c>
      <c r="W40" s="333">
        <v>306007</v>
      </c>
      <c r="X40" s="249" t="str">
        <f>"{"&amp;"'coin':"&amp;表1_86121822242672104[[#This Row],[补偿Coin]]&amp;",'"&amp;配置!$A$2&amp;"':"&amp;表1_86121822242672104[[#This Row],[补偿辎重]]&amp;"},"</f>
        <v>{'coin':1000,'item036':10},</v>
      </c>
      <c r="Y40" s="251" t="str">
        <f>"      },"</f>
        <v>      },</v>
      </c>
    </row>
    <row r="41" ht="14.25" customHeight="1" spans="1:25">
      <c r="A41" s="214">
        <v>219</v>
      </c>
      <c r="B41" s="214">
        <f>VLOOKUP(表1_86121822242672104[[#This Row],[区服]],$P$47:$Q$60,2,FALSE)</f>
        <v>36</v>
      </c>
      <c r="C41" s="293" t="s">
        <v>248</v>
      </c>
      <c r="D41" s="322" t="str">
        <f>表1_86121822242672104[[#This Row],[目标国家]]</f>
        <v>魏</v>
      </c>
      <c r="E41" s="294">
        <f>(VLOOKUP(表1_86121822242672104[[#This Row],[目标区服]],$R$47:$S$53,2,FALSE)-表1_86121822242672104[[#This Row],[开服天数]])*配置!$B$1</f>
        <v>1500</v>
      </c>
      <c r="F41" s="294">
        <f>表1_86121822242672104[[#This Row],[补偿Coin]]*(表1_86121822242672104[[#This Row],[活跃高战玩家数]]+表1_86121822242672104[[#This Row],[活跃中坚玩家数]])</f>
        <v>31500</v>
      </c>
      <c r="G41" s="294">
        <f>(VLOOKUP(表1_86121822242672104[[#This Row],[目标区服]],$R$47:$S$53,2,FALSE)-表1_86121822242672104[[#This Row],[开服天数]])*配置!$B$2</f>
        <v>15</v>
      </c>
      <c r="H41" s="216" t="s">
        <v>25</v>
      </c>
      <c r="I41" s="216">
        <f>IF(表1_86121822242672104[[#This Row],[原国家]]="魏",0,IF(表1_86121822242672104[[#This Row],[原国家]]="蜀",1,2))</f>
        <v>0</v>
      </c>
      <c r="J41" s="333">
        <v>3</v>
      </c>
      <c r="K41" s="333">
        <v>109</v>
      </c>
      <c r="L41" s="333">
        <v>3</v>
      </c>
      <c r="M41" s="333">
        <v>18</v>
      </c>
      <c r="N41" s="333">
        <v>89388</v>
      </c>
      <c r="O41" s="333">
        <v>3266348</v>
      </c>
      <c r="P41" s="333">
        <v>19204926</v>
      </c>
      <c r="Q41" s="31" t="s">
        <v>25</v>
      </c>
      <c r="R41" s="216">
        <f>IF(表1_86121822242672104[[#This Row],[目标国家]]="魏",0,IF(表1_86121822242672104[[#This Row],[目标国家]]="蜀",1,2))</f>
        <v>0</v>
      </c>
      <c r="S41" s="333">
        <v>104052</v>
      </c>
      <c r="T41" s="333">
        <v>0</v>
      </c>
      <c r="U41" s="333">
        <v>531757</v>
      </c>
      <c r="V41" s="333">
        <v>10411</v>
      </c>
      <c r="W41" s="342">
        <v>1033044</v>
      </c>
      <c r="X41" s="249" t="str">
        <f>"{"&amp;"'coin':"&amp;表1_86121822242672104[[#This Row],[补偿Coin]]&amp;",'"&amp;配置!$A$2&amp;"':"&amp;表1_86121822242672104[[#This Row],[补偿辎重]]&amp;"},"</f>
        <v>{'coin':1500,'item036':15},</v>
      </c>
      <c r="Y41" s="251" t="str">
        <f>"      '"&amp;表1_86121822242672104[[#This Row],[区服]]&amp;"':{"</f>
        <v>      '219':{</v>
      </c>
    </row>
    <row r="42" ht="14.25" customHeight="1" spans="1:25">
      <c r="A42" s="214">
        <v>219</v>
      </c>
      <c r="B42" s="214">
        <f>VLOOKUP(表1_86121822242672104[[#This Row],[区服]],$P$47:$Q$60,2,FALSE)</f>
        <v>36</v>
      </c>
      <c r="C42" s="293" t="s">
        <v>248</v>
      </c>
      <c r="D42" s="216" t="str">
        <f>表1_86121822242672104[[#This Row],[目标国家]]</f>
        <v>魏</v>
      </c>
      <c r="E42" s="294">
        <f>(VLOOKUP(表1_86121822242672104[[#This Row],[目标区服]],$R$47:$S$53,2,FALSE)-表1_86121822242672104[[#This Row],[开服天数]])*配置!$B$1</f>
        <v>1500</v>
      </c>
      <c r="F42" s="294">
        <f>表1_86121822242672104[[#This Row],[补偿Coin]]*(表1_86121822242672104[[#This Row],[活跃高战玩家数]]+表1_86121822242672104[[#This Row],[活跃中坚玩家数]])</f>
        <v>45000</v>
      </c>
      <c r="G42" s="294">
        <f>(VLOOKUP(表1_86121822242672104[[#This Row],[目标区服]],$R$47:$S$53,2,FALSE)-表1_86121822242672104[[#This Row],[开服天数]])*配置!$B$2</f>
        <v>15</v>
      </c>
      <c r="H42" s="216" t="s">
        <v>26</v>
      </c>
      <c r="I42" s="216">
        <f>IF(表1_86121822242672104[[#This Row],[原国家]]="魏",0,IF(表1_86121822242672104[[#This Row],[原国家]]="蜀",1,2))</f>
        <v>1</v>
      </c>
      <c r="J42" s="333">
        <v>3</v>
      </c>
      <c r="K42" s="333">
        <v>141</v>
      </c>
      <c r="L42" s="333">
        <v>3</v>
      </c>
      <c r="M42" s="333">
        <v>27</v>
      </c>
      <c r="N42" s="333">
        <v>101304</v>
      </c>
      <c r="O42" s="333">
        <v>2130011</v>
      </c>
      <c r="P42" s="333">
        <v>21482949</v>
      </c>
      <c r="Q42" s="31" t="s">
        <v>25</v>
      </c>
      <c r="R42" s="216">
        <f>IF(表1_86121822242672104[[#This Row],[目标国家]]="魏",0,IF(表1_86121822242672104[[#This Row],[目标国家]]="蜀",1,2))</f>
        <v>0</v>
      </c>
      <c r="S42" s="333">
        <v>80324</v>
      </c>
      <c r="T42" s="333">
        <v>0</v>
      </c>
      <c r="U42" s="333">
        <v>362081</v>
      </c>
      <c r="V42" s="333">
        <v>9085</v>
      </c>
      <c r="W42" s="333">
        <v>714366</v>
      </c>
      <c r="X42" s="249" t="str">
        <f>"{"&amp;"'coin':"&amp;表1_86121822242672104[[#This Row],[补偿Coin]]&amp;",'"&amp;配置!$A$2&amp;"':"&amp;表1_86121822242672104[[#This Row],[补偿辎重]]&amp;"},"</f>
        <v>{'coin':1500,'item036':15},</v>
      </c>
      <c r="Y42" s="251" t="str">
        <f>"            'to_zone':'"&amp;表1_86121822242672104[[#This Row],[目标区服]]&amp;"',
            'reward':"&amp;表1_86121822242672104[[#This Row],[辅助导出]]&amp;"
            'country':["&amp;R41&amp;","&amp;R42&amp;","&amp;R43&amp;"],"</f>
        <v>            'to_zone':'h1_96',
            'reward':{'coin':1500,'item036':15},
            'country':[0,0,2],</v>
      </c>
    </row>
    <row r="43" ht="14.25" customHeight="1" spans="1:25">
      <c r="A43" s="214">
        <v>219</v>
      </c>
      <c r="B43" s="214">
        <f>VLOOKUP(表1_86121822242672104[[#This Row],[区服]],$P$47:$Q$60,2,FALSE)</f>
        <v>36</v>
      </c>
      <c r="C43" s="293" t="s">
        <v>248</v>
      </c>
      <c r="D43" s="216" t="str">
        <f>表1_86121822242672104[[#This Row],[目标国家]]</f>
        <v>吴</v>
      </c>
      <c r="E43" s="294">
        <f>(VLOOKUP(表1_86121822242672104[[#This Row],[目标区服]],$R$47:$S$53,2,FALSE)-表1_86121822242672104[[#This Row],[开服天数]])*配置!$B$1</f>
        <v>1500</v>
      </c>
      <c r="F43" s="294">
        <f>表1_86121822242672104[[#This Row],[补偿Coin]]*(表1_86121822242672104[[#This Row],[活跃高战玩家数]]+表1_86121822242672104[[#This Row],[活跃中坚玩家数]])</f>
        <v>46500</v>
      </c>
      <c r="G43" s="294">
        <f>(VLOOKUP(表1_86121822242672104[[#This Row],[目标区服]],$R$47:$S$53,2,FALSE)-表1_86121822242672104[[#This Row],[开服天数]])*配置!$B$2</f>
        <v>15</v>
      </c>
      <c r="H43" s="216" t="s">
        <v>27</v>
      </c>
      <c r="I43" s="216">
        <f>IF(表1_86121822242672104[[#This Row],[原国家]]="魏",0,IF(表1_86121822242672104[[#This Row],[原国家]]="蜀",1,2))</f>
        <v>2</v>
      </c>
      <c r="J43" s="333">
        <v>3</v>
      </c>
      <c r="K43" s="333">
        <v>145</v>
      </c>
      <c r="L43" s="333">
        <v>4</v>
      </c>
      <c r="M43" s="333">
        <v>27</v>
      </c>
      <c r="N43" s="333">
        <v>120006</v>
      </c>
      <c r="O43" s="333">
        <v>3149790</v>
      </c>
      <c r="P43" s="333">
        <v>25907983</v>
      </c>
      <c r="Q43" s="31" t="s">
        <v>27</v>
      </c>
      <c r="R43" s="216">
        <f>IF(表1_86121822242672104[[#This Row],[目标国家]]="魏",0,IF(表1_86121822242672104[[#This Row],[目标国家]]="蜀",1,2))</f>
        <v>2</v>
      </c>
      <c r="S43" s="333">
        <v>111294</v>
      </c>
      <c r="T43" s="333">
        <v>0</v>
      </c>
      <c r="U43" s="333">
        <v>483164</v>
      </c>
      <c r="V43" s="333">
        <v>11671</v>
      </c>
      <c r="W43" s="342">
        <v>860614</v>
      </c>
      <c r="X43" s="249" t="str">
        <f>"{"&amp;"'coin':"&amp;表1_86121822242672104[[#This Row],[补偿Coin]]&amp;",'"&amp;配置!$A$2&amp;"':"&amp;表1_86121822242672104[[#This Row],[补偿辎重]]&amp;"},"</f>
        <v>{'coin':1500,'item036':15},</v>
      </c>
      <c r="Y43" s="251" t="str">
        <f>"      },"</f>
        <v>      },</v>
      </c>
    </row>
    <row r="46" ht="37.5" customHeight="1" spans="1:19">
      <c r="A46" s="36" t="s">
        <v>28</v>
      </c>
      <c r="B46" s="37" t="s">
        <v>29</v>
      </c>
      <c r="C46" s="38" t="s">
        <v>30</v>
      </c>
      <c r="D46" s="38" t="s">
        <v>31</v>
      </c>
      <c r="E46" s="38" t="s">
        <v>32</v>
      </c>
      <c r="F46" s="38" t="s">
        <v>33</v>
      </c>
      <c r="G46" s="38" t="s">
        <v>15</v>
      </c>
      <c r="H46" s="37" t="s">
        <v>18</v>
      </c>
      <c r="I46" s="37" t="s">
        <v>19</v>
      </c>
      <c r="J46" s="37" t="s">
        <v>20</v>
      </c>
      <c r="K46" s="38" t="s">
        <v>35</v>
      </c>
      <c r="L46" s="38" t="s">
        <v>36</v>
      </c>
      <c r="M46" s="38" t="s">
        <v>37</v>
      </c>
      <c r="N46" s="38" t="s">
        <v>88</v>
      </c>
      <c r="P46" s="51" t="s">
        <v>0</v>
      </c>
      <c r="Q46" s="51" t="s">
        <v>1</v>
      </c>
      <c r="R46" s="51"/>
      <c r="S46" s="51" t="s">
        <v>38</v>
      </c>
    </row>
    <row r="47" ht="15.75" customHeight="1" spans="1:19">
      <c r="A47" s="173" t="s">
        <v>242</v>
      </c>
      <c r="B47" s="173" t="s">
        <v>25</v>
      </c>
      <c r="C47" s="173">
        <f>COUNTIFS(表1_86121822242672104[目标区服],表2_97131923252773105[[#This Row],[合区区服]],表1_86121822242672104[目标国家（映射）],表2_97131923252773105[[#This Row],[国家]])</f>
        <v>2</v>
      </c>
      <c r="D47" s="173">
        <f>SUMIFS(表1_86121822242672104[活跃高战玩家数],表1_86121822242672104[目标区服],表2_97131923252773105[[#This Row],[合区区服]],表1_86121822242672104[目标国家（映射）],表2_97131923252773105[[#This Row],[国家]])</f>
        <v>5</v>
      </c>
      <c r="E47" s="173">
        <f>SUMIFS(表1_86121822242672104[活跃中坚玩家数],表1_86121822242672104[目标区服],表2_97131923252773105[[#This Row],[合区区服]],表1_86121822242672104[目标国家（映射）],表2_97131923252773105[[#This Row],[国家]])</f>
        <v>35</v>
      </c>
      <c r="F47" s="173">
        <f t="array" ref="F47">MAX((表1_86121822242672104[目标区服]=表2_97131923252773105[[#This Row],[合区区服]])*(表1_86121822242672104[目标国家（映射）]=表2_97131923252773105[[#This Row],[国家]])*表1_86121822242672104[活跃尖端战力])</f>
        <v>3077206</v>
      </c>
      <c r="G47" s="174">
        <f>SUMIFS(表1_86121822242672104[活跃总战力],表1_86121822242672104[目标区服],表2_97131923252773105[[#This Row],[合区区服]],表1_86121822242672104[目标国家（映射）],表2_97131923252773105[[#This Row],[国家]])</f>
        <v>37524005</v>
      </c>
      <c r="H47" s="173">
        <f>SUMIFS(表1_86121822242672104[活跃实际充值],表1_86121822242672104[目标区服],表2_97131923252773105[[#This Row],[合区区服]],表1_86121822242672104[目标国家（映射）],表2_97131923252773105[[#This Row],[国家]])</f>
        <v>197643</v>
      </c>
      <c r="I47" s="173">
        <f>SUMIFS(表1_86121822242672104[活跃虚拟充值],表1_86121822242672104[目标区服],表2_97131923252773105[[#This Row],[合区区服]],表1_86121822242672104[目标国家（映射）],表2_97131923252773105[[#This Row],[国家]])</f>
        <v>0</v>
      </c>
      <c r="J47" s="173">
        <f>SUMIFS(表1_86121822242672104[活跃Coin],表1_86121822242672104[目标区服],表2_97131923252773105[[#This Row],[合区区服]],表1_86121822242672104[目标国家（映射）],表2_97131923252773105[[#This Row],[国家]])</f>
        <v>1046475</v>
      </c>
      <c r="K47" s="173">
        <f>SUMIFS(表1_86121822242672104[共计补偿Coin],表1_86121822242672104[目标区服],表2_97131923252773105[[#This Row],[合区区服]],表1_86121822242672104[目标国家（映射）],表2_97131923252773105[[#This Row],[国家]])</f>
        <v>40000</v>
      </c>
      <c r="L47" s="173">
        <f>表2_97131923252773105[[#This Row],[活跃Coin]]+表2_97131923252773105[[#This Row],[共计补偿Coin]]</f>
        <v>1086475</v>
      </c>
      <c r="M47" s="173">
        <f>SUMIFS(表1_86121822242672104[综合国力],表1_86121822242672104[目标区服],表2_97131923252773105[[#This Row],[合区区服]],表1_86121822242672104[目标国家（映射）],表2_97131923252773105[[#This Row],[国家]])</f>
        <v>20307</v>
      </c>
      <c r="N47" s="173">
        <f t="array" ref="N47">MAX((表1_86121822242672104[目标区服]=表2_97131923252773105[[#This Row],[合区区服]])*(表1_86121822242672104[目标国家（映射）]=表2_97131923252773105[[#This Row],[国家]])*表1_86121822242672104[单将最高战力])</f>
        <v>1176507</v>
      </c>
      <c r="P47" s="51">
        <v>206</v>
      </c>
      <c r="Q47" s="51">
        <v>45</v>
      </c>
      <c r="R47" s="51" t="s">
        <v>242</v>
      </c>
      <c r="S47" s="51">
        <v>47</v>
      </c>
    </row>
    <row r="48" ht="15" spans="1:19">
      <c r="A48" s="173" t="s">
        <v>242</v>
      </c>
      <c r="B48" s="173" t="s">
        <v>26</v>
      </c>
      <c r="C48" s="173">
        <f>COUNTIFS(表1_86121822242672104[目标区服],表2_97131923252773105[[#This Row],[合区区服]],表1_86121822242672104[目标国家（映射）],表2_97131923252773105[[#This Row],[国家]])</f>
        <v>2</v>
      </c>
      <c r="D48" s="173">
        <f>SUMIFS(表1_86121822242672104[活跃高战玩家数],表1_86121822242672104[目标区服],表2_97131923252773105[[#This Row],[合区区服]],表1_86121822242672104[目标国家（映射）],表2_97131923252773105[[#This Row],[国家]])</f>
        <v>5</v>
      </c>
      <c r="E48" s="173">
        <f>SUMIFS(表1_86121822242672104[活跃中坚玩家数],表1_86121822242672104[目标区服],表2_97131923252773105[[#This Row],[合区区服]],表1_86121822242672104[目标国家（映射）],表2_97131923252773105[[#This Row],[国家]])</f>
        <v>43</v>
      </c>
      <c r="F48" s="173">
        <f t="array" ref="F48">MAX((表1_86121822242672104[目标区服]=表2_97131923252773105[[#This Row],[合区区服]])*(表1_86121822242672104[目标国家（映射）]=表2_97131923252773105[[#This Row],[国家]])*表1_86121822242672104[活跃尖端战力])</f>
        <v>3786293</v>
      </c>
      <c r="G48" s="174">
        <f>SUMIFS(表1_86121822242672104[活跃总战力],表1_86121822242672104[目标区服],表2_97131923252773105[[#This Row],[合区区服]],表1_86121822242672104[目标国家（映射）],表2_97131923252773105[[#This Row],[国家]])</f>
        <v>40836185</v>
      </c>
      <c r="H48" s="173">
        <f>SUMIFS(表1_86121822242672104[活跃实际充值],表1_86121822242672104[目标区服],表2_97131923252773105[[#This Row],[合区区服]],表1_86121822242672104[目标国家（映射）],表2_97131923252773105[[#This Row],[国家]])</f>
        <v>196040</v>
      </c>
      <c r="I48" s="173">
        <f>SUMIFS(表1_86121822242672104[活跃虚拟充值],表1_86121822242672104[目标区服],表2_97131923252773105[[#This Row],[合区区服]],表1_86121822242672104[目标国家（映射）],表2_97131923252773105[[#This Row],[国家]])</f>
        <v>0</v>
      </c>
      <c r="J48" s="173">
        <f>SUMIFS(表1_86121822242672104[活跃Coin],表1_86121822242672104[目标区服],表2_97131923252773105[[#This Row],[合区区服]],表1_86121822242672104[目标国家（映射）],表2_97131923252773105[[#This Row],[国家]])</f>
        <v>899766</v>
      </c>
      <c r="K48" s="173">
        <f>SUMIFS(表1_86121822242672104[共计补偿Coin],表1_86121822242672104[目标区服],表2_97131923252773105[[#This Row],[合区区服]],表1_86121822242672104[目标国家（映射）],表2_97131923252773105[[#This Row],[国家]])</f>
        <v>48000</v>
      </c>
      <c r="L48" s="173">
        <f>表2_97131923252773105[[#This Row],[活跃Coin]]+表2_97131923252773105[[#This Row],[共计补偿Coin]]</f>
        <v>947766</v>
      </c>
      <c r="M48" s="173">
        <f>SUMIFS(表1_86121822242672104[综合国力],表1_86121822242672104[目标区服],表2_97131923252773105[[#This Row],[合区区服]],表1_86121822242672104[目标国家（映射）],表2_97131923252773105[[#This Row],[国家]])</f>
        <v>18482</v>
      </c>
      <c r="N48" s="173">
        <f t="array" ref="N48">MAX((表1_86121822242672104[目标区服]=表2_97131923252773105[[#This Row],[合区区服]])*(表1_86121822242672104[目标国家（映射）]=表2_97131923252773105[[#This Row],[国家]])*表1_86121822242672104[单将最高战力])</f>
        <v>991004</v>
      </c>
      <c r="P48" s="51">
        <v>207</v>
      </c>
      <c r="Q48" s="51">
        <v>45</v>
      </c>
      <c r="R48" s="51" t="s">
        <v>243</v>
      </c>
      <c r="S48" s="51">
        <v>46</v>
      </c>
    </row>
    <row r="49" ht="15" spans="1:19">
      <c r="A49" s="173" t="s">
        <v>242</v>
      </c>
      <c r="B49" s="173" t="s">
        <v>27</v>
      </c>
      <c r="C49" s="173">
        <f>COUNTIFS(表1_86121822242672104[目标区服],表2_97131923252773105[[#This Row],[合区区服]],表1_86121822242672104[目标国家（映射）],表2_97131923252773105[[#This Row],[国家]])</f>
        <v>2</v>
      </c>
      <c r="D49" s="173">
        <f>SUMIFS(表1_86121822242672104[活跃高战玩家数],表1_86121822242672104[目标区服],表2_97131923252773105[[#This Row],[合区区服]],表1_86121822242672104[目标国家（映射）],表2_97131923252773105[[#This Row],[国家]])</f>
        <v>10</v>
      </c>
      <c r="E49" s="173">
        <f>SUMIFS(表1_86121822242672104[活跃中坚玩家数],表1_86121822242672104[目标区服],表2_97131923252773105[[#This Row],[合区区服]],表1_86121822242672104[目标国家（映射）],表2_97131923252773105[[#This Row],[国家]])</f>
        <v>51</v>
      </c>
      <c r="F49" s="173">
        <f t="array" ref="F49">MAX((表1_86121822242672104[目标区服]=表2_97131923252773105[[#This Row],[合区区服]])*(表1_86121822242672104[目标国家（映射）]=表2_97131923252773105[[#This Row],[国家]])*表1_86121822242672104[活跃尖端战力])</f>
        <v>2979907</v>
      </c>
      <c r="G49" s="174">
        <f>SUMIFS(表1_86121822242672104[活跃总战力],表1_86121822242672104[目标区服],表2_97131923252773105[[#This Row],[合区区服]],表1_86121822242672104[目标国家（映射）],表2_97131923252773105[[#This Row],[国家]])</f>
        <v>53097358</v>
      </c>
      <c r="H49" s="173">
        <f>SUMIFS(表1_86121822242672104[活跃实际充值],表1_86121822242672104[目标区服],表2_97131923252773105[[#This Row],[合区区服]],表1_86121822242672104[目标国家（映射）],表2_97131923252773105[[#This Row],[国家]])</f>
        <v>153112</v>
      </c>
      <c r="I49" s="173">
        <f>SUMIFS(表1_86121822242672104[活跃虚拟充值],表1_86121822242672104[目标区服],表2_97131923252773105[[#This Row],[合区区服]],表1_86121822242672104[目标国家（映射）],表2_97131923252773105[[#This Row],[国家]])</f>
        <v>0</v>
      </c>
      <c r="J49" s="173">
        <f>SUMIFS(表1_86121822242672104[活跃Coin],表1_86121822242672104[目标区服],表2_97131923252773105[[#This Row],[合区区服]],表1_86121822242672104[目标国家（映射）],表2_97131923252773105[[#This Row],[国家]])</f>
        <v>887260</v>
      </c>
      <c r="K49" s="173">
        <f>SUMIFS(表1_86121822242672104[共计补偿Coin],表1_86121822242672104[目标区服],表2_97131923252773105[[#This Row],[合区区服]],表1_86121822242672104[目标国家（映射）],表2_97131923252773105[[#This Row],[国家]])</f>
        <v>61000</v>
      </c>
      <c r="L49" s="173">
        <f>表2_97131923252773105[[#This Row],[活跃Coin]]+表2_97131923252773105[[#This Row],[共计补偿Coin]]</f>
        <v>948260</v>
      </c>
      <c r="M49" s="173">
        <f>SUMIFS(表1_86121822242672104[综合国力],表1_86121822242672104[目标区服],表2_97131923252773105[[#This Row],[合区区服]],表1_86121822242672104[目标国家（映射）],表2_97131923252773105[[#This Row],[国家]])</f>
        <v>20548</v>
      </c>
      <c r="N49" s="173">
        <f t="array" ref="N49">MAX((表1_86121822242672104[目标区服]=表2_97131923252773105[[#This Row],[合区区服]])*(表1_86121822242672104[目标国家（映射）]=表2_97131923252773105[[#This Row],[国家]])*表1_86121822242672104[单将最高战力])</f>
        <v>1062690</v>
      </c>
      <c r="P49" s="51">
        <v>208</v>
      </c>
      <c r="Q49" s="51">
        <v>44</v>
      </c>
      <c r="R49" s="51" t="s">
        <v>244</v>
      </c>
      <c r="S49" s="51">
        <v>45</v>
      </c>
    </row>
    <row r="50" ht="15" spans="1:19">
      <c r="A50" s="186" t="s">
        <v>243</v>
      </c>
      <c r="B50" s="186" t="s">
        <v>25</v>
      </c>
      <c r="C50" s="186">
        <f>COUNTIFS(表1_86121822242672104[目标区服],表2_97131923252773105[[#This Row],[合区区服]],表1_86121822242672104[目标国家（映射）],表2_97131923252773105[[#This Row],[国家]])</f>
        <v>2</v>
      </c>
      <c r="D50" s="186">
        <f>SUMIFS(表1_86121822242672104[活跃高战玩家数],表1_86121822242672104[目标区服],表2_97131923252773105[[#This Row],[合区区服]],表1_86121822242672104[目标国家（映射）],表2_97131923252773105[[#This Row],[国家]])</f>
        <v>7</v>
      </c>
      <c r="E50" s="186">
        <f>SUMIFS(表1_86121822242672104[活跃中坚玩家数],表1_86121822242672104[目标区服],表2_97131923252773105[[#This Row],[合区区服]],表1_86121822242672104[目标国家（映射）],表2_97131923252773105[[#This Row],[国家]])</f>
        <v>29</v>
      </c>
      <c r="F50" s="186">
        <f t="array" ref="F50">MAX((表1_86121822242672104[目标区服]=表2_97131923252773105[[#This Row],[合区区服]])*(表1_86121822242672104[目标国家（映射）]=表2_97131923252773105[[#This Row],[国家]])*表1_86121822242672104[活跃尖端战力])</f>
        <v>3257818</v>
      </c>
      <c r="G50" s="187">
        <f>SUMIFS(表1_86121822242672104[活跃总战力],表1_86121822242672104[目标区服],表2_97131923252773105[[#This Row],[合区区服]],表1_86121822242672104[目标国家（映射）],表2_97131923252773105[[#This Row],[国家]])</f>
        <v>28909307</v>
      </c>
      <c r="H50" s="186">
        <f>SUMIFS(表1_86121822242672104[活跃实际充值],表1_86121822242672104[目标区服],表2_97131923252773105[[#This Row],[合区区服]],表1_86121822242672104[目标国家（映射）],表2_97131923252773105[[#This Row],[国家]])</f>
        <v>138004</v>
      </c>
      <c r="I50" s="186">
        <f>SUMIFS(表1_86121822242672104[活跃虚拟充值],表1_86121822242672104[目标区服],表2_97131923252773105[[#This Row],[合区区服]],表1_86121822242672104[目标国家（映射）],表2_97131923252773105[[#This Row],[国家]])</f>
        <v>6</v>
      </c>
      <c r="J50" s="186">
        <f>SUMIFS(表1_86121822242672104[活跃Coin],表1_86121822242672104[目标区服],表2_97131923252773105[[#This Row],[合区区服]],表1_86121822242672104[目标国家（映射）],表2_97131923252773105[[#This Row],[国家]])</f>
        <v>605130</v>
      </c>
      <c r="K50" s="186">
        <f>SUMIFS(表1_86121822242672104[共计补偿Coin],表1_86121822242672104[目标区服],表2_97131923252773105[[#This Row],[合区区服]],表1_86121822242672104[目标国家（映射）],表2_97131923252773105[[#This Row],[国家]])</f>
        <v>36000</v>
      </c>
      <c r="L50" s="186">
        <f>表2_97131923252773105[[#This Row],[活跃Coin]]+表2_97131923252773105[[#This Row],[共计补偿Coin]]</f>
        <v>641130</v>
      </c>
      <c r="M50" s="186">
        <f>SUMIFS(表1_86121822242672104[综合国力],表1_86121822242672104[目标区服],表2_97131923252773105[[#This Row],[合区区服]],表1_86121822242672104[目标国家（映射）],表2_97131923252773105[[#This Row],[国家]])</f>
        <v>15211</v>
      </c>
      <c r="N50" s="186">
        <f t="array" ref="N50">MAX((表1_86121822242672104[目标区服]=表2_97131923252773105[[#This Row],[合区区服]])*(表1_86121822242672104[目标国家（映射）]=表2_97131923252773105[[#This Row],[国家]])*表1_86121822242672104[单将最高战力])</f>
        <v>916120</v>
      </c>
      <c r="P50" s="51">
        <v>209</v>
      </c>
      <c r="Q50" s="51">
        <v>44</v>
      </c>
      <c r="R50" s="51" t="s">
        <v>245</v>
      </c>
      <c r="S50" s="51">
        <v>44</v>
      </c>
    </row>
    <row r="51" ht="15" spans="1:19">
      <c r="A51" s="186" t="s">
        <v>243</v>
      </c>
      <c r="B51" s="186" t="s">
        <v>26</v>
      </c>
      <c r="C51" s="186">
        <f>COUNTIFS(表1_86121822242672104[目标区服],表2_97131923252773105[[#This Row],[合区区服]],表1_86121822242672104[目标国家（映射）],表2_97131923252773105[[#This Row],[国家]])</f>
        <v>2</v>
      </c>
      <c r="D51" s="186">
        <f>SUMIFS(表1_86121822242672104[活跃高战玩家数],表1_86121822242672104[目标区服],表2_97131923252773105[[#This Row],[合区区服]],表1_86121822242672104[目标国家（映射）],表2_97131923252773105[[#This Row],[国家]])</f>
        <v>6</v>
      </c>
      <c r="E51" s="186">
        <f>SUMIFS(表1_86121822242672104[活跃中坚玩家数],表1_86121822242672104[目标区服],表2_97131923252773105[[#This Row],[合区区服]],表1_86121822242672104[目标国家（映射）],表2_97131923252773105[[#This Row],[国家]])</f>
        <v>37</v>
      </c>
      <c r="F51" s="186">
        <f t="array" ref="F51">MAX((表1_86121822242672104[目标区服]=表2_97131923252773105[[#This Row],[合区区服]])*(表1_86121822242672104[目标国家（映射）]=表2_97131923252773105[[#This Row],[国家]])*表1_86121822242672104[活跃尖端战力])</f>
        <v>2897234</v>
      </c>
      <c r="G51" s="187">
        <f>SUMIFS(表1_86121822242672104[活跃总战力],表1_86121822242672104[目标区服],表2_97131923252773105[[#This Row],[合区区服]],表1_86121822242672104[目标国家（映射）],表2_97131923252773105[[#This Row],[国家]])</f>
        <v>32309174</v>
      </c>
      <c r="H51" s="186">
        <f>SUMIFS(表1_86121822242672104[活跃实际充值],表1_86121822242672104[目标区服],表2_97131923252773105[[#This Row],[合区区服]],表1_86121822242672104[目标国家（映射）],表2_97131923252773105[[#This Row],[国家]])</f>
        <v>115110</v>
      </c>
      <c r="I51" s="186">
        <f>SUMIFS(表1_86121822242672104[活跃虚拟充值],表1_86121822242672104[目标区服],表2_97131923252773105[[#This Row],[合区区服]],表1_86121822242672104[目标国家（映射）],表2_97131923252773105[[#This Row],[国家]])</f>
        <v>0</v>
      </c>
      <c r="J51" s="186">
        <f>SUMIFS(表1_86121822242672104[活跃Coin],表1_86121822242672104[目标区服],表2_97131923252773105[[#This Row],[合区区服]],表1_86121822242672104[目标国家（映射）],表2_97131923252773105[[#This Row],[国家]])</f>
        <v>752999</v>
      </c>
      <c r="K51" s="186">
        <f>SUMIFS(表1_86121822242672104[共计补偿Coin],表1_86121822242672104[目标区服],表2_97131923252773105[[#This Row],[合区区服]],表1_86121822242672104[目标国家（映射）],表2_97131923252773105[[#This Row],[国家]])</f>
        <v>43000</v>
      </c>
      <c r="L51" s="186">
        <f>表2_97131923252773105[[#This Row],[活跃Coin]]+表2_97131923252773105[[#This Row],[共计补偿Coin]]</f>
        <v>795999</v>
      </c>
      <c r="M51" s="186">
        <f>SUMIFS(表1_86121822242672104[综合国力],表1_86121822242672104[目标区服],表2_97131923252773105[[#This Row],[合区区服]],表1_86121822242672104[目标国家（映射）],表2_97131923252773105[[#This Row],[国家]])</f>
        <v>14923</v>
      </c>
      <c r="N51" s="186">
        <f t="array" ref="N51">MAX((表1_86121822242672104[目标区服]=表2_97131923252773105[[#This Row],[合区区服]])*(表1_86121822242672104[目标国家（映射）]=表2_97131923252773105[[#This Row],[国家]])*表1_86121822242672104[单将最高战力])</f>
        <v>897576</v>
      </c>
      <c r="P51" s="51">
        <v>210</v>
      </c>
      <c r="Q51" s="51">
        <v>43</v>
      </c>
      <c r="R51" s="51" t="s">
        <v>246</v>
      </c>
      <c r="S51" s="51">
        <v>43</v>
      </c>
    </row>
    <row r="52" ht="15" spans="1:19">
      <c r="A52" s="186" t="s">
        <v>243</v>
      </c>
      <c r="B52" s="188" t="s">
        <v>27</v>
      </c>
      <c r="C52" s="188">
        <f>COUNTIFS(表1_86121822242672104[目标区服],表2_97131923252773105[[#This Row],[合区区服]],表1_86121822242672104[目标国家（映射）],表2_97131923252773105[[#This Row],[国家]])</f>
        <v>2</v>
      </c>
      <c r="D52" s="188">
        <f>SUMIFS(表1_86121822242672104[活跃高战玩家数],表1_86121822242672104[目标区服],表2_97131923252773105[[#This Row],[合区区服]],表1_86121822242672104[目标国家（映射）],表2_97131923252773105[[#This Row],[国家]])</f>
        <v>7</v>
      </c>
      <c r="E52" s="188">
        <f>SUMIFS(表1_86121822242672104[活跃中坚玩家数],表1_86121822242672104[目标区服],表2_97131923252773105[[#This Row],[合区区服]],表1_86121822242672104[目标国家（映射）],表2_97131923252773105[[#This Row],[国家]])</f>
        <v>46</v>
      </c>
      <c r="F52" s="188">
        <f t="array" ref="F52">MAX((表1_86121822242672104[目标区服]=表2_97131923252773105[[#This Row],[合区区服]])*(表1_86121822242672104[目标国家（映射）]=表2_97131923252773105[[#This Row],[国家]])*表1_86121822242672104[活跃尖端战力])</f>
        <v>2728158</v>
      </c>
      <c r="G52" s="309">
        <f>SUMIFS(表1_86121822242672104[活跃总战力],表1_86121822242672104[目标区服],表2_97131923252773105[[#This Row],[合区区服]],表1_86121822242672104[目标国家（映射）],表2_97131923252773105[[#This Row],[国家]])</f>
        <v>40739338</v>
      </c>
      <c r="H52" s="188">
        <f>SUMIFS(表1_86121822242672104[活跃实际充值],表1_86121822242672104[目标区服],表2_97131923252773105[[#This Row],[合区区服]],表1_86121822242672104[目标国家（映射）],表2_97131923252773105[[#This Row],[国家]])</f>
        <v>113776</v>
      </c>
      <c r="I52" s="188">
        <f>SUMIFS(表1_86121822242672104[活跃虚拟充值],表1_86121822242672104[目标区服],表2_97131923252773105[[#This Row],[合区区服]],表1_86121822242672104[目标国家（映射）],表2_97131923252773105[[#This Row],[国家]])</f>
        <v>0</v>
      </c>
      <c r="J52" s="188">
        <f>SUMIFS(表1_86121822242672104[活跃Coin],表1_86121822242672104[目标区服],表2_97131923252773105[[#This Row],[合区区服]],表1_86121822242672104[目标国家（映射）],表2_97131923252773105[[#This Row],[国家]])</f>
        <v>1235508</v>
      </c>
      <c r="K52" s="188">
        <f>SUMIFS(表1_86121822242672104[共计补偿Coin],表1_86121822242672104[目标区服],表2_97131923252773105[[#This Row],[合区区服]],表1_86121822242672104[目标国家（映射）],表2_97131923252773105[[#This Row],[国家]])</f>
        <v>53000</v>
      </c>
      <c r="L52" s="188">
        <f>表2_97131923252773105[[#This Row],[活跃Coin]]+表2_97131923252773105[[#This Row],[共计补偿Coin]]</f>
        <v>1288508</v>
      </c>
      <c r="M52" s="188">
        <f>SUMIFS(表1_86121822242672104[综合国力],表1_86121822242672104[目标区服],表2_97131923252773105[[#This Row],[合区区服]],表1_86121822242672104[目标国家（映射）],表2_97131923252773105[[#This Row],[国家]])</f>
        <v>18992</v>
      </c>
      <c r="N52" s="186">
        <f t="array" ref="N52">MAX((表1_86121822242672104[目标区服]=表2_97131923252773105[[#This Row],[合区区服]])*(表1_86121822242672104[目标国家（映射）]=表2_97131923252773105[[#This Row],[国家]])*表1_86121822242672104[单将最高战力])</f>
        <v>818181</v>
      </c>
      <c r="P52" s="51">
        <v>211</v>
      </c>
      <c r="Q52" s="51">
        <v>43</v>
      </c>
      <c r="R52" s="51" t="s">
        <v>247</v>
      </c>
      <c r="S52" s="51">
        <v>41</v>
      </c>
    </row>
    <row r="53" ht="15" spans="1:19">
      <c r="A53" s="310" t="s">
        <v>244</v>
      </c>
      <c r="B53" s="173" t="s">
        <v>25</v>
      </c>
      <c r="C53" s="173">
        <f>COUNTIFS(表1_86121822242672104[目标区服],表2_97131923252773105[[#This Row],[合区区服]],表1_86121822242672104[目标国家（映射）],表2_97131923252773105[[#This Row],[国家]])</f>
        <v>2</v>
      </c>
      <c r="D53" s="173">
        <f>SUMIFS(表1_86121822242672104[活跃高战玩家数],表1_86121822242672104[目标区服],表2_97131923252773105[[#This Row],[合区区服]],表1_86121822242672104[目标国家（映射）],表2_97131923252773105[[#This Row],[国家]])</f>
        <v>7</v>
      </c>
      <c r="E53" s="173">
        <f>SUMIFS(表1_86121822242672104[活跃中坚玩家数],表1_86121822242672104[目标区服],表2_97131923252773105[[#This Row],[合区区服]],表1_86121822242672104[目标国家（映射）],表2_97131923252773105[[#This Row],[国家]])</f>
        <v>40</v>
      </c>
      <c r="F53" s="173">
        <f t="array" ref="F53">MAX((表1_86121822242672104[目标区服]=表2_97131923252773105[[#This Row],[合区区服]])*(表1_86121822242672104[目标国家（映射）]=表2_97131923252773105[[#This Row],[国家]])*表1_86121822242672104[活跃尖端战力])</f>
        <v>3068202</v>
      </c>
      <c r="G53" s="174">
        <f>SUMIFS(表1_86121822242672104[活跃总战力],表1_86121822242672104[目标区服],表2_97131923252773105[[#This Row],[合区区服]],表1_86121822242672104[目标国家（映射）],表2_97131923252773105[[#This Row],[国家]])</f>
        <v>44882827</v>
      </c>
      <c r="H53" s="173">
        <f>SUMIFS(表1_86121822242672104[活跃实际充值],表1_86121822242672104[目标区服],表2_97131923252773105[[#This Row],[合区区服]],表1_86121822242672104[目标国家（映射）],表2_97131923252773105[[#This Row],[国家]])</f>
        <v>169866</v>
      </c>
      <c r="I53" s="173">
        <f>SUMIFS(表1_86121822242672104[活跃虚拟充值],表1_86121822242672104[目标区服],表2_97131923252773105[[#This Row],[合区区服]],表1_86121822242672104[目标国家（映射）],表2_97131923252773105[[#This Row],[国家]])</f>
        <v>128</v>
      </c>
      <c r="J53" s="173">
        <f>SUMIFS(表1_86121822242672104[活跃Coin],表1_86121822242672104[目标区服],表2_97131923252773105[[#This Row],[合区区服]],表1_86121822242672104[目标国家（映射）],表2_97131923252773105[[#This Row],[国家]])</f>
        <v>970643</v>
      </c>
      <c r="K53" s="173">
        <f>SUMIFS(表1_86121822242672104[共计补偿Coin],表1_86121822242672104[目标区服],表2_97131923252773105[[#This Row],[合区区服]],表1_86121822242672104[目标国家（映射）],表2_97131923252773105[[#This Row],[国家]])</f>
        <v>47000</v>
      </c>
      <c r="L53" s="173">
        <f>表2_97131923252773105[[#This Row],[活跃Coin]]+表2_97131923252773105[[#This Row],[共计补偿Coin]]</f>
        <v>1017643</v>
      </c>
      <c r="M53" s="173">
        <f>SUMIFS(表1_86121822242672104[综合国力],表1_86121822242672104[目标区服],表2_97131923252773105[[#This Row],[合区区服]],表1_86121822242672104[目标国家（映射）],表2_97131923252773105[[#This Row],[国家]])</f>
        <v>20047</v>
      </c>
      <c r="N53" s="173">
        <f t="array" ref="N53">MAX((表1_86121822242672104[目标区服]=表2_97131923252773105[[#This Row],[合区区服]])*(表1_86121822242672104[目标国家（映射）]=表2_97131923252773105[[#This Row],[国家]])*表1_86121822242672104[单将最高战力])</f>
        <v>1025310</v>
      </c>
      <c r="P53" s="51">
        <v>212</v>
      </c>
      <c r="Q53" s="51">
        <v>42</v>
      </c>
      <c r="R53" s="51" t="s">
        <v>248</v>
      </c>
      <c r="S53" s="51">
        <v>39</v>
      </c>
    </row>
    <row r="54" ht="15" spans="1:17">
      <c r="A54" s="310" t="s">
        <v>244</v>
      </c>
      <c r="B54" s="173" t="s">
        <v>26</v>
      </c>
      <c r="C54" s="173">
        <f>COUNTIFS(表1_86121822242672104[目标区服],表2_97131923252773105[[#This Row],[合区区服]],表1_86121822242672104[目标国家（映射）],表2_97131923252773105[[#This Row],[国家]])</f>
        <v>2</v>
      </c>
      <c r="D54" s="173">
        <f>SUMIFS(表1_86121822242672104[活跃高战玩家数],表1_86121822242672104[目标区服],表2_97131923252773105[[#This Row],[合区区服]],表1_86121822242672104[目标国家（映射）],表2_97131923252773105[[#This Row],[国家]])</f>
        <v>6</v>
      </c>
      <c r="E54" s="173">
        <f>SUMIFS(表1_86121822242672104[活跃中坚玩家数],表1_86121822242672104[目标区服],表2_97131923252773105[[#This Row],[合区区服]],表1_86121822242672104[目标国家（映射）],表2_97131923252773105[[#This Row],[国家]])</f>
        <v>44</v>
      </c>
      <c r="F54" s="173">
        <f t="array" ref="F54">MAX((表1_86121822242672104[目标区服]=表2_97131923252773105[[#This Row],[合区区服]])*(表1_86121822242672104[目标国家（映射）]=表2_97131923252773105[[#This Row],[国家]])*表1_86121822242672104[活跃尖端战力])</f>
        <v>3646209</v>
      </c>
      <c r="G54" s="174">
        <f>SUMIFS(表1_86121822242672104[活跃总战力],表1_86121822242672104[目标区服],表2_97131923252773105[[#This Row],[合区区服]],表1_86121822242672104[目标国家（映射）],表2_97131923252773105[[#This Row],[国家]])</f>
        <v>39945362</v>
      </c>
      <c r="H54" s="173">
        <f>SUMIFS(表1_86121822242672104[活跃实际充值],表1_86121822242672104[目标区服],表2_97131923252773105[[#This Row],[合区区服]],表1_86121822242672104[目标国家（映射）],表2_97131923252773105[[#This Row],[国家]])</f>
        <v>193304</v>
      </c>
      <c r="I54" s="173">
        <f>SUMIFS(表1_86121822242672104[活跃虚拟充值],表1_86121822242672104[目标区服],表2_97131923252773105[[#This Row],[合区区服]],表1_86121822242672104[目标国家（映射）],表2_97131923252773105[[#This Row],[国家]])</f>
        <v>0</v>
      </c>
      <c r="J54" s="173">
        <f>SUMIFS(表1_86121822242672104[活跃Coin],表1_86121822242672104[目标区服],表2_97131923252773105[[#This Row],[合区区服]],表1_86121822242672104[目标国家（映射）],表2_97131923252773105[[#This Row],[国家]])</f>
        <v>1320131</v>
      </c>
      <c r="K54" s="173">
        <f>SUMIFS(表1_86121822242672104[共计补偿Coin],表1_86121822242672104[目标区服],表2_97131923252773105[[#This Row],[合区区服]],表1_86121822242672104[目标国家（映射）],表2_97131923252773105[[#This Row],[国家]])</f>
        <v>50000</v>
      </c>
      <c r="L54" s="173">
        <f>表2_97131923252773105[[#This Row],[活跃Coin]]+表2_97131923252773105[[#This Row],[共计补偿Coin]]</f>
        <v>1370131</v>
      </c>
      <c r="M54" s="173">
        <f>SUMIFS(表1_86121822242672104[综合国力],表1_86121822242672104[目标区服],表2_97131923252773105[[#This Row],[合区区服]],表1_86121822242672104[目标国家（映射）],表2_97131923252773105[[#This Row],[国家]])</f>
        <v>19312</v>
      </c>
      <c r="N54" s="173">
        <f t="array" ref="N54">MAX((表1_86121822242672104[目标区服]=表2_97131923252773105[[#This Row],[合区区服]])*(表1_86121822242672104[目标国家（映射）]=表2_97131923252773105[[#This Row],[国家]])*表1_86121822242672104[单将最高战力])</f>
        <v>1225371</v>
      </c>
      <c r="P54" s="51">
        <v>213</v>
      </c>
      <c r="Q54" s="51">
        <v>41</v>
      </c>
    </row>
    <row r="55" ht="15" spans="1:17">
      <c r="A55" s="310" t="s">
        <v>244</v>
      </c>
      <c r="B55" s="175" t="s">
        <v>27</v>
      </c>
      <c r="C55" s="175">
        <f>COUNTIFS(表1_86121822242672104[目标区服],表2_97131923252773105[[#This Row],[合区区服]],表1_86121822242672104[目标国家（映射）],表2_97131923252773105[[#This Row],[国家]])</f>
        <v>2</v>
      </c>
      <c r="D55" s="175">
        <f>SUMIFS(表1_86121822242672104[活跃高战玩家数],表1_86121822242672104[目标区服],表2_97131923252773105[[#This Row],[合区区服]],表1_86121822242672104[目标国家（映射）],表2_97131923252773105[[#This Row],[国家]])</f>
        <v>7</v>
      </c>
      <c r="E55" s="175">
        <f>SUMIFS(表1_86121822242672104[活跃中坚玩家数],表1_86121822242672104[目标区服],表2_97131923252773105[[#This Row],[合区区服]],表1_86121822242672104[目标国家（映射）],表2_97131923252773105[[#This Row],[国家]])</f>
        <v>52</v>
      </c>
      <c r="F55" s="175">
        <f t="array" ref="F55">MAX((表1_86121822242672104[目标区服]=表2_97131923252773105[[#This Row],[合区区服]])*(表1_86121822242672104[目标国家（映射）]=表2_97131923252773105[[#This Row],[国家]])*表1_86121822242672104[活跃尖端战力])</f>
        <v>3304903</v>
      </c>
      <c r="G55" s="176">
        <f>SUMIFS(表1_86121822242672104[活跃总战力],表1_86121822242672104[目标区服],表2_97131923252773105[[#This Row],[合区区服]],表1_86121822242672104[目标国家（映射）],表2_97131923252773105[[#This Row],[国家]])</f>
        <v>50742834</v>
      </c>
      <c r="H55" s="175">
        <f>SUMIFS(表1_86121822242672104[活跃实际充值],表1_86121822242672104[目标区服],表2_97131923252773105[[#This Row],[合区区服]],表1_86121822242672104[目标国家（映射）],表2_97131923252773105[[#This Row],[国家]])</f>
        <v>161424</v>
      </c>
      <c r="I55" s="175">
        <f>SUMIFS(表1_86121822242672104[活跃虚拟充值],表1_86121822242672104[目标区服],表2_97131923252773105[[#This Row],[合区区服]],表1_86121822242672104[目标国家（映射）],表2_97131923252773105[[#This Row],[国家]])</f>
        <v>0</v>
      </c>
      <c r="J55" s="175">
        <f>SUMIFS(表1_86121822242672104[活跃Coin],表1_86121822242672104[目标区服],表2_97131923252773105[[#This Row],[合区区服]],表1_86121822242672104[目标国家（映射）],表2_97131923252773105[[#This Row],[国家]])</f>
        <v>856838</v>
      </c>
      <c r="K55" s="175">
        <f>SUMIFS(表1_86121822242672104[共计补偿Coin],表1_86121822242672104[目标区服],表2_97131923252773105[[#This Row],[合区区服]],表1_86121822242672104[目标国家（映射）],表2_97131923252773105[[#This Row],[国家]])</f>
        <v>59000</v>
      </c>
      <c r="L55" s="175">
        <f>表2_97131923252773105[[#This Row],[活跃Coin]]+表2_97131923252773105[[#This Row],[共计补偿Coin]]</f>
        <v>915838</v>
      </c>
      <c r="M55" s="175">
        <f>SUMIFS(表1_86121822242672104[综合国力],表1_86121822242672104[目标区服],表2_97131923252773105[[#This Row],[合区区服]],表1_86121822242672104[目标国家（映射）],表2_97131923252773105[[#This Row],[国家]])</f>
        <v>20889</v>
      </c>
      <c r="N55" s="173">
        <f t="array" ref="N55">MAX((表1_86121822242672104[目标区服]=表2_97131923252773105[[#This Row],[合区区服]])*(表1_86121822242672104[目标国家（映射）]=表2_97131923252773105[[#This Row],[国家]])*表1_86121822242672104[单将最高战力])</f>
        <v>866788</v>
      </c>
      <c r="P55" s="51">
        <v>214</v>
      </c>
      <c r="Q55" s="51">
        <v>41</v>
      </c>
    </row>
    <row r="56" ht="15" spans="1:17">
      <c r="A56" s="177" t="s">
        <v>245</v>
      </c>
      <c r="B56" s="178" t="s">
        <v>25</v>
      </c>
      <c r="C56" s="178">
        <f>COUNTIFS(表1_86121822242672104[目标区服],表2_97131923252773105[[#This Row],[合区区服]],表1_86121822242672104[目标国家（映射）],表2_97131923252773105[[#This Row],[国家]])</f>
        <v>1</v>
      </c>
      <c r="D56" s="178">
        <f>SUMIFS(表1_86121822242672104[活跃高战玩家数],表1_86121822242672104[目标区服],表2_97131923252773105[[#This Row],[合区区服]],表1_86121822242672104[目标国家（映射）],表2_97131923252773105[[#This Row],[国家]])</f>
        <v>8</v>
      </c>
      <c r="E56" s="178">
        <f>SUMIFS(表1_86121822242672104[活跃中坚玩家数],表1_86121822242672104[目标区服],表2_97131923252773105[[#This Row],[合区区服]],表1_86121822242672104[目标国家（映射）],表2_97131923252773105[[#This Row],[国家]])</f>
        <v>36</v>
      </c>
      <c r="F56" s="178">
        <f t="array" ref="F56">MAX((表1_86121822242672104[目标区服]=表2_97131923252773105[[#This Row],[合区区服]])*(表1_86121822242672104[目标国家（映射）]=表2_97131923252773105[[#This Row],[国家]])*表1_86121822242672104[活跃尖端战力])</f>
        <v>3936179</v>
      </c>
      <c r="G56" s="179">
        <f>SUMIFS(表1_86121822242672104[活跃总战力],表1_86121822242672104[目标区服],表2_97131923252773105[[#This Row],[合区区服]],表1_86121822242672104[目标国家（映射）],表2_97131923252773105[[#This Row],[国家]])</f>
        <v>45244136</v>
      </c>
      <c r="H56" s="178">
        <f>SUMIFS(表1_86121822242672104[活跃实际充值],表1_86121822242672104[目标区服],表2_97131923252773105[[#This Row],[合区区服]],表1_86121822242672104[目标国家（映射）],表2_97131923252773105[[#This Row],[国家]])</f>
        <v>280462</v>
      </c>
      <c r="I56" s="178">
        <f>SUMIFS(表1_86121822242672104[活跃虚拟充值],表1_86121822242672104[目标区服],表2_97131923252773105[[#This Row],[合区区服]],表1_86121822242672104[目标国家（映射）],表2_97131923252773105[[#This Row],[国家]])</f>
        <v>0</v>
      </c>
      <c r="J56" s="178">
        <f>SUMIFS(表1_86121822242672104[活跃Coin],表1_86121822242672104[目标区服],表2_97131923252773105[[#This Row],[合区区服]],表1_86121822242672104[目标国家（映射）],表2_97131923252773105[[#This Row],[国家]])</f>
        <v>1527160</v>
      </c>
      <c r="K56" s="178">
        <f>SUMIFS(表1_86121822242672104[共计补偿Coin],表1_86121822242672104[目标区服],表2_97131923252773105[[#This Row],[合区区服]],表1_86121822242672104[目标国家（映射）],表2_97131923252773105[[#This Row],[国家]])</f>
        <v>44000</v>
      </c>
      <c r="L56" s="178">
        <f>表2_97131923252773105[[#This Row],[活跃Coin]]+表2_97131923252773105[[#This Row],[共计补偿Coin]]</f>
        <v>1571160</v>
      </c>
      <c r="M56" s="178">
        <f>SUMIFS(表1_86121822242672104[综合国力],表1_86121822242672104[目标区服],表2_97131923252773105[[#This Row],[合区区服]],表1_86121822242672104[目标国家（映射）],表2_97131923252773105[[#This Row],[国家]])</f>
        <v>22209</v>
      </c>
      <c r="N56" s="178">
        <f t="array" ref="N56">MAX((表1_86121822242672104[目标区服]=表2_97131923252773105[[#This Row],[合区区服]])*(表1_86121822242672104[目标国家（映射）]=表2_97131923252773105[[#This Row],[国家]])*表1_86121822242672104[单将最高战力])</f>
        <v>1025200</v>
      </c>
      <c r="P56" s="51">
        <v>215</v>
      </c>
      <c r="Q56" s="51">
        <v>40</v>
      </c>
    </row>
    <row r="57" ht="15" spans="1:17">
      <c r="A57" s="177" t="s">
        <v>245</v>
      </c>
      <c r="B57" s="178" t="s">
        <v>26</v>
      </c>
      <c r="C57" s="178">
        <f>COUNTIFS(表1_86121822242672104[目标区服],表2_97131923252773105[[#This Row],[合区区服]],表1_86121822242672104[目标国家（映射）],表2_97131923252773105[[#This Row],[国家]])</f>
        <v>2</v>
      </c>
      <c r="D57" s="178">
        <f>SUMIFS(表1_86121822242672104[活跃高战玩家数],表1_86121822242672104[目标区服],表2_97131923252773105[[#This Row],[合区区服]],表1_86121822242672104[目标国家（映射）],表2_97131923252773105[[#This Row],[国家]])</f>
        <v>7</v>
      </c>
      <c r="E57" s="178">
        <f>SUMIFS(表1_86121822242672104[活跃中坚玩家数],表1_86121822242672104[目标区服],表2_97131923252773105[[#This Row],[合区区服]],表1_86121822242672104[目标国家（映射）],表2_97131923252773105[[#This Row],[国家]])</f>
        <v>45</v>
      </c>
      <c r="F57" s="178">
        <f t="array" ref="F57">MAX((表1_86121822242672104[目标区服]=表2_97131923252773105[[#This Row],[合区区服]])*(表1_86121822242672104[目标国家（映射）]=表2_97131923252773105[[#This Row],[国家]])*表1_86121822242672104[活跃尖端战力])</f>
        <v>2385192</v>
      </c>
      <c r="G57" s="179">
        <f>SUMIFS(表1_86121822242672104[活跃总战力],表1_86121822242672104[目标区服],表2_97131923252773105[[#This Row],[合区区服]],表1_86121822242672104[目标国家（映射）],表2_97131923252773105[[#This Row],[国家]])</f>
        <v>38934372</v>
      </c>
      <c r="H57" s="178">
        <f>SUMIFS(表1_86121822242672104[活跃实际充值],表1_86121822242672104[目标区服],表2_97131923252773105[[#This Row],[合区区服]],表1_86121822242672104[目标国家（映射）],表2_97131923252773105[[#This Row],[国家]])</f>
        <v>87832</v>
      </c>
      <c r="I57" s="178">
        <f>SUMIFS(表1_86121822242672104[活跃虚拟充值],表1_86121822242672104[目标区服],表2_97131923252773105[[#This Row],[合区区服]],表1_86121822242672104[目标国家（映射）],表2_97131923252773105[[#This Row],[国家]])</f>
        <v>0</v>
      </c>
      <c r="J57" s="178">
        <f>SUMIFS(表1_86121822242672104[活跃Coin],表1_86121822242672104[目标区服],表2_97131923252773105[[#This Row],[合区区服]],表1_86121822242672104[目标国家（映射）],表2_97131923252773105[[#This Row],[国家]])</f>
        <v>657293</v>
      </c>
      <c r="K57" s="178">
        <f>SUMIFS(表1_86121822242672104[共计补偿Coin],表1_86121822242672104[目标区服],表2_97131923252773105[[#This Row],[合区区服]],表1_86121822242672104[目标国家（映射）],表2_97131923252773105[[#This Row],[国家]])</f>
        <v>78000</v>
      </c>
      <c r="L57" s="178">
        <f>表2_97131923252773105[[#This Row],[活跃Coin]]+表2_97131923252773105[[#This Row],[共计补偿Coin]]</f>
        <v>735293</v>
      </c>
      <c r="M57" s="178">
        <f>SUMIFS(表1_86121822242672104[综合国力],表1_86121822242672104[目标区服],表2_97131923252773105[[#This Row],[合区区服]],表1_86121822242672104[目标国家（映射）],表2_97131923252773105[[#This Row],[国家]])</f>
        <v>15966</v>
      </c>
      <c r="N57" s="178">
        <f t="array" ref="N57">MAX((表1_86121822242672104[目标区服]=表2_97131923252773105[[#This Row],[合区区服]])*(表1_86121822242672104[目标国家（映射）]=表2_97131923252773105[[#This Row],[国家]])*表1_86121822242672104[单将最高战力])</f>
        <v>879745</v>
      </c>
      <c r="P57" s="51">
        <v>216</v>
      </c>
      <c r="Q57" s="51">
        <v>39</v>
      </c>
    </row>
    <row r="58" ht="15" spans="1:17">
      <c r="A58" s="177" t="s">
        <v>245</v>
      </c>
      <c r="B58" s="180" t="s">
        <v>27</v>
      </c>
      <c r="C58" s="180">
        <f>COUNTIFS(表1_86121822242672104[目标区服],表2_97131923252773105[[#This Row],[合区区服]],表1_86121822242672104[目标国家（映射）],表2_97131923252773105[[#This Row],[国家]])</f>
        <v>3</v>
      </c>
      <c r="D58" s="180">
        <f>SUMIFS(表1_86121822242672104[活跃高战玩家数],表1_86121822242672104[目标区服],表2_97131923252773105[[#This Row],[合区区服]],表1_86121822242672104[目标国家（映射）],表2_97131923252773105[[#This Row],[国家]])</f>
        <v>4</v>
      </c>
      <c r="E58" s="180">
        <f>SUMIFS(表1_86121822242672104[活跃中坚玩家数],表1_86121822242672104[目标区服],表2_97131923252773105[[#This Row],[合区区服]],表1_86121822242672104[目标国家（映射）],表2_97131923252773105[[#This Row],[国家]])</f>
        <v>55</v>
      </c>
      <c r="F58" s="180">
        <f t="array" ref="F58">MAX((表1_86121822242672104[目标区服]=表2_97131923252773105[[#This Row],[合区区服]])*(表1_86121822242672104[目标国家（映射）]=表2_97131923252773105[[#This Row],[国家]])*表1_86121822242672104[活跃尖端战力])</f>
        <v>2704780</v>
      </c>
      <c r="G58" s="262">
        <f>SUMIFS(表1_86121822242672104[活跃总战力],表1_86121822242672104[目标区服],表2_97131923252773105[[#This Row],[合区区服]],表1_86121822242672104[目标国家（映射）],表2_97131923252773105[[#This Row],[国家]])</f>
        <v>40410560</v>
      </c>
      <c r="H58" s="180">
        <f>SUMIFS(表1_86121822242672104[活跃实际充值],表1_86121822242672104[目标区服],表2_97131923252773105[[#This Row],[合区区服]],表1_86121822242672104[目标国家（映射）],表2_97131923252773105[[#This Row],[国家]])</f>
        <v>64346</v>
      </c>
      <c r="I58" s="180">
        <f>SUMIFS(表1_86121822242672104[活跃虚拟充值],表1_86121822242672104[目标区服],表2_97131923252773105[[#This Row],[合区区服]],表1_86121822242672104[目标国家（映射）],表2_97131923252773105[[#This Row],[国家]])</f>
        <v>90388</v>
      </c>
      <c r="J58" s="180">
        <f>SUMIFS(表1_86121822242672104[活跃Coin],表1_86121822242672104[目标区服],表2_97131923252773105[[#This Row],[合区区服]],表1_86121822242672104[目标国家（映射）],表2_97131923252773105[[#This Row],[国家]])</f>
        <v>744281</v>
      </c>
      <c r="K58" s="180">
        <f>SUMIFS(表1_86121822242672104[共计补偿Coin],表1_86121822242672104[目标区服],表2_97131923252773105[[#This Row],[合区区服]],表1_86121822242672104[目标国家（映射）],表2_97131923252773105[[#This Row],[国家]])</f>
        <v>69500</v>
      </c>
      <c r="L58" s="180">
        <f>表2_97131923252773105[[#This Row],[活跃Coin]]+表2_97131923252773105[[#This Row],[共计补偿Coin]]</f>
        <v>813781</v>
      </c>
      <c r="M58" s="180">
        <f>SUMIFS(表1_86121822242672104[综合国力],表1_86121822242672104[目标区服],表2_97131923252773105[[#This Row],[合区区服]],表1_86121822242672104[目标国家（映射）],表2_97131923252773105[[#This Row],[国家]])</f>
        <v>16864</v>
      </c>
      <c r="N58" s="178">
        <f t="array" ref="N58">MAX((表1_86121822242672104[目标区服]=表2_97131923252773105[[#This Row],[合区区服]])*(表1_86121822242672104[目标国家（映射）]=表2_97131923252773105[[#This Row],[国家]])*表1_86121822242672104[单将最高战力])</f>
        <v>1067770</v>
      </c>
      <c r="P58" s="51">
        <v>217</v>
      </c>
      <c r="Q58" s="51">
        <v>38</v>
      </c>
    </row>
    <row r="59" ht="15" spans="1:17">
      <c r="A59" s="185" t="s">
        <v>246</v>
      </c>
      <c r="B59" s="186" t="s">
        <v>25</v>
      </c>
      <c r="C59" s="186">
        <f>COUNTIFS(表1_86121822242672104[目标区服],表2_97131923252773105[[#This Row],[合区区服]],表1_86121822242672104[目标国家（映射）],表2_97131923252773105[[#This Row],[国家]])</f>
        <v>3</v>
      </c>
      <c r="D59" s="186">
        <f>SUMIFS(表1_86121822242672104[活跃高战玩家数],表1_86121822242672104[目标区服],表2_97131923252773105[[#This Row],[合区区服]],表1_86121822242672104[目标国家（映射）],表2_97131923252773105[[#This Row],[国家]])</f>
        <v>6</v>
      </c>
      <c r="E59" s="186">
        <f>SUMIFS(表1_86121822242672104[活跃中坚玩家数],表1_86121822242672104[目标区服],表2_97131923252773105[[#This Row],[合区区服]],表1_86121822242672104[目标国家（映射）],表2_97131923252773105[[#This Row],[国家]])</f>
        <v>58</v>
      </c>
      <c r="F59" s="186">
        <f t="array" ref="F59">MAX((表1_86121822242672104[目标区服]=表2_97131923252773105[[#This Row],[合区区服]])*(表1_86121822242672104[目标国家（映射）]=表2_97131923252773105[[#This Row],[国家]])*表1_86121822242672104[活跃尖端战力])</f>
        <v>2723076</v>
      </c>
      <c r="G59" s="187">
        <f>SUMIFS(表1_86121822242672104[活跃总战力],表1_86121822242672104[目标区服],表2_97131923252773105[[#This Row],[合区区服]],表1_86121822242672104[目标国家（映射）],表2_97131923252773105[[#This Row],[国家]])</f>
        <v>46956115</v>
      </c>
      <c r="H59" s="186">
        <f>SUMIFS(表1_86121822242672104[活跃实际充值],表1_86121822242672104[目标区服],表2_97131923252773105[[#This Row],[合区区服]],表1_86121822242672104[目标国家（映射）],表2_97131923252773105[[#This Row],[国家]])</f>
        <v>234790</v>
      </c>
      <c r="I59" s="186">
        <f>SUMIFS(表1_86121822242672104[活跃虚拟充值],表1_86121822242672104[目标区服],表2_97131923252773105[[#This Row],[合区区服]],表1_86121822242672104[目标国家（映射）],表2_97131923252773105[[#This Row],[国家]])</f>
        <v>0</v>
      </c>
      <c r="J59" s="186">
        <f>SUMIFS(表1_86121822242672104[活跃Coin],表1_86121822242672104[目标区服],表2_97131923252773105[[#This Row],[合区区服]],表1_86121822242672104[目标国家（映射）],表2_97131923252773105[[#This Row],[国家]])</f>
        <v>1036140</v>
      </c>
      <c r="K59" s="186">
        <f>SUMIFS(表1_86121822242672104[共计补偿Coin],表1_86121822242672104[目标区服],表2_97131923252773105[[#This Row],[合区区服]],表1_86121822242672104[目标国家（映射）],表2_97131923252773105[[#This Row],[国家]])</f>
        <v>77500</v>
      </c>
      <c r="L59" s="186">
        <f>表2_97131923252773105[[#This Row],[活跃Coin]]+表2_97131923252773105[[#This Row],[共计补偿Coin]]</f>
        <v>1113640</v>
      </c>
      <c r="M59" s="186">
        <f>SUMIFS(表1_86121822242672104[综合国力],表1_86121822242672104[目标区服],表2_97131923252773105[[#This Row],[合区区服]],表1_86121822242672104[目标国家（映射）],表2_97131923252773105[[#This Row],[国家]])</f>
        <v>21824</v>
      </c>
      <c r="N59" s="186">
        <f t="array" ref="N59">MAX((表1_86121822242672104[目标区服]=表2_97131923252773105[[#This Row],[合区区服]])*(表1_86121822242672104[目标国家（映射）]=表2_97131923252773105[[#This Row],[国家]])*表1_86121822242672104[单将最高战力])</f>
        <v>762231</v>
      </c>
      <c r="P59" s="51">
        <v>218</v>
      </c>
      <c r="Q59" s="51">
        <v>37</v>
      </c>
    </row>
    <row r="60" ht="15" spans="1:17">
      <c r="A60" s="185" t="s">
        <v>246</v>
      </c>
      <c r="B60" s="186" t="s">
        <v>26</v>
      </c>
      <c r="C60" s="186">
        <f>COUNTIFS(表1_86121822242672104[目标区服],表2_97131923252773105[[#This Row],[合区区服]],表1_86121822242672104[目标国家（映射）],表2_97131923252773105[[#This Row],[国家]])</f>
        <v>2</v>
      </c>
      <c r="D60" s="186">
        <f>SUMIFS(表1_86121822242672104[活跃高战玩家数],表1_86121822242672104[目标区服],表2_97131923252773105[[#This Row],[合区区服]],表1_86121822242672104[目标国家（映射）],表2_97131923252773105[[#This Row],[国家]])</f>
        <v>8</v>
      </c>
      <c r="E60" s="186">
        <f>SUMIFS(表1_86121822242672104[活跃中坚玩家数],表1_86121822242672104[目标区服],表2_97131923252773105[[#This Row],[合区区服]],表1_86121822242672104[目标国家（映射）],表2_97131923252773105[[#This Row],[国家]])</f>
        <v>51</v>
      </c>
      <c r="F60" s="186">
        <f t="array" ref="F60">MAX((表1_86121822242672104[目标区服]=表2_97131923252773105[[#This Row],[合区区服]])*(表1_86121822242672104[目标国家（映射）]=表2_97131923252773105[[#This Row],[国家]])*表1_86121822242672104[活跃尖端战力])</f>
        <v>3474394</v>
      </c>
      <c r="G60" s="187">
        <f>SUMIFS(表1_86121822242672104[活跃总战力],表1_86121822242672104[目标区服],表2_97131923252773105[[#This Row],[合区区服]],表1_86121822242672104[目标国家（映射）],表2_97131923252773105[[#This Row],[国家]])</f>
        <v>51619775</v>
      </c>
      <c r="H60" s="186">
        <f>SUMIFS(表1_86121822242672104[活跃实际充值],表1_86121822242672104[目标区服],表2_97131923252773105[[#This Row],[合区区服]],表1_86121822242672104[目标国家（映射）],表2_97131923252773105[[#This Row],[国家]])</f>
        <v>256352</v>
      </c>
      <c r="I60" s="186">
        <f>SUMIFS(表1_86121822242672104[活跃虚拟充值],表1_86121822242672104[目标区服],表2_97131923252773105[[#This Row],[合区区服]],表1_86121822242672104[目标国家（映射）],表2_97131923252773105[[#This Row],[国家]])</f>
        <v>0</v>
      </c>
      <c r="J60" s="186">
        <f>SUMIFS(表1_86121822242672104[活跃Coin],表1_86121822242672104[目标区服],表2_97131923252773105[[#This Row],[合区区服]],表1_86121822242672104[目标国家（映射）],表2_97131923252773105[[#This Row],[国家]])</f>
        <v>960121</v>
      </c>
      <c r="K60" s="186">
        <f>SUMIFS(表1_86121822242672104[共计补偿Coin],表1_86121822242672104[目标区服],表2_97131923252773105[[#This Row],[合区区服]],表1_86121822242672104[目标国家（映射）],表2_97131923252773105[[#This Row],[国家]])</f>
        <v>68000</v>
      </c>
      <c r="L60" s="186">
        <f>表2_97131923252773105[[#This Row],[活跃Coin]]+表2_97131923252773105[[#This Row],[共计补偿Coin]]</f>
        <v>1028121</v>
      </c>
      <c r="M60" s="186">
        <f>SUMIFS(表1_86121822242672104[综合国力],表1_86121822242672104[目标区服],表2_97131923252773105[[#This Row],[合区区服]],表1_86121822242672104[目标国家（映射）],表2_97131923252773105[[#This Row],[国家]])</f>
        <v>24283</v>
      </c>
      <c r="N60" s="186">
        <f t="array" ref="N60">MAX((表1_86121822242672104[目标区服]=表2_97131923252773105[[#This Row],[合区区服]])*(表1_86121822242672104[目标国家（映射）]=表2_97131923252773105[[#This Row],[国家]])*表1_86121822242672104[单将最高战力])</f>
        <v>891720</v>
      </c>
      <c r="P60" s="51">
        <v>219</v>
      </c>
      <c r="Q60" s="51">
        <v>36</v>
      </c>
    </row>
    <row r="61" ht="15" spans="1:14">
      <c r="A61" s="185" t="s">
        <v>246</v>
      </c>
      <c r="B61" s="188" t="s">
        <v>27</v>
      </c>
      <c r="C61" s="188">
        <f>COUNTIFS(表1_86121822242672104[目标区服],表2_97131923252773105[[#This Row],[合区区服]],表1_86121822242672104[目标国家（映射）],表2_97131923252773105[[#This Row],[国家]])</f>
        <v>1</v>
      </c>
      <c r="D61" s="188">
        <f>SUMIFS(表1_86121822242672104[活跃高战玩家数],表1_86121822242672104[目标区服],表2_97131923252773105[[#This Row],[合区区服]],表1_86121822242672104[目标国家（映射）],表2_97131923252773105[[#This Row],[国家]])</f>
        <v>5</v>
      </c>
      <c r="E61" s="188">
        <f>SUMIFS(表1_86121822242672104[活跃中坚玩家数],表1_86121822242672104[目标区服],表2_97131923252773105[[#This Row],[合区区服]],表1_86121822242672104[目标国家（映射）],表2_97131923252773105[[#This Row],[国家]])</f>
        <v>39</v>
      </c>
      <c r="F61" s="188">
        <f t="array" ref="F61">MAX((表1_86121822242672104[目标区服]=表2_97131923252773105[[#This Row],[合区区服]])*(表1_86121822242672104[目标国家（映射）]=表2_97131923252773105[[#This Row],[国家]])*表1_86121822242672104[活跃尖端战力])</f>
        <v>4908775</v>
      </c>
      <c r="G61" s="309">
        <f>SUMIFS(表1_86121822242672104[活跃总战力],表1_86121822242672104[目标区服],表2_97131923252773105[[#This Row],[合区区服]],表1_86121822242672104[目标国家（映射）],表2_97131923252773105[[#This Row],[国家]])</f>
        <v>47898502</v>
      </c>
      <c r="H61" s="188">
        <f>SUMIFS(表1_86121822242672104[活跃实际充值],表1_86121822242672104[目标区服],表2_97131923252773105[[#This Row],[合区区服]],表1_86121822242672104[目标国家（映射）],表2_97131923252773105[[#This Row],[国家]])</f>
        <v>356162</v>
      </c>
      <c r="I61" s="188">
        <f>SUMIFS(表1_86121822242672104[活跃虚拟充值],表1_86121822242672104[目标区服],表2_97131923252773105[[#This Row],[合区区服]],表1_86121822242672104[目标国家（映射）],表2_97131923252773105[[#This Row],[国家]])</f>
        <v>0</v>
      </c>
      <c r="J61" s="188">
        <f>SUMIFS(表1_86121822242672104[活跃Coin],表1_86121822242672104[目标区服],表2_97131923252773105[[#This Row],[合区区服]],表1_86121822242672104[目标国家（映射）],表2_97131923252773105[[#This Row],[国家]])</f>
        <v>1537567</v>
      </c>
      <c r="K61" s="188">
        <f>SUMIFS(表1_86121822242672104[共计补偿Coin],表1_86121822242672104[目标区服],表2_97131923252773105[[#This Row],[合区区服]],表1_86121822242672104[目标国家（映射）],表2_97131923252773105[[#This Row],[国家]])</f>
        <v>66000</v>
      </c>
      <c r="L61" s="188">
        <f>表2_97131923252773105[[#This Row],[活跃Coin]]+表2_97131923252773105[[#This Row],[共计补偿Coin]]</f>
        <v>1603567</v>
      </c>
      <c r="M61" s="188">
        <f>SUMIFS(表1_86121822242672104[综合国力],表1_86121822242672104[目标区服],表2_97131923252773105[[#This Row],[合区区服]],表1_86121822242672104[目标国家（映射）],表2_97131923252773105[[#This Row],[国家]])</f>
        <v>25289</v>
      </c>
      <c r="N61" s="186">
        <f t="array" ref="N61">MAX((表1_86121822242672104[目标区服]=表2_97131923252773105[[#This Row],[合区区服]])*(表1_86121822242672104[目标国家（映射）]=表2_97131923252773105[[#This Row],[国家]])*表1_86121822242672104[单将最高战力])</f>
        <v>1242746</v>
      </c>
    </row>
    <row r="62" ht="15" spans="1:14">
      <c r="A62" s="310" t="s">
        <v>247</v>
      </c>
      <c r="B62" s="173" t="s">
        <v>25</v>
      </c>
      <c r="C62" s="173">
        <f>COUNTIFS(表1_86121822242672104[目标区服],表2_97131923252773105[[#This Row],[合区区服]],表1_86121822242672104[目标国家（映射）],表2_97131923252773105[[#This Row],[国家]])</f>
        <v>2</v>
      </c>
      <c r="D62" s="173">
        <f>SUMIFS(表1_86121822242672104[活跃高战玩家数],表1_86121822242672104[目标区服],表2_97131923252773105[[#This Row],[合区区服]],表1_86121822242672104[目标国家（映射）],表2_97131923252773105[[#This Row],[国家]])</f>
        <v>6</v>
      </c>
      <c r="E62" s="173">
        <f>SUMIFS(表1_86121822242672104[活跃中坚玩家数],表1_86121822242672104[目标区服],表2_97131923252773105[[#This Row],[合区区服]],表1_86121822242672104[目标国家（映射）],表2_97131923252773105[[#This Row],[国家]])</f>
        <v>43</v>
      </c>
      <c r="F62" s="173">
        <f t="array" ref="F62">MAX((表1_86121822242672104[目标区服]=表2_97131923252773105[[#This Row],[合区区服]])*(表1_86121822242672104[目标国家（映射）]=表2_97131923252773105[[#This Row],[国家]])*表1_86121822242672104[活跃尖端战力])</f>
        <v>3171223</v>
      </c>
      <c r="G62" s="174">
        <f>SUMIFS(表1_86121822242672104[活跃总战力],表1_86121822242672104[目标区服],表2_97131923252773105[[#This Row],[合区区服]],表1_86121822242672104[目标国家（映射）],表2_97131923252773105[[#This Row],[国家]])</f>
        <v>41033542</v>
      </c>
      <c r="H62" s="173">
        <f>SUMIFS(表1_86121822242672104[活跃实际充值],表1_86121822242672104[目标区服],表2_97131923252773105[[#This Row],[合区区服]],表1_86121822242672104[目标国家（映射）],表2_97131923252773105[[#This Row],[国家]])</f>
        <v>223675</v>
      </c>
      <c r="I62" s="173">
        <f>SUMIFS(表1_86121822242672104[活跃虚拟充值],表1_86121822242672104[目标区服],表2_97131923252773105[[#This Row],[合区区服]],表1_86121822242672104[目标国家（映射）],表2_97131923252773105[[#This Row],[国家]])</f>
        <v>0</v>
      </c>
      <c r="J62" s="173">
        <f>SUMIFS(表1_86121822242672104[活跃Coin],表1_86121822242672104[目标区服],表2_97131923252773105[[#This Row],[合区区服]],表1_86121822242672104[目标国家（映射）],表2_97131923252773105[[#This Row],[国家]])</f>
        <v>776228</v>
      </c>
      <c r="K62" s="173">
        <f>SUMIFS(表1_86121822242672104[共计补偿Coin],表1_86121822242672104[目标区服],表2_97131923252773105[[#This Row],[合区区服]],表1_86121822242672104[目标国家（映射）],表2_97131923252773105[[#This Row],[国家]])</f>
        <v>64500</v>
      </c>
      <c r="L62" s="173">
        <f>表2_97131923252773105[[#This Row],[活跃Coin]]+表2_97131923252773105[[#This Row],[共计补偿Coin]]</f>
        <v>840728</v>
      </c>
      <c r="M62" s="173">
        <f>SUMIFS(表1_86121822242672104[综合国力],表1_86121822242672104[目标区服],表2_97131923252773105[[#This Row],[合区区服]],表1_86121822242672104[目标国家（映射）],表2_97131923252773105[[#This Row],[国家]])</f>
        <v>19799</v>
      </c>
      <c r="N62" s="173">
        <f t="array" ref="N62">MAX((表1_86121822242672104[目标区服]=表2_97131923252773105[[#This Row],[合区区服]])*(表1_86121822242672104[目标国家（映射）]=表2_97131923252773105[[#This Row],[国家]])*表1_86121822242672104[单将最高战力])</f>
        <v>855415</v>
      </c>
    </row>
    <row r="63" ht="15" spans="1:14">
      <c r="A63" s="310" t="s">
        <v>247</v>
      </c>
      <c r="B63" s="173" t="s">
        <v>26</v>
      </c>
      <c r="C63" s="173">
        <f>COUNTIFS(表1_86121822242672104[目标区服],表2_97131923252773105[[#This Row],[合区区服]],表1_86121822242672104[目标国家（映射）],表2_97131923252773105[[#This Row],[国家]])</f>
        <v>2</v>
      </c>
      <c r="D63" s="173">
        <f>SUMIFS(表1_86121822242672104[活跃高战玩家数],表1_86121822242672104[目标区服],表2_97131923252773105[[#This Row],[合区区服]],表1_86121822242672104[目标国家（映射）],表2_97131923252773105[[#This Row],[国家]])</f>
        <v>8</v>
      </c>
      <c r="E63" s="173">
        <f>SUMIFS(表1_86121822242672104[活跃中坚玩家数],表1_86121822242672104[目标区服],表2_97131923252773105[[#This Row],[合区区服]],表1_86121822242672104[目标国家（映射）],表2_97131923252773105[[#This Row],[国家]])</f>
        <v>52</v>
      </c>
      <c r="F63" s="173">
        <f t="array" ref="F63">MAX((表1_86121822242672104[目标区服]=表2_97131923252773105[[#This Row],[合区区服]])*(表1_86121822242672104[目标国家（映射）]=表2_97131923252773105[[#This Row],[国家]])*表1_86121822242672104[活跃尖端战力])</f>
        <v>3116850</v>
      </c>
      <c r="G63" s="174">
        <f>SUMIFS(表1_86121822242672104[活跃总战力],表1_86121822242672104[目标区服],表2_97131923252773105[[#This Row],[合区区服]],表1_86121822242672104[目标国家（映射）],表2_97131923252773105[[#This Row],[国家]])</f>
        <v>49151770</v>
      </c>
      <c r="H63" s="173">
        <f>SUMIFS(表1_86121822242672104[活跃实际充值],表1_86121822242672104[目标区服],表2_97131923252773105[[#This Row],[合区区服]],表1_86121822242672104[目标国家（映射）],表2_97131923252773105[[#This Row],[国家]])</f>
        <v>183542</v>
      </c>
      <c r="I63" s="173">
        <f>SUMIFS(表1_86121822242672104[活跃虚拟充值],表1_86121822242672104[目标区服],表2_97131923252773105[[#This Row],[合区区服]],表1_86121822242672104[目标国家（映射）],表2_97131923252773105[[#This Row],[国家]])</f>
        <v>0</v>
      </c>
      <c r="J63" s="173">
        <f>SUMIFS(表1_86121822242672104[活跃Coin],表1_86121822242672104[目标区服],表2_97131923252773105[[#This Row],[合区区服]],表1_86121822242672104[目标国家（映射）],表2_97131923252773105[[#This Row],[国家]])</f>
        <v>1240872</v>
      </c>
      <c r="K63" s="173">
        <f>SUMIFS(表1_86121822242672104[共计补偿Coin],表1_86121822242672104[目标区服],表2_97131923252773105[[#This Row],[合区区服]],表1_86121822242672104[目标国家（映射）],表2_97131923252773105[[#This Row],[国家]])</f>
        <v>60000</v>
      </c>
      <c r="L63" s="173">
        <f>表2_97131923252773105[[#This Row],[活跃Coin]]+表2_97131923252773105[[#This Row],[共计补偿Coin]]</f>
        <v>1300872</v>
      </c>
      <c r="M63" s="173">
        <f>SUMIFS(表1_86121822242672104[综合国力],表1_86121822242672104[目标区服],表2_97131923252773105[[#This Row],[合区区服]],表1_86121822242672104[目标国家（映射）],表2_97131923252773105[[#This Row],[国家]])</f>
        <v>20717</v>
      </c>
      <c r="N63" s="173">
        <f t="array" ref="N63">MAX((表1_86121822242672104[目标区服]=表2_97131923252773105[[#This Row],[合区区服]])*(表1_86121822242672104[目标国家（映射）]=表2_97131923252773105[[#This Row],[国家]])*表1_86121822242672104[单将最高战力])</f>
        <v>875626</v>
      </c>
    </row>
    <row r="64" ht="15" spans="1:14">
      <c r="A64" s="310" t="s">
        <v>247</v>
      </c>
      <c r="B64" s="175" t="s">
        <v>27</v>
      </c>
      <c r="C64" s="175">
        <f>COUNTIFS(表1_86121822242672104[目标区服],表2_97131923252773105[[#This Row],[合区区服]],表1_86121822242672104[目标国家（映射）],表2_97131923252773105[[#This Row],[国家]])</f>
        <v>2</v>
      </c>
      <c r="D64" s="175">
        <f>SUMIFS(表1_86121822242672104[活跃高战玩家数],表1_86121822242672104[目标区服],表2_97131923252773105[[#This Row],[合区区服]],表1_86121822242672104[目标国家（映射）],表2_97131923252773105[[#This Row],[国家]])</f>
        <v>5</v>
      </c>
      <c r="E64" s="175">
        <f>SUMIFS(表1_86121822242672104[活跃中坚玩家数],表1_86121822242672104[目标区服],表2_97131923252773105[[#This Row],[合区区服]],表1_86121822242672104[目标国家（映射）],表2_97131923252773105[[#This Row],[国家]])</f>
        <v>54</v>
      </c>
      <c r="F64" s="175">
        <f t="array" ref="F64">MAX((表1_86121822242672104[目标区服]=表2_97131923252773105[[#This Row],[合区区服]])*(表1_86121822242672104[目标国家（映射）]=表2_97131923252773105[[#This Row],[国家]])*表1_86121822242672104[活跃尖端战力])</f>
        <v>2950888</v>
      </c>
      <c r="G64" s="176">
        <f>SUMIFS(表1_86121822242672104[活跃总战力],表1_86121822242672104[目标区服],表2_97131923252773105[[#This Row],[合区区服]],表1_86121822242672104[目标国家（映射）],表2_97131923252773105[[#This Row],[国家]])</f>
        <v>45197022</v>
      </c>
      <c r="H64" s="175">
        <f>SUMIFS(表1_86121822242672104[活跃实际充值],表1_86121822242672104[目标区服],表2_97131923252773105[[#This Row],[合区区服]],表1_86121822242672104[目标国家（映射）],表2_97131923252773105[[#This Row],[国家]])</f>
        <v>102530</v>
      </c>
      <c r="I64" s="175">
        <f>SUMIFS(表1_86121822242672104[活跃虚拟充值],表1_86121822242672104[目标区服],表2_97131923252773105[[#This Row],[合区区服]],表1_86121822242672104[目标国家（映射）],表2_97131923252773105[[#This Row],[国家]])</f>
        <v>30</v>
      </c>
      <c r="J64" s="175">
        <f>SUMIFS(表1_86121822242672104[活跃Coin],表1_86121822242672104[目标区服],表2_97131923252773105[[#This Row],[合区区服]],表1_86121822242672104[目标国家（映射）],表2_97131923252773105[[#This Row],[国家]])</f>
        <v>494740</v>
      </c>
      <c r="K64" s="175">
        <f>SUMIFS(表1_86121822242672104[共计补偿Coin],表1_86121822242672104[目标区服],表2_97131923252773105[[#This Row],[合区区服]],表1_86121822242672104[目标国家（映射）],表2_97131923252773105[[#This Row],[国家]])</f>
        <v>88500</v>
      </c>
      <c r="L64" s="175">
        <f>表2_97131923252773105[[#This Row],[活跃Coin]]+表2_97131923252773105[[#This Row],[共计补偿Coin]]</f>
        <v>583240</v>
      </c>
      <c r="M64" s="175">
        <f>SUMIFS(表1_86121822242672104[综合国力],表1_86121822242672104[目标区服],表2_97131923252773105[[#This Row],[合区区服]],表1_86121822242672104[目标国家（映射）],表2_97131923252773105[[#This Row],[国家]])</f>
        <v>16685</v>
      </c>
      <c r="N64" s="173">
        <f t="array" ref="N64">MAX((表1_86121822242672104[目标区服]=表2_97131923252773105[[#This Row],[合区区服]])*(表1_86121822242672104[目标国家（映射）]=表2_97131923252773105[[#This Row],[国家]])*表1_86121822242672104[单将最高战力])</f>
        <v>835798</v>
      </c>
    </row>
    <row r="65" ht="15" spans="1:14">
      <c r="A65" s="308" t="s">
        <v>248</v>
      </c>
      <c r="B65" s="224" t="s">
        <v>25</v>
      </c>
      <c r="C65" s="224">
        <f>COUNTIFS(表1_86121822242672104[目标区服],表2_97131923252773105[[#This Row],[合区区服]],表1_86121822242672104[目标国家（映射）],表2_97131923252773105[[#This Row],[国家]])</f>
        <v>2</v>
      </c>
      <c r="D65" s="224">
        <f>SUMIFS(表1_86121822242672104[活跃高战玩家数],表1_86121822242672104[目标区服],表2_97131923252773105[[#This Row],[合区区服]],表1_86121822242672104[目标国家（映射）],表2_97131923252773105[[#This Row],[国家]])</f>
        <v>6</v>
      </c>
      <c r="E65" s="224">
        <f>SUMIFS(表1_86121822242672104[活跃中坚玩家数],表1_86121822242672104[目标区服],表2_97131923252773105[[#This Row],[合区区服]],表1_86121822242672104[目标国家（映射）],表2_97131923252773105[[#This Row],[国家]])</f>
        <v>45</v>
      </c>
      <c r="F65" s="224">
        <f t="array" ref="F65">MAX((表1_86121822242672104[目标区服]=表2_97131923252773105[[#This Row],[合区区服]])*(表1_86121822242672104[目标国家（映射）]=表2_97131923252773105[[#This Row],[国家]])*表1_86121822242672104[活跃尖端战力])</f>
        <v>3266348</v>
      </c>
      <c r="G65" s="225">
        <f>SUMIFS(表1_86121822242672104[活跃总战力],表1_86121822242672104[目标区服],表2_97131923252773105[[#This Row],[合区区服]],表1_86121822242672104[目标国家（映射）],表2_97131923252773105[[#This Row],[国家]])</f>
        <v>40687875</v>
      </c>
      <c r="H65" s="224">
        <f>SUMIFS(表1_86121822242672104[活跃实际充值],表1_86121822242672104[目标区服],表2_97131923252773105[[#This Row],[合区区服]],表1_86121822242672104[目标国家（映射）],表2_97131923252773105[[#This Row],[国家]])</f>
        <v>184376</v>
      </c>
      <c r="I65" s="224">
        <f>SUMIFS(表1_86121822242672104[活跃虚拟充值],表1_86121822242672104[目标区服],表2_97131923252773105[[#This Row],[合区区服]],表1_86121822242672104[目标国家（映射）],表2_97131923252773105[[#This Row],[国家]])</f>
        <v>0</v>
      </c>
      <c r="J65" s="224">
        <f>SUMIFS(表1_86121822242672104[活跃Coin],表1_86121822242672104[目标区服],表2_97131923252773105[[#This Row],[合区区服]],表1_86121822242672104[目标国家（映射）],表2_97131923252773105[[#This Row],[国家]])</f>
        <v>893838</v>
      </c>
      <c r="K65" s="224">
        <f>SUMIFS(表1_86121822242672104[共计补偿Coin],表1_86121822242672104[目标区服],表2_97131923252773105[[#This Row],[合区区服]],表1_86121822242672104[目标国家（映射）],表2_97131923252773105[[#This Row],[国家]])</f>
        <v>76500</v>
      </c>
      <c r="L65" s="224">
        <f>表2_97131923252773105[[#This Row],[活跃Coin]]+表2_97131923252773105[[#This Row],[共计补偿Coin]]</f>
        <v>970338</v>
      </c>
      <c r="M65" s="224">
        <f>SUMIFS(表1_86121822242672104[综合国力],表1_86121822242672104[目标区服],表2_97131923252773105[[#This Row],[合区区服]],表1_86121822242672104[目标国家（映射）],表2_97131923252773105[[#This Row],[国家]])</f>
        <v>19496</v>
      </c>
      <c r="N65" s="224">
        <f t="array" ref="N65">MAX((表1_86121822242672104[目标区服]=表2_97131923252773105[[#This Row],[合区区服]])*(表1_86121822242672104[目标国家（映射）]=表2_97131923252773105[[#This Row],[国家]])*表1_86121822242672104[单将最高战力])</f>
        <v>1033044</v>
      </c>
    </row>
    <row r="66" ht="15" spans="1:14">
      <c r="A66" s="308" t="s">
        <v>248</v>
      </c>
      <c r="B66" s="224" t="s">
        <v>26</v>
      </c>
      <c r="C66" s="224">
        <f>COUNTIFS(表1_86121822242672104[目标区服],表2_97131923252773105[[#This Row],[合区区服]],表1_86121822242672104[目标国家（映射）],表2_97131923252773105[[#This Row],[国家]])</f>
        <v>1</v>
      </c>
      <c r="D66" s="224">
        <f>SUMIFS(表1_86121822242672104[活跃高战玩家数],表1_86121822242672104[目标区服],表2_97131923252773105[[#This Row],[合区区服]],表1_86121822242672104[目标国家（映射）],表2_97131923252773105[[#This Row],[国家]])</f>
        <v>8</v>
      </c>
      <c r="E66" s="224">
        <f>SUMIFS(表1_86121822242672104[活跃中坚玩家数],表1_86121822242672104[目标区服],表2_97131923252773105[[#This Row],[合区区服]],表1_86121822242672104[目标国家（映射）],表2_97131923252773105[[#This Row],[国家]])</f>
        <v>40</v>
      </c>
      <c r="F66" s="224">
        <f t="array" ref="F66">MAX((表1_86121822242672104[目标区服]=表2_97131923252773105[[#This Row],[合区区服]])*(表1_86121822242672104[目标国家（映射）]=表2_97131923252773105[[#This Row],[国家]])*表1_86121822242672104[活跃尖端战力])</f>
        <v>2989412</v>
      </c>
      <c r="G66" s="225">
        <f>SUMIFS(表1_86121822242672104[活跃总战力],表1_86121822242672104[目标区服],表2_97131923252773105[[#This Row],[合区区服]],表1_86121822242672104[目标国家（映射）],表2_97131923252773105[[#This Row],[国家]])</f>
        <v>38160443</v>
      </c>
      <c r="H66" s="224">
        <f>SUMIFS(表1_86121822242672104[活跃实际充值],表1_86121822242672104[目标区服],表2_97131923252773105[[#This Row],[合区区服]],表1_86121822242672104[目标国家（映射）],表2_97131923252773105[[#This Row],[国家]])</f>
        <v>140257</v>
      </c>
      <c r="I66" s="224">
        <f>SUMIFS(表1_86121822242672104[活跃虚拟充值],表1_86121822242672104[目标区服],表2_97131923252773105[[#This Row],[合区区服]],表1_86121822242672104[目标国家（映射）],表2_97131923252773105[[#This Row],[国家]])</f>
        <v>0</v>
      </c>
      <c r="J66" s="224">
        <f>SUMIFS(表1_86121822242672104[活跃Coin],表1_86121822242672104[目标区服],表2_97131923252773105[[#This Row],[合区区服]],表1_86121822242672104[目标国家（映射）],表2_97131923252773105[[#This Row],[国家]])</f>
        <v>754080</v>
      </c>
      <c r="K66" s="224">
        <f>SUMIFS(表1_86121822242672104[共计补偿Coin],表1_86121822242672104[目标区服],表2_97131923252773105[[#This Row],[合区区服]],表1_86121822242672104[目标国家（映射）],表2_97131923252773105[[#This Row],[国家]])</f>
        <v>48000</v>
      </c>
      <c r="L66" s="224">
        <f>表2_97131923252773105[[#This Row],[活跃Coin]]+表2_97131923252773105[[#This Row],[共计补偿Coin]]</f>
        <v>802080</v>
      </c>
      <c r="M66" s="224">
        <f>SUMIFS(表1_86121822242672104[综合国力],表1_86121822242672104[目标区服],表2_97131923252773105[[#This Row],[合区区服]],表1_86121822242672104[目标国家（映射）],表2_97131923252773105[[#This Row],[国家]])</f>
        <v>16560</v>
      </c>
      <c r="N66" s="224">
        <f t="array" ref="N66">MAX((表1_86121822242672104[目标区服]=表2_97131923252773105[[#This Row],[合区区服]])*(表1_86121822242672104[目标国家（映射）]=表2_97131923252773105[[#This Row],[国家]])*表1_86121822242672104[单将最高战力])</f>
        <v>907845</v>
      </c>
    </row>
    <row r="67" ht="15" spans="1:14">
      <c r="A67" s="308" t="s">
        <v>248</v>
      </c>
      <c r="B67" s="226" t="s">
        <v>27</v>
      </c>
      <c r="C67" s="226">
        <f>COUNTIFS(表1_86121822242672104[目标区服],表2_97131923252773105[[#This Row],[合区区服]],表1_86121822242672104[目标国家（映射）],表2_97131923252773105[[#This Row],[国家]])</f>
        <v>3</v>
      </c>
      <c r="D67" s="226">
        <f>SUMIFS(表1_86121822242672104[活跃高战玩家数],表1_86121822242672104[目标区服],表2_97131923252773105[[#This Row],[合区区服]],表1_86121822242672104[目标国家（映射）],表2_97131923252773105[[#This Row],[国家]])</f>
        <v>6</v>
      </c>
      <c r="E67" s="226">
        <f>SUMIFS(表1_86121822242672104[活跃中坚玩家数],表1_86121822242672104[目标区服],表2_97131923252773105[[#This Row],[合区区服]],表1_86121822242672104[目标国家（映射）],表2_97131923252773105[[#This Row],[国家]])</f>
        <v>59</v>
      </c>
      <c r="F67" s="226">
        <f t="array" ref="F67">MAX((表1_86121822242672104[目标区服]=表2_97131923252773105[[#This Row],[合区区服]])*(表1_86121822242672104[目标国家（映射）]=表2_97131923252773105[[#This Row],[国家]])*表1_86121822242672104[活跃尖端战力])</f>
        <v>3149790</v>
      </c>
      <c r="G67" s="227">
        <f>SUMIFS(表1_86121822242672104[活跃总战力],表1_86121822242672104[目标区服],表2_97131923252773105[[#This Row],[合区区服]],表1_86121822242672104[目标国家（映射）],表2_97131923252773105[[#This Row],[国家]])</f>
        <v>45474145</v>
      </c>
      <c r="H67" s="226">
        <f>SUMIFS(表1_86121822242672104[活跃实际充值],表1_86121822242672104[目标区服],表2_97131923252773105[[#This Row],[合区区服]],表1_86121822242672104[目标国家（映射）],表2_97131923252773105[[#This Row],[国家]])</f>
        <v>161626</v>
      </c>
      <c r="I67" s="226">
        <f>SUMIFS(表1_86121822242672104[活跃虚拟充值],表1_86121822242672104[目标区服],表2_97131923252773105[[#This Row],[合区区服]],表1_86121822242672104[目标国家（映射）],表2_97131923252773105[[#This Row],[国家]])</f>
        <v>0</v>
      </c>
      <c r="J67" s="226">
        <f>SUMIFS(表1_86121822242672104[活跃Coin],表1_86121822242672104[目标区服],表2_97131923252773105[[#This Row],[合区区服]],表1_86121822242672104[目标国家（映射）],表2_97131923252773105[[#This Row],[国家]])</f>
        <v>723282</v>
      </c>
      <c r="K67" s="226">
        <f>SUMIFS(表1_86121822242672104[共计补偿Coin],表1_86121822242672104[目标区服],表2_97131923252773105[[#This Row],[合区区服]],表1_86121822242672104[目标国家（映射）],表2_97131923252773105[[#This Row],[国家]])</f>
        <v>80500</v>
      </c>
      <c r="L67" s="226">
        <f>表2_97131923252773105[[#This Row],[活跃Coin]]+表2_97131923252773105[[#This Row],[共计补偿Coin]]</f>
        <v>803782</v>
      </c>
      <c r="M67" s="226">
        <f>SUMIFS(表1_86121822242672104[综合国力],表1_86121822242672104[目标区服],表2_97131923252773105[[#This Row],[合区区服]],表1_86121822242672104[目标国家（映射）],表2_97131923252773105[[#This Row],[国家]])</f>
        <v>19481</v>
      </c>
      <c r="N67" s="224">
        <f t="array" ref="N67">MAX((表1_86121822242672104[目标区服]=表2_97131923252773105[[#This Row],[合区区服]])*(表1_86121822242672104[目标国家（映射）]=表2_97131923252773105[[#This Row],[国家]])*表1_86121822242672104[单将最高战力])</f>
        <v>860614</v>
      </c>
    </row>
    <row r="69" ht="27" spans="2:14">
      <c r="B69" s="49"/>
      <c r="C69" s="50" t="s">
        <v>9</v>
      </c>
      <c r="D69" s="50" t="s">
        <v>10</v>
      </c>
      <c r="E69" s="50" t="s">
        <v>11</v>
      </c>
      <c r="F69" s="50" t="s">
        <v>12</v>
      </c>
      <c r="G69" s="50" t="s">
        <v>13</v>
      </c>
      <c r="H69" s="50" t="s">
        <v>14</v>
      </c>
      <c r="I69" s="50" t="s">
        <v>15</v>
      </c>
      <c r="J69" s="50" t="s">
        <v>18</v>
      </c>
      <c r="K69" s="50" t="s">
        <v>19</v>
      </c>
      <c r="L69" s="50" t="s">
        <v>20</v>
      </c>
      <c r="M69" s="50" t="s">
        <v>21</v>
      </c>
      <c r="N69" s="50" t="s">
        <v>82</v>
      </c>
    </row>
    <row r="70" spans="1:14">
      <c r="A70">
        <v>206</v>
      </c>
      <c r="B70" s="190" t="s">
        <v>25</v>
      </c>
      <c r="C70" s="190">
        <v>3</v>
      </c>
      <c r="D70" s="190">
        <v>122</v>
      </c>
      <c r="E70" s="190">
        <v>2</v>
      </c>
      <c r="F70" s="190">
        <v>18</v>
      </c>
      <c r="G70" s="190">
        <v>70217</v>
      </c>
      <c r="H70" s="190">
        <v>2194195</v>
      </c>
      <c r="I70" s="190">
        <v>18087637</v>
      </c>
      <c r="J70" s="190">
        <v>44300</v>
      </c>
      <c r="K70" s="190">
        <v>0</v>
      </c>
      <c r="L70" s="190">
        <v>423602</v>
      </c>
      <c r="M70" s="190">
        <v>7414</v>
      </c>
      <c r="N70" s="190">
        <v>655612</v>
      </c>
    </row>
    <row r="71" spans="2:14">
      <c r="B71" s="190" t="s">
        <v>26</v>
      </c>
      <c r="C71" s="190">
        <v>3</v>
      </c>
      <c r="D71" s="190">
        <v>145</v>
      </c>
      <c r="E71" s="190">
        <v>5</v>
      </c>
      <c r="F71" s="190">
        <v>29</v>
      </c>
      <c r="G71" s="190">
        <v>118387</v>
      </c>
      <c r="H71" s="190">
        <v>3786293</v>
      </c>
      <c r="I71" s="190">
        <v>34310017</v>
      </c>
      <c r="J71" s="190">
        <v>194734</v>
      </c>
      <c r="K71" s="190">
        <v>0</v>
      </c>
      <c r="L71" s="190">
        <v>842030</v>
      </c>
      <c r="M71" s="190">
        <v>15822</v>
      </c>
      <c r="N71" s="190">
        <v>991004</v>
      </c>
    </row>
    <row r="72" spans="2:14">
      <c r="B72" s="190" t="s">
        <v>27</v>
      </c>
      <c r="C72" s="190">
        <v>3</v>
      </c>
      <c r="D72" s="190">
        <v>128</v>
      </c>
      <c r="E72" s="190">
        <v>3</v>
      </c>
      <c r="F72" s="190">
        <v>31</v>
      </c>
      <c r="G72" s="190">
        <v>132164</v>
      </c>
      <c r="H72" s="190">
        <v>2503667</v>
      </c>
      <c r="I72" s="190">
        <v>32116377</v>
      </c>
      <c r="J72" s="190">
        <v>58800</v>
      </c>
      <c r="K72" s="190">
        <v>0</v>
      </c>
      <c r="L72" s="190">
        <v>491778</v>
      </c>
      <c r="M72" s="190">
        <v>9966</v>
      </c>
      <c r="N72" s="190">
        <v>803935</v>
      </c>
    </row>
    <row r="73" spans="1:14">
      <c r="A73">
        <v>207</v>
      </c>
      <c r="B73" s="190" t="s">
        <v>25</v>
      </c>
      <c r="C73" s="190">
        <v>1</v>
      </c>
      <c r="D73" s="190">
        <v>50</v>
      </c>
      <c r="E73" s="190">
        <v>0</v>
      </c>
      <c r="F73" s="190">
        <v>14</v>
      </c>
      <c r="G73" s="190">
        <v>38378</v>
      </c>
      <c r="H73" s="190">
        <v>1148112</v>
      </c>
      <c r="I73" s="190">
        <v>6526168</v>
      </c>
      <c r="J73" s="190">
        <v>1306</v>
      </c>
      <c r="K73" s="190">
        <v>0</v>
      </c>
      <c r="L73" s="190">
        <v>57736</v>
      </c>
      <c r="M73" s="190">
        <v>2660</v>
      </c>
      <c r="N73" s="190">
        <v>441637</v>
      </c>
    </row>
    <row r="74" spans="2:14">
      <c r="B74" s="190" t="s">
        <v>26</v>
      </c>
      <c r="C74" s="190">
        <v>5</v>
      </c>
      <c r="D74" s="190">
        <v>187</v>
      </c>
      <c r="E74" s="190">
        <v>3</v>
      </c>
      <c r="F74" s="190">
        <v>17</v>
      </c>
      <c r="G74" s="190">
        <v>118107</v>
      </c>
      <c r="H74" s="190">
        <v>3077206</v>
      </c>
      <c r="I74" s="190">
        <v>19436368</v>
      </c>
      <c r="J74" s="190">
        <v>153343</v>
      </c>
      <c r="K74" s="190">
        <v>0</v>
      </c>
      <c r="L74" s="190">
        <v>622873</v>
      </c>
      <c r="M74" s="190">
        <v>12893</v>
      </c>
      <c r="N74" s="190">
        <v>1176507</v>
      </c>
    </row>
    <row r="75" spans="2:14">
      <c r="B75" s="190" t="s">
        <v>27</v>
      </c>
      <c r="C75" s="190">
        <v>3</v>
      </c>
      <c r="D75" s="190">
        <v>158</v>
      </c>
      <c r="E75" s="190">
        <v>7</v>
      </c>
      <c r="F75" s="190">
        <v>20</v>
      </c>
      <c r="G75" s="190">
        <v>119496</v>
      </c>
      <c r="H75" s="190">
        <v>2979907</v>
      </c>
      <c r="I75" s="190">
        <v>20980981</v>
      </c>
      <c r="J75" s="190">
        <v>94312</v>
      </c>
      <c r="K75" s="190">
        <v>0</v>
      </c>
      <c r="L75" s="190">
        <v>395482</v>
      </c>
      <c r="M75" s="190">
        <v>10582</v>
      </c>
      <c r="N75" s="190">
        <v>1062690</v>
      </c>
    </row>
    <row r="76" spans="1:14">
      <c r="A76">
        <v>208</v>
      </c>
      <c r="B76" s="190" t="s">
        <v>25</v>
      </c>
      <c r="C76" s="190">
        <v>5</v>
      </c>
      <c r="D76" s="190">
        <v>177</v>
      </c>
      <c r="E76" s="190">
        <v>7</v>
      </c>
      <c r="F76" s="190">
        <v>17</v>
      </c>
      <c r="G76" s="190">
        <v>128300</v>
      </c>
      <c r="H76" s="190">
        <v>3257818</v>
      </c>
      <c r="I76" s="190">
        <v>22899031</v>
      </c>
      <c r="J76" s="190">
        <v>131444</v>
      </c>
      <c r="K76" s="190">
        <v>6</v>
      </c>
      <c r="L76" s="190">
        <v>523202</v>
      </c>
      <c r="M76" s="190">
        <v>12664</v>
      </c>
      <c r="N76" s="190">
        <v>916120</v>
      </c>
    </row>
    <row r="77" spans="2:14">
      <c r="B77" s="190" t="s">
        <v>26</v>
      </c>
      <c r="C77" s="190">
        <v>4</v>
      </c>
      <c r="D77" s="190">
        <v>169</v>
      </c>
      <c r="E77" s="190">
        <v>3</v>
      </c>
      <c r="F77" s="190">
        <v>22</v>
      </c>
      <c r="G77" s="190">
        <v>123180</v>
      </c>
      <c r="H77" s="190">
        <v>2728158</v>
      </c>
      <c r="I77" s="190">
        <v>19746887</v>
      </c>
      <c r="J77" s="190">
        <v>59024</v>
      </c>
      <c r="K77" s="190">
        <v>0</v>
      </c>
      <c r="L77" s="190">
        <v>670782</v>
      </c>
      <c r="M77" s="190">
        <v>9514</v>
      </c>
      <c r="N77" s="190">
        <v>816834</v>
      </c>
    </row>
    <row r="78" spans="2:14">
      <c r="B78" s="190" t="s">
        <v>27</v>
      </c>
      <c r="C78" s="190">
        <v>0</v>
      </c>
      <c r="D78" s="190">
        <v>49</v>
      </c>
      <c r="E78" s="190">
        <v>0</v>
      </c>
      <c r="F78" s="190">
        <v>12</v>
      </c>
      <c r="G78" s="190">
        <v>35266</v>
      </c>
      <c r="H78" s="190">
        <v>1042725</v>
      </c>
      <c r="I78" s="190">
        <v>6010276</v>
      </c>
      <c r="J78" s="190">
        <v>6560</v>
      </c>
      <c r="K78" s="190">
        <v>0</v>
      </c>
      <c r="L78" s="190">
        <v>81928</v>
      </c>
      <c r="M78" s="190">
        <v>2547</v>
      </c>
      <c r="N78" s="190">
        <v>348792</v>
      </c>
    </row>
    <row r="79" spans="1:14">
      <c r="A79">
        <v>209</v>
      </c>
      <c r="B79" s="190" t="s">
        <v>25</v>
      </c>
      <c r="C79" s="190">
        <v>3</v>
      </c>
      <c r="D79" s="190">
        <v>137</v>
      </c>
      <c r="E79" s="190">
        <v>5</v>
      </c>
      <c r="F79" s="190">
        <v>14</v>
      </c>
      <c r="G79" s="190">
        <v>97947</v>
      </c>
      <c r="H79" s="190">
        <v>2897234</v>
      </c>
      <c r="I79" s="190">
        <v>17935206</v>
      </c>
      <c r="J79" s="190">
        <v>80004</v>
      </c>
      <c r="K79" s="190">
        <v>0</v>
      </c>
      <c r="L79" s="190">
        <v>579156</v>
      </c>
      <c r="M79" s="190">
        <v>9540</v>
      </c>
      <c r="N79" s="190">
        <v>897576</v>
      </c>
    </row>
    <row r="80" spans="2:14">
      <c r="B80" s="190" t="s">
        <v>26</v>
      </c>
      <c r="C80" s="190">
        <v>2</v>
      </c>
      <c r="D80" s="190">
        <v>67</v>
      </c>
      <c r="E80" s="190">
        <v>1</v>
      </c>
      <c r="F80" s="190">
        <v>23</v>
      </c>
      <c r="G80" s="190">
        <v>73932</v>
      </c>
      <c r="H80" s="190">
        <v>1566177</v>
      </c>
      <c r="I80" s="190">
        <v>14373968</v>
      </c>
      <c r="J80" s="190">
        <v>35106</v>
      </c>
      <c r="K80" s="190">
        <v>0</v>
      </c>
      <c r="L80" s="190">
        <v>173843</v>
      </c>
      <c r="M80" s="190">
        <v>5383</v>
      </c>
      <c r="N80" s="190">
        <v>407611</v>
      </c>
    </row>
    <row r="81" spans="2:14">
      <c r="B81" s="190" t="s">
        <v>27</v>
      </c>
      <c r="C81" s="190">
        <v>4</v>
      </c>
      <c r="D81" s="190">
        <v>191</v>
      </c>
      <c r="E81" s="190">
        <v>4</v>
      </c>
      <c r="F81" s="190">
        <v>24</v>
      </c>
      <c r="G81" s="190">
        <v>115120</v>
      </c>
      <c r="H81" s="190">
        <v>2568448</v>
      </c>
      <c r="I81" s="190">
        <v>20992451</v>
      </c>
      <c r="J81" s="190">
        <v>54752</v>
      </c>
      <c r="K81" s="190">
        <v>0</v>
      </c>
      <c r="L81" s="190">
        <v>564726</v>
      </c>
      <c r="M81" s="190">
        <v>9478</v>
      </c>
      <c r="N81" s="190">
        <v>818181</v>
      </c>
    </row>
    <row r="82" spans="1:14">
      <c r="A82">
        <v>210</v>
      </c>
      <c r="B82" s="190" t="s">
        <v>25</v>
      </c>
      <c r="C82" s="190">
        <v>4</v>
      </c>
      <c r="D82" s="190">
        <v>143</v>
      </c>
      <c r="E82" s="190">
        <v>4</v>
      </c>
      <c r="F82" s="190">
        <v>17</v>
      </c>
      <c r="G82" s="190">
        <v>102088</v>
      </c>
      <c r="H82" s="190">
        <v>3068202</v>
      </c>
      <c r="I82" s="190">
        <v>21330788</v>
      </c>
      <c r="J82" s="190">
        <v>73432</v>
      </c>
      <c r="K82" s="190">
        <v>128</v>
      </c>
      <c r="L82" s="190">
        <v>316057</v>
      </c>
      <c r="M82" s="190">
        <v>9903</v>
      </c>
      <c r="N82" s="190">
        <v>894992</v>
      </c>
    </row>
    <row r="83" spans="2:14">
      <c r="B83" s="190" t="s">
        <v>26</v>
      </c>
      <c r="C83" s="190">
        <v>3</v>
      </c>
      <c r="D83" s="190">
        <v>172</v>
      </c>
      <c r="E83" s="190">
        <v>3</v>
      </c>
      <c r="F83" s="190">
        <v>30</v>
      </c>
      <c r="G83" s="190">
        <v>118818</v>
      </c>
      <c r="H83" s="190">
        <v>2483954</v>
      </c>
      <c r="I83" s="190">
        <v>27394754</v>
      </c>
      <c r="J83" s="190">
        <v>48988</v>
      </c>
      <c r="K83" s="190">
        <v>0</v>
      </c>
      <c r="L83" s="190">
        <v>560450</v>
      </c>
      <c r="M83" s="190">
        <v>9587</v>
      </c>
      <c r="N83" s="190">
        <v>725517</v>
      </c>
    </row>
    <row r="84" spans="2:14">
      <c r="B84" s="190" t="s">
        <v>27</v>
      </c>
      <c r="C84" s="190">
        <v>2</v>
      </c>
      <c r="D84" s="190">
        <v>80</v>
      </c>
      <c r="E84" s="190">
        <v>3</v>
      </c>
      <c r="F84" s="190">
        <v>23</v>
      </c>
      <c r="G84" s="190">
        <v>104149</v>
      </c>
      <c r="H84" s="190">
        <v>3048379</v>
      </c>
      <c r="I84" s="190">
        <v>23552039</v>
      </c>
      <c r="J84" s="190">
        <v>96434</v>
      </c>
      <c r="K84" s="190">
        <v>0</v>
      </c>
      <c r="L84" s="190">
        <v>654586</v>
      </c>
      <c r="M84" s="190">
        <v>10144</v>
      </c>
      <c r="N84" s="190">
        <v>1025310</v>
      </c>
    </row>
    <row r="85" spans="1:14">
      <c r="A85">
        <v>211</v>
      </c>
      <c r="B85" s="190" t="s">
        <v>25</v>
      </c>
      <c r="C85" s="190">
        <v>0</v>
      </c>
      <c r="D85" s="190">
        <v>39</v>
      </c>
      <c r="E85" s="190">
        <v>0</v>
      </c>
      <c r="F85" s="190">
        <v>20</v>
      </c>
      <c r="G85" s="190">
        <v>42215</v>
      </c>
      <c r="H85" s="190">
        <v>992425</v>
      </c>
      <c r="I85" s="190">
        <v>10538081</v>
      </c>
      <c r="J85" s="190">
        <v>12892</v>
      </c>
      <c r="K85" s="190">
        <v>0</v>
      </c>
      <c r="L85" s="190">
        <v>150920</v>
      </c>
      <c r="M85" s="190">
        <v>3109</v>
      </c>
      <c r="N85" s="190">
        <v>316106</v>
      </c>
    </row>
    <row r="86" spans="2:14">
      <c r="B86" s="190" t="s">
        <v>26</v>
      </c>
      <c r="C86" s="190">
        <v>6</v>
      </c>
      <c r="D86" s="190">
        <v>228</v>
      </c>
      <c r="E86" s="190">
        <v>6</v>
      </c>
      <c r="F86" s="190">
        <v>24</v>
      </c>
      <c r="G86" s="190">
        <v>147842</v>
      </c>
      <c r="H86" s="190">
        <v>3646209</v>
      </c>
      <c r="I86" s="190">
        <v>29407281</v>
      </c>
      <c r="J86" s="190">
        <v>180412</v>
      </c>
      <c r="K86" s="190">
        <v>0</v>
      </c>
      <c r="L86" s="190">
        <v>1169211</v>
      </c>
      <c r="M86" s="190">
        <v>16203</v>
      </c>
      <c r="N86" s="190">
        <v>1225371</v>
      </c>
    </row>
    <row r="87" spans="2:14">
      <c r="B87" s="190" t="s">
        <v>27</v>
      </c>
      <c r="C87" s="190">
        <v>3</v>
      </c>
      <c r="D87" s="190">
        <v>128</v>
      </c>
      <c r="E87" s="190">
        <v>4</v>
      </c>
      <c r="F87" s="190">
        <v>22</v>
      </c>
      <c r="G87" s="190">
        <v>112225</v>
      </c>
      <c r="H87" s="190">
        <v>3304903</v>
      </c>
      <c r="I87" s="190">
        <v>23348080</v>
      </c>
      <c r="J87" s="190">
        <v>112436</v>
      </c>
      <c r="K87" s="190">
        <v>0</v>
      </c>
      <c r="L87" s="190">
        <v>296388</v>
      </c>
      <c r="M87" s="190">
        <v>11302</v>
      </c>
      <c r="N87" s="190">
        <v>866788</v>
      </c>
    </row>
    <row r="88" spans="1:14">
      <c r="A88">
        <v>212</v>
      </c>
      <c r="B88" s="190" t="s">
        <v>25</v>
      </c>
      <c r="C88" s="190">
        <v>7</v>
      </c>
      <c r="D88" s="190">
        <v>279</v>
      </c>
      <c r="E88" s="190">
        <v>8</v>
      </c>
      <c r="F88" s="190">
        <v>36</v>
      </c>
      <c r="G88" s="190">
        <v>216269</v>
      </c>
      <c r="H88" s="190">
        <v>3936179</v>
      </c>
      <c r="I88" s="190">
        <v>45244136</v>
      </c>
      <c r="J88" s="190">
        <v>280462</v>
      </c>
      <c r="K88" s="190">
        <v>0</v>
      </c>
      <c r="L88" s="190">
        <v>1527160</v>
      </c>
      <c r="M88" s="190">
        <v>22209</v>
      </c>
      <c r="N88" s="190">
        <v>1025200</v>
      </c>
    </row>
    <row r="89" spans="2:14">
      <c r="B89" s="190" t="s">
        <v>26</v>
      </c>
      <c r="C89" s="190">
        <v>1</v>
      </c>
      <c r="D89" s="190">
        <v>60</v>
      </c>
      <c r="E89" s="190">
        <v>2</v>
      </c>
      <c r="F89" s="190">
        <v>22</v>
      </c>
      <c r="G89" s="190">
        <v>72100</v>
      </c>
      <c r="H89" s="190">
        <v>2129501</v>
      </c>
      <c r="I89" s="190">
        <v>15935673</v>
      </c>
      <c r="J89" s="190">
        <v>39350</v>
      </c>
      <c r="K89" s="190">
        <v>0</v>
      </c>
      <c r="L89" s="190">
        <v>159424</v>
      </c>
      <c r="M89" s="190">
        <v>6043</v>
      </c>
      <c r="N89" s="190">
        <v>677457</v>
      </c>
    </row>
    <row r="90" spans="2:14">
      <c r="B90" s="190" t="s">
        <v>27</v>
      </c>
      <c r="C90" s="190">
        <v>1</v>
      </c>
      <c r="D90" s="190">
        <v>56</v>
      </c>
      <c r="E90" s="190">
        <v>0</v>
      </c>
      <c r="F90" s="190">
        <v>14</v>
      </c>
      <c r="G90" s="190">
        <v>28246</v>
      </c>
      <c r="H90" s="190">
        <v>1244530</v>
      </c>
      <c r="I90" s="190">
        <v>7464835</v>
      </c>
      <c r="J90" s="190">
        <v>9502</v>
      </c>
      <c r="K90" s="190">
        <v>0</v>
      </c>
      <c r="L90" s="190">
        <v>141500</v>
      </c>
      <c r="M90" s="190">
        <v>3148</v>
      </c>
      <c r="N90" s="190">
        <v>393454</v>
      </c>
    </row>
    <row r="91" spans="1:14">
      <c r="A91">
        <v>213</v>
      </c>
      <c r="B91" s="190" t="s">
        <v>25</v>
      </c>
      <c r="C91" s="190">
        <v>4</v>
      </c>
      <c r="D91" s="190">
        <v>209</v>
      </c>
      <c r="E91" s="190">
        <v>6</v>
      </c>
      <c r="F91" s="190">
        <v>27</v>
      </c>
      <c r="G91" s="190">
        <v>140319</v>
      </c>
      <c r="H91" s="190">
        <v>2385192</v>
      </c>
      <c r="I91" s="190">
        <v>26228397</v>
      </c>
      <c r="J91" s="190">
        <v>50396</v>
      </c>
      <c r="K91" s="190">
        <v>0</v>
      </c>
      <c r="L91" s="190">
        <v>398676</v>
      </c>
      <c r="M91" s="190">
        <v>9910</v>
      </c>
      <c r="N91" s="190">
        <v>879745</v>
      </c>
    </row>
    <row r="92" spans="2:14">
      <c r="B92" s="190" t="s">
        <v>26</v>
      </c>
      <c r="C92" s="190">
        <v>2</v>
      </c>
      <c r="D92" s="190">
        <v>92</v>
      </c>
      <c r="E92" s="190">
        <v>1</v>
      </c>
      <c r="F92" s="190">
        <v>18</v>
      </c>
      <c r="G92" s="190">
        <v>61928</v>
      </c>
      <c r="H92" s="190">
        <v>2103674</v>
      </c>
      <c r="I92" s="190">
        <v>12705975</v>
      </c>
      <c r="J92" s="190">
        <v>37436</v>
      </c>
      <c r="K92" s="190">
        <v>0</v>
      </c>
      <c r="L92" s="190">
        <v>258617</v>
      </c>
      <c r="M92" s="190">
        <v>6056</v>
      </c>
      <c r="N92" s="190">
        <v>734334</v>
      </c>
    </row>
    <row r="93" spans="2:14">
      <c r="B93" s="190" t="s">
        <v>27</v>
      </c>
      <c r="C93" s="190">
        <v>3</v>
      </c>
      <c r="D93" s="190">
        <v>94</v>
      </c>
      <c r="E93" s="190">
        <v>2</v>
      </c>
      <c r="F93" s="190">
        <v>19</v>
      </c>
      <c r="G93" s="190">
        <v>87421</v>
      </c>
      <c r="H93" s="190">
        <v>2704780</v>
      </c>
      <c r="I93" s="190">
        <v>17010052</v>
      </c>
      <c r="J93" s="190">
        <v>15494</v>
      </c>
      <c r="K93" s="190">
        <v>90388</v>
      </c>
      <c r="L93" s="190">
        <v>443357</v>
      </c>
      <c r="M93" s="190">
        <v>7673</v>
      </c>
      <c r="N93" s="190">
        <v>1067770</v>
      </c>
    </row>
    <row r="94" spans="1:14">
      <c r="A94">
        <v>214</v>
      </c>
      <c r="B94" s="190" t="s">
        <v>25</v>
      </c>
      <c r="C94" s="190">
        <v>0</v>
      </c>
      <c r="D94" s="190">
        <v>32</v>
      </c>
      <c r="E94" s="190">
        <v>2</v>
      </c>
      <c r="F94" s="190">
        <v>17</v>
      </c>
      <c r="G94" s="190">
        <v>63380</v>
      </c>
      <c r="H94" s="190">
        <v>2031872</v>
      </c>
      <c r="I94" s="190">
        <v>13260013</v>
      </c>
      <c r="J94" s="190">
        <v>67510</v>
      </c>
      <c r="K94" s="190">
        <v>0</v>
      </c>
      <c r="L94" s="190">
        <v>181476</v>
      </c>
      <c r="M94" s="190">
        <v>6110</v>
      </c>
      <c r="N94" s="190">
        <v>603639</v>
      </c>
    </row>
    <row r="95" spans="2:14">
      <c r="B95" s="190" t="s">
        <v>26</v>
      </c>
      <c r="C95" s="190">
        <v>7</v>
      </c>
      <c r="D95" s="190">
        <v>294</v>
      </c>
      <c r="E95" s="190">
        <v>7</v>
      </c>
      <c r="F95" s="190">
        <v>34</v>
      </c>
      <c r="G95" s="190">
        <v>192581</v>
      </c>
      <c r="H95" s="190">
        <v>3474394</v>
      </c>
      <c r="I95" s="190">
        <v>39817428</v>
      </c>
      <c r="J95" s="190">
        <v>200922</v>
      </c>
      <c r="K95" s="190">
        <v>0</v>
      </c>
      <c r="L95" s="190">
        <v>903401</v>
      </c>
      <c r="M95" s="190">
        <v>18538</v>
      </c>
      <c r="N95" s="190">
        <v>891720</v>
      </c>
    </row>
    <row r="96" spans="2:14">
      <c r="B96" s="190" t="s">
        <v>27</v>
      </c>
      <c r="C96" s="190">
        <v>2</v>
      </c>
      <c r="D96" s="190">
        <v>69</v>
      </c>
      <c r="E96" s="190">
        <v>1</v>
      </c>
      <c r="F96" s="190">
        <v>17</v>
      </c>
      <c r="G96" s="190">
        <v>55881</v>
      </c>
      <c r="H96" s="190">
        <v>2036979</v>
      </c>
      <c r="I96" s="190">
        <v>12541244</v>
      </c>
      <c r="J96" s="190">
        <v>76956</v>
      </c>
      <c r="K96" s="190">
        <v>0</v>
      </c>
      <c r="L96" s="190">
        <v>416380</v>
      </c>
      <c r="M96" s="190">
        <v>6977</v>
      </c>
      <c r="N96" s="190">
        <v>705330</v>
      </c>
    </row>
    <row r="97" spans="1:14">
      <c r="A97">
        <v>215</v>
      </c>
      <c r="B97" s="190" t="s">
        <v>25</v>
      </c>
      <c r="C97" s="190">
        <v>1</v>
      </c>
      <c r="D97" s="190">
        <v>47</v>
      </c>
      <c r="E97" s="190">
        <v>3</v>
      </c>
      <c r="F97" s="190">
        <v>24</v>
      </c>
      <c r="G97" s="190">
        <v>79920</v>
      </c>
      <c r="H97" s="190">
        <v>2723076</v>
      </c>
      <c r="I97" s="190">
        <v>21154858</v>
      </c>
      <c r="J97" s="190">
        <v>90324</v>
      </c>
      <c r="K97" s="190">
        <v>0</v>
      </c>
      <c r="L97" s="190">
        <v>438284</v>
      </c>
      <c r="M97" s="190">
        <v>8737</v>
      </c>
      <c r="N97" s="190">
        <v>762231</v>
      </c>
    </row>
    <row r="98" spans="2:14">
      <c r="B98" s="190" t="s">
        <v>26</v>
      </c>
      <c r="C98" s="190">
        <v>2</v>
      </c>
      <c r="D98" s="190">
        <v>95</v>
      </c>
      <c r="E98" s="190">
        <v>1</v>
      </c>
      <c r="F98" s="190">
        <v>17</v>
      </c>
      <c r="G98" s="190">
        <v>33596</v>
      </c>
      <c r="H98" s="190">
        <v>1556229</v>
      </c>
      <c r="I98" s="190">
        <v>11802347</v>
      </c>
      <c r="J98" s="190">
        <v>55430</v>
      </c>
      <c r="K98" s="190">
        <v>0</v>
      </c>
      <c r="L98" s="190">
        <v>56720</v>
      </c>
      <c r="M98" s="190">
        <v>5745</v>
      </c>
      <c r="N98" s="190">
        <v>579508</v>
      </c>
    </row>
    <row r="99" spans="2:14">
      <c r="B99" s="190" t="s">
        <v>27</v>
      </c>
      <c r="C99" s="190">
        <v>6</v>
      </c>
      <c r="D99" s="190">
        <v>253</v>
      </c>
      <c r="E99" s="190">
        <v>5</v>
      </c>
      <c r="F99" s="190">
        <v>39</v>
      </c>
      <c r="G99" s="190">
        <v>201490</v>
      </c>
      <c r="H99" s="190">
        <v>4908775</v>
      </c>
      <c r="I99" s="190">
        <v>47898502</v>
      </c>
      <c r="J99" s="190">
        <v>356162</v>
      </c>
      <c r="K99" s="190">
        <v>0</v>
      </c>
      <c r="L99" s="190">
        <v>1537567</v>
      </c>
      <c r="M99" s="190">
        <v>25289</v>
      </c>
      <c r="N99" s="190">
        <v>1242746</v>
      </c>
    </row>
    <row r="100" spans="1:14">
      <c r="A100">
        <v>216</v>
      </c>
      <c r="B100" s="190" t="s">
        <v>25</v>
      </c>
      <c r="C100" s="190">
        <v>0</v>
      </c>
      <c r="D100" s="190">
        <v>23</v>
      </c>
      <c r="E100" s="190">
        <v>0</v>
      </c>
      <c r="F100" s="190">
        <v>10</v>
      </c>
      <c r="G100" s="190">
        <v>13384</v>
      </c>
      <c r="H100" s="190">
        <v>1105946</v>
      </c>
      <c r="I100" s="190">
        <v>4977987</v>
      </c>
      <c r="J100" s="190">
        <v>2468</v>
      </c>
      <c r="K100" s="190">
        <v>0</v>
      </c>
      <c r="L100" s="190">
        <v>51881</v>
      </c>
      <c r="M100" s="190">
        <v>2000</v>
      </c>
      <c r="N100" s="190">
        <v>404971</v>
      </c>
    </row>
    <row r="101" spans="2:14">
      <c r="B101" s="190" t="s">
        <v>26</v>
      </c>
      <c r="C101" s="190">
        <v>8</v>
      </c>
      <c r="D101" s="190">
        <v>328</v>
      </c>
      <c r="E101" s="190">
        <v>8</v>
      </c>
      <c r="F101" s="190">
        <v>42</v>
      </c>
      <c r="G101" s="190">
        <v>215241</v>
      </c>
      <c r="H101" s="190">
        <v>3116850</v>
      </c>
      <c r="I101" s="190">
        <v>44173783</v>
      </c>
      <c r="J101" s="190">
        <v>181074</v>
      </c>
      <c r="K101" s="190">
        <v>0</v>
      </c>
      <c r="L101" s="190">
        <v>1188991</v>
      </c>
      <c r="M101" s="190">
        <v>18717</v>
      </c>
      <c r="N101" s="190">
        <v>875626</v>
      </c>
    </row>
    <row r="102" spans="2:14">
      <c r="B102" s="190" t="s">
        <v>27</v>
      </c>
      <c r="C102" s="190">
        <v>1</v>
      </c>
      <c r="D102" s="190">
        <v>44</v>
      </c>
      <c r="E102" s="190">
        <v>2</v>
      </c>
      <c r="F102" s="190">
        <v>16</v>
      </c>
      <c r="G102" s="190">
        <v>73373</v>
      </c>
      <c r="H102" s="190">
        <v>2107608</v>
      </c>
      <c r="I102" s="190">
        <v>14783634</v>
      </c>
      <c r="J102" s="190">
        <v>67608</v>
      </c>
      <c r="K102" s="190">
        <v>0</v>
      </c>
      <c r="L102" s="190">
        <v>193326</v>
      </c>
      <c r="M102" s="190">
        <v>6617</v>
      </c>
      <c r="N102" s="190">
        <v>650967</v>
      </c>
    </row>
    <row r="103" spans="1:14">
      <c r="A103">
        <v>217</v>
      </c>
      <c r="B103" s="190" t="s">
        <v>25</v>
      </c>
      <c r="C103" s="190">
        <v>4</v>
      </c>
      <c r="D103" s="190">
        <v>149</v>
      </c>
      <c r="E103" s="190">
        <v>4</v>
      </c>
      <c r="F103" s="190">
        <v>27</v>
      </c>
      <c r="G103" s="190">
        <v>104557</v>
      </c>
      <c r="H103" s="190">
        <v>3171223</v>
      </c>
      <c r="I103" s="190">
        <v>26249908</v>
      </c>
      <c r="J103" s="190">
        <v>156067</v>
      </c>
      <c r="K103" s="190">
        <v>0</v>
      </c>
      <c r="L103" s="190">
        <v>582902</v>
      </c>
      <c r="M103" s="190">
        <v>13182</v>
      </c>
      <c r="N103" s="190">
        <v>855415</v>
      </c>
    </row>
    <row r="104" spans="2:14">
      <c r="B104" s="190" t="s">
        <v>26</v>
      </c>
      <c r="C104" s="190">
        <v>4</v>
      </c>
      <c r="D104" s="190">
        <v>179</v>
      </c>
      <c r="E104" s="190">
        <v>4</v>
      </c>
      <c r="F104" s="190">
        <v>27</v>
      </c>
      <c r="G104" s="190">
        <v>117819</v>
      </c>
      <c r="H104" s="190">
        <v>2950888</v>
      </c>
      <c r="I104" s="190">
        <v>25176081</v>
      </c>
      <c r="J104" s="190">
        <v>59578</v>
      </c>
      <c r="K104" s="190">
        <v>0</v>
      </c>
      <c r="L104" s="190">
        <v>261668</v>
      </c>
      <c r="M104" s="190">
        <v>10165</v>
      </c>
      <c r="N104" s="190">
        <v>835798</v>
      </c>
    </row>
    <row r="105" spans="2:14">
      <c r="B105" s="190" t="s">
        <v>27</v>
      </c>
      <c r="C105" s="190">
        <v>1</v>
      </c>
      <c r="D105" s="190">
        <v>67</v>
      </c>
      <c r="E105" s="190">
        <v>1</v>
      </c>
      <c r="F105" s="190">
        <v>27</v>
      </c>
      <c r="G105" s="190">
        <v>94816</v>
      </c>
      <c r="H105" s="190">
        <v>1869176</v>
      </c>
      <c r="I105" s="190">
        <v>20020941</v>
      </c>
      <c r="J105" s="190">
        <v>42952</v>
      </c>
      <c r="K105" s="190">
        <v>30</v>
      </c>
      <c r="L105" s="190">
        <v>233072</v>
      </c>
      <c r="M105" s="190">
        <v>6520</v>
      </c>
      <c r="N105" s="190">
        <v>590354</v>
      </c>
    </row>
    <row r="106" spans="1:14">
      <c r="A106">
        <v>218</v>
      </c>
      <c r="B106" s="190" t="s">
        <v>25</v>
      </c>
      <c r="C106" s="190">
        <v>0</v>
      </c>
      <c r="D106" s="190">
        <v>28</v>
      </c>
      <c r="E106" s="190">
        <v>2</v>
      </c>
      <c r="F106" s="190">
        <v>13</v>
      </c>
      <c r="G106" s="190">
        <v>41508</v>
      </c>
      <c r="H106" s="190">
        <v>1848432</v>
      </c>
      <c r="I106" s="190">
        <v>9056473</v>
      </c>
      <c r="J106" s="190">
        <v>38260</v>
      </c>
      <c r="K106" s="190">
        <v>0</v>
      </c>
      <c r="L106" s="190">
        <v>124276</v>
      </c>
      <c r="M106" s="190">
        <v>4451</v>
      </c>
      <c r="N106" s="190">
        <v>604097</v>
      </c>
    </row>
    <row r="107" spans="2:14">
      <c r="B107" s="190" t="s">
        <v>26</v>
      </c>
      <c r="C107" s="190">
        <v>9</v>
      </c>
      <c r="D107" s="190">
        <v>319</v>
      </c>
      <c r="E107" s="190">
        <v>8</v>
      </c>
      <c r="F107" s="190">
        <v>40</v>
      </c>
      <c r="G107" s="190">
        <v>216068</v>
      </c>
      <c r="H107" s="190">
        <v>2989412</v>
      </c>
      <c r="I107" s="190">
        <v>38160443</v>
      </c>
      <c r="J107" s="190">
        <v>140257</v>
      </c>
      <c r="K107" s="190">
        <v>0</v>
      </c>
      <c r="L107" s="190">
        <v>754080</v>
      </c>
      <c r="M107" s="190">
        <v>16560</v>
      </c>
      <c r="N107" s="190">
        <v>907845</v>
      </c>
    </row>
    <row r="108" spans="2:14">
      <c r="B108" s="190" t="s">
        <v>27</v>
      </c>
      <c r="C108" s="190">
        <v>0</v>
      </c>
      <c r="D108" s="190">
        <v>48</v>
      </c>
      <c r="E108" s="190">
        <v>0</v>
      </c>
      <c r="F108" s="190">
        <v>19</v>
      </c>
      <c r="G108" s="190">
        <v>61109</v>
      </c>
      <c r="H108" s="190">
        <v>1102965</v>
      </c>
      <c r="I108" s="190">
        <v>10509689</v>
      </c>
      <c r="J108" s="190">
        <v>12072</v>
      </c>
      <c r="K108" s="190">
        <v>0</v>
      </c>
      <c r="L108" s="190">
        <v>115842</v>
      </c>
      <c r="M108" s="190">
        <v>3359</v>
      </c>
      <c r="N108" s="190">
        <v>306007</v>
      </c>
    </row>
    <row r="109" spans="1:14">
      <c r="A109">
        <v>219</v>
      </c>
      <c r="B109" s="190" t="s">
        <v>25</v>
      </c>
      <c r="C109" s="190">
        <v>3</v>
      </c>
      <c r="D109" s="190">
        <v>109</v>
      </c>
      <c r="E109" s="190">
        <v>3</v>
      </c>
      <c r="F109" s="190">
        <v>18</v>
      </c>
      <c r="G109" s="190">
        <v>89388</v>
      </c>
      <c r="H109" s="190">
        <v>3266348</v>
      </c>
      <c r="I109" s="190">
        <v>19204926</v>
      </c>
      <c r="J109" s="190">
        <v>104052</v>
      </c>
      <c r="K109" s="190">
        <v>0</v>
      </c>
      <c r="L109" s="190">
        <v>531757</v>
      </c>
      <c r="M109" s="190">
        <v>10411</v>
      </c>
      <c r="N109" s="190">
        <v>1033044</v>
      </c>
    </row>
    <row r="110" spans="2:14">
      <c r="B110" s="190" t="s">
        <v>26</v>
      </c>
      <c r="C110" s="190">
        <v>3</v>
      </c>
      <c r="D110" s="190">
        <v>141</v>
      </c>
      <c r="E110" s="190">
        <v>3</v>
      </c>
      <c r="F110" s="190">
        <v>27</v>
      </c>
      <c r="G110" s="190">
        <v>101304</v>
      </c>
      <c r="H110" s="190">
        <v>2130011</v>
      </c>
      <c r="I110" s="190">
        <v>21482949</v>
      </c>
      <c r="J110" s="190">
        <v>80324</v>
      </c>
      <c r="K110" s="190">
        <v>0</v>
      </c>
      <c r="L110" s="190">
        <v>362081</v>
      </c>
      <c r="M110" s="190">
        <v>9085</v>
      </c>
      <c r="N110" s="190">
        <v>714366</v>
      </c>
    </row>
    <row r="111" spans="2:14">
      <c r="B111" s="190" t="s">
        <v>27</v>
      </c>
      <c r="C111" s="190">
        <v>3</v>
      </c>
      <c r="D111" s="190">
        <v>145</v>
      </c>
      <c r="E111" s="190">
        <v>4</v>
      </c>
      <c r="F111" s="190">
        <v>27</v>
      </c>
      <c r="G111" s="190">
        <v>120006</v>
      </c>
      <c r="H111" s="190">
        <v>3149790</v>
      </c>
      <c r="I111" s="190">
        <v>25907983</v>
      </c>
      <c r="J111" s="190">
        <v>111294</v>
      </c>
      <c r="K111" s="190">
        <v>0</v>
      </c>
      <c r="L111" s="190">
        <v>483164</v>
      </c>
      <c r="M111" s="190">
        <v>11671</v>
      </c>
      <c r="N111" s="190">
        <v>860614</v>
      </c>
    </row>
  </sheetData>
  <conditionalFormatting sqref="F47:F49">
    <cfRule type="dataBar" priority="1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{ebff7573-a7a3-4cb5-8dc6-2df435049906}</x14:id>
        </ext>
      </extLst>
    </cfRule>
  </conditionalFormatting>
  <conditionalFormatting sqref="F50:F52">
    <cfRule type="dataBar" priority="14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{72d57326-3011-4c59-97d6-52741a2b3671}</x14:id>
        </ext>
      </extLst>
    </cfRule>
  </conditionalFormatting>
  <conditionalFormatting sqref="F53:F67">
    <cfRule type="dataBar" priority="1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{d3ffdc43-b7d6-460e-b912-ff588081985a}</x14:id>
        </ext>
      </extLst>
    </cfRule>
  </conditionalFormatting>
  <conditionalFormatting sqref="G47:G49">
    <cfRule type="dataBar" priority="1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{6bfe8939-ca29-4de9-aea5-80f0f1972667}</x14:id>
        </ext>
      </extLst>
    </cfRule>
  </conditionalFormatting>
  <conditionalFormatting sqref="G50:G52">
    <cfRule type="dataBar" priority="14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{6b7b3d29-f630-41d3-9ee5-0ed081935143}</x14:id>
        </ext>
      </extLst>
    </cfRule>
  </conditionalFormatting>
  <conditionalFormatting sqref="G53:G67">
    <cfRule type="dataBar" priority="13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{9c06f84d-ddea-4ed0-a68d-d1bdd16a0852}</x14:id>
        </ext>
      </extLst>
    </cfRule>
  </conditionalFormatting>
  <conditionalFormatting sqref="N47:N67">
    <cfRule type="dataBar" priority="1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{9adb3bb7-f30d-45be-bead-93308e2a800c}</x14:id>
        </ext>
      </extLst>
    </cfRule>
  </conditionalFormatting>
  <conditionalFormatting sqref="P47:P60">
    <cfRule type="cellIs" dxfId="37" priority="130" operator="equal">
      <formula>$S$47</formula>
    </cfRule>
  </conditionalFormatting>
  <conditionalFormatting sqref="Q2:Q7">
    <cfRule type="cellIs" dxfId="38" priority="137" operator="equal">
      <formula>配置!$D$4</formula>
    </cfRule>
    <cfRule type="cellIs" dxfId="39" priority="138" operator="equal">
      <formula>配置!$D$3</formula>
    </cfRule>
    <cfRule type="cellIs" dxfId="37" priority="139" operator="equal">
      <formula>配置!$D$2</formula>
    </cfRule>
  </conditionalFormatting>
  <conditionalFormatting sqref="Q8:Q10">
    <cfRule type="cellIs" dxfId="38" priority="123" operator="equal">
      <formula>配置!$D$4</formula>
    </cfRule>
    <cfRule type="cellIs" dxfId="39" priority="124" operator="equal">
      <formula>配置!$D$3</formula>
    </cfRule>
    <cfRule type="cellIs" dxfId="37" priority="125" operator="equal">
      <formula>配置!$D$2</formula>
    </cfRule>
  </conditionalFormatting>
  <conditionalFormatting sqref="Q11:Q13">
    <cfRule type="cellIs" dxfId="38" priority="116" operator="equal">
      <formula>配置!$D$4</formula>
    </cfRule>
    <cfRule type="cellIs" dxfId="39" priority="117" operator="equal">
      <formula>配置!$D$3</formula>
    </cfRule>
    <cfRule type="cellIs" dxfId="37" priority="118" operator="equal">
      <formula>配置!$D$2</formula>
    </cfRule>
  </conditionalFormatting>
  <conditionalFormatting sqref="Q14:Q16">
    <cfRule type="cellIs" dxfId="38" priority="109" operator="equal">
      <formula>配置!$D$4</formula>
    </cfRule>
    <cfRule type="cellIs" dxfId="39" priority="110" operator="equal">
      <formula>配置!$D$3</formula>
    </cfRule>
    <cfRule type="cellIs" dxfId="37" priority="111" operator="equal">
      <formula>配置!$D$2</formula>
    </cfRule>
  </conditionalFormatting>
  <conditionalFormatting sqref="Q17:Q19">
    <cfRule type="cellIs" dxfId="38" priority="102" operator="equal">
      <formula>配置!$D$4</formula>
    </cfRule>
    <cfRule type="cellIs" dxfId="39" priority="103" operator="equal">
      <formula>配置!$D$3</formula>
    </cfRule>
    <cfRule type="cellIs" dxfId="37" priority="104" operator="equal">
      <formula>配置!$D$2</formula>
    </cfRule>
  </conditionalFormatting>
  <conditionalFormatting sqref="Q20:Q22">
    <cfRule type="cellIs" dxfId="38" priority="95" operator="equal">
      <formula>配置!$D$4</formula>
    </cfRule>
    <cfRule type="cellIs" dxfId="39" priority="96" operator="equal">
      <formula>配置!$D$3</formula>
    </cfRule>
    <cfRule type="cellIs" dxfId="37" priority="97" operator="equal">
      <formula>配置!$D$2</formula>
    </cfRule>
  </conditionalFormatting>
  <conditionalFormatting sqref="Q23:Q25">
    <cfRule type="cellIs" dxfId="38" priority="88" operator="equal">
      <formula>配置!$D$4</formula>
    </cfRule>
    <cfRule type="cellIs" dxfId="39" priority="89" operator="equal">
      <formula>配置!$D$3</formula>
    </cfRule>
    <cfRule type="cellIs" dxfId="37" priority="90" operator="equal">
      <formula>配置!$D$2</formula>
    </cfRule>
  </conditionalFormatting>
  <conditionalFormatting sqref="Q26:Q28">
    <cfRule type="cellIs" dxfId="38" priority="81" operator="equal">
      <formula>配置!$D$4</formula>
    </cfRule>
    <cfRule type="cellIs" dxfId="39" priority="82" operator="equal">
      <formula>配置!$D$3</formula>
    </cfRule>
    <cfRule type="cellIs" dxfId="37" priority="83" operator="equal">
      <formula>配置!$D$2</formula>
    </cfRule>
  </conditionalFormatting>
  <conditionalFormatting sqref="Q29:Q31">
    <cfRule type="cellIs" dxfId="38" priority="39" operator="equal">
      <formula>配置!$D$4</formula>
    </cfRule>
    <cfRule type="cellIs" dxfId="39" priority="40" operator="equal">
      <formula>配置!$D$3</formula>
    </cfRule>
    <cfRule type="cellIs" dxfId="37" priority="41" operator="equal">
      <formula>配置!$D$2</formula>
    </cfRule>
  </conditionalFormatting>
  <conditionalFormatting sqref="Q32:Q34">
    <cfRule type="cellIs" dxfId="38" priority="32" operator="equal">
      <formula>配置!$D$4</formula>
    </cfRule>
    <cfRule type="cellIs" dxfId="39" priority="33" operator="equal">
      <formula>配置!$D$3</formula>
    </cfRule>
    <cfRule type="cellIs" dxfId="37" priority="34" operator="equal">
      <formula>配置!$D$2</formula>
    </cfRule>
  </conditionalFormatting>
  <conditionalFormatting sqref="Q35:Q37">
    <cfRule type="cellIs" dxfId="38" priority="25" operator="equal">
      <formula>配置!$D$4</formula>
    </cfRule>
    <cfRule type="cellIs" dxfId="39" priority="26" operator="equal">
      <formula>配置!$D$3</formula>
    </cfRule>
    <cfRule type="cellIs" dxfId="37" priority="27" operator="equal">
      <formula>配置!$D$2</formula>
    </cfRule>
  </conditionalFormatting>
  <conditionalFormatting sqref="Q38:Q40">
    <cfRule type="cellIs" dxfId="38" priority="18" operator="equal">
      <formula>配置!$D$4</formula>
    </cfRule>
    <cfRule type="cellIs" dxfId="39" priority="19" operator="equal">
      <formula>配置!$D$3</formula>
    </cfRule>
    <cfRule type="cellIs" dxfId="37" priority="20" operator="equal">
      <formula>配置!$D$2</formula>
    </cfRule>
  </conditionalFormatting>
  <conditionalFormatting sqref="Q41:Q43">
    <cfRule type="cellIs" dxfId="38" priority="11" operator="equal">
      <formula>配置!$D$4</formula>
    </cfRule>
    <cfRule type="cellIs" dxfId="39" priority="12" operator="equal">
      <formula>配置!$D$3</formula>
    </cfRule>
    <cfRule type="cellIs" dxfId="37" priority="13" operator="equal">
      <formula>配置!$D$2</formula>
    </cfRule>
  </conditionalFormatting>
  <conditionalFormatting sqref="R47:R53">
    <cfRule type="cellIs" dxfId="37" priority="131" operator="equal">
      <formula>$S$47</formula>
    </cfRule>
  </conditionalFormatting>
  <conditionalFormatting sqref="O44:O45 Q1:R1 Q2 Q4:Q5 Q7">
    <cfRule type="cellIs" dxfId="37" priority="147" operator="equal">
      <formula>配置!$D$2</formula>
    </cfRule>
  </conditionalFormatting>
  <conditionalFormatting sqref="Q2 Q4:Q5 Q7">
    <cfRule type="cellIs" dxfId="38" priority="146" operator="equal">
      <formula>配置!$D$4</formula>
    </cfRule>
  </conditionalFormatting>
  <conditionalFormatting sqref="Q8 Q10">
    <cfRule type="cellIs" dxfId="38" priority="128" operator="equal">
      <formula>配置!$D$4</formula>
    </cfRule>
    <cfRule type="cellIs" dxfId="37" priority="129" operator="equal">
      <formula>配置!$D$2</formula>
    </cfRule>
  </conditionalFormatting>
  <conditionalFormatting sqref="Q11 Q13">
    <cfRule type="cellIs" dxfId="38" priority="121" operator="equal">
      <formula>配置!$D$4</formula>
    </cfRule>
    <cfRule type="cellIs" dxfId="37" priority="122" operator="equal">
      <formula>配置!$D$2</formula>
    </cfRule>
  </conditionalFormatting>
  <conditionalFormatting sqref="Q14 Q16">
    <cfRule type="cellIs" dxfId="38" priority="114" operator="equal">
      <formula>配置!$D$4</formula>
    </cfRule>
    <cfRule type="cellIs" dxfId="37" priority="115" operator="equal">
      <formula>配置!$D$2</formula>
    </cfRule>
  </conditionalFormatting>
  <conditionalFormatting sqref="Q17 Q19">
    <cfRule type="cellIs" dxfId="38" priority="107" operator="equal">
      <formula>配置!$D$4</formula>
    </cfRule>
    <cfRule type="cellIs" dxfId="37" priority="108" operator="equal">
      <formula>配置!$D$2</formula>
    </cfRule>
  </conditionalFormatting>
  <conditionalFormatting sqref="Q20 Q22">
    <cfRule type="cellIs" dxfId="38" priority="100" operator="equal">
      <formula>配置!$D$4</formula>
    </cfRule>
    <cfRule type="cellIs" dxfId="37" priority="101" operator="equal">
      <formula>配置!$D$2</formula>
    </cfRule>
  </conditionalFormatting>
  <conditionalFormatting sqref="Q23 Q25">
    <cfRule type="cellIs" dxfId="38" priority="93" operator="equal">
      <formula>配置!$D$4</formula>
    </cfRule>
    <cfRule type="cellIs" dxfId="37" priority="94" operator="equal">
      <formula>配置!$D$2</formula>
    </cfRule>
  </conditionalFormatting>
  <conditionalFormatting sqref="Q26 Q28">
    <cfRule type="cellIs" dxfId="38" priority="86" operator="equal">
      <formula>配置!$D$4</formula>
    </cfRule>
    <cfRule type="cellIs" dxfId="37" priority="87" operator="equal">
      <formula>配置!$D$2</formula>
    </cfRule>
  </conditionalFormatting>
  <conditionalFormatting sqref="Q29 Q31">
    <cfRule type="cellIs" dxfId="38" priority="44" operator="equal">
      <formula>配置!$D$4</formula>
    </cfRule>
    <cfRule type="cellIs" dxfId="37" priority="45" operator="equal">
      <formula>配置!$D$2</formula>
    </cfRule>
  </conditionalFormatting>
  <conditionalFormatting sqref="Q32 Q34">
    <cfRule type="cellIs" dxfId="38" priority="37" operator="equal">
      <formula>配置!$D$4</formula>
    </cfRule>
    <cfRule type="cellIs" dxfId="37" priority="38" operator="equal">
      <formula>配置!$D$2</formula>
    </cfRule>
  </conditionalFormatting>
  <conditionalFormatting sqref="Q35 Q37">
    <cfRule type="cellIs" dxfId="38" priority="30" operator="equal">
      <formula>配置!$D$4</formula>
    </cfRule>
    <cfRule type="cellIs" dxfId="37" priority="31" operator="equal">
      <formula>配置!$D$2</formula>
    </cfRule>
  </conditionalFormatting>
  <conditionalFormatting sqref="Q38 Q40">
    <cfRule type="cellIs" dxfId="38" priority="23" operator="equal">
      <formula>配置!$D$4</formula>
    </cfRule>
    <cfRule type="cellIs" dxfId="37" priority="24" operator="equal">
      <formula>配置!$D$2</formula>
    </cfRule>
  </conditionalFormatting>
  <conditionalFormatting sqref="Q41 Q43">
    <cfRule type="cellIs" dxfId="38" priority="16" operator="equal">
      <formula>配置!$D$4</formula>
    </cfRule>
    <cfRule type="cellIs" dxfId="37" priority="17" operator="equal">
      <formula>配置!$D$2</formula>
    </cfRule>
  </conditionalFormatting>
  <dataValidations count="1">
    <dataValidation type="list" allowBlank="1" showInputMessage="1" showErrorMessage="1" sqref="Q2:Q7 Q8:Q10 Q11:Q13 Q14:Q16 Q17:Q19 Q20:Q22 Q23:Q25 Q26:Q28 Q29:Q31 Q32:Q34 Q35:Q37 Q38:Q40 Q41:Q43">
      <formula1>配置!$D$2:$D$4</formula1>
    </dataValidation>
  </dataValidations>
  <pageMargins left="0.7" right="0.7" top="0.75" bottom="0.75" header="0.3" footer="0.3"/>
  <pageSetup paperSize="9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bff7573-a7a3-4cb5-8dc6-2df4350499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F47:F49</xm:sqref>
        </x14:conditionalFormatting>
        <x14:conditionalFormatting xmlns:xm="http://schemas.microsoft.com/office/excel/2006/main">
          <x14:cfRule type="dataBar" id="{72d57326-3011-4c59-97d6-52741a2b36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F50:F52</xm:sqref>
        </x14:conditionalFormatting>
        <x14:conditionalFormatting xmlns:xm="http://schemas.microsoft.com/office/excel/2006/main">
          <x14:cfRule type="dataBar" id="{d3ffdc43-b7d6-460e-b912-ff58808198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F53:F67</xm:sqref>
        </x14:conditionalFormatting>
        <x14:conditionalFormatting xmlns:xm="http://schemas.microsoft.com/office/excel/2006/main">
          <x14:cfRule type="dataBar" id="{6bfe8939-ca29-4de9-aea5-80f0f19726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G47:G49</xm:sqref>
        </x14:conditionalFormatting>
        <x14:conditionalFormatting xmlns:xm="http://schemas.microsoft.com/office/excel/2006/main">
          <x14:cfRule type="dataBar" id="{6b7b3d29-f630-41d3-9ee5-0ed0819351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G50:G52</xm:sqref>
        </x14:conditionalFormatting>
        <x14:conditionalFormatting xmlns:xm="http://schemas.microsoft.com/office/excel/2006/main">
          <x14:cfRule type="dataBar" id="{9c06f84d-ddea-4ed0-a68d-d1bdd16a08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G53:G67</xm:sqref>
        </x14:conditionalFormatting>
        <x14:conditionalFormatting xmlns:xm="http://schemas.microsoft.com/office/excel/2006/main">
          <x14:cfRule type="dataBar" id="{9adb3bb7-f30d-45be-bead-93308e2a80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N47:N67</xm:sqref>
        </x14:conditionalFormatting>
      </x14:conditionalFormatting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259"/>
  <sheetViews>
    <sheetView topLeftCell="A97" workbookViewId="0">
      <selection activeCell="S125" sqref="S125"/>
    </sheetView>
  </sheetViews>
  <sheetFormatPr defaultColWidth="9" defaultRowHeight="13.5"/>
  <cols>
    <col min="7" max="7" width="10.625" customWidth="1"/>
    <col min="16" max="16" width="10.375" customWidth="1"/>
  </cols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86">
        <v>5222</v>
      </c>
      <c r="B2" s="86">
        <f>VLOOKUP(表1_86121822242672112[[#This Row],[区服]],$P$113:$Q$148,2,FALSE)</f>
        <v>44</v>
      </c>
      <c r="C2" s="87" t="s">
        <v>249</v>
      </c>
      <c r="D2" s="315" t="str">
        <f>表1_86121822242672112[[#This Row],[目标国家]]</f>
        <v>魏</v>
      </c>
      <c r="E2" s="89">
        <f>(VLOOKUP(表1_86121822242672112[[#This Row],[目标区服]],$R$113:$S$116,2,FALSE)-表1_86121822242672112[[#This Row],[开服天数]])*配置!$B$1</f>
        <v>1000</v>
      </c>
      <c r="F2" s="89">
        <f>表1_86121822242672112[[#This Row],[补偿Coin]]*(表1_86121822242672112[[#This Row],[活跃高战玩家数]]+表1_86121822242672112[[#This Row],[活跃中坚玩家数]])</f>
        <v>17000</v>
      </c>
      <c r="G2" s="89">
        <f>(VLOOKUP(表1_86121822242672112[[#This Row],[目标区服]],$R$113:$S$116,2,FALSE)-表1_86121822242672112[[#This Row],[开服天数]])*配置!$B$2</f>
        <v>10</v>
      </c>
      <c r="H2" s="88" t="s">
        <v>25</v>
      </c>
      <c r="I2" s="88">
        <f>IF(表1_86121822242672112[[#This Row],[原国家]]="魏",0,IF(表1_86121822242672112[[#This Row],[原国家]]="蜀",1,2))</f>
        <v>0</v>
      </c>
      <c r="J2" s="90">
        <v>2</v>
      </c>
      <c r="K2" s="90">
        <v>69</v>
      </c>
      <c r="L2" s="90">
        <v>3</v>
      </c>
      <c r="M2" s="90">
        <v>14</v>
      </c>
      <c r="N2" s="90">
        <v>62017</v>
      </c>
      <c r="O2" s="90">
        <v>1913486</v>
      </c>
      <c r="P2" s="330">
        <v>10011224</v>
      </c>
      <c r="Q2" s="132" t="s">
        <v>25</v>
      </c>
      <c r="R2" s="88">
        <f>IF(表1_86121822242672112[[#This Row],[目标国家]]="魏",0,IF(表1_86121822242672112[[#This Row],[目标国家]]="蜀",1,2))</f>
        <v>0</v>
      </c>
      <c r="S2" s="90">
        <v>11688</v>
      </c>
      <c r="T2" s="90">
        <v>0</v>
      </c>
      <c r="U2" s="90">
        <v>208839</v>
      </c>
      <c r="V2" s="90">
        <v>4569</v>
      </c>
      <c r="W2" s="89">
        <v>613207</v>
      </c>
      <c r="X2" s="134" t="str">
        <f>"{"&amp;"'coin':"&amp;表1_86121822242672112[[#This Row],[补偿Coin]]&amp;",'"&amp;配置!$A$2&amp;"':"&amp;表1_86121822242672112[[#This Row],[补偿辎重]]&amp;"},"</f>
        <v>{'coin':1000,'item036':10},</v>
      </c>
      <c r="Y2" s="136" t="str">
        <f>"      '"&amp;表1_86121822242672112[[#This Row],[区服]]&amp;"':{"</f>
        <v>      '5222':{</v>
      </c>
    </row>
    <row r="3" s="354" customFormat="1" ht="14.25" customHeight="1" spans="1:25">
      <c r="A3" s="355">
        <v>5222</v>
      </c>
      <c r="B3" s="86">
        <f>VLOOKUP(表1_86121822242672112[[#This Row],[区服]],$P$113:$Q$148,2,FALSE)</f>
        <v>44</v>
      </c>
      <c r="C3" s="87" t="s">
        <v>249</v>
      </c>
      <c r="D3" s="88" t="str">
        <f>表1_86121822242672112[[#This Row],[目标国家]]</f>
        <v>蜀</v>
      </c>
      <c r="E3" s="90">
        <f>(VLOOKUP(表1_86121822242672112[[#This Row],[目标区服]],$R$113:$S$116,2,FALSE)-表1_86121822242672112[[#This Row],[开服天数]])*配置!$B$1</f>
        <v>1000</v>
      </c>
      <c r="F3" s="90">
        <f>表1_86121822242672112[[#This Row],[补偿Coin]]*(表1_86121822242672112[[#This Row],[活跃高战玩家数]]+表1_86121822242672112[[#This Row],[活跃中坚玩家数]])</f>
        <v>24000</v>
      </c>
      <c r="G3" s="90">
        <f>(VLOOKUP(表1_86121822242672112[[#This Row],[目标区服]],$R$113:$S$116,2,FALSE)-表1_86121822242672112[[#This Row],[开服天数]])*配置!$B$2</f>
        <v>10</v>
      </c>
      <c r="H3" s="88" t="s">
        <v>26</v>
      </c>
      <c r="I3" s="88">
        <f>IF(表1_86121822242672112[[#This Row],[原国家]]="魏",0,IF(表1_86121822242672112[[#This Row],[原国家]]="蜀",1,2))</f>
        <v>1</v>
      </c>
      <c r="J3" s="90">
        <v>4</v>
      </c>
      <c r="K3" s="90">
        <v>180</v>
      </c>
      <c r="L3" s="90">
        <v>3</v>
      </c>
      <c r="M3" s="90">
        <v>21</v>
      </c>
      <c r="N3" s="90">
        <v>113555</v>
      </c>
      <c r="O3" s="90">
        <v>2983583</v>
      </c>
      <c r="P3" s="330">
        <v>19536429</v>
      </c>
      <c r="Q3" s="132" t="s">
        <v>26</v>
      </c>
      <c r="R3" s="88">
        <f>IF(表1_86121822242672112[[#This Row],[目标国家]]="魏",0,IF(表1_86121822242672112[[#This Row],[目标国家]]="蜀",1,2))</f>
        <v>1</v>
      </c>
      <c r="S3" s="90">
        <v>109471</v>
      </c>
      <c r="T3" s="90">
        <v>0</v>
      </c>
      <c r="U3" s="90">
        <v>698623</v>
      </c>
      <c r="V3" s="90">
        <v>11338</v>
      </c>
      <c r="W3" s="361">
        <v>882451</v>
      </c>
      <c r="X3" s="134" t="str">
        <f>"{"&amp;"'coin':"&amp;表1_86121822242672112[[#This Row],[补偿Coin]]&amp;",'"&amp;配置!$A$2&amp;"':"&amp;表1_86121822242672112[[#This Row],[补偿辎重]]&amp;"},"</f>
        <v>{'coin':1000,'item036':10},</v>
      </c>
      <c r="Y3" s="136" t="str">
        <f>"            'to_zone':'"&amp;表1_86121822242672112[[#This Row],[目标区服]]&amp;"',
            'reward':"&amp;表1_86121822242672112[[#This Row],[辅助导出]]&amp;"
            'country':["&amp;R2&amp;","&amp;R3&amp;","&amp;R4&amp;"],"</f>
        <v>            'to_zone':'h1_595',
            'reward':{'coin':1000,'item036':10},
            'country':[0,1,2],</v>
      </c>
    </row>
    <row r="4" s="354" customFormat="1" ht="14.25" customHeight="1" spans="1:25">
      <c r="A4" s="355">
        <v>5222</v>
      </c>
      <c r="B4" s="86">
        <f>VLOOKUP(表1_86121822242672112[[#This Row],[区服]],$P$113:$Q$148,2,FALSE)</f>
        <v>44</v>
      </c>
      <c r="C4" s="87" t="s">
        <v>249</v>
      </c>
      <c r="D4" s="88" t="str">
        <f>表1_86121822242672112[[#This Row],[目标国家]]</f>
        <v>吴</v>
      </c>
      <c r="E4" s="90">
        <f>(VLOOKUP(表1_86121822242672112[[#This Row],[目标区服]],$R$113:$S$116,2,FALSE)-表1_86121822242672112[[#This Row],[开服天数]])*配置!$B$1</f>
        <v>1000</v>
      </c>
      <c r="F4" s="90">
        <f>表1_86121822242672112[[#This Row],[补偿Coin]]*(表1_86121822242672112[[#This Row],[活跃高战玩家数]]+表1_86121822242672112[[#This Row],[活跃中坚玩家数]])</f>
        <v>21000</v>
      </c>
      <c r="G4" s="90">
        <f>(VLOOKUP(表1_86121822242672112[[#This Row],[目标区服]],$R$113:$S$116,2,FALSE)-表1_86121822242672112[[#This Row],[开服天数]])*配置!$B$2</f>
        <v>10</v>
      </c>
      <c r="H4" s="88" t="s">
        <v>27</v>
      </c>
      <c r="I4" s="88">
        <f>IF(表1_86121822242672112[[#This Row],[原国家]]="魏",0,IF(表1_86121822242672112[[#This Row],[原国家]]="蜀",1,2))</f>
        <v>2</v>
      </c>
      <c r="J4" s="90">
        <v>3</v>
      </c>
      <c r="K4" s="90">
        <v>146</v>
      </c>
      <c r="L4" s="90">
        <v>3</v>
      </c>
      <c r="M4" s="90">
        <v>18</v>
      </c>
      <c r="N4" s="90">
        <v>102843</v>
      </c>
      <c r="O4" s="90">
        <v>2388648</v>
      </c>
      <c r="P4" s="330">
        <v>15719611</v>
      </c>
      <c r="Q4" s="132" t="s">
        <v>27</v>
      </c>
      <c r="R4" s="88">
        <f>IF(表1_86121822242672112[[#This Row],[目标国家]]="魏",0,IF(表1_86121822242672112[[#This Row],[目标国家]]="蜀",1,2))</f>
        <v>2</v>
      </c>
      <c r="S4" s="90">
        <v>42104</v>
      </c>
      <c r="T4" s="90">
        <v>0</v>
      </c>
      <c r="U4" s="90">
        <v>515261</v>
      </c>
      <c r="V4" s="90">
        <v>7755</v>
      </c>
      <c r="W4" s="361">
        <v>692325</v>
      </c>
      <c r="X4" s="134" t="str">
        <f>"{"&amp;"'coin':"&amp;表1_86121822242672112[[#This Row],[补偿Coin]]&amp;",'"&amp;配置!$A$2&amp;"':"&amp;表1_86121822242672112[[#This Row],[补偿辎重]]&amp;"},"</f>
        <v>{'coin':1000,'item036':10},</v>
      </c>
      <c r="Y4" s="136" t="str">
        <f>"      },"</f>
        <v>      },</v>
      </c>
    </row>
    <row r="5" s="354" customFormat="1" ht="14.25" customHeight="1" spans="1:25">
      <c r="A5" s="355">
        <v>5223</v>
      </c>
      <c r="B5" s="86">
        <f>VLOOKUP(表1_86121822242672112[[#This Row],[区服]],$P$113:$Q$148,2,FALSE)</f>
        <v>44</v>
      </c>
      <c r="C5" s="87" t="s">
        <v>249</v>
      </c>
      <c r="D5" s="88" t="str">
        <f>表1_86121822242672112[[#This Row],[目标国家]]</f>
        <v>魏</v>
      </c>
      <c r="E5" s="90">
        <f>(VLOOKUP(表1_86121822242672112[[#This Row],[目标区服]],$R$113:$S$116,2,FALSE)-表1_86121822242672112[[#This Row],[开服天数]])*配置!$B$1</f>
        <v>1000</v>
      </c>
      <c r="F5" s="90">
        <f>表1_86121822242672112[[#This Row],[补偿Coin]]*(表1_86121822242672112[[#This Row],[活跃高战玩家数]]+表1_86121822242672112[[#This Row],[活跃中坚玩家数]])</f>
        <v>20000</v>
      </c>
      <c r="G5" s="90">
        <f>(VLOOKUP(表1_86121822242672112[[#This Row],[目标区服]],$R$113:$S$116,2,FALSE)-表1_86121822242672112[[#This Row],[开服天数]])*配置!$B$2</f>
        <v>10</v>
      </c>
      <c r="H5" s="88" t="s">
        <v>25</v>
      </c>
      <c r="I5" s="88">
        <f>IF(表1_86121822242672112[[#This Row],[原国家]]="魏",0,IF(表1_86121822242672112[[#This Row],[原国家]]="蜀",1,2))</f>
        <v>0</v>
      </c>
      <c r="J5" s="90">
        <v>6</v>
      </c>
      <c r="K5" s="90">
        <v>231</v>
      </c>
      <c r="L5" s="90">
        <v>4</v>
      </c>
      <c r="M5" s="90">
        <v>16</v>
      </c>
      <c r="N5" s="90">
        <v>114774</v>
      </c>
      <c r="O5" s="90">
        <v>2306800</v>
      </c>
      <c r="P5" s="330">
        <v>16049121</v>
      </c>
      <c r="Q5" s="132" t="s">
        <v>25</v>
      </c>
      <c r="R5" s="88">
        <f>IF(表1_86121822242672112[[#This Row],[目标国家]]="魏",0,IF(表1_86121822242672112[[#This Row],[目标国家]]="蜀",1,2))</f>
        <v>0</v>
      </c>
      <c r="S5" s="90">
        <v>38850</v>
      </c>
      <c r="T5" s="90">
        <v>0</v>
      </c>
      <c r="U5" s="90">
        <v>331880</v>
      </c>
      <c r="V5" s="90">
        <v>8727</v>
      </c>
      <c r="W5" s="89">
        <v>606322</v>
      </c>
      <c r="X5" s="134" t="str">
        <f>"{"&amp;"'coin':"&amp;表1_86121822242672112[[#This Row],[补偿Coin]]&amp;",'"&amp;配置!$A$2&amp;"':"&amp;表1_86121822242672112[[#This Row],[补偿辎重]]&amp;"},"</f>
        <v>{'coin':1000,'item036':10},</v>
      </c>
      <c r="Y5" s="136" t="str">
        <f>"      '"&amp;表1_86121822242672112[[#This Row],[区服]]&amp;"':{"</f>
        <v>      '5223':{</v>
      </c>
    </row>
    <row r="6" s="354" customFormat="1" ht="14.25" customHeight="1" spans="1:25">
      <c r="A6" s="86">
        <v>5223</v>
      </c>
      <c r="B6" s="86">
        <f>VLOOKUP(表1_86121822242672112[[#This Row],[区服]],$P$113:$Q$148,2,FALSE)</f>
        <v>44</v>
      </c>
      <c r="C6" s="87" t="s">
        <v>249</v>
      </c>
      <c r="D6" s="88" t="str">
        <f>表1_86121822242672112[[#This Row],[目标国家]]</f>
        <v>魏</v>
      </c>
      <c r="E6" s="90">
        <f>(VLOOKUP(表1_86121822242672112[[#This Row],[目标区服]],$R$113:$S$116,2,FALSE)-表1_86121822242672112[[#This Row],[开服天数]])*配置!$B$1</f>
        <v>1000</v>
      </c>
      <c r="F6" s="90">
        <f>表1_86121822242672112[[#This Row],[补偿Coin]]*(表1_86121822242672112[[#This Row],[活跃高战玩家数]]+表1_86121822242672112[[#This Row],[活跃中坚玩家数]])</f>
        <v>28000</v>
      </c>
      <c r="G6" s="90">
        <f>(VLOOKUP(表1_86121822242672112[[#This Row],[目标区服]],$R$113:$S$116,2,FALSE)-表1_86121822242672112[[#This Row],[开服天数]])*配置!$B$2</f>
        <v>10</v>
      </c>
      <c r="H6" s="88" t="s">
        <v>26</v>
      </c>
      <c r="I6" s="88">
        <f>IF(表1_86121822242672112[[#This Row],[原国家]]="魏",0,IF(表1_86121822242672112[[#This Row],[原国家]]="蜀",1,2))</f>
        <v>1</v>
      </c>
      <c r="J6" s="90">
        <v>3</v>
      </c>
      <c r="K6" s="90">
        <v>144</v>
      </c>
      <c r="L6" s="90">
        <v>6</v>
      </c>
      <c r="M6" s="90">
        <v>22</v>
      </c>
      <c r="N6" s="90">
        <v>151420</v>
      </c>
      <c r="O6" s="90">
        <v>2699719</v>
      </c>
      <c r="P6" s="330">
        <v>20573193</v>
      </c>
      <c r="Q6" s="132" t="s">
        <v>25</v>
      </c>
      <c r="R6" s="88">
        <f>IF(表1_86121822242672112[[#This Row],[目标国家]]="魏",0,IF(表1_86121822242672112[[#This Row],[目标国家]]="蜀",1,2))</f>
        <v>0</v>
      </c>
      <c r="S6" s="90">
        <v>47716</v>
      </c>
      <c r="T6" s="90">
        <v>0</v>
      </c>
      <c r="U6" s="90">
        <v>345561</v>
      </c>
      <c r="V6" s="90">
        <v>8858</v>
      </c>
      <c r="W6" s="361">
        <v>751089</v>
      </c>
      <c r="X6" s="134" t="str">
        <f>"{"&amp;"'coin':"&amp;表1_86121822242672112[[#This Row],[补偿Coin]]&amp;",'"&amp;配置!$A$2&amp;"':"&amp;表1_86121822242672112[[#This Row],[补偿辎重]]&amp;"},"</f>
        <v>{'coin':1000,'item036':10},</v>
      </c>
      <c r="Y6" s="136" t="str">
        <f>"            'to_zone':'"&amp;表1_86121822242672112[[#This Row],[目标区服]]&amp;"',
            'reward':"&amp;表1_86121822242672112[[#This Row],[辅助导出]]&amp;"
            'country':["&amp;R5&amp;","&amp;R6&amp;","&amp;R7&amp;"],"</f>
        <v>            'to_zone':'h1_595',
            'reward':{'coin':1000,'item036':10},
            'country':[0,0,1],</v>
      </c>
    </row>
    <row r="7" s="354" customFormat="1" ht="14.25" customHeight="1" spans="1:25">
      <c r="A7" s="86">
        <v>5223</v>
      </c>
      <c r="B7" s="86">
        <f>VLOOKUP(表1_86121822242672112[[#This Row],[区服]],$P$113:$Q$148,2,FALSE)</f>
        <v>44</v>
      </c>
      <c r="C7" s="87" t="s">
        <v>249</v>
      </c>
      <c r="D7" s="88" t="str">
        <f>表1_86121822242672112[[#This Row],[目标国家]]</f>
        <v>蜀</v>
      </c>
      <c r="E7" s="90">
        <f>(VLOOKUP(表1_86121822242672112[[#This Row],[目标区服]],$R$113:$S$116,2,FALSE)-表1_86121822242672112[[#This Row],[开服天数]])*配置!$B$1</f>
        <v>1000</v>
      </c>
      <c r="F7" s="90">
        <f>表1_86121822242672112[[#This Row],[补偿Coin]]*(表1_86121822242672112[[#This Row],[活跃高战玩家数]]+表1_86121822242672112[[#This Row],[活跃中坚玩家数]])</f>
        <v>7000</v>
      </c>
      <c r="G7" s="90">
        <f>(VLOOKUP(表1_86121822242672112[[#This Row],[目标区服]],$R$113:$S$116,2,FALSE)-表1_86121822242672112[[#This Row],[开服天数]])*配置!$B$2</f>
        <v>10</v>
      </c>
      <c r="H7" s="88" t="s">
        <v>27</v>
      </c>
      <c r="I7" s="88">
        <f>IF(表1_86121822242672112[[#This Row],[原国家]]="魏",0,IF(表1_86121822242672112[[#This Row],[原国家]]="蜀",1,2))</f>
        <v>2</v>
      </c>
      <c r="J7" s="90">
        <v>0</v>
      </c>
      <c r="K7" s="90">
        <v>20</v>
      </c>
      <c r="L7" s="90">
        <v>0</v>
      </c>
      <c r="M7" s="90">
        <v>7</v>
      </c>
      <c r="N7" s="90">
        <v>20741</v>
      </c>
      <c r="O7" s="90">
        <v>575824</v>
      </c>
      <c r="P7" s="330">
        <v>2538235</v>
      </c>
      <c r="Q7" s="132" t="s">
        <v>26</v>
      </c>
      <c r="R7" s="88">
        <f>IF(表1_86121822242672112[[#This Row],[目标国家]]="魏",0,IF(表1_86121822242672112[[#This Row],[目标国家]]="蜀",1,2))</f>
        <v>1</v>
      </c>
      <c r="S7" s="90">
        <v>388</v>
      </c>
      <c r="T7" s="90">
        <v>0</v>
      </c>
      <c r="U7" s="90">
        <v>149609</v>
      </c>
      <c r="V7" s="90">
        <v>1219</v>
      </c>
      <c r="W7" s="89">
        <v>181593</v>
      </c>
      <c r="X7" s="134" t="str">
        <f>"{"&amp;"'coin':"&amp;表1_86121822242672112[[#This Row],[补偿Coin]]&amp;",'"&amp;配置!$A$2&amp;"':"&amp;表1_86121822242672112[[#This Row],[补偿辎重]]&amp;"},"</f>
        <v>{'coin':1000,'item036':10},</v>
      </c>
      <c r="Y7" s="136" t="str">
        <f>"      },"</f>
        <v>      },</v>
      </c>
    </row>
    <row r="8" s="354" customFormat="1" ht="14.25" customHeight="1" spans="1:25">
      <c r="A8" s="355">
        <v>5224</v>
      </c>
      <c r="B8" s="86">
        <f>VLOOKUP(表1_86121822242672112[[#This Row],[区服]],$P$113:$Q$148,2,FALSE)</f>
        <v>44</v>
      </c>
      <c r="C8" s="87" t="s">
        <v>249</v>
      </c>
      <c r="D8" s="88" t="str">
        <f>表1_86121822242672112[[#This Row],[目标国家]]</f>
        <v>吴</v>
      </c>
      <c r="E8" s="90">
        <f>(VLOOKUP(表1_86121822242672112[[#This Row],[目标区服]],$R$113:$S$116,2,FALSE)-表1_86121822242672112[[#This Row],[开服天数]])*配置!$B$1</f>
        <v>1000</v>
      </c>
      <c r="F8" s="90">
        <f>表1_86121822242672112[[#This Row],[补偿Coin]]*(表1_86121822242672112[[#This Row],[活跃高战玩家数]]+表1_86121822242672112[[#This Row],[活跃中坚玩家数]])</f>
        <v>22000</v>
      </c>
      <c r="G8" s="356">
        <f>(VLOOKUP(表1_86121822242672112[[#This Row],[目标区服]],$R$113:$S$116,2,FALSE)-表1_86121822242672112[[#This Row],[开服天数]])*配置!$B$2</f>
        <v>10</v>
      </c>
      <c r="H8" s="88" t="s">
        <v>25</v>
      </c>
      <c r="I8" s="357">
        <f>IF(表1_86121822242672112[[#This Row],[原国家]]="魏",0,IF(表1_86121822242672112[[#This Row],[原国家]]="蜀",1,2))</f>
        <v>0</v>
      </c>
      <c r="J8" s="90">
        <v>2</v>
      </c>
      <c r="K8" s="90">
        <v>94</v>
      </c>
      <c r="L8" s="90">
        <v>4</v>
      </c>
      <c r="M8" s="90">
        <v>18</v>
      </c>
      <c r="N8" s="90">
        <v>98510</v>
      </c>
      <c r="O8" s="358">
        <v>2028452</v>
      </c>
      <c r="P8" s="330">
        <v>14176243</v>
      </c>
      <c r="Q8" s="132" t="s">
        <v>27</v>
      </c>
      <c r="R8" s="88">
        <f>IF(表1_86121822242672112[[#This Row],[目标国家]]="魏",0,IF(表1_86121822242672112[[#This Row],[目标国家]]="蜀",1,2))</f>
        <v>2</v>
      </c>
      <c r="S8" s="90">
        <v>14158</v>
      </c>
      <c r="T8" s="90">
        <v>0</v>
      </c>
      <c r="U8" s="90">
        <v>228755</v>
      </c>
      <c r="V8" s="90">
        <v>5617</v>
      </c>
      <c r="W8" s="90">
        <v>612037</v>
      </c>
      <c r="X8" s="362" t="str">
        <f>"{"&amp;"'coin':"&amp;表1_86121822242672112[[#This Row],[补偿Coin]]&amp;",'"&amp;配置!$A$2&amp;"':"&amp;表1_86121822242672112[[#This Row],[补偿辎重]]&amp;"},"</f>
        <v>{'coin':1000,'item036':10},</v>
      </c>
      <c r="Y8" s="362" t="str">
        <f>"      '"&amp;表1_86121822242672112[[#This Row],[区服]]&amp;"':{"</f>
        <v>      '5224':{</v>
      </c>
    </row>
    <row r="9" s="354" customFormat="1" ht="14.25" customHeight="1" spans="1:25">
      <c r="A9" s="355">
        <v>5224</v>
      </c>
      <c r="B9" s="86">
        <f>VLOOKUP(表1_86121822242672112[[#This Row],[区服]],$P$113:$Q$148,2,FALSE)</f>
        <v>44</v>
      </c>
      <c r="C9" s="87" t="s">
        <v>249</v>
      </c>
      <c r="D9" s="88" t="str">
        <f>表1_86121822242672112[[#This Row],[目标国家]]</f>
        <v>蜀</v>
      </c>
      <c r="E9" s="90">
        <f>(VLOOKUP(表1_86121822242672112[[#This Row],[目标区服]],$R$113:$S$116,2,FALSE)-表1_86121822242672112[[#This Row],[开服天数]])*配置!$B$1</f>
        <v>1000</v>
      </c>
      <c r="F9" s="90">
        <f>表1_86121822242672112[[#This Row],[补偿Coin]]*(表1_86121822242672112[[#This Row],[活跃高战玩家数]]+表1_86121822242672112[[#This Row],[活跃中坚玩家数]])</f>
        <v>16000</v>
      </c>
      <c r="G9" s="356">
        <f>(VLOOKUP(表1_86121822242672112[[#This Row],[目标区服]],$R$113:$S$116,2,FALSE)-表1_86121822242672112[[#This Row],[开服天数]])*配置!$B$2</f>
        <v>10</v>
      </c>
      <c r="H9" s="88" t="s">
        <v>26</v>
      </c>
      <c r="I9" s="357">
        <f>IF(表1_86121822242672112[[#This Row],[原国家]]="魏",0,IF(表1_86121822242672112[[#This Row],[原国家]]="蜀",1,2))</f>
        <v>1</v>
      </c>
      <c r="J9" s="90">
        <v>3</v>
      </c>
      <c r="K9" s="90">
        <v>137</v>
      </c>
      <c r="L9" s="90">
        <v>2</v>
      </c>
      <c r="M9" s="90">
        <v>14</v>
      </c>
      <c r="N9" s="90">
        <v>79222</v>
      </c>
      <c r="O9" s="358">
        <v>1831116</v>
      </c>
      <c r="P9" s="330">
        <v>11484713</v>
      </c>
      <c r="Q9" s="132" t="s">
        <v>26</v>
      </c>
      <c r="R9" s="88">
        <f>IF(表1_86121822242672112[[#This Row],[目标国家]]="魏",0,IF(表1_86121822242672112[[#This Row],[目标国家]]="蜀",1,2))</f>
        <v>1</v>
      </c>
      <c r="S9" s="90">
        <v>72960</v>
      </c>
      <c r="T9" s="90">
        <v>0</v>
      </c>
      <c r="U9" s="90">
        <v>435383</v>
      </c>
      <c r="V9" s="90">
        <v>7452</v>
      </c>
      <c r="W9" s="90">
        <v>556940</v>
      </c>
      <c r="X9" s="362" t="str">
        <f>"{"&amp;"'coin':"&amp;表1_86121822242672112[[#This Row],[补偿Coin]]&amp;",'"&amp;配置!$A$2&amp;"':"&amp;表1_86121822242672112[[#This Row],[补偿辎重]]&amp;"},"</f>
        <v>{'coin':1000,'item036':10},</v>
      </c>
      <c r="Y9" s="362" t="str">
        <f>"            'to_zone':'"&amp;表1_86121822242672112[[#This Row],[目标区服]]&amp;"',
            'reward':"&amp;表1_86121822242672112[[#This Row],[辅助导出]]&amp;"
            'country':["&amp;R8&amp;","&amp;R9&amp;","&amp;R10&amp;"],"</f>
        <v>            'to_zone':'h1_595',
            'reward':{'coin':1000,'item036':10},
            'country':[2,1,2],</v>
      </c>
    </row>
    <row r="10" s="354" customFormat="1" ht="14.25" customHeight="1" spans="1:25">
      <c r="A10" s="355">
        <v>5224</v>
      </c>
      <c r="B10" s="86">
        <f>VLOOKUP(表1_86121822242672112[[#This Row],[区服]],$P$113:$Q$148,2,FALSE)</f>
        <v>44</v>
      </c>
      <c r="C10" s="87" t="s">
        <v>249</v>
      </c>
      <c r="D10" s="88" t="str">
        <f>表1_86121822242672112[[#This Row],[目标国家]]</f>
        <v>吴</v>
      </c>
      <c r="E10" s="90">
        <f>(VLOOKUP(表1_86121822242672112[[#This Row],[目标区服]],$R$113:$S$116,2,FALSE)-表1_86121822242672112[[#This Row],[开服天数]])*配置!$B$1</f>
        <v>1000</v>
      </c>
      <c r="F10" s="90">
        <f>表1_86121822242672112[[#This Row],[补偿Coin]]*(表1_86121822242672112[[#This Row],[活跃高战玩家数]]+表1_86121822242672112[[#This Row],[活跃中坚玩家数]])</f>
        <v>22000</v>
      </c>
      <c r="G10" s="356">
        <f>(VLOOKUP(表1_86121822242672112[[#This Row],[目标区服]],$R$113:$S$116,2,FALSE)-表1_86121822242672112[[#This Row],[开服天数]])*配置!$B$2</f>
        <v>10</v>
      </c>
      <c r="H10" s="88" t="s">
        <v>27</v>
      </c>
      <c r="I10" s="357">
        <f>IF(表1_86121822242672112[[#This Row],[原国家]]="魏",0,IF(表1_86121822242672112[[#This Row],[原国家]]="蜀",1,2))</f>
        <v>2</v>
      </c>
      <c r="J10" s="90">
        <v>4</v>
      </c>
      <c r="K10" s="90">
        <v>164</v>
      </c>
      <c r="L10" s="90">
        <v>4</v>
      </c>
      <c r="M10" s="90">
        <v>18</v>
      </c>
      <c r="N10" s="90">
        <v>107312</v>
      </c>
      <c r="O10" s="358">
        <v>2330393</v>
      </c>
      <c r="P10" s="330">
        <v>16152766</v>
      </c>
      <c r="Q10" s="132" t="s">
        <v>27</v>
      </c>
      <c r="R10" s="88">
        <f>IF(表1_86121822242672112[[#This Row],[目标国家]]="魏",0,IF(表1_86121822242672112[[#This Row],[目标国家]]="蜀",1,2))</f>
        <v>2</v>
      </c>
      <c r="S10" s="90">
        <v>65046</v>
      </c>
      <c r="T10" s="90">
        <v>0</v>
      </c>
      <c r="U10" s="90">
        <v>425467</v>
      </c>
      <c r="V10" s="90">
        <v>8686</v>
      </c>
      <c r="W10" s="90">
        <v>585876</v>
      </c>
      <c r="X10" s="362" t="str">
        <f>"{"&amp;"'coin':"&amp;表1_86121822242672112[[#This Row],[补偿Coin]]&amp;",'"&amp;配置!$A$2&amp;"':"&amp;表1_86121822242672112[[#This Row],[补偿辎重]]&amp;"},"</f>
        <v>{'coin':1000,'item036':10},</v>
      </c>
      <c r="Y10" s="362" t="str">
        <f>"      },"</f>
        <v>      },</v>
      </c>
    </row>
    <row r="11" s="354" customFormat="1" ht="14.25" customHeight="1" spans="1:25">
      <c r="A11" s="367">
        <v>5225</v>
      </c>
      <c r="B11" s="214">
        <f>VLOOKUP(表1_86121822242672112[[#This Row],[区服]],$P$113:$Q$148,2,FALSE)</f>
        <v>44</v>
      </c>
      <c r="C11" s="293" t="s">
        <v>250</v>
      </c>
      <c r="D11" s="216" t="str">
        <f>表1_86121822242672112[[#This Row],[目标国家]]</f>
        <v>吴</v>
      </c>
      <c r="E11" s="217">
        <f>(VLOOKUP(表1_86121822242672112[[#This Row],[目标区服]],$R$113:$S$116,2,FALSE)-表1_86121822242672112[[#This Row],[开服天数]])*配置!$B$1</f>
        <v>1000</v>
      </c>
      <c r="F11" s="217">
        <f>表1_86121822242672112[[#This Row],[补偿Coin]]*(表1_86121822242672112[[#This Row],[活跃高战玩家数]]+表1_86121822242672112[[#This Row],[活跃中坚玩家数]])</f>
        <v>8000</v>
      </c>
      <c r="G11" s="368">
        <f>(VLOOKUP(表1_86121822242672112[[#This Row],[目标区服]],$R$113:$S$116,2,FALSE)-表1_86121822242672112[[#This Row],[开服天数]])*配置!$B$2</f>
        <v>10</v>
      </c>
      <c r="H11" s="216" t="s">
        <v>25</v>
      </c>
      <c r="I11" s="377">
        <f>IF(表1_86121822242672112[[#This Row],[原国家]]="魏",0,IF(表1_86121822242672112[[#This Row],[原国家]]="蜀",1,2))</f>
        <v>0</v>
      </c>
      <c r="J11" s="217">
        <v>0</v>
      </c>
      <c r="K11" s="217">
        <v>22</v>
      </c>
      <c r="L11" s="217">
        <v>0</v>
      </c>
      <c r="M11" s="217">
        <v>8</v>
      </c>
      <c r="N11" s="217">
        <v>31840</v>
      </c>
      <c r="O11" s="378">
        <v>586817</v>
      </c>
      <c r="P11" s="334">
        <v>2688648</v>
      </c>
      <c r="Q11" s="247" t="s">
        <v>27</v>
      </c>
      <c r="R11" s="216">
        <f>IF(表1_86121822242672112[[#This Row],[目标国家]]="魏",0,IF(表1_86121822242672112[[#This Row],[目标国家]]="蜀",1,2))</f>
        <v>2</v>
      </c>
      <c r="S11" s="217">
        <v>1314</v>
      </c>
      <c r="T11" s="217">
        <v>0</v>
      </c>
      <c r="U11" s="217">
        <v>52948</v>
      </c>
      <c r="V11" s="217">
        <v>1300</v>
      </c>
      <c r="W11" s="217">
        <v>202690</v>
      </c>
      <c r="X11" s="382" t="str">
        <f>"{"&amp;"'coin':"&amp;表1_86121822242672112[[#This Row],[补偿Coin]]&amp;",'"&amp;配置!$A$2&amp;"':"&amp;表1_86121822242672112[[#This Row],[补偿辎重]]&amp;"},"</f>
        <v>{'coin':1000,'item036':10},</v>
      </c>
      <c r="Y11" s="382" t="str">
        <f>"      '"&amp;表1_86121822242672112[[#This Row],[区服]]&amp;"':{"</f>
        <v>      '5225':{</v>
      </c>
    </row>
    <row r="12" s="354" customFormat="1" ht="14.25" customHeight="1" spans="1:25">
      <c r="A12" s="367">
        <v>5225</v>
      </c>
      <c r="B12" s="214">
        <f>VLOOKUP(表1_86121822242672112[[#This Row],[区服]],$P$113:$Q$148,2,FALSE)</f>
        <v>44</v>
      </c>
      <c r="C12" s="293" t="s">
        <v>250</v>
      </c>
      <c r="D12" s="216" t="str">
        <f>表1_86121822242672112[[#This Row],[目标国家]]</f>
        <v>蜀</v>
      </c>
      <c r="E12" s="217">
        <f>(VLOOKUP(表1_86121822242672112[[#This Row],[目标区服]],$R$113:$S$116,2,FALSE)-表1_86121822242672112[[#This Row],[开服天数]])*配置!$B$1</f>
        <v>1000</v>
      </c>
      <c r="F12" s="217">
        <f>表1_86121822242672112[[#This Row],[补偿Coin]]*(表1_86121822242672112[[#This Row],[活跃高战玩家数]]+表1_86121822242672112[[#This Row],[活跃中坚玩家数]])</f>
        <v>20000</v>
      </c>
      <c r="G12" s="368">
        <f>(VLOOKUP(表1_86121822242672112[[#This Row],[目标区服]],$R$113:$S$116,2,FALSE)-表1_86121822242672112[[#This Row],[开服天数]])*配置!$B$2</f>
        <v>10</v>
      </c>
      <c r="H12" s="216" t="s">
        <v>26</v>
      </c>
      <c r="I12" s="377">
        <f>IF(表1_86121822242672112[[#This Row],[原国家]]="魏",0,IF(表1_86121822242672112[[#This Row],[原国家]]="蜀",1,2))</f>
        <v>1</v>
      </c>
      <c r="J12" s="217">
        <v>9</v>
      </c>
      <c r="K12" s="217">
        <v>356</v>
      </c>
      <c r="L12" s="217">
        <v>9</v>
      </c>
      <c r="M12" s="217">
        <v>11</v>
      </c>
      <c r="N12" s="217">
        <v>151957</v>
      </c>
      <c r="O12" s="378">
        <v>2950141</v>
      </c>
      <c r="P12" s="334">
        <v>19233998</v>
      </c>
      <c r="Q12" s="247" t="s">
        <v>26</v>
      </c>
      <c r="R12" s="216">
        <f>IF(表1_86121822242672112[[#This Row],[目标国家]]="魏",0,IF(表1_86121822242672112[[#This Row],[目标国家]]="蜀",1,2))</f>
        <v>1</v>
      </c>
      <c r="S12" s="217">
        <v>83102</v>
      </c>
      <c r="T12" s="217">
        <v>0</v>
      </c>
      <c r="U12" s="217">
        <v>496809</v>
      </c>
      <c r="V12" s="217">
        <v>12834</v>
      </c>
      <c r="W12" s="383">
        <v>996269</v>
      </c>
      <c r="X12" s="382" t="str">
        <f>"{"&amp;"'coin':"&amp;表1_86121822242672112[[#This Row],[补偿Coin]]&amp;",'"&amp;配置!$A$2&amp;"':"&amp;表1_86121822242672112[[#This Row],[补偿辎重]]&amp;"},"</f>
        <v>{'coin':1000,'item036':10},</v>
      </c>
      <c r="Y12" s="382" t="str">
        <f>"            'to_zone':'"&amp;表1_86121822242672112[[#This Row],[目标区服]]&amp;"',
            'reward':"&amp;表1_86121822242672112[[#This Row],[辅助导出]]&amp;"
            'country':["&amp;R11&amp;","&amp;R12&amp;","&amp;R13&amp;"],"</f>
        <v>            'to_zone':'h1_596',
            'reward':{'coin':1000,'item036':10},
            'country':[2,1,0],</v>
      </c>
    </row>
    <row r="13" s="354" customFormat="1" ht="14.25" customHeight="1" spans="1:25">
      <c r="A13" s="367">
        <v>5225</v>
      </c>
      <c r="B13" s="214">
        <f>VLOOKUP(表1_86121822242672112[[#This Row],[区服]],$P$113:$Q$148,2,FALSE)</f>
        <v>44</v>
      </c>
      <c r="C13" s="293" t="s">
        <v>250</v>
      </c>
      <c r="D13" s="216" t="str">
        <f>表1_86121822242672112[[#This Row],[目标国家]]</f>
        <v>魏</v>
      </c>
      <c r="E13" s="217">
        <f>(VLOOKUP(表1_86121822242672112[[#This Row],[目标区服]],$R$113:$S$116,2,FALSE)-表1_86121822242672112[[#This Row],[开服天数]])*配置!$B$1</f>
        <v>1000</v>
      </c>
      <c r="F13" s="217">
        <f>表1_86121822242672112[[#This Row],[补偿Coin]]*(表1_86121822242672112[[#This Row],[活跃高战玩家数]]+表1_86121822242672112[[#This Row],[活跃中坚玩家数]])</f>
        <v>9000</v>
      </c>
      <c r="G13" s="368">
        <f>(VLOOKUP(表1_86121822242672112[[#This Row],[目标区服]],$R$113:$S$116,2,FALSE)-表1_86121822242672112[[#This Row],[开服天数]])*配置!$B$2</f>
        <v>10</v>
      </c>
      <c r="H13" s="216" t="s">
        <v>27</v>
      </c>
      <c r="I13" s="377">
        <f>IF(表1_86121822242672112[[#This Row],[原国家]]="魏",0,IF(表1_86121822242672112[[#This Row],[原国家]]="蜀",1,2))</f>
        <v>2</v>
      </c>
      <c r="J13" s="217">
        <v>0</v>
      </c>
      <c r="K13" s="217">
        <v>17</v>
      </c>
      <c r="L13" s="217">
        <v>1</v>
      </c>
      <c r="M13" s="217">
        <v>8</v>
      </c>
      <c r="N13" s="217">
        <v>39633</v>
      </c>
      <c r="O13" s="378">
        <v>1268836</v>
      </c>
      <c r="P13" s="334">
        <v>4157571</v>
      </c>
      <c r="Q13" s="247" t="s">
        <v>25</v>
      </c>
      <c r="R13" s="216">
        <f>IF(表1_86121822242672112[[#This Row],[目标国家]]="魏",0,IF(表1_86121822242672112[[#This Row],[目标国家]]="蜀",1,2))</f>
        <v>0</v>
      </c>
      <c r="S13" s="217">
        <v>2948</v>
      </c>
      <c r="T13" s="217">
        <v>0</v>
      </c>
      <c r="U13" s="217">
        <v>19690</v>
      </c>
      <c r="V13" s="217">
        <v>2151</v>
      </c>
      <c r="W13" s="217">
        <v>375434</v>
      </c>
      <c r="X13" s="382" t="str">
        <f>"{"&amp;"'coin':"&amp;表1_86121822242672112[[#This Row],[补偿Coin]]&amp;",'"&amp;配置!$A$2&amp;"':"&amp;表1_86121822242672112[[#This Row],[补偿辎重]]&amp;"},"</f>
        <v>{'coin':1000,'item036':10},</v>
      </c>
      <c r="Y13" s="382" t="str">
        <f>"      },"</f>
        <v>      },</v>
      </c>
    </row>
    <row r="14" s="354" customFormat="1" ht="14.25" customHeight="1" spans="1:25">
      <c r="A14" s="214">
        <v>5226</v>
      </c>
      <c r="B14" s="214">
        <f>VLOOKUP(表1_86121822242672112[[#This Row],[区服]],$P$113:$Q$148,2,FALSE)</f>
        <v>44</v>
      </c>
      <c r="C14" s="293" t="s">
        <v>250</v>
      </c>
      <c r="D14" s="322" t="str">
        <f>表1_86121822242672112[[#This Row],[目标国家]]</f>
        <v>魏</v>
      </c>
      <c r="E14" s="294">
        <f>(VLOOKUP(表1_86121822242672112[[#This Row],[目标区服]],$R$113:$S$116,2,FALSE)-表1_86121822242672112[[#This Row],[开服天数]])*配置!$B$1</f>
        <v>1000</v>
      </c>
      <c r="F14" s="294">
        <f>表1_86121822242672112[[#This Row],[补偿Coin]]*(表1_86121822242672112[[#This Row],[活跃高战玩家数]]+表1_86121822242672112[[#This Row],[活跃中坚玩家数]])</f>
        <v>18000</v>
      </c>
      <c r="G14" s="294">
        <f>(VLOOKUP(表1_86121822242672112[[#This Row],[目标区服]],$R$113:$S$116,2,FALSE)-表1_86121822242672112[[#This Row],[开服天数]])*配置!$B$2</f>
        <v>10</v>
      </c>
      <c r="H14" s="216" t="s">
        <v>25</v>
      </c>
      <c r="I14" s="216">
        <f>IF(表1_86121822242672112[[#This Row],[原国家]]="魏",0,IF(表1_86121822242672112[[#This Row],[原国家]]="蜀",1,2))</f>
        <v>0</v>
      </c>
      <c r="J14" s="217">
        <v>2</v>
      </c>
      <c r="K14" s="217">
        <v>105</v>
      </c>
      <c r="L14" s="217">
        <v>3</v>
      </c>
      <c r="M14" s="217">
        <v>15</v>
      </c>
      <c r="N14" s="217">
        <v>68958</v>
      </c>
      <c r="O14" s="217">
        <v>1568310</v>
      </c>
      <c r="P14" s="334">
        <v>12136224</v>
      </c>
      <c r="Q14" s="247" t="s">
        <v>25</v>
      </c>
      <c r="R14" s="216">
        <f>IF(表1_86121822242672112[[#This Row],[目标国家]]="魏",0,IF(表1_86121822242672112[[#This Row],[目标国家]]="蜀",1,2))</f>
        <v>0</v>
      </c>
      <c r="S14" s="217">
        <v>64640</v>
      </c>
      <c r="T14" s="217">
        <v>0</v>
      </c>
      <c r="U14" s="217">
        <v>130573</v>
      </c>
      <c r="V14" s="217">
        <v>6381</v>
      </c>
      <c r="W14" s="294">
        <v>574476</v>
      </c>
      <c r="X14" s="249" t="str">
        <f>"{"&amp;"'coin':"&amp;表1_86121822242672112[[#This Row],[补偿Coin]]&amp;",'"&amp;配置!$A$2&amp;"':"&amp;表1_86121822242672112[[#This Row],[补偿辎重]]&amp;"},"</f>
        <v>{'coin':1000,'item036':10},</v>
      </c>
      <c r="Y14" s="251" t="str">
        <f>"      '"&amp;表1_86121822242672112[[#This Row],[区服]]&amp;"':{"</f>
        <v>      '5226':{</v>
      </c>
    </row>
    <row r="15" s="354" customFormat="1" ht="14.25" customHeight="1" spans="1:25">
      <c r="A15" s="367">
        <v>5226</v>
      </c>
      <c r="B15" s="214">
        <f>VLOOKUP(表1_86121822242672112[[#This Row],[区服]],$P$113:$Q$148,2,FALSE)</f>
        <v>44</v>
      </c>
      <c r="C15" s="293" t="s">
        <v>250</v>
      </c>
      <c r="D15" s="216" t="str">
        <f>表1_86121822242672112[[#This Row],[目标国家]]</f>
        <v>蜀</v>
      </c>
      <c r="E15" s="217">
        <f>(VLOOKUP(表1_86121822242672112[[#This Row],[目标区服]],$R$113:$S$116,2,FALSE)-表1_86121822242672112[[#This Row],[开服天数]])*配置!$B$1</f>
        <v>1000</v>
      </c>
      <c r="F15" s="217">
        <f>表1_86121822242672112[[#This Row],[补偿Coin]]*(表1_86121822242672112[[#This Row],[活跃高战玩家数]]+表1_86121822242672112[[#This Row],[活跃中坚玩家数]])</f>
        <v>25000</v>
      </c>
      <c r="G15" s="217">
        <f>(VLOOKUP(表1_86121822242672112[[#This Row],[目标区服]],$R$113:$S$116,2,FALSE)-表1_86121822242672112[[#This Row],[开服天数]])*配置!$B$2</f>
        <v>10</v>
      </c>
      <c r="H15" s="216" t="s">
        <v>26</v>
      </c>
      <c r="I15" s="216">
        <f>IF(表1_86121822242672112[[#This Row],[原国家]]="魏",0,IF(表1_86121822242672112[[#This Row],[原国家]]="蜀",1,2))</f>
        <v>1</v>
      </c>
      <c r="J15" s="217">
        <v>3</v>
      </c>
      <c r="K15" s="217">
        <v>144</v>
      </c>
      <c r="L15" s="217">
        <v>2</v>
      </c>
      <c r="M15" s="217">
        <v>23</v>
      </c>
      <c r="N15" s="217">
        <v>95570</v>
      </c>
      <c r="O15" s="217">
        <v>1745655</v>
      </c>
      <c r="P15" s="334">
        <v>15936340</v>
      </c>
      <c r="Q15" s="247" t="s">
        <v>26</v>
      </c>
      <c r="R15" s="216">
        <f>IF(表1_86121822242672112[[#This Row],[目标国家]]="魏",0,IF(表1_86121822242672112[[#This Row],[目标国家]]="蜀",1,2))</f>
        <v>1</v>
      </c>
      <c r="S15" s="217">
        <v>30626</v>
      </c>
      <c r="T15" s="217">
        <v>0</v>
      </c>
      <c r="U15" s="217">
        <v>149816</v>
      </c>
      <c r="V15" s="217">
        <v>6550</v>
      </c>
      <c r="W15" s="294">
        <v>516030</v>
      </c>
      <c r="X15" s="249" t="str">
        <f>"{"&amp;"'coin':"&amp;表1_86121822242672112[[#This Row],[补偿Coin]]&amp;",'"&amp;配置!$A$2&amp;"':"&amp;表1_86121822242672112[[#This Row],[补偿辎重]]&amp;"},"</f>
        <v>{'coin':1000,'item036':10},</v>
      </c>
      <c r="Y15" s="251" t="str">
        <f>"            'to_zone':'"&amp;表1_86121822242672112[[#This Row],[目标区服]]&amp;"',
            'reward':"&amp;表1_86121822242672112[[#This Row],[辅助导出]]&amp;"
            'country':["&amp;R14&amp;","&amp;R15&amp;","&amp;R16&amp;"],"</f>
        <v>            'to_zone':'h1_596',
            'reward':{'coin':1000,'item036':10},
            'country':[0,1,2],</v>
      </c>
    </row>
    <row r="16" s="354" customFormat="1" ht="14.25" customHeight="1" spans="1:25">
      <c r="A16" s="367">
        <v>5226</v>
      </c>
      <c r="B16" s="214">
        <f>VLOOKUP(表1_86121822242672112[[#This Row],[区服]],$P$113:$Q$148,2,FALSE)</f>
        <v>44</v>
      </c>
      <c r="C16" s="293" t="s">
        <v>250</v>
      </c>
      <c r="D16" s="216" t="str">
        <f>表1_86121822242672112[[#This Row],[目标国家]]</f>
        <v>吴</v>
      </c>
      <c r="E16" s="217">
        <f>(VLOOKUP(表1_86121822242672112[[#This Row],[目标区服]],$R$113:$S$116,2,FALSE)-表1_86121822242672112[[#This Row],[开服天数]])*配置!$B$1</f>
        <v>1000</v>
      </c>
      <c r="F16" s="217">
        <f>表1_86121822242672112[[#This Row],[补偿Coin]]*(表1_86121822242672112[[#This Row],[活跃高战玩家数]]+表1_86121822242672112[[#This Row],[活跃中坚玩家数]])</f>
        <v>33000</v>
      </c>
      <c r="G16" s="217">
        <f>(VLOOKUP(表1_86121822242672112[[#This Row],[目标区服]],$R$113:$S$116,2,FALSE)-表1_86121822242672112[[#This Row],[开服天数]])*配置!$B$2</f>
        <v>10</v>
      </c>
      <c r="H16" s="216" t="s">
        <v>27</v>
      </c>
      <c r="I16" s="216">
        <f>IF(表1_86121822242672112[[#This Row],[原国家]]="魏",0,IF(表1_86121822242672112[[#This Row],[原国家]]="蜀",1,2))</f>
        <v>2</v>
      </c>
      <c r="J16" s="217">
        <v>4</v>
      </c>
      <c r="K16" s="217">
        <v>146</v>
      </c>
      <c r="L16" s="217">
        <v>5</v>
      </c>
      <c r="M16" s="217">
        <v>28</v>
      </c>
      <c r="N16" s="217">
        <v>144850</v>
      </c>
      <c r="O16" s="217">
        <v>1538439</v>
      </c>
      <c r="P16" s="334">
        <v>23131978</v>
      </c>
      <c r="Q16" s="247" t="s">
        <v>27</v>
      </c>
      <c r="R16" s="216">
        <f>IF(表1_86121822242672112[[#This Row],[目标国家]]="魏",0,IF(表1_86121822242672112[[#This Row],[目标国家]]="蜀",1,2))</f>
        <v>2</v>
      </c>
      <c r="S16" s="217">
        <v>115070</v>
      </c>
      <c r="T16" s="217">
        <v>0</v>
      </c>
      <c r="U16" s="217">
        <v>648700</v>
      </c>
      <c r="V16" s="217">
        <v>10212</v>
      </c>
      <c r="W16" s="384">
        <v>785248</v>
      </c>
      <c r="X16" s="249" t="str">
        <f>"{"&amp;"'coin':"&amp;表1_86121822242672112[[#This Row],[补偿Coin]]&amp;",'"&amp;配置!$A$2&amp;"':"&amp;表1_86121822242672112[[#This Row],[补偿辎重]]&amp;"},"</f>
        <v>{'coin':1000,'item036':10},</v>
      </c>
      <c r="Y16" s="251" t="str">
        <f>"      },"</f>
        <v>      },</v>
      </c>
    </row>
    <row r="17" s="354" customFormat="1" ht="14.25" customHeight="1" spans="1:25">
      <c r="A17" s="214">
        <v>5227</v>
      </c>
      <c r="B17" s="214">
        <f>VLOOKUP(表1_86121822242672112[[#This Row],[区服]],$P$113:$Q$148,2,FALSE)</f>
        <v>43</v>
      </c>
      <c r="C17" s="293" t="s">
        <v>250</v>
      </c>
      <c r="D17" s="322" t="str">
        <f>表1_86121822242672112[[#This Row],[目标国家]]</f>
        <v>魏</v>
      </c>
      <c r="E17" s="294">
        <f>(VLOOKUP(表1_86121822242672112[[#This Row],[目标区服]],$R$113:$S$116,2,FALSE)-表1_86121822242672112[[#This Row],[开服天数]])*配置!$B$1</f>
        <v>1500</v>
      </c>
      <c r="F17" s="294">
        <f>表1_86121822242672112[[#This Row],[补偿Coin]]*(表1_86121822242672112[[#This Row],[活跃高战玩家数]]+表1_86121822242672112[[#This Row],[活跃中坚玩家数]])</f>
        <v>18000</v>
      </c>
      <c r="G17" s="294">
        <f>(VLOOKUP(表1_86121822242672112[[#This Row],[目标区服]],$R$113:$S$116,2,FALSE)-表1_86121822242672112[[#This Row],[开服天数]])*配置!$B$2</f>
        <v>15</v>
      </c>
      <c r="H17" s="216" t="s">
        <v>25</v>
      </c>
      <c r="I17" s="216">
        <f>IF(表1_86121822242672112[[#This Row],[原国家]]="魏",0,IF(表1_86121822242672112[[#This Row],[原国家]]="蜀",1,2))</f>
        <v>0</v>
      </c>
      <c r="J17" s="217">
        <v>0</v>
      </c>
      <c r="K17" s="217">
        <v>19</v>
      </c>
      <c r="L17" s="217">
        <v>0</v>
      </c>
      <c r="M17" s="217">
        <v>12</v>
      </c>
      <c r="N17" s="217">
        <v>42396</v>
      </c>
      <c r="O17" s="217">
        <v>995051</v>
      </c>
      <c r="P17" s="334">
        <v>5491023</v>
      </c>
      <c r="Q17" s="247" t="s">
        <v>25</v>
      </c>
      <c r="R17" s="216">
        <f>IF(表1_86121822242672112[[#This Row],[目标国家]]="魏",0,IF(表1_86121822242672112[[#This Row],[目标国家]]="蜀",1,2))</f>
        <v>0</v>
      </c>
      <c r="S17" s="217">
        <v>1874</v>
      </c>
      <c r="T17" s="217">
        <v>0</v>
      </c>
      <c r="U17" s="217">
        <v>66942</v>
      </c>
      <c r="V17" s="217">
        <v>2035</v>
      </c>
      <c r="W17" s="294">
        <v>378389</v>
      </c>
      <c r="X17" s="249" t="str">
        <f>"{"&amp;"'coin':"&amp;表1_86121822242672112[[#This Row],[补偿Coin]]&amp;",'"&amp;配置!$A$2&amp;"':"&amp;表1_86121822242672112[[#This Row],[补偿辎重]]&amp;"},"</f>
        <v>{'coin':1500,'item036':15},</v>
      </c>
      <c r="Y17" s="251" t="str">
        <f>"      '"&amp;表1_86121822242672112[[#This Row],[区服]]&amp;"':{"</f>
        <v>      '5227':{</v>
      </c>
    </row>
    <row r="18" s="354" customFormat="1" ht="14.25" customHeight="1" spans="1:25">
      <c r="A18" s="367">
        <v>5227</v>
      </c>
      <c r="B18" s="214">
        <f>VLOOKUP(表1_86121822242672112[[#This Row],[区服]],$P$113:$Q$148,2,FALSE)</f>
        <v>43</v>
      </c>
      <c r="C18" s="293" t="s">
        <v>250</v>
      </c>
      <c r="D18" s="216" t="str">
        <f>表1_86121822242672112[[#This Row],[目标国家]]</f>
        <v>吴</v>
      </c>
      <c r="E18" s="217">
        <f>(VLOOKUP(表1_86121822242672112[[#This Row],[目标区服]],$R$113:$S$116,2,FALSE)-表1_86121822242672112[[#This Row],[开服天数]])*配置!$B$1</f>
        <v>1500</v>
      </c>
      <c r="F18" s="217">
        <f>表1_86121822242672112[[#This Row],[补偿Coin]]*(表1_86121822242672112[[#This Row],[活跃高战玩家数]]+表1_86121822242672112[[#This Row],[活跃中坚玩家数]])</f>
        <v>27000</v>
      </c>
      <c r="G18" s="217">
        <f>(VLOOKUP(表1_86121822242672112[[#This Row],[目标区服]],$R$113:$S$116,2,FALSE)-表1_86121822242672112[[#This Row],[开服天数]])*配置!$B$2</f>
        <v>15</v>
      </c>
      <c r="H18" s="216" t="s">
        <v>26</v>
      </c>
      <c r="I18" s="216">
        <f>IF(表1_86121822242672112[[#This Row],[原国家]]="魏",0,IF(表1_86121822242672112[[#This Row],[原国家]]="蜀",1,2))</f>
        <v>1</v>
      </c>
      <c r="J18" s="217">
        <v>2</v>
      </c>
      <c r="K18" s="217">
        <v>138</v>
      </c>
      <c r="L18" s="217">
        <v>5</v>
      </c>
      <c r="M18" s="217">
        <v>13</v>
      </c>
      <c r="N18" s="217">
        <v>95902</v>
      </c>
      <c r="O18" s="217">
        <v>1717907</v>
      </c>
      <c r="P18" s="334">
        <v>13011024</v>
      </c>
      <c r="Q18" s="247" t="s">
        <v>27</v>
      </c>
      <c r="R18" s="216">
        <f>IF(表1_86121822242672112[[#This Row],[目标国家]]="魏",0,IF(表1_86121822242672112[[#This Row],[目标国家]]="蜀",1,2))</f>
        <v>2</v>
      </c>
      <c r="S18" s="217">
        <v>17320</v>
      </c>
      <c r="T18" s="217">
        <v>0</v>
      </c>
      <c r="U18" s="217">
        <v>218609</v>
      </c>
      <c r="V18" s="217">
        <v>5707</v>
      </c>
      <c r="W18" s="294">
        <v>478781</v>
      </c>
      <c r="X18" s="249" t="str">
        <f>"{"&amp;"'coin':"&amp;表1_86121822242672112[[#This Row],[补偿Coin]]&amp;",'"&amp;配置!$A$2&amp;"':"&amp;表1_86121822242672112[[#This Row],[补偿辎重]]&amp;"},"</f>
        <v>{'coin':1500,'item036':15},</v>
      </c>
      <c r="Y18" s="251" t="str">
        <f>"            'to_zone':'"&amp;表1_86121822242672112[[#This Row],[目标区服]]&amp;"',
            'reward':"&amp;表1_86121822242672112[[#This Row],[辅助导出]]&amp;"
            'country':["&amp;R17&amp;","&amp;R18&amp;","&amp;R19&amp;"],"</f>
        <v>            'to_zone':'h1_596',
            'reward':{'coin':1500,'item036':15},
            'country':[0,2,0],</v>
      </c>
    </row>
    <row r="19" s="354" customFormat="1" ht="14.25" customHeight="1" spans="1:25">
      <c r="A19" s="367">
        <v>5227</v>
      </c>
      <c r="B19" s="214">
        <f>VLOOKUP(表1_86121822242672112[[#This Row],[区服]],$P$113:$Q$148,2,FALSE)</f>
        <v>43</v>
      </c>
      <c r="C19" s="293" t="s">
        <v>250</v>
      </c>
      <c r="D19" s="216" t="str">
        <f>表1_86121822242672112[[#This Row],[目标国家]]</f>
        <v>魏</v>
      </c>
      <c r="E19" s="217">
        <f>(VLOOKUP(表1_86121822242672112[[#This Row],[目标区服]],$R$113:$S$116,2,FALSE)-表1_86121822242672112[[#This Row],[开服天数]])*配置!$B$1</f>
        <v>1500</v>
      </c>
      <c r="F19" s="217">
        <f>表1_86121822242672112[[#This Row],[补偿Coin]]*(表1_86121822242672112[[#This Row],[活跃高战玩家数]]+表1_86121822242672112[[#This Row],[活跃中坚玩家数]])</f>
        <v>40500</v>
      </c>
      <c r="G19" s="217">
        <f>(VLOOKUP(表1_86121822242672112[[#This Row],[目标区服]],$R$113:$S$116,2,FALSE)-表1_86121822242672112[[#This Row],[开服天数]])*配置!$B$2</f>
        <v>15</v>
      </c>
      <c r="H19" s="216" t="s">
        <v>27</v>
      </c>
      <c r="I19" s="216">
        <f>IF(表1_86121822242672112[[#This Row],[原国家]]="魏",0,IF(表1_86121822242672112[[#This Row],[原国家]]="蜀",1,2))</f>
        <v>2</v>
      </c>
      <c r="J19" s="217">
        <v>7</v>
      </c>
      <c r="K19" s="217">
        <v>238</v>
      </c>
      <c r="L19" s="217">
        <v>5</v>
      </c>
      <c r="M19" s="217">
        <v>22</v>
      </c>
      <c r="N19" s="217">
        <v>150083</v>
      </c>
      <c r="O19" s="217">
        <v>1912024</v>
      </c>
      <c r="P19" s="334">
        <v>20665420</v>
      </c>
      <c r="Q19" s="247" t="s">
        <v>25</v>
      </c>
      <c r="R19" s="216">
        <f>IF(表1_86121822242672112[[#This Row],[目标国家]]="魏",0,IF(表1_86121822242672112[[#This Row],[目标国家]]="蜀",1,2))</f>
        <v>0</v>
      </c>
      <c r="S19" s="217">
        <v>37754</v>
      </c>
      <c r="T19" s="217">
        <v>0</v>
      </c>
      <c r="U19" s="217">
        <v>422085</v>
      </c>
      <c r="V19" s="217">
        <v>9152</v>
      </c>
      <c r="W19" s="294">
        <v>540561</v>
      </c>
      <c r="X19" s="249" t="str">
        <f>"{"&amp;"'coin':"&amp;表1_86121822242672112[[#This Row],[补偿Coin]]&amp;",'"&amp;配置!$A$2&amp;"':"&amp;表1_86121822242672112[[#This Row],[补偿辎重]]&amp;"},"</f>
        <v>{'coin':1500,'item036':15},</v>
      </c>
      <c r="Y19" s="251" t="str">
        <f>"      },"</f>
        <v>      },</v>
      </c>
    </row>
    <row r="20" s="354" customFormat="1" ht="14.25" customHeight="1" spans="1:25">
      <c r="A20" s="91">
        <v>5228</v>
      </c>
      <c r="B20" s="91">
        <f>VLOOKUP(表1_86121822242672112[[#This Row],[区服]],$P$113:$Q$148,2,FALSE)</f>
        <v>43</v>
      </c>
      <c r="C20" s="92" t="s">
        <v>251</v>
      </c>
      <c r="D20" s="313" t="str">
        <f>表1_86121822242672112[[#This Row],[目标国家]]</f>
        <v>魏</v>
      </c>
      <c r="E20" s="94">
        <f>(VLOOKUP(表1_86121822242672112[[#This Row],[目标区服]],$R$113:$S$116,2,FALSE)-表1_86121822242672112[[#This Row],[开服天数]])*配置!$B$1</f>
        <v>1000</v>
      </c>
      <c r="F20" s="94">
        <f>表1_86121822242672112[[#This Row],[补偿Coin]]*(表1_86121822242672112[[#This Row],[活跃高战玩家数]]+表1_86121822242672112[[#This Row],[活跃中坚玩家数]])</f>
        <v>21000</v>
      </c>
      <c r="G20" s="94">
        <f>(VLOOKUP(表1_86121822242672112[[#This Row],[目标区服]],$R$113:$S$116,2,FALSE)-表1_86121822242672112[[#This Row],[开服天数]])*配置!$B$2</f>
        <v>10</v>
      </c>
      <c r="H20" s="93" t="s">
        <v>25</v>
      </c>
      <c r="I20" s="93">
        <f>IF(表1_86121822242672112[[#This Row],[原国家]]="魏",0,IF(表1_86121822242672112[[#This Row],[原国家]]="蜀",1,2))</f>
        <v>0</v>
      </c>
      <c r="J20" s="95">
        <v>4</v>
      </c>
      <c r="K20" s="95">
        <v>106</v>
      </c>
      <c r="L20" s="95">
        <v>4</v>
      </c>
      <c r="M20" s="95">
        <v>17</v>
      </c>
      <c r="N20" s="95">
        <v>111551</v>
      </c>
      <c r="O20" s="95">
        <v>2468266</v>
      </c>
      <c r="P20" s="326">
        <v>16219953</v>
      </c>
      <c r="Q20" s="137" t="s">
        <v>25</v>
      </c>
      <c r="R20" s="93">
        <f>IF(表1_86121822242672112[[#This Row],[目标国家]]="魏",0,IF(表1_86121822242672112[[#This Row],[目标国家]]="蜀",1,2))</f>
        <v>0</v>
      </c>
      <c r="S20" s="95">
        <v>43066</v>
      </c>
      <c r="T20" s="95">
        <v>0</v>
      </c>
      <c r="U20" s="95">
        <v>381103</v>
      </c>
      <c r="V20" s="95">
        <v>7590</v>
      </c>
      <c r="W20" s="365">
        <v>794625</v>
      </c>
      <c r="X20" s="140" t="str">
        <f>"{"&amp;"'coin':"&amp;表1_86121822242672112[[#This Row],[补偿Coin]]&amp;",'"&amp;配置!$A$2&amp;"':"&amp;表1_86121822242672112[[#This Row],[补偿辎重]]&amp;"},"</f>
        <v>{'coin':1000,'item036':10},</v>
      </c>
      <c r="Y20" s="138" t="str">
        <f>"      '"&amp;表1_86121822242672112[[#This Row],[区服]]&amp;"':{"</f>
        <v>      '5228':{</v>
      </c>
    </row>
    <row r="21" s="354" customFormat="1" ht="14.25" customHeight="1" spans="1:25">
      <c r="A21" s="314">
        <v>5228</v>
      </c>
      <c r="B21" s="91">
        <f>VLOOKUP(表1_86121822242672112[[#This Row],[区服]],$P$113:$Q$148,2,FALSE)</f>
        <v>43</v>
      </c>
      <c r="C21" s="92" t="s">
        <v>251</v>
      </c>
      <c r="D21" s="93" t="str">
        <f>表1_86121822242672112[[#This Row],[目标国家]]</f>
        <v>吴</v>
      </c>
      <c r="E21" s="94">
        <f>(VLOOKUP(表1_86121822242672112[[#This Row],[目标区服]],$R$113:$S$116,2,FALSE)-表1_86121822242672112[[#This Row],[开服天数]])*配置!$B$1</f>
        <v>1000</v>
      </c>
      <c r="F21" s="95">
        <f>表1_86121822242672112[[#This Row],[补偿Coin]]*(表1_86121822242672112[[#This Row],[活跃高战玩家数]]+表1_86121822242672112[[#This Row],[活跃中坚玩家数]])</f>
        <v>28000</v>
      </c>
      <c r="G21" s="95">
        <f>(VLOOKUP(表1_86121822242672112[[#This Row],[目标区服]],$R$113:$S$116,2,FALSE)-表1_86121822242672112[[#This Row],[开服天数]])*配置!$B$2</f>
        <v>10</v>
      </c>
      <c r="H21" s="93" t="s">
        <v>26</v>
      </c>
      <c r="I21" s="93">
        <f>IF(表1_86121822242672112[[#This Row],[原国家]]="魏",0,IF(表1_86121822242672112[[#This Row],[原国家]]="蜀",1,2))</f>
        <v>1</v>
      </c>
      <c r="J21" s="95">
        <v>3</v>
      </c>
      <c r="K21" s="95">
        <v>179</v>
      </c>
      <c r="L21" s="95">
        <v>4</v>
      </c>
      <c r="M21" s="95">
        <v>24</v>
      </c>
      <c r="N21" s="95">
        <v>126883</v>
      </c>
      <c r="O21" s="95">
        <v>2802345</v>
      </c>
      <c r="P21" s="326">
        <v>19358631</v>
      </c>
      <c r="Q21" s="137" t="s">
        <v>27</v>
      </c>
      <c r="R21" s="93">
        <f>IF(表1_86121822242672112[[#This Row],[目标国家]]="魏",0,IF(表1_86121822242672112[[#This Row],[目标国家]]="蜀",1,2))</f>
        <v>2</v>
      </c>
      <c r="S21" s="95">
        <v>89274</v>
      </c>
      <c r="T21" s="95">
        <v>0</v>
      </c>
      <c r="U21" s="95">
        <v>527299</v>
      </c>
      <c r="V21" s="95">
        <v>10404</v>
      </c>
      <c r="W21" s="365">
        <v>885552</v>
      </c>
      <c r="X21" s="140" t="str">
        <f>"{"&amp;"'coin':"&amp;表1_86121822242672112[[#This Row],[补偿Coin]]&amp;",'"&amp;配置!$A$2&amp;"':"&amp;表1_86121822242672112[[#This Row],[补偿辎重]]&amp;"},"</f>
        <v>{'coin':1000,'item036':10},</v>
      </c>
      <c r="Y21" s="138" t="str">
        <f>"            'to_zone':'"&amp;表1_86121822242672112[[#This Row],[目标区服]]&amp;"',
            'reward':"&amp;表1_86121822242672112[[#This Row],[辅助导出]]&amp;"
            'country':["&amp;R20&amp;","&amp;R21&amp;","&amp;R22&amp;"],"</f>
        <v>            'to_zone':'h1_597',
            'reward':{'coin':1000,'item036':10},
            'country':[0,2,2],</v>
      </c>
    </row>
    <row r="22" s="354" customFormat="1" ht="14.25" customHeight="1" spans="1:25">
      <c r="A22" s="314">
        <v>5228</v>
      </c>
      <c r="B22" s="91">
        <f>VLOOKUP(表1_86121822242672112[[#This Row],[区服]],$P$113:$Q$148,2,FALSE)</f>
        <v>43</v>
      </c>
      <c r="C22" s="92" t="s">
        <v>251</v>
      </c>
      <c r="D22" s="93" t="str">
        <f>表1_86121822242672112[[#This Row],[目标国家]]</f>
        <v>吴</v>
      </c>
      <c r="E22" s="94">
        <f>(VLOOKUP(表1_86121822242672112[[#This Row],[目标区服]],$R$113:$S$116,2,FALSE)-表1_86121822242672112[[#This Row],[开服天数]])*配置!$B$1</f>
        <v>1000</v>
      </c>
      <c r="F22" s="95">
        <f>表1_86121822242672112[[#This Row],[补偿Coin]]*(表1_86121822242672112[[#This Row],[活跃高战玩家数]]+表1_86121822242672112[[#This Row],[活跃中坚玩家数]])</f>
        <v>10000</v>
      </c>
      <c r="G22" s="95">
        <f>(VLOOKUP(表1_86121822242672112[[#This Row],[目标区服]],$R$113:$S$116,2,FALSE)-表1_86121822242672112[[#This Row],[开服天数]])*配置!$B$2</f>
        <v>10</v>
      </c>
      <c r="H22" s="93" t="s">
        <v>27</v>
      </c>
      <c r="I22" s="93">
        <f>IF(表1_86121822242672112[[#This Row],[原国家]]="魏",0,IF(表1_86121822242672112[[#This Row],[原国家]]="蜀",1,2))</f>
        <v>2</v>
      </c>
      <c r="J22" s="95">
        <v>2</v>
      </c>
      <c r="K22" s="95">
        <v>110</v>
      </c>
      <c r="L22" s="95">
        <v>1</v>
      </c>
      <c r="M22" s="95">
        <v>9</v>
      </c>
      <c r="N22" s="95">
        <v>50394</v>
      </c>
      <c r="O22" s="95">
        <v>1512439</v>
      </c>
      <c r="P22" s="326">
        <v>6526901</v>
      </c>
      <c r="Q22" s="137" t="s">
        <v>27</v>
      </c>
      <c r="R22" s="93">
        <f>IF(表1_86121822242672112[[#This Row],[目标国家]]="魏",0,IF(表1_86121822242672112[[#This Row],[目标国家]]="蜀",1,2))</f>
        <v>2</v>
      </c>
      <c r="S22" s="95">
        <v>7604</v>
      </c>
      <c r="T22" s="95">
        <v>0</v>
      </c>
      <c r="U22" s="95">
        <v>82857</v>
      </c>
      <c r="V22" s="95">
        <v>3986</v>
      </c>
      <c r="W22" s="94">
        <v>600367</v>
      </c>
      <c r="X22" s="140" t="str">
        <f>"{"&amp;"'coin':"&amp;表1_86121822242672112[[#This Row],[补偿Coin]]&amp;",'"&amp;配置!$A$2&amp;"':"&amp;表1_86121822242672112[[#This Row],[补偿辎重]]&amp;"},"</f>
        <v>{'coin':1000,'item036':10},</v>
      </c>
      <c r="Y22" s="138" t="str">
        <f>"      },"</f>
        <v>      },</v>
      </c>
    </row>
    <row r="23" s="354" customFormat="1" ht="14.25" customHeight="1" spans="1:25">
      <c r="A23" s="91">
        <v>5229</v>
      </c>
      <c r="B23" s="91">
        <f>VLOOKUP(表1_86121822242672112[[#This Row],[区服]],$P$113:$Q$148,2,FALSE)</f>
        <v>43</v>
      </c>
      <c r="C23" s="92" t="s">
        <v>251</v>
      </c>
      <c r="D23" s="313" t="str">
        <f>表1_86121822242672112[[#This Row],[目标国家]]</f>
        <v>魏</v>
      </c>
      <c r="E23" s="94">
        <f>(VLOOKUP(表1_86121822242672112[[#This Row],[目标区服]],$R$113:$S$116,2,FALSE)-表1_86121822242672112[[#This Row],[开服天数]])*配置!$B$1</f>
        <v>1000</v>
      </c>
      <c r="F23" s="94">
        <f>表1_86121822242672112[[#This Row],[补偿Coin]]*(表1_86121822242672112[[#This Row],[活跃高战玩家数]]+表1_86121822242672112[[#This Row],[活跃中坚玩家数]])</f>
        <v>21000</v>
      </c>
      <c r="G23" s="94">
        <f>(VLOOKUP(表1_86121822242672112[[#This Row],[目标区服]],$R$113:$S$116,2,FALSE)-表1_86121822242672112[[#This Row],[开服天数]])*配置!$B$2</f>
        <v>10</v>
      </c>
      <c r="H23" s="93" t="s">
        <v>25</v>
      </c>
      <c r="I23" s="93">
        <f>IF(表1_86121822242672112[[#This Row],[原国家]]="魏",0,IF(表1_86121822242672112[[#This Row],[原国家]]="蜀",1,2))</f>
        <v>0</v>
      </c>
      <c r="J23" s="95">
        <v>0</v>
      </c>
      <c r="K23" s="95">
        <v>37</v>
      </c>
      <c r="L23" s="95">
        <v>2</v>
      </c>
      <c r="M23" s="95">
        <v>19</v>
      </c>
      <c r="N23" s="95">
        <v>71488</v>
      </c>
      <c r="O23" s="95">
        <v>1547447</v>
      </c>
      <c r="P23" s="326">
        <v>12154573</v>
      </c>
      <c r="Q23" s="137" t="s">
        <v>25</v>
      </c>
      <c r="R23" s="93">
        <f>IF(表1_86121822242672112[[#This Row],[目标国家]]="魏",0,IF(表1_86121822242672112[[#This Row],[目标国家]]="蜀",1,2))</f>
        <v>0</v>
      </c>
      <c r="S23" s="95">
        <v>30784</v>
      </c>
      <c r="T23" s="95">
        <v>0</v>
      </c>
      <c r="U23" s="95">
        <v>236079</v>
      </c>
      <c r="V23" s="95">
        <v>4531</v>
      </c>
      <c r="W23" s="94">
        <v>480437</v>
      </c>
      <c r="X23" s="140" t="str">
        <f>"{"&amp;"'coin':"&amp;表1_86121822242672112[[#This Row],[补偿Coin]]&amp;",'"&amp;配置!$A$2&amp;"':"&amp;表1_86121822242672112[[#This Row],[补偿辎重]]&amp;"},"</f>
        <v>{'coin':1000,'item036':10},</v>
      </c>
      <c r="Y23" s="138" t="str">
        <f>"      '"&amp;表1_86121822242672112[[#This Row],[区服]]&amp;"':{"</f>
        <v>      '5229':{</v>
      </c>
    </row>
    <row r="24" s="354" customFormat="1" ht="14.25" customHeight="1" spans="1:25">
      <c r="A24" s="314">
        <v>5229</v>
      </c>
      <c r="B24" s="91">
        <f>VLOOKUP(表1_86121822242672112[[#This Row],[区服]],$P$113:$Q$148,2,FALSE)</f>
        <v>43</v>
      </c>
      <c r="C24" s="92" t="s">
        <v>251</v>
      </c>
      <c r="D24" s="93" t="str">
        <f>表1_86121822242672112[[#This Row],[目标国家]]</f>
        <v>蜀</v>
      </c>
      <c r="E24" s="94">
        <f>(VLOOKUP(表1_86121822242672112[[#This Row],[目标区服]],$R$113:$S$116,2,FALSE)-表1_86121822242672112[[#This Row],[开服天数]])*配置!$B$1</f>
        <v>1000</v>
      </c>
      <c r="F24" s="95">
        <f>表1_86121822242672112[[#This Row],[补偿Coin]]*(表1_86121822242672112[[#This Row],[活跃高战玩家数]]+表1_86121822242672112[[#This Row],[活跃中坚玩家数]])</f>
        <v>25000</v>
      </c>
      <c r="G24" s="95">
        <f>(VLOOKUP(表1_86121822242672112[[#This Row],[目标区服]],$R$113:$S$116,2,FALSE)-表1_86121822242672112[[#This Row],[开服天数]])*配置!$B$2</f>
        <v>10</v>
      </c>
      <c r="H24" s="93" t="s">
        <v>26</v>
      </c>
      <c r="I24" s="93">
        <f>IF(表1_86121822242672112[[#This Row],[原国家]]="魏",0,IF(表1_86121822242672112[[#This Row],[原国家]]="蜀",1,2))</f>
        <v>1</v>
      </c>
      <c r="J24" s="95">
        <v>7</v>
      </c>
      <c r="K24" s="95">
        <v>273</v>
      </c>
      <c r="L24" s="95">
        <v>5</v>
      </c>
      <c r="M24" s="95">
        <v>20</v>
      </c>
      <c r="N24" s="95">
        <v>137403</v>
      </c>
      <c r="O24" s="95">
        <v>3982850</v>
      </c>
      <c r="P24" s="326">
        <v>27421470</v>
      </c>
      <c r="Q24" s="137" t="s">
        <v>26</v>
      </c>
      <c r="R24" s="93">
        <f>IF(表1_86121822242672112[[#This Row],[目标国家]]="魏",0,IF(表1_86121822242672112[[#This Row],[目标国家]]="蜀",1,2))</f>
        <v>1</v>
      </c>
      <c r="S24" s="95">
        <v>212408</v>
      </c>
      <c r="T24" s="95">
        <v>0</v>
      </c>
      <c r="U24" s="95">
        <v>877297</v>
      </c>
      <c r="V24" s="95">
        <v>17652</v>
      </c>
      <c r="W24" s="365">
        <v>994129</v>
      </c>
      <c r="X24" s="140" t="str">
        <f>"{"&amp;"'coin':"&amp;表1_86121822242672112[[#This Row],[补偿Coin]]&amp;",'"&amp;配置!$A$2&amp;"':"&amp;表1_86121822242672112[[#This Row],[补偿辎重]]&amp;"},"</f>
        <v>{'coin':1000,'item036':10},</v>
      </c>
      <c r="Y24" s="138" t="str">
        <f>"            'to_zone':'"&amp;表1_86121822242672112[[#This Row],[目标区服]]&amp;"',
            'reward':"&amp;表1_86121822242672112[[#This Row],[辅助导出]]&amp;"
            'country':["&amp;R23&amp;","&amp;R24&amp;","&amp;R25&amp;"],"</f>
        <v>            'to_zone':'h1_597',
            'reward':{'coin':1000,'item036':10},
            'country':[0,1,2],</v>
      </c>
    </row>
    <row r="25" s="354" customFormat="1" ht="14.25" customHeight="1" spans="1:25">
      <c r="A25" s="314">
        <v>5229</v>
      </c>
      <c r="B25" s="91">
        <f>VLOOKUP(表1_86121822242672112[[#This Row],[区服]],$P$113:$Q$148,2,FALSE)</f>
        <v>43</v>
      </c>
      <c r="C25" s="92" t="s">
        <v>251</v>
      </c>
      <c r="D25" s="93" t="str">
        <f>表1_86121822242672112[[#This Row],[目标国家]]</f>
        <v>吴</v>
      </c>
      <c r="E25" s="94">
        <f>(VLOOKUP(表1_86121822242672112[[#This Row],[目标区服]],$R$113:$S$116,2,FALSE)-表1_86121822242672112[[#This Row],[开服天数]])*配置!$B$1</f>
        <v>1000</v>
      </c>
      <c r="F25" s="95">
        <f>表1_86121822242672112[[#This Row],[补偿Coin]]*(表1_86121822242672112[[#This Row],[活跃高战玩家数]]+表1_86121822242672112[[#This Row],[活跃中坚玩家数]])</f>
        <v>21000</v>
      </c>
      <c r="G25" s="95">
        <f>(VLOOKUP(表1_86121822242672112[[#This Row],[目标区服]],$R$113:$S$116,2,FALSE)-表1_86121822242672112[[#This Row],[开服天数]])*配置!$B$2</f>
        <v>10</v>
      </c>
      <c r="H25" s="93" t="s">
        <v>27</v>
      </c>
      <c r="I25" s="93">
        <f>IF(表1_86121822242672112[[#This Row],[原国家]]="魏",0,IF(表1_86121822242672112[[#This Row],[原国家]]="蜀",1,2))</f>
        <v>2</v>
      </c>
      <c r="J25" s="95">
        <v>2</v>
      </c>
      <c r="K25" s="95">
        <v>85</v>
      </c>
      <c r="L25" s="95">
        <v>3</v>
      </c>
      <c r="M25" s="95">
        <v>18</v>
      </c>
      <c r="N25" s="95">
        <v>89545</v>
      </c>
      <c r="O25" s="95">
        <v>1895078</v>
      </c>
      <c r="P25" s="326">
        <v>14319966</v>
      </c>
      <c r="Q25" s="137" t="s">
        <v>27</v>
      </c>
      <c r="R25" s="93">
        <f>IF(表1_86121822242672112[[#This Row],[目标国家]]="魏",0,IF(表1_86121822242672112[[#This Row],[目标国家]]="蜀",1,2))</f>
        <v>2</v>
      </c>
      <c r="S25" s="95">
        <v>47344</v>
      </c>
      <c r="T25" s="95">
        <v>0</v>
      </c>
      <c r="U25" s="95">
        <v>584047</v>
      </c>
      <c r="V25" s="95">
        <v>6537</v>
      </c>
      <c r="W25" s="94">
        <v>567703</v>
      </c>
      <c r="X25" s="140" t="str">
        <f>"{"&amp;"'coin':"&amp;表1_86121822242672112[[#This Row],[补偿Coin]]&amp;",'"&amp;配置!$A$2&amp;"':"&amp;表1_86121822242672112[[#This Row],[补偿辎重]]&amp;"},"</f>
        <v>{'coin':1000,'item036':10},</v>
      </c>
      <c r="Y25" s="138" t="str">
        <f>"      },"</f>
        <v>      },</v>
      </c>
    </row>
    <row r="26" s="354" customFormat="1" ht="14.25" customHeight="1" spans="1:25">
      <c r="A26" s="91">
        <v>5230</v>
      </c>
      <c r="B26" s="91">
        <f>VLOOKUP(表1_86121822242672112[[#This Row],[区服]],$P$113:$Q$148,2,FALSE)</f>
        <v>43</v>
      </c>
      <c r="C26" s="92" t="s">
        <v>251</v>
      </c>
      <c r="D26" s="313" t="str">
        <f>表1_86121822242672112[[#This Row],[目标国家]]</f>
        <v>魏</v>
      </c>
      <c r="E26" s="94">
        <f>(VLOOKUP(表1_86121822242672112[[#This Row],[目标区服]],$R$113:$S$116,2,FALSE)-表1_86121822242672112[[#This Row],[开服天数]])*配置!$B$1</f>
        <v>1000</v>
      </c>
      <c r="F26" s="94">
        <f>表1_86121822242672112[[#This Row],[补偿Coin]]*(表1_86121822242672112[[#This Row],[活跃高战玩家数]]+表1_86121822242672112[[#This Row],[活跃中坚玩家数]])</f>
        <v>12000</v>
      </c>
      <c r="G26" s="94">
        <f>(VLOOKUP(表1_86121822242672112[[#This Row],[目标区服]],$R$113:$S$116,2,FALSE)-表1_86121822242672112[[#This Row],[开服天数]])*配置!$B$2</f>
        <v>10</v>
      </c>
      <c r="H26" s="93" t="s">
        <v>25</v>
      </c>
      <c r="I26" s="93">
        <f>IF(表1_86121822242672112[[#This Row],[原国家]]="魏",0,IF(表1_86121822242672112[[#This Row],[原国家]]="蜀",1,2))</f>
        <v>0</v>
      </c>
      <c r="J26" s="95">
        <v>0</v>
      </c>
      <c r="K26" s="95">
        <v>39</v>
      </c>
      <c r="L26" s="95">
        <v>0</v>
      </c>
      <c r="M26" s="95">
        <v>12</v>
      </c>
      <c r="N26" s="95">
        <v>40975</v>
      </c>
      <c r="O26" s="95">
        <v>789385</v>
      </c>
      <c r="P26" s="326">
        <v>4374123</v>
      </c>
      <c r="Q26" s="137" t="s">
        <v>25</v>
      </c>
      <c r="R26" s="93">
        <f>IF(表1_86121822242672112[[#This Row],[目标国家]]="魏",0,IF(表1_86121822242672112[[#This Row],[目标国家]]="蜀",1,2))</f>
        <v>0</v>
      </c>
      <c r="S26" s="95">
        <v>3254</v>
      </c>
      <c r="T26" s="95">
        <v>0</v>
      </c>
      <c r="U26" s="95">
        <v>107586</v>
      </c>
      <c r="V26" s="95">
        <v>1973</v>
      </c>
      <c r="W26" s="94">
        <v>241756</v>
      </c>
      <c r="X26" s="140" t="str">
        <f>"{"&amp;"'coin':"&amp;表1_86121822242672112[[#This Row],[补偿Coin]]&amp;",'"&amp;配置!$A$2&amp;"':"&amp;表1_86121822242672112[[#This Row],[补偿辎重]]&amp;"},"</f>
        <v>{'coin':1000,'item036':10},</v>
      </c>
      <c r="Y26" s="138" t="str">
        <f>"      '"&amp;表1_86121822242672112[[#This Row],[区服]]&amp;"':{"</f>
        <v>      '5230':{</v>
      </c>
    </row>
    <row r="27" s="354" customFormat="1" ht="14.25" customHeight="1" spans="1:25">
      <c r="A27" s="314">
        <v>5230</v>
      </c>
      <c r="B27" s="91">
        <f>VLOOKUP(表1_86121822242672112[[#This Row],[区服]],$P$113:$Q$148,2,FALSE)</f>
        <v>43</v>
      </c>
      <c r="C27" s="92" t="s">
        <v>251</v>
      </c>
      <c r="D27" s="93" t="str">
        <f>表1_86121822242672112[[#This Row],[目标国家]]</f>
        <v>蜀</v>
      </c>
      <c r="E27" s="94">
        <f>(VLOOKUP(表1_86121822242672112[[#This Row],[目标区服]],$R$113:$S$116,2,FALSE)-表1_86121822242672112[[#This Row],[开服天数]])*配置!$B$1</f>
        <v>1000</v>
      </c>
      <c r="F27" s="95">
        <f>表1_86121822242672112[[#This Row],[补偿Coin]]*(表1_86121822242672112[[#This Row],[活跃高战玩家数]]+表1_86121822242672112[[#This Row],[活跃中坚玩家数]])</f>
        <v>16000</v>
      </c>
      <c r="G27" s="95">
        <f>(VLOOKUP(表1_86121822242672112[[#This Row],[目标区服]],$R$113:$S$116,2,FALSE)-表1_86121822242672112[[#This Row],[开服天数]])*配置!$B$2</f>
        <v>10</v>
      </c>
      <c r="H27" s="93" t="s">
        <v>26</v>
      </c>
      <c r="I27" s="93">
        <f>IF(表1_86121822242672112[[#This Row],[原国家]]="魏",0,IF(表1_86121822242672112[[#This Row],[原国家]]="蜀",1,2))</f>
        <v>1</v>
      </c>
      <c r="J27" s="95">
        <v>1</v>
      </c>
      <c r="K27" s="95">
        <v>64</v>
      </c>
      <c r="L27" s="95">
        <v>1</v>
      </c>
      <c r="M27" s="95">
        <v>15</v>
      </c>
      <c r="N27" s="95">
        <v>65298</v>
      </c>
      <c r="O27" s="95">
        <v>794008</v>
      </c>
      <c r="P27" s="326">
        <v>6849701</v>
      </c>
      <c r="Q27" s="137" t="s">
        <v>26</v>
      </c>
      <c r="R27" s="93">
        <f>IF(表1_86121822242672112[[#This Row],[目标国家]]="魏",0,IF(表1_86121822242672112[[#This Row],[目标国家]]="蜀",1,2))</f>
        <v>1</v>
      </c>
      <c r="S27" s="95">
        <v>9168</v>
      </c>
      <c r="T27" s="95">
        <v>0</v>
      </c>
      <c r="U27" s="95">
        <v>84760</v>
      </c>
      <c r="V27" s="95">
        <v>2862</v>
      </c>
      <c r="W27" s="94">
        <v>240969</v>
      </c>
      <c r="X27" s="140" t="str">
        <f>"{"&amp;"'coin':"&amp;表1_86121822242672112[[#This Row],[补偿Coin]]&amp;",'"&amp;配置!$A$2&amp;"':"&amp;表1_86121822242672112[[#This Row],[补偿辎重]]&amp;"},"</f>
        <v>{'coin':1000,'item036':10},</v>
      </c>
      <c r="Y27" s="138" t="str">
        <f>"            'to_zone':'"&amp;表1_86121822242672112[[#This Row],[目标区服]]&amp;"',
            'reward':"&amp;表1_86121822242672112[[#This Row],[辅助导出]]&amp;"
            'country':["&amp;R26&amp;","&amp;R27&amp;","&amp;R28&amp;"],"</f>
        <v>            'to_zone':'h1_597',
            'reward':{'coin':1000,'item036':10},
            'country':[0,1,0],</v>
      </c>
    </row>
    <row r="28" s="354" customFormat="1" ht="14.25" customHeight="1" spans="1:25">
      <c r="A28" s="314">
        <v>5230</v>
      </c>
      <c r="B28" s="91">
        <f>VLOOKUP(表1_86121822242672112[[#This Row],[区服]],$P$113:$Q$148,2,FALSE)</f>
        <v>43</v>
      </c>
      <c r="C28" s="92" t="s">
        <v>251</v>
      </c>
      <c r="D28" s="93" t="str">
        <f>表1_86121822242672112[[#This Row],[目标国家]]</f>
        <v>魏</v>
      </c>
      <c r="E28" s="94">
        <f>(VLOOKUP(表1_86121822242672112[[#This Row],[目标区服]],$R$113:$S$116,2,FALSE)-表1_86121822242672112[[#This Row],[开服天数]])*配置!$B$1</f>
        <v>1000</v>
      </c>
      <c r="F28" s="95">
        <f>表1_86121822242672112[[#This Row],[补偿Coin]]*(表1_86121822242672112[[#This Row],[活跃高战玩家数]]+表1_86121822242672112[[#This Row],[活跃中坚玩家数]])</f>
        <v>26000</v>
      </c>
      <c r="G28" s="95">
        <f>(VLOOKUP(表1_86121822242672112[[#This Row],[目标区服]],$R$113:$S$116,2,FALSE)-表1_86121822242672112[[#This Row],[开服天数]])*配置!$B$2</f>
        <v>10</v>
      </c>
      <c r="H28" s="93" t="s">
        <v>27</v>
      </c>
      <c r="I28" s="93">
        <f>IF(表1_86121822242672112[[#This Row],[原国家]]="魏",0,IF(表1_86121822242672112[[#This Row],[原国家]]="蜀",1,2))</f>
        <v>2</v>
      </c>
      <c r="J28" s="95">
        <v>8</v>
      </c>
      <c r="K28" s="95">
        <v>292</v>
      </c>
      <c r="L28" s="95">
        <v>8</v>
      </c>
      <c r="M28" s="95">
        <v>18</v>
      </c>
      <c r="N28" s="95">
        <v>151565</v>
      </c>
      <c r="O28" s="95">
        <v>1812487</v>
      </c>
      <c r="P28" s="326">
        <v>17474805</v>
      </c>
      <c r="Q28" s="137" t="s">
        <v>25</v>
      </c>
      <c r="R28" s="93">
        <f>IF(表1_86121822242672112[[#This Row],[目标国家]]="魏",0,IF(表1_86121822242672112[[#This Row],[目标国家]]="蜀",1,2))</f>
        <v>0</v>
      </c>
      <c r="S28" s="95">
        <v>13124</v>
      </c>
      <c r="T28" s="95">
        <v>0</v>
      </c>
      <c r="U28" s="95">
        <v>309108</v>
      </c>
      <c r="V28" s="95">
        <v>8586</v>
      </c>
      <c r="W28" s="94">
        <v>484387</v>
      </c>
      <c r="X28" s="140" t="str">
        <f>"{"&amp;"'coin':"&amp;表1_86121822242672112[[#This Row],[补偿Coin]]&amp;",'"&amp;配置!$A$2&amp;"':"&amp;表1_86121822242672112[[#This Row],[补偿辎重]]&amp;"},"</f>
        <v>{'coin':1000,'item036':10},</v>
      </c>
      <c r="Y28" s="138" t="str">
        <f>"      },"</f>
        <v>      },</v>
      </c>
    </row>
    <row r="29" s="354" customFormat="1" ht="14.25" customHeight="1" spans="1:25">
      <c r="A29" s="150">
        <v>5231</v>
      </c>
      <c r="B29" s="150">
        <f>VLOOKUP(表1_86121822242672112[[#This Row],[区服]],$P$113:$Q$148,2,FALSE)</f>
        <v>43</v>
      </c>
      <c r="C29" s="151" t="s">
        <v>252</v>
      </c>
      <c r="D29" s="256" t="str">
        <f>表1_86121822242672112[[#This Row],[目标国家]]</f>
        <v>吴</v>
      </c>
      <c r="E29" s="153">
        <f>(VLOOKUP(表1_86121822242672112[[#This Row],[目标区服]],$R$113:$S$116,2,FALSE)-表1_86121822242672112[[#This Row],[开服天数]])*配置!$B$1</f>
        <v>1000</v>
      </c>
      <c r="F29" s="153">
        <f>表1_86121822242672112[[#This Row],[补偿Coin]]*(表1_86121822242672112[[#This Row],[活跃高战玩家数]]+表1_86121822242672112[[#This Row],[活跃中坚玩家数]])</f>
        <v>9000</v>
      </c>
      <c r="G29" s="153">
        <f>(VLOOKUP(表1_86121822242672112[[#This Row],[目标区服]],$R$113:$S$116,2,FALSE)-表1_86121822242672112[[#This Row],[开服天数]])*配置!$B$2</f>
        <v>10</v>
      </c>
      <c r="H29" s="152" t="s">
        <v>25</v>
      </c>
      <c r="I29" s="152">
        <f>IF(表1_86121822242672112[[#This Row],[原国家]]="魏",0,IF(表1_86121822242672112[[#This Row],[原国家]]="蜀",1,2))</f>
        <v>0</v>
      </c>
      <c r="J29" s="154">
        <v>0</v>
      </c>
      <c r="K29" s="154">
        <v>15</v>
      </c>
      <c r="L29" s="154">
        <v>1</v>
      </c>
      <c r="M29" s="154">
        <v>8</v>
      </c>
      <c r="N29" s="154">
        <v>24139</v>
      </c>
      <c r="O29" s="154">
        <v>769405</v>
      </c>
      <c r="P29" s="328">
        <v>3238039</v>
      </c>
      <c r="Q29" s="193" t="s">
        <v>27</v>
      </c>
      <c r="R29" s="152">
        <f>IF(表1_86121822242672112[[#This Row],[目标国家]]="魏",0,IF(表1_86121822242672112[[#This Row],[目标国家]]="蜀",1,2))</f>
        <v>2</v>
      </c>
      <c r="S29" s="154">
        <v>1602</v>
      </c>
      <c r="T29" s="154">
        <v>0</v>
      </c>
      <c r="U29" s="154">
        <v>66431</v>
      </c>
      <c r="V29" s="154">
        <v>1445</v>
      </c>
      <c r="W29" s="153">
        <v>303121</v>
      </c>
      <c r="X29" s="196" t="str">
        <f>"{"&amp;"'coin':"&amp;表1_86121822242672112[[#This Row],[补偿Coin]]&amp;",'"&amp;配置!$A$2&amp;"':"&amp;表1_86121822242672112[[#This Row],[补偿辎重]]&amp;"},"</f>
        <v>{'coin':1000,'item036':10},</v>
      </c>
      <c r="Y29" s="194" t="str">
        <f>"      '"&amp;表1_86121822242672112[[#This Row],[区服]]&amp;"':{"</f>
        <v>      '5231':{</v>
      </c>
    </row>
    <row r="30" s="354" customFormat="1" ht="14.25" customHeight="1" spans="1:25">
      <c r="A30" s="257">
        <v>5231</v>
      </c>
      <c r="B30" s="150">
        <f>VLOOKUP(表1_86121822242672112[[#This Row],[区服]],$P$113:$Q$148,2,FALSE)</f>
        <v>43</v>
      </c>
      <c r="C30" s="151" t="s">
        <v>252</v>
      </c>
      <c r="D30" s="152" t="str">
        <f>表1_86121822242672112[[#This Row],[目标国家]]</f>
        <v>魏</v>
      </c>
      <c r="E30" s="153">
        <f>(VLOOKUP(表1_86121822242672112[[#This Row],[目标区服]],$R$113:$S$116,2,FALSE)-表1_86121822242672112[[#This Row],[开服天数]])*配置!$B$1</f>
        <v>1000</v>
      </c>
      <c r="F30" s="154">
        <f>表1_86121822242672112[[#This Row],[补偿Coin]]*(表1_86121822242672112[[#This Row],[活跃高战玩家数]]+表1_86121822242672112[[#This Row],[活跃中坚玩家数]])</f>
        <v>34000</v>
      </c>
      <c r="G30" s="154">
        <f>(VLOOKUP(表1_86121822242672112[[#This Row],[目标区服]],$R$113:$S$116,2,FALSE)-表1_86121822242672112[[#This Row],[开服天数]])*配置!$B$2</f>
        <v>10</v>
      </c>
      <c r="H30" s="152" t="s">
        <v>26</v>
      </c>
      <c r="I30" s="152">
        <f>IF(表1_86121822242672112[[#This Row],[原国家]]="魏",0,IF(表1_86121822242672112[[#This Row],[原国家]]="蜀",1,2))</f>
        <v>1</v>
      </c>
      <c r="J30" s="154">
        <v>9</v>
      </c>
      <c r="K30" s="154">
        <v>368</v>
      </c>
      <c r="L30" s="154">
        <v>8</v>
      </c>
      <c r="M30" s="154">
        <v>26</v>
      </c>
      <c r="N30" s="154">
        <v>205309</v>
      </c>
      <c r="O30" s="154">
        <v>1971939</v>
      </c>
      <c r="P30" s="328">
        <v>26097141</v>
      </c>
      <c r="Q30" s="193" t="s">
        <v>25</v>
      </c>
      <c r="R30" s="152">
        <f>IF(表1_86121822242672112[[#This Row],[目标国家]]="魏",0,IF(表1_86121822242672112[[#This Row],[目标国家]]="蜀",1,2))</f>
        <v>0</v>
      </c>
      <c r="S30" s="154">
        <v>59914</v>
      </c>
      <c r="T30" s="154">
        <v>0</v>
      </c>
      <c r="U30" s="154">
        <v>399775</v>
      </c>
      <c r="V30" s="154">
        <v>12185</v>
      </c>
      <c r="W30" s="153">
        <v>495737</v>
      </c>
      <c r="X30" s="196" t="str">
        <f>"{"&amp;"'coin':"&amp;表1_86121822242672112[[#This Row],[补偿Coin]]&amp;",'"&amp;配置!$A$2&amp;"':"&amp;表1_86121822242672112[[#This Row],[补偿辎重]]&amp;"},"</f>
        <v>{'coin':1000,'item036':10},</v>
      </c>
      <c r="Y30" s="194" t="str">
        <f>"            'to_zone':'"&amp;表1_86121822242672112[[#This Row],[目标区服]]&amp;"',
            'reward':"&amp;表1_86121822242672112[[#This Row],[辅助导出]]&amp;"
            'country':["&amp;R29&amp;","&amp;R30&amp;","&amp;R31&amp;"],"</f>
        <v>            'to_zone':'h1_598',
            'reward':{'coin':1000,'item036':10},
            'country':[2,0,2],</v>
      </c>
    </row>
    <row r="31" s="354" customFormat="1" ht="14.25" customHeight="1" spans="1:25">
      <c r="A31" s="257">
        <v>5231</v>
      </c>
      <c r="B31" s="150">
        <f>VLOOKUP(表1_86121822242672112[[#This Row],[区服]],$P$113:$Q$148,2,FALSE)</f>
        <v>43</v>
      </c>
      <c r="C31" s="151" t="s">
        <v>252</v>
      </c>
      <c r="D31" s="152" t="str">
        <f>表1_86121822242672112[[#This Row],[目标国家]]</f>
        <v>吴</v>
      </c>
      <c r="E31" s="153">
        <f>(VLOOKUP(表1_86121822242672112[[#This Row],[目标区服]],$R$113:$S$116,2,FALSE)-表1_86121822242672112[[#This Row],[开服天数]])*配置!$B$1</f>
        <v>1000</v>
      </c>
      <c r="F31" s="154">
        <f>表1_86121822242672112[[#This Row],[补偿Coin]]*(表1_86121822242672112[[#This Row],[活跃高战玩家数]]+表1_86121822242672112[[#This Row],[活跃中坚玩家数]])</f>
        <v>9000</v>
      </c>
      <c r="G31" s="154">
        <f>(VLOOKUP(表1_86121822242672112[[#This Row],[目标区服]],$R$113:$S$116,2,FALSE)-表1_86121822242672112[[#This Row],[开服天数]])*配置!$B$2</f>
        <v>10</v>
      </c>
      <c r="H31" s="152" t="s">
        <v>27</v>
      </c>
      <c r="I31" s="152">
        <f>IF(表1_86121822242672112[[#This Row],[原国家]]="魏",0,IF(表1_86121822242672112[[#This Row],[原国家]]="蜀",1,2))</f>
        <v>2</v>
      </c>
      <c r="J31" s="154">
        <v>0</v>
      </c>
      <c r="K31" s="154">
        <v>12</v>
      </c>
      <c r="L31" s="154">
        <v>0</v>
      </c>
      <c r="M31" s="154">
        <v>9</v>
      </c>
      <c r="N31" s="154">
        <v>39019</v>
      </c>
      <c r="O31" s="154">
        <v>853311</v>
      </c>
      <c r="P31" s="328">
        <v>4555697</v>
      </c>
      <c r="Q31" s="193" t="s">
        <v>27</v>
      </c>
      <c r="R31" s="152">
        <f>IF(表1_86121822242672112[[#This Row],[目标国家]]="魏",0,IF(表1_86121822242672112[[#This Row],[目标国家]]="蜀",1,2))</f>
        <v>2</v>
      </c>
      <c r="S31" s="154">
        <v>1058</v>
      </c>
      <c r="T31" s="154">
        <v>0</v>
      </c>
      <c r="U31" s="154">
        <v>62979</v>
      </c>
      <c r="V31" s="154">
        <v>1687</v>
      </c>
      <c r="W31" s="153">
        <v>282547</v>
      </c>
      <c r="X31" s="196" t="str">
        <f>"{"&amp;"'coin':"&amp;表1_86121822242672112[[#This Row],[补偿Coin]]&amp;",'"&amp;配置!$A$2&amp;"':"&amp;表1_86121822242672112[[#This Row],[补偿辎重]]&amp;"},"</f>
        <v>{'coin':1000,'item036':10},</v>
      </c>
      <c r="Y31" s="194" t="str">
        <f>"      },"</f>
        <v>      },</v>
      </c>
    </row>
    <row r="32" s="354" customFormat="1" ht="14.25" customHeight="1" spans="1:25">
      <c r="A32" s="150">
        <v>5232</v>
      </c>
      <c r="B32" s="150">
        <f>VLOOKUP(表1_86121822242672112[[#This Row],[区服]],$P$113:$Q$148,2,FALSE)</f>
        <v>42</v>
      </c>
      <c r="C32" s="151" t="s">
        <v>252</v>
      </c>
      <c r="D32" s="256" t="str">
        <f>表1_86121822242672112[[#This Row],[目标国家]]</f>
        <v>吴</v>
      </c>
      <c r="E32" s="153">
        <f>(VLOOKUP(表1_86121822242672112[[#This Row],[目标区服]],$R$113:$S$116,2,FALSE)-表1_86121822242672112[[#This Row],[开服天数]])*配置!$B$1</f>
        <v>1500</v>
      </c>
      <c r="F32" s="153">
        <f>表1_86121822242672112[[#This Row],[补偿Coin]]*(表1_86121822242672112[[#This Row],[活跃高战玩家数]]+表1_86121822242672112[[#This Row],[活跃中坚玩家数]])</f>
        <v>19500</v>
      </c>
      <c r="G32" s="153">
        <f>(VLOOKUP(表1_86121822242672112[[#This Row],[目标区服]],$R$113:$S$116,2,FALSE)-表1_86121822242672112[[#This Row],[开服天数]])*配置!$B$2</f>
        <v>15</v>
      </c>
      <c r="H32" s="152" t="s">
        <v>25</v>
      </c>
      <c r="I32" s="152">
        <f>IF(表1_86121822242672112[[#This Row],[原国家]]="魏",0,IF(表1_86121822242672112[[#This Row],[原国家]]="蜀",1,2))</f>
        <v>0</v>
      </c>
      <c r="J32" s="154">
        <v>0</v>
      </c>
      <c r="K32" s="154">
        <v>26</v>
      </c>
      <c r="L32" s="154">
        <v>1</v>
      </c>
      <c r="M32" s="154">
        <v>12</v>
      </c>
      <c r="N32" s="154">
        <v>50952</v>
      </c>
      <c r="O32" s="154">
        <v>1381329</v>
      </c>
      <c r="P32" s="328">
        <v>7232564</v>
      </c>
      <c r="Q32" s="193" t="s">
        <v>27</v>
      </c>
      <c r="R32" s="152">
        <f>IF(表1_86121822242672112[[#This Row],[目标国家]]="魏",0,IF(表1_86121822242672112[[#This Row],[目标国家]]="蜀",1,2))</f>
        <v>2</v>
      </c>
      <c r="S32" s="154">
        <v>13544</v>
      </c>
      <c r="T32" s="154">
        <v>0</v>
      </c>
      <c r="U32" s="154">
        <v>105493</v>
      </c>
      <c r="V32" s="154">
        <v>3078</v>
      </c>
      <c r="W32" s="153">
        <v>378630</v>
      </c>
      <c r="X32" s="196" t="str">
        <f>"{"&amp;"'coin':"&amp;表1_86121822242672112[[#This Row],[补偿Coin]]&amp;",'"&amp;配置!$A$2&amp;"':"&amp;表1_86121822242672112[[#This Row],[补偿辎重]]&amp;"},"</f>
        <v>{'coin':1500,'item036':15},</v>
      </c>
      <c r="Y32" s="194" t="str">
        <f>"      '"&amp;表1_86121822242672112[[#This Row],[区服]]&amp;"':{"</f>
        <v>      '5232':{</v>
      </c>
    </row>
    <row r="33" s="354" customFormat="1" ht="14.25" customHeight="1" spans="1:25">
      <c r="A33" s="257">
        <v>5232</v>
      </c>
      <c r="B33" s="150">
        <f>VLOOKUP(表1_86121822242672112[[#This Row],[区服]],$P$113:$Q$148,2,FALSE)</f>
        <v>42</v>
      </c>
      <c r="C33" s="151" t="s">
        <v>252</v>
      </c>
      <c r="D33" s="152" t="str">
        <f>表1_86121822242672112[[#This Row],[目标国家]]</f>
        <v>蜀</v>
      </c>
      <c r="E33" s="153">
        <f>(VLOOKUP(表1_86121822242672112[[#This Row],[目标区服]],$R$113:$S$116,2,FALSE)-表1_86121822242672112[[#This Row],[开服天数]])*配置!$B$1</f>
        <v>1500</v>
      </c>
      <c r="F33" s="154">
        <f>表1_86121822242672112[[#This Row],[补偿Coin]]*(表1_86121822242672112[[#This Row],[活跃高战玩家数]]+表1_86121822242672112[[#This Row],[活跃中坚玩家数]])</f>
        <v>54000</v>
      </c>
      <c r="G33" s="154">
        <f>(VLOOKUP(表1_86121822242672112[[#This Row],[目标区服]],$R$113:$S$116,2,FALSE)-表1_86121822242672112[[#This Row],[开服天数]])*配置!$B$2</f>
        <v>15</v>
      </c>
      <c r="H33" s="152" t="s">
        <v>26</v>
      </c>
      <c r="I33" s="152">
        <f>IF(表1_86121822242672112[[#This Row],[原国家]]="魏",0,IF(表1_86121822242672112[[#This Row],[原国家]]="蜀",1,2))</f>
        <v>1</v>
      </c>
      <c r="J33" s="154">
        <v>9</v>
      </c>
      <c r="K33" s="154">
        <v>338</v>
      </c>
      <c r="L33" s="154">
        <v>8</v>
      </c>
      <c r="M33" s="154">
        <v>28</v>
      </c>
      <c r="N33" s="154">
        <v>185127</v>
      </c>
      <c r="O33" s="154">
        <v>2558914</v>
      </c>
      <c r="P33" s="328">
        <v>29251883</v>
      </c>
      <c r="Q33" s="193" t="s">
        <v>26</v>
      </c>
      <c r="R33" s="152">
        <f>IF(表1_86121822242672112[[#This Row],[目标国家]]="魏",0,IF(表1_86121822242672112[[#This Row],[目标国家]]="蜀",1,2))</f>
        <v>1</v>
      </c>
      <c r="S33" s="154">
        <v>105250</v>
      </c>
      <c r="T33" s="154">
        <v>0</v>
      </c>
      <c r="U33" s="154">
        <v>911899</v>
      </c>
      <c r="V33" s="154">
        <v>14303</v>
      </c>
      <c r="W33" s="364">
        <v>757222</v>
      </c>
      <c r="X33" s="196" t="str">
        <f>"{"&amp;"'coin':"&amp;表1_86121822242672112[[#This Row],[补偿Coin]]&amp;",'"&amp;配置!$A$2&amp;"':"&amp;表1_86121822242672112[[#This Row],[补偿辎重]]&amp;"},"</f>
        <v>{'coin':1500,'item036':15},</v>
      </c>
      <c r="Y33" s="194" t="str">
        <f>"            'to_zone':'"&amp;表1_86121822242672112[[#This Row],[目标区服]]&amp;"',
            'reward':"&amp;表1_86121822242672112[[#This Row],[辅助导出]]&amp;"
            'country':["&amp;R32&amp;","&amp;R33&amp;","&amp;R34&amp;"],"</f>
        <v>            'to_zone':'h1_598',
            'reward':{'coin':1500,'item036':15},
            'country':[2,1,2],</v>
      </c>
    </row>
    <row r="34" s="354" customFormat="1" ht="14.25" customHeight="1" spans="1:25">
      <c r="A34" s="257">
        <v>5232</v>
      </c>
      <c r="B34" s="150">
        <f>VLOOKUP(表1_86121822242672112[[#This Row],[区服]],$P$113:$Q$148,2,FALSE)</f>
        <v>42</v>
      </c>
      <c r="C34" s="151" t="s">
        <v>252</v>
      </c>
      <c r="D34" s="152" t="str">
        <f>表1_86121822242672112[[#This Row],[目标国家]]</f>
        <v>吴</v>
      </c>
      <c r="E34" s="153">
        <f>(VLOOKUP(表1_86121822242672112[[#This Row],[目标区服]],$R$113:$S$116,2,FALSE)-表1_86121822242672112[[#This Row],[开服天数]])*配置!$B$1</f>
        <v>1500</v>
      </c>
      <c r="F34" s="154">
        <f>表1_86121822242672112[[#This Row],[补偿Coin]]*(表1_86121822242672112[[#This Row],[活跃高战玩家数]]+表1_86121822242672112[[#This Row],[活跃中坚玩家数]])</f>
        <v>25500</v>
      </c>
      <c r="G34" s="154">
        <f>(VLOOKUP(表1_86121822242672112[[#This Row],[目标区服]],$R$113:$S$116,2,FALSE)-表1_86121822242672112[[#This Row],[开服天数]])*配置!$B$2</f>
        <v>15</v>
      </c>
      <c r="H34" s="152" t="s">
        <v>27</v>
      </c>
      <c r="I34" s="152">
        <f>IF(表1_86121822242672112[[#This Row],[原国家]]="魏",0,IF(表1_86121822242672112[[#This Row],[原国家]]="蜀",1,2))</f>
        <v>2</v>
      </c>
      <c r="J34" s="154">
        <v>0</v>
      </c>
      <c r="K34" s="154">
        <v>31</v>
      </c>
      <c r="L34" s="154">
        <v>1</v>
      </c>
      <c r="M34" s="154">
        <v>16</v>
      </c>
      <c r="N34" s="154">
        <v>54665</v>
      </c>
      <c r="O34" s="154">
        <v>1125619</v>
      </c>
      <c r="P34" s="328">
        <v>8434853</v>
      </c>
      <c r="Q34" s="193" t="s">
        <v>27</v>
      </c>
      <c r="R34" s="152">
        <f>IF(表1_86121822242672112[[#This Row],[目标国家]]="魏",0,IF(表1_86121822242672112[[#This Row],[目标国家]]="蜀",1,2))</f>
        <v>2</v>
      </c>
      <c r="S34" s="154">
        <v>18284</v>
      </c>
      <c r="T34" s="154">
        <v>0</v>
      </c>
      <c r="U34" s="154">
        <v>126731</v>
      </c>
      <c r="V34" s="154">
        <v>3164</v>
      </c>
      <c r="W34" s="153">
        <v>341175</v>
      </c>
      <c r="X34" s="196" t="str">
        <f>"{"&amp;"'coin':"&amp;表1_86121822242672112[[#This Row],[补偿Coin]]&amp;",'"&amp;配置!$A$2&amp;"':"&amp;表1_86121822242672112[[#This Row],[补偿辎重]]&amp;"},"</f>
        <v>{'coin':1500,'item036':15},</v>
      </c>
      <c r="Y34" s="194" t="str">
        <f>"      },"</f>
        <v>      },</v>
      </c>
    </row>
    <row r="35" s="354" customFormat="1" ht="14.25" customHeight="1" spans="1:25">
      <c r="A35" s="150">
        <v>5233</v>
      </c>
      <c r="B35" s="150">
        <f>VLOOKUP(表1_86121822242672112[[#This Row],[区服]],$P$113:$Q$148,2,FALSE)</f>
        <v>42</v>
      </c>
      <c r="C35" s="151" t="s">
        <v>252</v>
      </c>
      <c r="D35" s="256" t="str">
        <f>表1_86121822242672112[[#This Row],[目标国家]]</f>
        <v>吴</v>
      </c>
      <c r="E35" s="153">
        <f>(VLOOKUP(表1_86121822242672112[[#This Row],[目标区服]],$R$113:$S$116,2,FALSE)-表1_86121822242672112[[#This Row],[开服天数]])*配置!$B$1</f>
        <v>1500</v>
      </c>
      <c r="F35" s="153">
        <f>表1_86121822242672112[[#This Row],[补偿Coin]]*(表1_86121822242672112[[#This Row],[活跃高战玩家数]]+表1_86121822242672112[[#This Row],[活跃中坚玩家数]])</f>
        <v>43500</v>
      </c>
      <c r="G35" s="153">
        <f>(VLOOKUP(表1_86121822242672112[[#This Row],[目标区服]],$R$113:$S$116,2,FALSE)-表1_86121822242672112[[#This Row],[开服天数]])*配置!$B$2</f>
        <v>15</v>
      </c>
      <c r="H35" s="152" t="s">
        <v>25</v>
      </c>
      <c r="I35" s="152">
        <f>IF(表1_86121822242672112[[#This Row],[原国家]]="魏",0,IF(表1_86121822242672112[[#This Row],[原国家]]="蜀",1,2))</f>
        <v>0</v>
      </c>
      <c r="J35" s="154">
        <v>3</v>
      </c>
      <c r="K35" s="154">
        <v>148</v>
      </c>
      <c r="L35" s="154">
        <v>3</v>
      </c>
      <c r="M35" s="154">
        <v>26</v>
      </c>
      <c r="N35" s="154">
        <v>122433</v>
      </c>
      <c r="O35" s="154">
        <v>2611759</v>
      </c>
      <c r="P35" s="328">
        <v>22590328</v>
      </c>
      <c r="Q35" s="193" t="s">
        <v>27</v>
      </c>
      <c r="R35" s="152">
        <f>IF(表1_86121822242672112[[#This Row],[目标国家]]="魏",0,IF(表1_86121822242672112[[#This Row],[目标国家]]="蜀",1,2))</f>
        <v>2</v>
      </c>
      <c r="S35" s="154">
        <v>76320</v>
      </c>
      <c r="T35" s="154">
        <v>0</v>
      </c>
      <c r="U35" s="154">
        <v>642363</v>
      </c>
      <c r="V35" s="154">
        <v>9873</v>
      </c>
      <c r="W35" s="364">
        <v>858771</v>
      </c>
      <c r="X35" s="196" t="str">
        <f>"{"&amp;"'coin':"&amp;表1_86121822242672112[[#This Row],[补偿Coin]]&amp;",'"&amp;配置!$A$2&amp;"':"&amp;表1_86121822242672112[[#This Row],[补偿辎重]]&amp;"},"</f>
        <v>{'coin':1500,'item036':15},</v>
      </c>
      <c r="Y35" s="194" t="str">
        <f>"      '"&amp;表1_86121822242672112[[#This Row],[区服]]&amp;"':{"</f>
        <v>      '5233':{</v>
      </c>
    </row>
    <row r="36" s="354" customFormat="1" ht="14.25" customHeight="1" spans="1:25">
      <c r="A36" s="257">
        <v>5233</v>
      </c>
      <c r="B36" s="150">
        <f>VLOOKUP(表1_86121822242672112[[#This Row],[区服]],$P$113:$Q$148,2,FALSE)</f>
        <v>42</v>
      </c>
      <c r="C36" s="151" t="s">
        <v>252</v>
      </c>
      <c r="D36" s="152" t="str">
        <f>表1_86121822242672112[[#This Row],[目标国家]]</f>
        <v>魏</v>
      </c>
      <c r="E36" s="153">
        <f>(VLOOKUP(表1_86121822242672112[[#This Row],[目标区服]],$R$113:$S$116,2,FALSE)-表1_86121822242672112[[#This Row],[开服天数]])*配置!$B$1</f>
        <v>1500</v>
      </c>
      <c r="F36" s="154">
        <f>表1_86121822242672112[[#This Row],[补偿Coin]]*(表1_86121822242672112[[#This Row],[活跃高战玩家数]]+表1_86121822242672112[[#This Row],[活跃中坚玩家数]])</f>
        <v>37500</v>
      </c>
      <c r="G36" s="154">
        <f>(VLOOKUP(表1_86121822242672112[[#This Row],[目标区服]],$R$113:$S$116,2,FALSE)-表1_86121822242672112[[#This Row],[开服天数]])*配置!$B$2</f>
        <v>15</v>
      </c>
      <c r="H36" s="152" t="s">
        <v>26</v>
      </c>
      <c r="I36" s="152">
        <f>IF(表1_86121822242672112[[#This Row],[原国家]]="魏",0,IF(表1_86121822242672112[[#This Row],[原国家]]="蜀",1,2))</f>
        <v>1</v>
      </c>
      <c r="J36" s="154">
        <v>3</v>
      </c>
      <c r="K36" s="154">
        <v>122</v>
      </c>
      <c r="L36" s="154">
        <v>5</v>
      </c>
      <c r="M36" s="154">
        <v>20</v>
      </c>
      <c r="N36" s="154">
        <v>97045</v>
      </c>
      <c r="O36" s="154">
        <v>2720458</v>
      </c>
      <c r="P36" s="328">
        <v>19469755</v>
      </c>
      <c r="Q36" s="193" t="s">
        <v>25</v>
      </c>
      <c r="R36" s="152">
        <f>IF(表1_86121822242672112[[#This Row],[目标国家]]="魏",0,IF(表1_86121822242672112[[#This Row],[目标国家]]="蜀",1,2))</f>
        <v>0</v>
      </c>
      <c r="S36" s="154">
        <v>79004</v>
      </c>
      <c r="T36" s="154">
        <v>0</v>
      </c>
      <c r="U36" s="154">
        <v>374054</v>
      </c>
      <c r="V36" s="154">
        <v>9229</v>
      </c>
      <c r="W36" s="364">
        <v>849277</v>
      </c>
      <c r="X36" s="196" t="str">
        <f>"{"&amp;"'coin':"&amp;表1_86121822242672112[[#This Row],[补偿Coin]]&amp;",'"&amp;配置!$A$2&amp;"':"&amp;表1_86121822242672112[[#This Row],[补偿辎重]]&amp;"},"</f>
        <v>{'coin':1500,'item036':15},</v>
      </c>
      <c r="Y36" s="194" t="str">
        <f>"            'to_zone':'"&amp;表1_86121822242672112[[#This Row],[目标区服]]&amp;"',
            'reward':"&amp;表1_86121822242672112[[#This Row],[辅助导出]]&amp;"
            'country':["&amp;R35&amp;","&amp;R36&amp;","&amp;R37&amp;"],"</f>
        <v>            'to_zone':'h1_598',
            'reward':{'coin':1500,'item036':15},
            'country':[2,0,1],</v>
      </c>
    </row>
    <row r="37" s="354" customFormat="1" ht="14.25" customHeight="1" spans="1:25">
      <c r="A37" s="257">
        <v>5233</v>
      </c>
      <c r="B37" s="150">
        <f>VLOOKUP(表1_86121822242672112[[#This Row],[区服]],$P$113:$Q$148,2,FALSE)</f>
        <v>42</v>
      </c>
      <c r="C37" s="151" t="s">
        <v>252</v>
      </c>
      <c r="D37" s="152" t="str">
        <f>表1_86121822242672112[[#This Row],[目标国家]]</f>
        <v>蜀</v>
      </c>
      <c r="E37" s="153">
        <f>(VLOOKUP(表1_86121822242672112[[#This Row],[目标区服]],$R$113:$S$116,2,FALSE)-表1_86121822242672112[[#This Row],[开服天数]])*配置!$B$1</f>
        <v>1500</v>
      </c>
      <c r="F37" s="154">
        <f>表1_86121822242672112[[#This Row],[补偿Coin]]*(表1_86121822242672112[[#This Row],[活跃高战玩家数]]+表1_86121822242672112[[#This Row],[活跃中坚玩家数]])</f>
        <v>43500</v>
      </c>
      <c r="G37" s="154">
        <f>(VLOOKUP(表1_86121822242672112[[#This Row],[目标区服]],$R$113:$S$116,2,FALSE)-表1_86121822242672112[[#This Row],[开服天数]])*配置!$B$2</f>
        <v>15</v>
      </c>
      <c r="H37" s="152" t="s">
        <v>27</v>
      </c>
      <c r="I37" s="152">
        <f>IF(表1_86121822242672112[[#This Row],[原国家]]="魏",0,IF(表1_86121822242672112[[#This Row],[原国家]]="蜀",1,2))</f>
        <v>2</v>
      </c>
      <c r="J37" s="154">
        <v>3</v>
      </c>
      <c r="K37" s="154">
        <v>125</v>
      </c>
      <c r="L37" s="154">
        <v>2</v>
      </c>
      <c r="M37" s="154">
        <v>27</v>
      </c>
      <c r="N37" s="154">
        <v>98802</v>
      </c>
      <c r="O37" s="154">
        <v>2285053</v>
      </c>
      <c r="P37" s="328">
        <v>18926123</v>
      </c>
      <c r="Q37" s="193" t="s">
        <v>26</v>
      </c>
      <c r="R37" s="152">
        <f>IF(表1_86121822242672112[[#This Row],[目标国家]]="魏",0,IF(表1_86121822242672112[[#This Row],[目标国家]]="蜀",1,2))</f>
        <v>1</v>
      </c>
      <c r="S37" s="154">
        <v>26900</v>
      </c>
      <c r="T37" s="154">
        <v>0</v>
      </c>
      <c r="U37" s="154">
        <v>120082</v>
      </c>
      <c r="V37" s="154">
        <v>7088</v>
      </c>
      <c r="W37" s="153">
        <v>683508</v>
      </c>
      <c r="X37" s="196" t="str">
        <f>"{"&amp;"'coin':"&amp;表1_86121822242672112[[#This Row],[补偿Coin]]&amp;",'"&amp;配置!$A$2&amp;"':"&amp;表1_86121822242672112[[#This Row],[补偿辎重]]&amp;"},"</f>
        <v>{'coin':1500,'item036':15},</v>
      </c>
      <c r="Y37" s="194" t="str">
        <f>"      },"</f>
        <v>      },</v>
      </c>
    </row>
    <row r="38" s="354" customFormat="1" ht="14.25" customHeight="1" spans="1:25">
      <c r="A38" s="81">
        <v>5234</v>
      </c>
      <c r="B38" s="81">
        <f>VLOOKUP(表1_86121822242672112[[#This Row],[区服]],$P$113:$Q$148,2,FALSE)</f>
        <v>42</v>
      </c>
      <c r="C38" s="82" t="s">
        <v>253</v>
      </c>
      <c r="D38" s="369" t="str">
        <f>表1_86121822242672112[[#This Row],[目标国家]]</f>
        <v>魏</v>
      </c>
      <c r="E38" s="84">
        <f>(VLOOKUP(表1_86121822242672112[[#This Row],[目标区服]],$R$113:$S$124,2,FALSE)-表1_86121822242672112[[#This Row],[开服天数]])*配置!$B$1</f>
        <v>1000</v>
      </c>
      <c r="F38" s="84">
        <f>表1_86121822242672112[[#This Row],[补偿Coin]]*(表1_86121822242672112[[#This Row],[活跃高战玩家数]]+表1_86121822242672112[[#This Row],[活跃中坚玩家数]])</f>
        <v>21000</v>
      </c>
      <c r="G38" s="84">
        <f>(VLOOKUP(表1_86121822242672112[[#This Row],[目标区服]],$R$113:$S$124,2,FALSE)-表1_86121822242672112[[#This Row],[开服天数]])*配置!$B$2</f>
        <v>10</v>
      </c>
      <c r="H38" s="83" t="s">
        <v>25</v>
      </c>
      <c r="I38" s="83">
        <f>IF(表1_86121822242672112[[#This Row],[原国家]]="魏",0,IF(表1_86121822242672112[[#This Row],[原国家]]="蜀",1,2))</f>
        <v>0</v>
      </c>
      <c r="J38" s="85">
        <v>0</v>
      </c>
      <c r="K38" s="85">
        <v>59</v>
      </c>
      <c r="L38" s="85">
        <v>2</v>
      </c>
      <c r="M38" s="85">
        <v>19</v>
      </c>
      <c r="N38" s="85">
        <v>89794</v>
      </c>
      <c r="O38" s="85">
        <v>1097351</v>
      </c>
      <c r="P38" s="379">
        <v>9798404</v>
      </c>
      <c r="Q38" s="128" t="s">
        <v>25</v>
      </c>
      <c r="R38" s="83">
        <f>IF(表1_86121822242672112[[#This Row],[目标国家]]="魏",0,IF(表1_86121822242672112[[#This Row],[目标国家]]="蜀",1,2))</f>
        <v>0</v>
      </c>
      <c r="S38" s="85">
        <v>10970</v>
      </c>
      <c r="T38" s="85">
        <v>0</v>
      </c>
      <c r="U38" s="85">
        <v>137219</v>
      </c>
      <c r="V38" s="85">
        <v>3513</v>
      </c>
      <c r="W38" s="84">
        <v>328459</v>
      </c>
      <c r="X38" s="129" t="str">
        <f>"{"&amp;"'coin':"&amp;表1_86121822242672112[[#This Row],[补偿Coin]]&amp;",'"&amp;配置!$A$2&amp;"':"&amp;表1_86121822242672112[[#This Row],[补偿辎重]]&amp;"},"</f>
        <v>{'coin':1000,'item036':10},</v>
      </c>
      <c r="Y38" s="149" t="str">
        <f>"      '"&amp;表1_86121822242672112[[#This Row],[区服]]&amp;"':{"</f>
        <v>      '5234':{</v>
      </c>
    </row>
    <row r="39" s="354" customFormat="1" ht="14.25" customHeight="1" spans="1:25">
      <c r="A39" s="370">
        <v>5234</v>
      </c>
      <c r="B39" s="81">
        <f>VLOOKUP(表1_86121822242672112[[#This Row],[区服]],$P$113:$Q$148,2,FALSE)</f>
        <v>42</v>
      </c>
      <c r="C39" s="82" t="s">
        <v>253</v>
      </c>
      <c r="D39" s="83" t="str">
        <f>表1_86121822242672112[[#This Row],[目标国家]]</f>
        <v>吴</v>
      </c>
      <c r="E39" s="84">
        <f>(VLOOKUP(表1_86121822242672112[[#This Row],[目标区服]],$R$113:$S$124,2,FALSE)-表1_86121822242672112[[#This Row],[开服天数]])*配置!$B$1</f>
        <v>1000</v>
      </c>
      <c r="F39" s="85">
        <f>表1_86121822242672112[[#This Row],[补偿Coin]]*(表1_86121822242672112[[#This Row],[活跃高战玩家数]]+表1_86121822242672112[[#This Row],[活跃中坚玩家数]])</f>
        <v>27000</v>
      </c>
      <c r="G39" s="84">
        <f>(VLOOKUP(表1_86121822242672112[[#This Row],[目标区服]],$R$113:$S$124,2,FALSE)-表1_86121822242672112[[#This Row],[开服天数]])*配置!$B$2</f>
        <v>10</v>
      </c>
      <c r="H39" s="83" t="s">
        <v>26</v>
      </c>
      <c r="I39" s="83">
        <f>IF(表1_86121822242672112[[#This Row],[原国家]]="魏",0,IF(表1_86121822242672112[[#This Row],[原国家]]="蜀",1,2))</f>
        <v>1</v>
      </c>
      <c r="J39" s="85">
        <v>9</v>
      </c>
      <c r="K39" s="85">
        <v>303</v>
      </c>
      <c r="L39" s="85">
        <v>6</v>
      </c>
      <c r="M39" s="85">
        <v>21</v>
      </c>
      <c r="N39" s="85">
        <v>135217</v>
      </c>
      <c r="O39" s="85">
        <v>1668332</v>
      </c>
      <c r="P39" s="379">
        <v>17368024</v>
      </c>
      <c r="Q39" s="128" t="s">
        <v>27</v>
      </c>
      <c r="R39" s="83">
        <f>IF(表1_86121822242672112[[#This Row],[目标国家]]="魏",0,IF(表1_86121822242672112[[#This Row],[目标国家]]="蜀",1,2))</f>
        <v>2</v>
      </c>
      <c r="S39" s="85">
        <v>54113</v>
      </c>
      <c r="T39" s="85">
        <v>0</v>
      </c>
      <c r="U39" s="85">
        <v>153277</v>
      </c>
      <c r="V39" s="85">
        <v>9711</v>
      </c>
      <c r="W39" s="84">
        <v>443272</v>
      </c>
      <c r="X39" s="129" t="str">
        <f>"{"&amp;"'coin':"&amp;表1_86121822242672112[[#This Row],[补偿Coin]]&amp;",'"&amp;配置!$A$2&amp;"':"&amp;表1_86121822242672112[[#This Row],[补偿辎重]]&amp;"},"</f>
        <v>{'coin':1000,'item036':10},</v>
      </c>
      <c r="Y39" s="149" t="str">
        <f>"            'to_zone':'"&amp;表1_86121822242672112[[#This Row],[目标区服]]&amp;"',
            'reward':"&amp;表1_86121822242672112[[#This Row],[辅助导出]]&amp;"
            'country':["&amp;R38&amp;","&amp;R39&amp;","&amp;R40&amp;"],"</f>
        <v>            'to_zone':'h1_599',
            'reward':{'coin':1000,'item036':10},
            'country':[0,2,2],</v>
      </c>
    </row>
    <row r="40" s="354" customFormat="1" ht="14.25" customHeight="1" spans="1:25">
      <c r="A40" s="370">
        <v>5234</v>
      </c>
      <c r="B40" s="81">
        <f>VLOOKUP(表1_86121822242672112[[#This Row],[区服]],$P$113:$Q$148,2,FALSE)</f>
        <v>42</v>
      </c>
      <c r="C40" s="82" t="s">
        <v>253</v>
      </c>
      <c r="D40" s="83" t="str">
        <f>表1_86121822242672112[[#This Row],[目标国家]]</f>
        <v>吴</v>
      </c>
      <c r="E40" s="84">
        <f>(VLOOKUP(表1_86121822242672112[[#This Row],[目标区服]],$R$113:$S$124,2,FALSE)-表1_86121822242672112[[#This Row],[开服天数]])*配置!$B$1</f>
        <v>1000</v>
      </c>
      <c r="F40" s="85">
        <f>表1_86121822242672112[[#This Row],[补偿Coin]]*(表1_86121822242672112[[#This Row],[活跃高战玩家数]]+表1_86121822242672112[[#This Row],[活跃中坚玩家数]])</f>
        <v>14000</v>
      </c>
      <c r="G40" s="84">
        <f>(VLOOKUP(表1_86121822242672112[[#This Row],[目标区服]],$R$113:$S$124,2,FALSE)-表1_86121822242672112[[#This Row],[开服天数]])*配置!$B$2</f>
        <v>10</v>
      </c>
      <c r="H40" s="83" t="s">
        <v>27</v>
      </c>
      <c r="I40" s="83">
        <f>IF(表1_86121822242672112[[#This Row],[原国家]]="魏",0,IF(表1_86121822242672112[[#This Row],[原国家]]="蜀",1,2))</f>
        <v>2</v>
      </c>
      <c r="J40" s="85">
        <v>0</v>
      </c>
      <c r="K40" s="85">
        <v>33</v>
      </c>
      <c r="L40" s="85">
        <v>1</v>
      </c>
      <c r="M40" s="85">
        <v>13</v>
      </c>
      <c r="N40" s="85">
        <v>55139</v>
      </c>
      <c r="O40" s="85">
        <v>988922</v>
      </c>
      <c r="P40" s="379">
        <v>6407969</v>
      </c>
      <c r="Q40" s="128" t="s">
        <v>27</v>
      </c>
      <c r="R40" s="83">
        <f>IF(表1_86121822242672112[[#This Row],[目标国家]]="魏",0,IF(表1_86121822242672112[[#This Row],[目标国家]]="蜀",1,2))</f>
        <v>2</v>
      </c>
      <c r="S40" s="85">
        <v>10724</v>
      </c>
      <c r="T40" s="85">
        <v>0</v>
      </c>
      <c r="U40" s="85">
        <v>98826</v>
      </c>
      <c r="V40" s="85">
        <v>2606</v>
      </c>
      <c r="W40" s="84">
        <v>275106</v>
      </c>
      <c r="X40" s="129" t="str">
        <f>"{"&amp;"'coin':"&amp;表1_86121822242672112[[#This Row],[补偿Coin]]&amp;",'"&amp;配置!$A$2&amp;"':"&amp;表1_86121822242672112[[#This Row],[补偿辎重]]&amp;"},"</f>
        <v>{'coin':1000,'item036':10},</v>
      </c>
      <c r="Y40" s="149" t="str">
        <f>"      },"</f>
        <v>      },</v>
      </c>
    </row>
    <row r="41" s="354" customFormat="1" ht="14.25" customHeight="1" spans="1:25">
      <c r="A41" s="81">
        <v>5235</v>
      </c>
      <c r="B41" s="81">
        <f>VLOOKUP(表1_86121822242672112[[#This Row],[区服]],$P$113:$Q$148,2,FALSE)</f>
        <v>42</v>
      </c>
      <c r="C41" s="82" t="s">
        <v>253</v>
      </c>
      <c r="D41" s="369" t="str">
        <f>表1_86121822242672112[[#This Row],[目标国家]]</f>
        <v>魏</v>
      </c>
      <c r="E41" s="84">
        <f>(VLOOKUP(表1_86121822242672112[[#This Row],[目标区服]],$R$113:$S$124,2,FALSE)-表1_86121822242672112[[#This Row],[开服天数]])*配置!$B$1</f>
        <v>1000</v>
      </c>
      <c r="F41" s="84">
        <f>表1_86121822242672112[[#This Row],[补偿Coin]]*(表1_86121822242672112[[#This Row],[活跃高战玩家数]]+表1_86121822242672112[[#This Row],[活跃中坚玩家数]])</f>
        <v>19000</v>
      </c>
      <c r="G41" s="84">
        <f>(VLOOKUP(表1_86121822242672112[[#This Row],[目标区服]],$R$113:$S$124,2,FALSE)-表1_86121822242672112[[#This Row],[开服天数]])*配置!$B$2</f>
        <v>10</v>
      </c>
      <c r="H41" s="83" t="s">
        <v>25</v>
      </c>
      <c r="I41" s="83">
        <f>IF(表1_86121822242672112[[#This Row],[原国家]]="魏",0,IF(表1_86121822242672112[[#This Row],[原国家]]="蜀",1,2))</f>
        <v>0</v>
      </c>
      <c r="J41" s="85">
        <v>1</v>
      </c>
      <c r="K41" s="85">
        <v>97</v>
      </c>
      <c r="L41" s="85">
        <v>4</v>
      </c>
      <c r="M41" s="85">
        <v>15</v>
      </c>
      <c r="N41" s="85">
        <v>87656</v>
      </c>
      <c r="O41" s="85">
        <v>2251313</v>
      </c>
      <c r="P41" s="379">
        <v>14323722</v>
      </c>
      <c r="Q41" s="128" t="s">
        <v>25</v>
      </c>
      <c r="R41" s="83">
        <f>IF(表1_86121822242672112[[#This Row],[目标国家]]="魏",0,IF(表1_86121822242672112[[#This Row],[目标国家]]="蜀",1,2))</f>
        <v>0</v>
      </c>
      <c r="S41" s="85">
        <v>54472</v>
      </c>
      <c r="T41" s="85">
        <v>0</v>
      </c>
      <c r="U41" s="85">
        <v>108758</v>
      </c>
      <c r="V41" s="85">
        <v>6880</v>
      </c>
      <c r="W41" s="385">
        <v>643499</v>
      </c>
      <c r="X41" s="129" t="str">
        <f>"{"&amp;"'coin':"&amp;表1_86121822242672112[[#This Row],[补偿Coin]]&amp;",'"&amp;配置!$A$2&amp;"':"&amp;表1_86121822242672112[[#This Row],[补偿辎重]]&amp;"},"</f>
        <v>{'coin':1000,'item036':10},</v>
      </c>
      <c r="Y41" s="149" t="str">
        <f>"      '"&amp;表1_86121822242672112[[#This Row],[区服]]&amp;"':{"</f>
        <v>      '5235':{</v>
      </c>
    </row>
    <row r="42" s="354" customFormat="1" ht="14.25" customHeight="1" spans="1:25">
      <c r="A42" s="370">
        <v>5235</v>
      </c>
      <c r="B42" s="81">
        <f>VLOOKUP(表1_86121822242672112[[#This Row],[区服]],$P$113:$Q$148,2,FALSE)</f>
        <v>42</v>
      </c>
      <c r="C42" s="82" t="s">
        <v>253</v>
      </c>
      <c r="D42" s="83" t="str">
        <f>表1_86121822242672112[[#This Row],[目标国家]]</f>
        <v>蜀</v>
      </c>
      <c r="E42" s="84">
        <f>(VLOOKUP(表1_86121822242672112[[#This Row],[目标区服]],$R$113:$S$124,2,FALSE)-表1_86121822242672112[[#This Row],[开服天数]])*配置!$B$1</f>
        <v>1000</v>
      </c>
      <c r="F42" s="85">
        <f>表1_86121822242672112[[#This Row],[补偿Coin]]*(表1_86121822242672112[[#This Row],[活跃高战玩家数]]+表1_86121822242672112[[#This Row],[活跃中坚玩家数]])</f>
        <v>39000</v>
      </c>
      <c r="G42" s="84">
        <f>(VLOOKUP(表1_86121822242672112[[#This Row],[目标区服]],$R$113:$S$124,2,FALSE)-表1_86121822242672112[[#This Row],[开服天数]])*配置!$B$2</f>
        <v>10</v>
      </c>
      <c r="H42" s="83" t="s">
        <v>26</v>
      </c>
      <c r="I42" s="83">
        <f>IF(表1_86121822242672112[[#This Row],[原国家]]="魏",0,IF(表1_86121822242672112[[#This Row],[原国家]]="蜀",1,2))</f>
        <v>1</v>
      </c>
      <c r="J42" s="85">
        <v>8</v>
      </c>
      <c r="K42" s="85">
        <v>278</v>
      </c>
      <c r="L42" s="85">
        <v>5</v>
      </c>
      <c r="M42" s="85">
        <v>34</v>
      </c>
      <c r="N42" s="85">
        <v>173171</v>
      </c>
      <c r="O42" s="85">
        <v>3389263</v>
      </c>
      <c r="P42" s="379">
        <v>29471048</v>
      </c>
      <c r="Q42" s="128" t="s">
        <v>26</v>
      </c>
      <c r="R42" s="83">
        <f>IF(表1_86121822242672112[[#This Row],[目标国家]]="魏",0,IF(表1_86121822242672112[[#This Row],[目标国家]]="蜀",1,2))</f>
        <v>1</v>
      </c>
      <c r="S42" s="85">
        <v>107346</v>
      </c>
      <c r="T42" s="85">
        <v>0</v>
      </c>
      <c r="U42" s="85">
        <v>610121</v>
      </c>
      <c r="V42" s="85">
        <v>14307</v>
      </c>
      <c r="W42" s="385">
        <v>972172</v>
      </c>
      <c r="X42" s="129" t="str">
        <f>"{"&amp;"'coin':"&amp;表1_86121822242672112[[#This Row],[补偿Coin]]&amp;",'"&amp;配置!$A$2&amp;"':"&amp;表1_86121822242672112[[#This Row],[补偿辎重]]&amp;"},"</f>
        <v>{'coin':1000,'item036':10},</v>
      </c>
      <c r="Y42" s="149" t="str">
        <f>"            'to_zone':'"&amp;表1_86121822242672112[[#This Row],[目标区服]]&amp;"',
            'reward':"&amp;表1_86121822242672112[[#This Row],[辅助导出]]&amp;"
            'country':["&amp;R41&amp;","&amp;R42&amp;","&amp;R43&amp;"],"</f>
        <v>            'to_zone':'h1_599',
            'reward':{'coin':1000,'item036':10},
            'country':[0,1,0],</v>
      </c>
    </row>
    <row r="43" s="354" customFormat="1" ht="14.25" customHeight="1" spans="1:25">
      <c r="A43" s="370">
        <v>5235</v>
      </c>
      <c r="B43" s="81">
        <f>VLOOKUP(表1_86121822242672112[[#This Row],[区服]],$P$113:$Q$148,2,FALSE)</f>
        <v>42</v>
      </c>
      <c r="C43" s="82" t="s">
        <v>253</v>
      </c>
      <c r="D43" s="83" t="str">
        <f>表1_86121822242672112[[#This Row],[目标国家]]</f>
        <v>魏</v>
      </c>
      <c r="E43" s="84">
        <f>(VLOOKUP(表1_86121822242672112[[#This Row],[目标区服]],$R$113:$S$124,2,FALSE)-表1_86121822242672112[[#This Row],[开服天数]])*配置!$B$1</f>
        <v>1000</v>
      </c>
      <c r="F43" s="85">
        <f>表1_86121822242672112[[#This Row],[补偿Coin]]*(表1_86121822242672112[[#This Row],[活跃高战玩家数]]+表1_86121822242672112[[#This Row],[活跃中坚玩家数]])</f>
        <v>12000</v>
      </c>
      <c r="G43" s="84">
        <f>(VLOOKUP(表1_86121822242672112[[#This Row],[目标区服]],$R$113:$S$124,2,FALSE)-表1_86121822242672112[[#This Row],[开服天数]])*配置!$B$2</f>
        <v>10</v>
      </c>
      <c r="H43" s="83" t="s">
        <v>27</v>
      </c>
      <c r="I43" s="83">
        <f>IF(表1_86121822242672112[[#This Row],[原国家]]="魏",0,IF(表1_86121822242672112[[#This Row],[原国家]]="蜀",1,2))</f>
        <v>2</v>
      </c>
      <c r="J43" s="85">
        <v>0</v>
      </c>
      <c r="K43" s="85">
        <v>20</v>
      </c>
      <c r="L43" s="85">
        <v>1</v>
      </c>
      <c r="M43" s="85">
        <v>11</v>
      </c>
      <c r="N43" s="85">
        <v>40483</v>
      </c>
      <c r="O43" s="85">
        <v>1298404</v>
      </c>
      <c r="P43" s="379">
        <v>6514482</v>
      </c>
      <c r="Q43" s="128" t="s">
        <v>25</v>
      </c>
      <c r="R43" s="83">
        <f>IF(表1_86121822242672112[[#This Row],[目标国家]]="魏",0,IF(表1_86121822242672112[[#This Row],[目标国家]]="蜀",1,2))</f>
        <v>0</v>
      </c>
      <c r="S43" s="85">
        <v>12462</v>
      </c>
      <c r="T43" s="85">
        <v>0</v>
      </c>
      <c r="U43" s="85">
        <v>71535</v>
      </c>
      <c r="V43" s="85">
        <v>2761</v>
      </c>
      <c r="W43" s="84">
        <v>456532</v>
      </c>
      <c r="X43" s="129" t="str">
        <f>"{"&amp;"'coin':"&amp;表1_86121822242672112[[#This Row],[补偿Coin]]&amp;",'"&amp;配置!$A$2&amp;"':"&amp;表1_86121822242672112[[#This Row],[补偿辎重]]&amp;"},"</f>
        <v>{'coin':1000,'item036':10},</v>
      </c>
      <c r="Y43" s="149" t="str">
        <f>"      },"</f>
        <v>      },</v>
      </c>
    </row>
    <row r="44" s="354" customFormat="1" ht="14.25" customHeight="1" spans="1:25">
      <c r="A44" s="81">
        <v>5236</v>
      </c>
      <c r="B44" s="81">
        <f>VLOOKUP(表1_86121822242672112[[#This Row],[区服]],$P$113:$Q$148,2,FALSE)</f>
        <v>41</v>
      </c>
      <c r="C44" s="82" t="s">
        <v>253</v>
      </c>
      <c r="D44" s="369" t="str">
        <f>表1_86121822242672112[[#This Row],[目标国家]]</f>
        <v>吴</v>
      </c>
      <c r="E44" s="84">
        <f>(VLOOKUP(表1_86121822242672112[[#This Row],[目标区服]],$R$113:$S$124,2,FALSE)-表1_86121822242672112[[#This Row],[开服天数]])*配置!$B$1</f>
        <v>1500</v>
      </c>
      <c r="F44" s="84">
        <f>表1_86121822242672112[[#This Row],[补偿Coin]]*(表1_86121822242672112[[#This Row],[活跃高战玩家数]]+表1_86121822242672112[[#This Row],[活跃中坚玩家数]])</f>
        <v>48000</v>
      </c>
      <c r="G44" s="84">
        <f>(VLOOKUP(表1_86121822242672112[[#This Row],[目标区服]],$R$113:$S$124,2,FALSE)-表1_86121822242672112[[#This Row],[开服天数]])*配置!$B$2</f>
        <v>15</v>
      </c>
      <c r="H44" s="83" t="s">
        <v>25</v>
      </c>
      <c r="I44" s="83">
        <f>IF(表1_86121822242672112[[#This Row],[原国家]]="魏",0,IF(表1_86121822242672112[[#This Row],[原国家]]="蜀",1,2))</f>
        <v>0</v>
      </c>
      <c r="J44" s="85">
        <v>6</v>
      </c>
      <c r="K44" s="85">
        <v>256</v>
      </c>
      <c r="L44" s="85">
        <v>7</v>
      </c>
      <c r="M44" s="85">
        <v>25</v>
      </c>
      <c r="N44" s="85">
        <v>149591</v>
      </c>
      <c r="O44" s="85">
        <v>2271274</v>
      </c>
      <c r="P44" s="379">
        <v>20318186</v>
      </c>
      <c r="Q44" s="128" t="s">
        <v>27</v>
      </c>
      <c r="R44" s="83">
        <f>IF(表1_86121822242672112[[#This Row],[目标国家]]="魏",0,IF(表1_86121822242672112[[#This Row],[目标国家]]="蜀",1,2))</f>
        <v>2</v>
      </c>
      <c r="S44" s="85">
        <v>24058</v>
      </c>
      <c r="T44" s="85">
        <v>0</v>
      </c>
      <c r="U44" s="85">
        <v>464752</v>
      </c>
      <c r="V44" s="85">
        <v>9165</v>
      </c>
      <c r="W44" s="385">
        <v>601886</v>
      </c>
      <c r="X44" s="129" t="str">
        <f>"{"&amp;"'coin':"&amp;表1_86121822242672112[[#This Row],[补偿Coin]]&amp;",'"&amp;配置!$A$2&amp;"':"&amp;表1_86121822242672112[[#This Row],[补偿辎重]]&amp;"},"</f>
        <v>{'coin':1500,'item036':15},</v>
      </c>
      <c r="Y44" s="149" t="str">
        <f>"      '"&amp;表1_86121822242672112[[#This Row],[区服]]&amp;"':{"</f>
        <v>      '5236':{</v>
      </c>
    </row>
    <row r="45" s="354" customFormat="1" ht="14.25" customHeight="1" spans="1:25">
      <c r="A45" s="370">
        <v>5236</v>
      </c>
      <c r="B45" s="81">
        <f>VLOOKUP(表1_86121822242672112[[#This Row],[区服]],$P$113:$Q$148,2,FALSE)</f>
        <v>41</v>
      </c>
      <c r="C45" s="82" t="s">
        <v>253</v>
      </c>
      <c r="D45" s="83" t="str">
        <f>表1_86121822242672112[[#This Row],[目标国家]]</f>
        <v>蜀</v>
      </c>
      <c r="E45" s="84">
        <f>(VLOOKUP(表1_86121822242672112[[#This Row],[目标区服]],$R$113:$S$124,2,FALSE)-表1_86121822242672112[[#This Row],[开服天数]])*配置!$B$1</f>
        <v>1500</v>
      </c>
      <c r="F45" s="85">
        <f>表1_86121822242672112[[#This Row],[补偿Coin]]*(表1_86121822242672112[[#This Row],[活跃高战玩家数]]+表1_86121822242672112[[#This Row],[活跃中坚玩家数]])</f>
        <v>21000</v>
      </c>
      <c r="G45" s="84">
        <f>(VLOOKUP(表1_86121822242672112[[#This Row],[目标区服]],$R$113:$S$124,2,FALSE)-表1_86121822242672112[[#This Row],[开服天数]])*配置!$B$2</f>
        <v>15</v>
      </c>
      <c r="H45" s="83" t="s">
        <v>26</v>
      </c>
      <c r="I45" s="83">
        <f>IF(表1_86121822242672112[[#This Row],[原国家]]="魏",0,IF(表1_86121822242672112[[#This Row],[原国家]]="蜀",1,2))</f>
        <v>1</v>
      </c>
      <c r="J45" s="85">
        <v>1</v>
      </c>
      <c r="K45" s="85">
        <v>62</v>
      </c>
      <c r="L45" s="85">
        <v>1</v>
      </c>
      <c r="M45" s="85">
        <v>13</v>
      </c>
      <c r="N45" s="85">
        <v>47664</v>
      </c>
      <c r="O45" s="85">
        <v>1336147</v>
      </c>
      <c r="P45" s="379">
        <v>6548851</v>
      </c>
      <c r="Q45" s="128" t="s">
        <v>26</v>
      </c>
      <c r="R45" s="83">
        <f>IF(表1_86121822242672112[[#This Row],[目标国家]]="魏",0,IF(表1_86121822242672112[[#This Row],[目标国家]]="蜀",1,2))</f>
        <v>1</v>
      </c>
      <c r="S45" s="85">
        <v>6210</v>
      </c>
      <c r="T45" s="85">
        <v>0</v>
      </c>
      <c r="U45" s="85">
        <v>90425</v>
      </c>
      <c r="V45" s="85">
        <v>3180</v>
      </c>
      <c r="W45" s="84">
        <v>414335</v>
      </c>
      <c r="X45" s="129" t="str">
        <f>"{"&amp;"'coin':"&amp;表1_86121822242672112[[#This Row],[补偿Coin]]&amp;",'"&amp;配置!$A$2&amp;"':"&amp;表1_86121822242672112[[#This Row],[补偿辎重]]&amp;"},"</f>
        <v>{'coin':1500,'item036':15},</v>
      </c>
      <c r="Y45" s="149" t="str">
        <f>"            'to_zone':'"&amp;表1_86121822242672112[[#This Row],[目标区服]]&amp;"',
            'reward':"&amp;表1_86121822242672112[[#This Row],[辅助导出]]&amp;"
            'country':["&amp;R44&amp;","&amp;R45&amp;","&amp;R46&amp;"],"</f>
        <v>            'to_zone':'h1_599',
            'reward':{'coin':1500,'item036':15},
            'country':[2,1,0],</v>
      </c>
    </row>
    <row r="46" s="354" customFormat="1" ht="14.25" customHeight="1" spans="1:25">
      <c r="A46" s="370">
        <v>5236</v>
      </c>
      <c r="B46" s="81">
        <f>VLOOKUP(表1_86121822242672112[[#This Row],[区服]],$P$113:$Q$148,2,FALSE)</f>
        <v>41</v>
      </c>
      <c r="C46" s="82" t="s">
        <v>253</v>
      </c>
      <c r="D46" s="83" t="str">
        <f>表1_86121822242672112[[#This Row],[目标国家]]</f>
        <v>魏</v>
      </c>
      <c r="E46" s="84">
        <f>(VLOOKUP(表1_86121822242672112[[#This Row],[目标区服]],$R$113:$S$124,2,FALSE)-表1_86121822242672112[[#This Row],[开服天数]])*配置!$B$1</f>
        <v>1500</v>
      </c>
      <c r="F46" s="85">
        <f>表1_86121822242672112[[#This Row],[补偿Coin]]*(表1_86121822242672112[[#This Row],[活跃高战玩家数]]+表1_86121822242672112[[#This Row],[活跃中坚玩家数]])</f>
        <v>28500</v>
      </c>
      <c r="G46" s="84">
        <f>(VLOOKUP(表1_86121822242672112[[#This Row],[目标区服]],$R$113:$S$124,2,FALSE)-表1_86121822242672112[[#This Row],[开服天数]])*配置!$B$2</f>
        <v>15</v>
      </c>
      <c r="H46" s="83" t="s">
        <v>27</v>
      </c>
      <c r="I46" s="83">
        <f>IF(表1_86121822242672112[[#This Row],[原国家]]="魏",0,IF(表1_86121822242672112[[#This Row],[原国家]]="蜀",1,2))</f>
        <v>2</v>
      </c>
      <c r="J46" s="85">
        <v>2</v>
      </c>
      <c r="K46" s="85">
        <v>77</v>
      </c>
      <c r="L46" s="85">
        <v>1</v>
      </c>
      <c r="M46" s="85">
        <v>18</v>
      </c>
      <c r="N46" s="85">
        <v>86834</v>
      </c>
      <c r="O46" s="85">
        <v>1568492</v>
      </c>
      <c r="P46" s="379">
        <v>11265175</v>
      </c>
      <c r="Q46" s="128" t="s">
        <v>25</v>
      </c>
      <c r="R46" s="83">
        <f>IF(表1_86121822242672112[[#This Row],[目标国家]]="魏",0,IF(表1_86121822242672112[[#This Row],[目标国家]]="蜀",1,2))</f>
        <v>0</v>
      </c>
      <c r="S46" s="85">
        <v>16696</v>
      </c>
      <c r="T46" s="85">
        <v>0</v>
      </c>
      <c r="U46" s="85">
        <v>255234</v>
      </c>
      <c r="V46" s="85">
        <v>4727</v>
      </c>
      <c r="W46" s="84">
        <v>554599</v>
      </c>
      <c r="X46" s="129" t="str">
        <f>"{"&amp;"'coin':"&amp;表1_86121822242672112[[#This Row],[补偿Coin]]&amp;",'"&amp;配置!$A$2&amp;"':"&amp;表1_86121822242672112[[#This Row],[补偿辎重]]&amp;"},"</f>
        <v>{'coin':1500,'item036':15},</v>
      </c>
      <c r="Y46" s="149" t="str">
        <f>"      },"</f>
        <v>      },</v>
      </c>
    </row>
    <row r="47" s="354" customFormat="1" ht="14.25" customHeight="1" spans="1:25">
      <c r="A47" s="371">
        <v>5237</v>
      </c>
      <c r="B47" s="371">
        <f>VLOOKUP(表1_86121822242672112[[#This Row],[区服]],$P$113:$Q$148,2,FALSE)</f>
        <v>41</v>
      </c>
      <c r="C47" s="372" t="s">
        <v>254</v>
      </c>
      <c r="D47" s="373" t="str">
        <f>表1_86121822242672112[[#This Row],[目标国家]]</f>
        <v>魏</v>
      </c>
      <c r="E47" s="374">
        <f>(VLOOKUP(表1_86121822242672112[[#This Row],[目标区服]],$R$113:$S$124,2,FALSE)-表1_86121822242672112[[#This Row],[开服天数]])*配置!$B$1</f>
        <v>1000</v>
      </c>
      <c r="F47" s="89">
        <f>表1_86121822242672112[[#This Row],[补偿Coin]]*(表1_86121822242672112[[#This Row],[活跃高战玩家数]]+表1_86121822242672112[[#This Row],[活跃中坚玩家数]])</f>
        <v>21000</v>
      </c>
      <c r="G47" s="89">
        <f>(VLOOKUP(表1_86121822242672112[[#This Row],[目标区服]],$R$113:$S$124,2,FALSE)-表1_86121822242672112[[#This Row],[开服天数]])*配置!$B$2</f>
        <v>10</v>
      </c>
      <c r="H47" s="88" t="s">
        <v>25</v>
      </c>
      <c r="I47" s="376">
        <f>IF(表1_86121822242672112[[#This Row],[原国家]]="魏",0,IF(表1_86121822242672112[[#This Row],[原国家]]="蜀",1,2))</f>
        <v>0</v>
      </c>
      <c r="J47" s="380">
        <v>4</v>
      </c>
      <c r="K47" s="380">
        <v>161</v>
      </c>
      <c r="L47" s="380">
        <v>6</v>
      </c>
      <c r="M47" s="380">
        <v>15</v>
      </c>
      <c r="N47" s="380">
        <v>115586</v>
      </c>
      <c r="O47" s="380">
        <v>2826646</v>
      </c>
      <c r="P47" s="381">
        <v>18773645</v>
      </c>
      <c r="Q47" s="31" t="s">
        <v>25</v>
      </c>
      <c r="R47" s="376">
        <f>IF(表1_86121822242672112[[#This Row],[目标国家]]="魏",0,IF(表1_86121822242672112[[#This Row],[目标国家]]="蜀",1,2))</f>
        <v>0</v>
      </c>
      <c r="S47" s="380">
        <v>117692</v>
      </c>
      <c r="T47" s="380">
        <v>0</v>
      </c>
      <c r="U47" s="380">
        <v>583510</v>
      </c>
      <c r="V47" s="380">
        <v>11114</v>
      </c>
      <c r="W47" s="386">
        <v>875866</v>
      </c>
      <c r="X47" s="387" t="str">
        <f>"{"&amp;"'coin':"&amp;表1_86121822242672112[[#This Row],[补偿Coin]]&amp;",'"&amp;配置!$A$2&amp;"':"&amp;表1_86121822242672112[[#This Row],[补偿辎重]]&amp;"},"</f>
        <v>{'coin':1000,'item036':10},</v>
      </c>
      <c r="Y47" s="388" t="str">
        <f>"      '"&amp;表1_86121822242672112[[#This Row],[区服]]&amp;"':{"</f>
        <v>      '5237':{</v>
      </c>
    </row>
    <row r="48" s="354" customFormat="1" ht="14.25" customHeight="1" spans="1:25">
      <c r="A48" s="375">
        <v>5237</v>
      </c>
      <c r="B48" s="371">
        <f>VLOOKUP(表1_86121822242672112[[#This Row],[区服]],$P$113:$Q$148,2,FALSE)</f>
        <v>41</v>
      </c>
      <c r="C48" s="372" t="s">
        <v>254</v>
      </c>
      <c r="D48" s="376" t="str">
        <f>表1_86121822242672112[[#This Row],[目标国家]]</f>
        <v>吴</v>
      </c>
      <c r="E48" s="374">
        <f>(VLOOKUP(表1_86121822242672112[[#This Row],[目标区服]],$R$113:$S$124,2,FALSE)-表1_86121822242672112[[#This Row],[开服天数]])*配置!$B$1</f>
        <v>1000</v>
      </c>
      <c r="F48" s="90">
        <f>表1_86121822242672112[[#This Row],[补偿Coin]]*(表1_86121822242672112[[#This Row],[活跃高战玩家数]]+表1_86121822242672112[[#This Row],[活跃中坚玩家数]])</f>
        <v>29000</v>
      </c>
      <c r="G48" s="89">
        <f>(VLOOKUP(表1_86121822242672112[[#This Row],[目标区服]],$R$113:$S$124,2,FALSE)-表1_86121822242672112[[#This Row],[开服天数]])*配置!$B$2</f>
        <v>10</v>
      </c>
      <c r="H48" s="88" t="s">
        <v>26</v>
      </c>
      <c r="I48" s="376">
        <f>IF(表1_86121822242672112[[#This Row],[原国家]]="魏",0,IF(表1_86121822242672112[[#This Row],[原国家]]="蜀",1,2))</f>
        <v>1</v>
      </c>
      <c r="J48" s="380">
        <v>3</v>
      </c>
      <c r="K48" s="380">
        <v>148</v>
      </c>
      <c r="L48" s="380">
        <v>2</v>
      </c>
      <c r="M48" s="380">
        <v>27</v>
      </c>
      <c r="N48" s="380">
        <v>135130</v>
      </c>
      <c r="O48" s="380">
        <v>2000367</v>
      </c>
      <c r="P48" s="381">
        <v>19251902</v>
      </c>
      <c r="Q48" s="31" t="s">
        <v>27</v>
      </c>
      <c r="R48" s="376">
        <f>IF(表1_86121822242672112[[#This Row],[目标国家]]="魏",0,IF(表1_86121822242672112[[#This Row],[目标国家]]="蜀",1,2))</f>
        <v>2</v>
      </c>
      <c r="S48" s="380">
        <v>37576</v>
      </c>
      <c r="T48" s="380">
        <v>0</v>
      </c>
      <c r="U48" s="380">
        <v>218689</v>
      </c>
      <c r="V48" s="380">
        <v>7617</v>
      </c>
      <c r="W48" s="374">
        <v>617852</v>
      </c>
      <c r="X48" s="387" t="str">
        <f>"{"&amp;"'coin':"&amp;表1_86121822242672112[[#This Row],[补偿Coin]]&amp;",'"&amp;配置!$A$2&amp;"':"&amp;表1_86121822242672112[[#This Row],[补偿辎重]]&amp;"},"</f>
        <v>{'coin':1000,'item036':10},</v>
      </c>
      <c r="Y48" s="388" t="str">
        <f>"            'to_zone':'"&amp;表1_86121822242672112[[#This Row],[目标区服]]&amp;"',
            'reward':"&amp;表1_86121822242672112[[#This Row],[辅助导出]]&amp;"
            'country':["&amp;R47&amp;","&amp;R48&amp;","&amp;R49&amp;"],"</f>
        <v>            'to_zone':'h1_600',
            'reward':{'coin':1000,'item036':10},
            'country':[0,2,1],</v>
      </c>
    </row>
    <row r="49" s="354" customFormat="1" ht="14.25" customHeight="1" spans="1:25">
      <c r="A49" s="375">
        <v>5237</v>
      </c>
      <c r="B49" s="371">
        <f>VLOOKUP(表1_86121822242672112[[#This Row],[区服]],$P$113:$Q$148,2,FALSE)</f>
        <v>41</v>
      </c>
      <c r="C49" s="372" t="s">
        <v>254</v>
      </c>
      <c r="D49" s="376" t="str">
        <f>表1_86121822242672112[[#This Row],[目标国家]]</f>
        <v>蜀</v>
      </c>
      <c r="E49" s="374">
        <f>(VLOOKUP(表1_86121822242672112[[#This Row],[目标区服]],$R$113:$S$124,2,FALSE)-表1_86121822242672112[[#This Row],[开服天数]])*配置!$B$1</f>
        <v>1000</v>
      </c>
      <c r="F49" s="90">
        <f>表1_86121822242672112[[#This Row],[补偿Coin]]*(表1_86121822242672112[[#This Row],[活跃高战玩家数]]+表1_86121822242672112[[#This Row],[活跃中坚玩家数]])</f>
        <v>11000</v>
      </c>
      <c r="G49" s="89">
        <f>(VLOOKUP(表1_86121822242672112[[#This Row],[目标区服]],$R$113:$S$124,2,FALSE)-表1_86121822242672112[[#This Row],[开服天数]])*配置!$B$2</f>
        <v>10</v>
      </c>
      <c r="H49" s="88" t="s">
        <v>27</v>
      </c>
      <c r="I49" s="376">
        <f>IF(表1_86121822242672112[[#This Row],[原国家]]="魏",0,IF(表1_86121822242672112[[#This Row],[原国家]]="蜀",1,2))</f>
        <v>2</v>
      </c>
      <c r="J49" s="380">
        <v>2</v>
      </c>
      <c r="K49" s="380">
        <v>86</v>
      </c>
      <c r="L49" s="380">
        <v>2</v>
      </c>
      <c r="M49" s="380">
        <v>9</v>
      </c>
      <c r="N49" s="380">
        <v>46808</v>
      </c>
      <c r="O49" s="380">
        <v>1908228</v>
      </c>
      <c r="P49" s="381">
        <v>7361672</v>
      </c>
      <c r="Q49" s="31" t="s">
        <v>26</v>
      </c>
      <c r="R49" s="376">
        <f>IF(表1_86121822242672112[[#This Row],[目标国家]]="魏",0,IF(表1_86121822242672112[[#This Row],[目标国家]]="蜀",1,2))</f>
        <v>1</v>
      </c>
      <c r="S49" s="380">
        <v>15218</v>
      </c>
      <c r="T49" s="380">
        <v>0</v>
      </c>
      <c r="U49" s="380">
        <v>87890</v>
      </c>
      <c r="V49" s="380">
        <v>4438</v>
      </c>
      <c r="W49" s="374">
        <v>542219</v>
      </c>
      <c r="X49" s="387" t="str">
        <f>"{"&amp;"'coin':"&amp;表1_86121822242672112[[#This Row],[补偿Coin]]&amp;",'"&amp;配置!$A$2&amp;"':"&amp;表1_86121822242672112[[#This Row],[补偿辎重]]&amp;"},"</f>
        <v>{'coin':1000,'item036':10},</v>
      </c>
      <c r="Y49" s="388" t="str">
        <f>"      },"</f>
        <v>      },</v>
      </c>
    </row>
    <row r="50" s="354" customFormat="1" ht="14.25" customHeight="1" spans="1:25">
      <c r="A50" s="371">
        <v>5238</v>
      </c>
      <c r="B50" s="371">
        <f>VLOOKUP(表1_86121822242672112[[#This Row],[区服]],$P$113:$Q$148,2,FALSE)</f>
        <v>41</v>
      </c>
      <c r="C50" s="372" t="s">
        <v>254</v>
      </c>
      <c r="D50" s="373" t="str">
        <f>表1_86121822242672112[[#This Row],[目标国家]]</f>
        <v>蜀</v>
      </c>
      <c r="E50" s="374">
        <f>(VLOOKUP(表1_86121822242672112[[#This Row],[目标区服]],$R$113:$S$124,2,FALSE)-表1_86121822242672112[[#This Row],[开服天数]])*配置!$B$1</f>
        <v>1000</v>
      </c>
      <c r="F50" s="89">
        <f>表1_86121822242672112[[#This Row],[补偿Coin]]*(表1_86121822242672112[[#This Row],[活跃高战玩家数]]+表1_86121822242672112[[#This Row],[活跃中坚玩家数]])</f>
        <v>25000</v>
      </c>
      <c r="G50" s="89">
        <f>(VLOOKUP(表1_86121822242672112[[#This Row],[目标区服]],$R$113:$S$124,2,FALSE)-表1_86121822242672112[[#This Row],[开服天数]])*配置!$B$2</f>
        <v>10</v>
      </c>
      <c r="H50" s="88" t="s">
        <v>25</v>
      </c>
      <c r="I50" s="376">
        <f>IF(表1_86121822242672112[[#This Row],[原国家]]="魏",0,IF(表1_86121822242672112[[#This Row],[原国家]]="蜀",1,2))</f>
        <v>0</v>
      </c>
      <c r="J50" s="380">
        <v>3</v>
      </c>
      <c r="K50" s="380">
        <v>106</v>
      </c>
      <c r="L50" s="380">
        <v>3</v>
      </c>
      <c r="M50" s="380">
        <v>22</v>
      </c>
      <c r="N50" s="380">
        <v>98834</v>
      </c>
      <c r="O50" s="380">
        <v>1920144</v>
      </c>
      <c r="P50" s="381">
        <v>14953250</v>
      </c>
      <c r="Q50" s="31" t="s">
        <v>26</v>
      </c>
      <c r="R50" s="376">
        <f>IF(表1_86121822242672112[[#This Row],[目标国家]]="魏",0,IF(表1_86121822242672112[[#This Row],[目标国家]]="蜀",1,2))</f>
        <v>1</v>
      </c>
      <c r="S50" s="380">
        <v>22814</v>
      </c>
      <c r="T50" s="380">
        <v>0</v>
      </c>
      <c r="U50" s="380">
        <v>404502</v>
      </c>
      <c r="V50" s="380">
        <v>6156</v>
      </c>
      <c r="W50" s="386">
        <v>675100</v>
      </c>
      <c r="X50" s="387" t="str">
        <f>"{"&amp;"'coin':"&amp;表1_86121822242672112[[#This Row],[补偿Coin]]&amp;",'"&amp;配置!$A$2&amp;"':"&amp;表1_86121822242672112[[#This Row],[补偿辎重]]&amp;"},"</f>
        <v>{'coin':1000,'item036':10},</v>
      </c>
      <c r="Y50" s="388" t="str">
        <f>"      '"&amp;表1_86121822242672112[[#This Row],[区服]]&amp;"':{"</f>
        <v>      '5238':{</v>
      </c>
    </row>
    <row r="51" s="354" customFormat="1" ht="14.25" customHeight="1" spans="1:25">
      <c r="A51" s="375">
        <v>5238</v>
      </c>
      <c r="B51" s="371">
        <f>VLOOKUP(表1_86121822242672112[[#This Row],[区服]],$P$113:$Q$148,2,FALSE)</f>
        <v>41</v>
      </c>
      <c r="C51" s="372" t="s">
        <v>254</v>
      </c>
      <c r="D51" s="376" t="str">
        <f>表1_86121822242672112[[#This Row],[目标国家]]</f>
        <v>魏</v>
      </c>
      <c r="E51" s="374">
        <f>(VLOOKUP(表1_86121822242672112[[#This Row],[目标区服]],$R$113:$S$124,2,FALSE)-表1_86121822242672112[[#This Row],[开服天数]])*配置!$B$1</f>
        <v>1000</v>
      </c>
      <c r="F51" s="90">
        <f>表1_86121822242672112[[#This Row],[补偿Coin]]*(表1_86121822242672112[[#This Row],[活跃高战玩家数]]+表1_86121822242672112[[#This Row],[活跃中坚玩家数]])</f>
        <v>29000</v>
      </c>
      <c r="G51" s="89">
        <f>(VLOOKUP(表1_86121822242672112[[#This Row],[目标区服]],$R$113:$S$124,2,FALSE)-表1_86121822242672112[[#This Row],[开服天数]])*配置!$B$2</f>
        <v>10</v>
      </c>
      <c r="H51" s="88" t="s">
        <v>26</v>
      </c>
      <c r="I51" s="376">
        <f>IF(表1_86121822242672112[[#This Row],[原国家]]="魏",0,IF(表1_86121822242672112[[#This Row],[原国家]]="蜀",1,2))</f>
        <v>1</v>
      </c>
      <c r="J51" s="380">
        <v>3</v>
      </c>
      <c r="K51" s="380">
        <v>172</v>
      </c>
      <c r="L51" s="380">
        <v>4</v>
      </c>
      <c r="M51" s="380">
        <v>25</v>
      </c>
      <c r="N51" s="380">
        <v>116834</v>
      </c>
      <c r="O51" s="380">
        <v>2175971</v>
      </c>
      <c r="P51" s="381">
        <v>18404784</v>
      </c>
      <c r="Q51" s="31" t="s">
        <v>25</v>
      </c>
      <c r="R51" s="376">
        <f>IF(表1_86121822242672112[[#This Row],[目标国家]]="魏",0,IF(表1_86121822242672112[[#This Row],[目标国家]]="蜀",1,2))</f>
        <v>0</v>
      </c>
      <c r="S51" s="380">
        <v>46316</v>
      </c>
      <c r="T51" s="380">
        <v>0</v>
      </c>
      <c r="U51" s="380">
        <v>375417</v>
      </c>
      <c r="V51" s="380">
        <v>8197</v>
      </c>
      <c r="W51" s="374">
        <v>635740</v>
      </c>
      <c r="X51" s="387" t="str">
        <f>"{"&amp;"'coin':"&amp;表1_86121822242672112[[#This Row],[补偿Coin]]&amp;",'"&amp;配置!$A$2&amp;"':"&amp;表1_86121822242672112[[#This Row],[补偿辎重]]&amp;"},"</f>
        <v>{'coin':1000,'item036':10},</v>
      </c>
      <c r="Y51" s="388" t="str">
        <f>"            'to_zone':'"&amp;表1_86121822242672112[[#This Row],[目标区服]]&amp;"',
            'reward':"&amp;表1_86121822242672112[[#This Row],[辅助导出]]&amp;"
            'country':["&amp;R50&amp;","&amp;R51&amp;","&amp;R52&amp;"],"</f>
        <v>            'to_zone':'h1_600',
            'reward':{'coin':1000,'item036':10},
            'country':[1,0,1],</v>
      </c>
    </row>
    <row r="52" s="354" customFormat="1" ht="14.25" customHeight="1" spans="1:25">
      <c r="A52" s="375">
        <v>5238</v>
      </c>
      <c r="B52" s="371">
        <f>VLOOKUP(表1_86121822242672112[[#This Row],[区服]],$P$113:$Q$148,2,FALSE)</f>
        <v>41</v>
      </c>
      <c r="C52" s="372" t="s">
        <v>254</v>
      </c>
      <c r="D52" s="376" t="str">
        <f>表1_86121822242672112[[#This Row],[目标国家]]</f>
        <v>蜀</v>
      </c>
      <c r="E52" s="374">
        <f>(VLOOKUP(表1_86121822242672112[[#This Row],[目标区服]],$R$113:$S$124,2,FALSE)-表1_86121822242672112[[#This Row],[开服天数]])*配置!$B$1</f>
        <v>1000</v>
      </c>
      <c r="F52" s="90">
        <f>表1_86121822242672112[[#This Row],[补偿Coin]]*(表1_86121822242672112[[#This Row],[活跃高战玩家数]]+表1_86121822242672112[[#This Row],[活跃中坚玩家数]])</f>
        <v>24000</v>
      </c>
      <c r="G52" s="89">
        <f>(VLOOKUP(表1_86121822242672112[[#This Row],[目标区服]],$R$113:$S$124,2,FALSE)-表1_86121822242672112[[#This Row],[开服天数]])*配置!$B$2</f>
        <v>10</v>
      </c>
      <c r="H52" s="88" t="s">
        <v>27</v>
      </c>
      <c r="I52" s="376">
        <f>IF(表1_86121822242672112[[#This Row],[原国家]]="魏",0,IF(表1_86121822242672112[[#This Row],[原国家]]="蜀",1,2))</f>
        <v>2</v>
      </c>
      <c r="J52" s="380">
        <v>3</v>
      </c>
      <c r="K52" s="380">
        <v>117</v>
      </c>
      <c r="L52" s="380">
        <v>3</v>
      </c>
      <c r="M52" s="380">
        <v>21</v>
      </c>
      <c r="N52" s="380">
        <v>97131</v>
      </c>
      <c r="O52" s="380">
        <v>2031378</v>
      </c>
      <c r="P52" s="381">
        <v>15052979</v>
      </c>
      <c r="Q52" s="31" t="s">
        <v>26</v>
      </c>
      <c r="R52" s="376">
        <f>IF(表1_86121822242672112[[#This Row],[目标国家]]="魏",0,IF(表1_86121822242672112[[#This Row],[目标国家]]="蜀",1,2))</f>
        <v>1</v>
      </c>
      <c r="S52" s="380">
        <v>24662</v>
      </c>
      <c r="T52" s="380">
        <v>0</v>
      </c>
      <c r="U52" s="380">
        <v>346702</v>
      </c>
      <c r="V52" s="380">
        <v>6405</v>
      </c>
      <c r="W52" s="374">
        <v>616618</v>
      </c>
      <c r="X52" s="387" t="str">
        <f>"{"&amp;"'coin':"&amp;表1_86121822242672112[[#This Row],[补偿Coin]]&amp;",'"&amp;配置!$A$2&amp;"':"&amp;表1_86121822242672112[[#This Row],[补偿辎重]]&amp;"},"</f>
        <v>{'coin':1000,'item036':10},</v>
      </c>
      <c r="Y52" s="388" t="str">
        <f>"      },"</f>
        <v>      },</v>
      </c>
    </row>
    <row r="53" s="354" customFormat="1" ht="14.25" customHeight="1" spans="1:25">
      <c r="A53" s="371">
        <v>5239</v>
      </c>
      <c r="B53" s="371">
        <f>VLOOKUP(表1_86121822242672112[[#This Row],[区服]],$P$113:$Q$148,2,FALSE)</f>
        <v>41</v>
      </c>
      <c r="C53" s="372" t="s">
        <v>254</v>
      </c>
      <c r="D53" s="373" t="str">
        <f>表1_86121822242672112[[#This Row],[目标国家]]</f>
        <v>蜀</v>
      </c>
      <c r="E53" s="374">
        <f>(VLOOKUP(表1_86121822242672112[[#This Row],[目标区服]],$R$113:$S$124,2,FALSE)-表1_86121822242672112[[#This Row],[开服天数]])*配置!$B$1</f>
        <v>1000</v>
      </c>
      <c r="F53" s="89">
        <f>表1_86121822242672112[[#This Row],[补偿Coin]]*(表1_86121822242672112[[#This Row],[活跃高战玩家数]]+表1_86121822242672112[[#This Row],[活跃中坚玩家数]])</f>
        <v>23000</v>
      </c>
      <c r="G53" s="89">
        <f>(VLOOKUP(表1_86121822242672112[[#This Row],[目标区服]],$R$113:$S$124,2,FALSE)-表1_86121822242672112[[#This Row],[开服天数]])*配置!$B$2</f>
        <v>10</v>
      </c>
      <c r="H53" s="88" t="s">
        <v>25</v>
      </c>
      <c r="I53" s="376">
        <f>IF(表1_86121822242672112[[#This Row],[原国家]]="魏",0,IF(表1_86121822242672112[[#This Row],[原国家]]="蜀",1,2))</f>
        <v>0</v>
      </c>
      <c r="J53" s="380">
        <v>3</v>
      </c>
      <c r="K53" s="380">
        <v>127</v>
      </c>
      <c r="L53" s="380">
        <v>4</v>
      </c>
      <c r="M53" s="380">
        <v>19</v>
      </c>
      <c r="N53" s="380">
        <v>111497</v>
      </c>
      <c r="O53" s="380">
        <v>2058283</v>
      </c>
      <c r="P53" s="381">
        <v>17340656</v>
      </c>
      <c r="Q53" s="31" t="s">
        <v>26</v>
      </c>
      <c r="R53" s="376">
        <f>IF(表1_86121822242672112[[#This Row],[目标国家]]="魏",0,IF(表1_86121822242672112[[#This Row],[目标国家]]="蜀",1,2))</f>
        <v>1</v>
      </c>
      <c r="S53" s="380">
        <v>44264</v>
      </c>
      <c r="T53" s="380">
        <v>0</v>
      </c>
      <c r="U53" s="380">
        <v>288670</v>
      </c>
      <c r="V53" s="380">
        <v>7392</v>
      </c>
      <c r="W53" s="374">
        <v>636733</v>
      </c>
      <c r="X53" s="387" t="str">
        <f>"{"&amp;"'coin':"&amp;表1_86121822242672112[[#This Row],[补偿Coin]]&amp;",'"&amp;配置!$A$2&amp;"':"&amp;表1_86121822242672112[[#This Row],[补偿辎重]]&amp;"},"</f>
        <v>{'coin':1000,'item036':10},</v>
      </c>
      <c r="Y53" s="388" t="str">
        <f>"      '"&amp;表1_86121822242672112[[#This Row],[区服]]&amp;"':{"</f>
        <v>      '5239':{</v>
      </c>
    </row>
    <row r="54" s="354" customFormat="1" ht="14.25" customHeight="1" spans="1:25">
      <c r="A54" s="375">
        <v>5239</v>
      </c>
      <c r="B54" s="371">
        <f>VLOOKUP(表1_86121822242672112[[#This Row],[区服]],$P$113:$Q$148,2,FALSE)</f>
        <v>41</v>
      </c>
      <c r="C54" s="372" t="s">
        <v>254</v>
      </c>
      <c r="D54" s="376" t="str">
        <f>表1_86121822242672112[[#This Row],[目标国家]]</f>
        <v>魏</v>
      </c>
      <c r="E54" s="374">
        <f>(VLOOKUP(表1_86121822242672112[[#This Row],[目标区服]],$R$113:$S$124,2,FALSE)-表1_86121822242672112[[#This Row],[开服天数]])*配置!$B$1</f>
        <v>1000</v>
      </c>
      <c r="F54" s="90">
        <f>表1_86121822242672112[[#This Row],[补偿Coin]]*(表1_86121822242672112[[#This Row],[活跃高战玩家数]]+表1_86121822242672112[[#This Row],[活跃中坚玩家数]])</f>
        <v>20000</v>
      </c>
      <c r="G54" s="89">
        <f>(VLOOKUP(表1_86121822242672112[[#This Row],[目标区服]],$R$113:$S$124,2,FALSE)-表1_86121822242672112[[#This Row],[开服天数]])*配置!$B$2</f>
        <v>10</v>
      </c>
      <c r="H54" s="88" t="s">
        <v>26</v>
      </c>
      <c r="I54" s="376">
        <f>IF(表1_86121822242672112[[#This Row],[原国家]]="魏",0,IF(表1_86121822242672112[[#This Row],[原国家]]="蜀",1,2))</f>
        <v>1</v>
      </c>
      <c r="J54" s="380">
        <v>2</v>
      </c>
      <c r="K54" s="380">
        <v>62</v>
      </c>
      <c r="L54" s="380">
        <v>0</v>
      </c>
      <c r="M54" s="380">
        <v>20</v>
      </c>
      <c r="N54" s="380">
        <v>68354</v>
      </c>
      <c r="O54" s="380">
        <v>987280</v>
      </c>
      <c r="P54" s="381">
        <v>11511677</v>
      </c>
      <c r="Q54" s="31" t="s">
        <v>25</v>
      </c>
      <c r="R54" s="376">
        <f>IF(表1_86121822242672112[[#This Row],[目标国家]]="魏",0,IF(表1_86121822242672112[[#This Row],[目标国家]]="蜀",1,2))</f>
        <v>0</v>
      </c>
      <c r="S54" s="380">
        <v>13008</v>
      </c>
      <c r="T54" s="380">
        <v>0</v>
      </c>
      <c r="U54" s="380">
        <v>61984</v>
      </c>
      <c r="V54" s="380">
        <v>3721</v>
      </c>
      <c r="W54" s="374">
        <v>318310</v>
      </c>
      <c r="X54" s="387" t="str">
        <f>"{"&amp;"'coin':"&amp;表1_86121822242672112[[#This Row],[补偿Coin]]&amp;",'"&amp;配置!$A$2&amp;"':"&amp;表1_86121822242672112[[#This Row],[补偿辎重]]&amp;"},"</f>
        <v>{'coin':1000,'item036':10},</v>
      </c>
      <c r="Y54" s="388" t="str">
        <f>"            'to_zone':'"&amp;表1_86121822242672112[[#This Row],[目标区服]]&amp;"',
            'reward':"&amp;表1_86121822242672112[[#This Row],[辅助导出]]&amp;"
            'country':["&amp;R53&amp;","&amp;R54&amp;","&amp;R55&amp;"],"</f>
        <v>            'to_zone':'h1_600',
            'reward':{'coin':1000,'item036':10},
            'country':[1,0,2],</v>
      </c>
    </row>
    <row r="55" s="354" customFormat="1" ht="14.25" customHeight="1" spans="1:25">
      <c r="A55" s="375">
        <v>5239</v>
      </c>
      <c r="B55" s="371">
        <f>VLOOKUP(表1_86121822242672112[[#This Row],[区服]],$P$113:$Q$148,2,FALSE)</f>
        <v>41</v>
      </c>
      <c r="C55" s="372" t="s">
        <v>254</v>
      </c>
      <c r="D55" s="376" t="str">
        <f>表1_86121822242672112[[#This Row],[目标国家]]</f>
        <v>吴</v>
      </c>
      <c r="E55" s="374">
        <f>(VLOOKUP(表1_86121822242672112[[#This Row],[目标区服]],$R$113:$S$124,2,FALSE)-表1_86121822242672112[[#This Row],[开服天数]])*配置!$B$1</f>
        <v>1000</v>
      </c>
      <c r="F55" s="90">
        <f>表1_86121822242672112[[#This Row],[补偿Coin]]*(表1_86121822242672112[[#This Row],[活跃高战玩家数]]+表1_86121822242672112[[#This Row],[活跃中坚玩家数]])</f>
        <v>32000</v>
      </c>
      <c r="G55" s="89">
        <f>(VLOOKUP(表1_86121822242672112[[#This Row],[目标区服]],$R$113:$S$124,2,FALSE)-表1_86121822242672112[[#This Row],[开服天数]])*配置!$B$2</f>
        <v>10</v>
      </c>
      <c r="H55" s="88" t="s">
        <v>27</v>
      </c>
      <c r="I55" s="376">
        <f>IF(表1_86121822242672112[[#This Row],[原国家]]="魏",0,IF(表1_86121822242672112[[#This Row],[原国家]]="蜀",1,2))</f>
        <v>2</v>
      </c>
      <c r="J55" s="380">
        <v>4</v>
      </c>
      <c r="K55" s="380">
        <v>206</v>
      </c>
      <c r="L55" s="380">
        <v>5</v>
      </c>
      <c r="M55" s="380">
        <v>27</v>
      </c>
      <c r="N55" s="380">
        <v>127003</v>
      </c>
      <c r="O55" s="380">
        <v>2630478</v>
      </c>
      <c r="P55" s="381">
        <v>24186652</v>
      </c>
      <c r="Q55" s="31" t="s">
        <v>27</v>
      </c>
      <c r="R55" s="376">
        <f>IF(表1_86121822242672112[[#This Row],[目标国家]]="魏",0,IF(表1_86121822242672112[[#This Row],[目标国家]]="蜀",1,2))</f>
        <v>2</v>
      </c>
      <c r="S55" s="380">
        <v>137781</v>
      </c>
      <c r="T55" s="380">
        <v>0</v>
      </c>
      <c r="U55" s="380">
        <v>516863</v>
      </c>
      <c r="V55" s="380">
        <v>12536</v>
      </c>
      <c r="W55" s="386">
        <v>854811</v>
      </c>
      <c r="X55" s="387" t="str">
        <f>"{"&amp;"'coin':"&amp;表1_86121822242672112[[#This Row],[补偿Coin]]&amp;",'"&amp;配置!$A$2&amp;"':"&amp;表1_86121822242672112[[#This Row],[补偿辎重]]&amp;"},"</f>
        <v>{'coin':1000,'item036':10},</v>
      </c>
      <c r="Y55" s="388" t="str">
        <f>"      },"</f>
        <v>      },</v>
      </c>
    </row>
    <row r="56" s="354" customFormat="1" ht="14.25" customHeight="1" spans="1:25">
      <c r="A56" s="214">
        <v>5240</v>
      </c>
      <c r="B56" s="214">
        <f>VLOOKUP(表1_86121822242672112[[#This Row],[区服]],$P$113:$Q$148,2,FALSE)</f>
        <v>40</v>
      </c>
      <c r="C56" s="293" t="s">
        <v>255</v>
      </c>
      <c r="D56" s="322" t="str">
        <f>表1_86121822242672112[[#This Row],[目标国家]]</f>
        <v>魏</v>
      </c>
      <c r="E56" s="294">
        <f>(VLOOKUP(表1_86121822242672112[[#This Row],[目标区服]],$R$113:$S$124,2,FALSE)-表1_86121822242672112[[#This Row],[开服天数]])*配置!$B$1</f>
        <v>1000</v>
      </c>
      <c r="F56" s="294">
        <f>表1_86121822242672112[[#This Row],[补偿Coin]]*(表1_86121822242672112[[#This Row],[活跃高战玩家数]]+表1_86121822242672112[[#This Row],[活跃中坚玩家数]])</f>
        <v>27000</v>
      </c>
      <c r="G56" s="294">
        <f>(VLOOKUP(表1_86121822242672112[[#This Row],[目标区服]],$R$113:$S$124,2,FALSE)-表1_86121822242672112[[#This Row],[开服天数]])*配置!$B$2</f>
        <v>10</v>
      </c>
      <c r="H56" s="216" t="s">
        <v>25</v>
      </c>
      <c r="I56" s="216">
        <f>IF(表1_86121822242672112[[#This Row],[原国家]]="魏",0,IF(表1_86121822242672112[[#This Row],[原国家]]="蜀",1,2))</f>
        <v>0</v>
      </c>
      <c r="J56" s="217">
        <v>3</v>
      </c>
      <c r="K56" s="217">
        <v>103</v>
      </c>
      <c r="L56" s="217">
        <v>4</v>
      </c>
      <c r="M56" s="217">
        <v>23</v>
      </c>
      <c r="N56" s="217">
        <v>106733</v>
      </c>
      <c r="O56" s="217">
        <v>3029985</v>
      </c>
      <c r="P56" s="334">
        <v>17280554</v>
      </c>
      <c r="Q56" s="247" t="s">
        <v>25</v>
      </c>
      <c r="R56" s="216">
        <f>IF(表1_86121822242672112[[#This Row],[目标国家]]="魏",0,IF(表1_86121822242672112[[#This Row],[目标国家]]="蜀",1,2))</f>
        <v>0</v>
      </c>
      <c r="S56" s="217">
        <v>88300</v>
      </c>
      <c r="T56" s="217">
        <v>0</v>
      </c>
      <c r="U56" s="217">
        <v>630802</v>
      </c>
      <c r="V56" s="217">
        <v>9586</v>
      </c>
      <c r="W56" s="384">
        <v>921721</v>
      </c>
      <c r="X56" s="249" t="str">
        <f>"{"&amp;"'coin':"&amp;表1_86121822242672112[[#This Row],[补偿Coin]]&amp;",'"&amp;配置!$A$2&amp;"':"&amp;表1_86121822242672112[[#This Row],[补偿辎重]]&amp;"},"</f>
        <v>{'coin':1000,'item036':10},</v>
      </c>
      <c r="Y56" s="251" t="str">
        <f>"      '"&amp;表1_86121822242672112[[#This Row],[区服]]&amp;"':{"</f>
        <v>      '5240':{</v>
      </c>
    </row>
    <row r="57" s="354" customFormat="1" ht="14.25" customHeight="1" spans="1:25">
      <c r="A57" s="367">
        <v>5240</v>
      </c>
      <c r="B57" s="214">
        <f>VLOOKUP(表1_86121822242672112[[#This Row],[区服]],$P$113:$Q$148,2,FALSE)</f>
        <v>40</v>
      </c>
      <c r="C57" s="293" t="s">
        <v>255</v>
      </c>
      <c r="D57" s="216" t="str">
        <f>表1_86121822242672112[[#This Row],[目标国家]]</f>
        <v>蜀</v>
      </c>
      <c r="E57" s="294">
        <f>(VLOOKUP(表1_86121822242672112[[#This Row],[目标区服]],$R$113:$S$124,2,FALSE)-表1_86121822242672112[[#This Row],[开服天数]])*配置!$B$1</f>
        <v>1000</v>
      </c>
      <c r="F57" s="217">
        <f>表1_86121822242672112[[#This Row],[补偿Coin]]*(表1_86121822242672112[[#This Row],[活跃高战玩家数]]+表1_86121822242672112[[#This Row],[活跃中坚玩家数]])</f>
        <v>27000</v>
      </c>
      <c r="G57" s="294">
        <f>(VLOOKUP(表1_86121822242672112[[#This Row],[目标区服]],$R$113:$S$124,2,FALSE)-表1_86121822242672112[[#This Row],[开服天数]])*配置!$B$2</f>
        <v>10</v>
      </c>
      <c r="H57" s="216" t="s">
        <v>26</v>
      </c>
      <c r="I57" s="216">
        <f>IF(表1_86121822242672112[[#This Row],[原国家]]="魏",0,IF(表1_86121822242672112[[#This Row],[原国家]]="蜀",1,2))</f>
        <v>1</v>
      </c>
      <c r="J57" s="217">
        <v>4</v>
      </c>
      <c r="K57" s="217">
        <v>195</v>
      </c>
      <c r="L57" s="217">
        <v>5</v>
      </c>
      <c r="M57" s="217">
        <v>22</v>
      </c>
      <c r="N57" s="217">
        <v>134803</v>
      </c>
      <c r="O57" s="217">
        <v>2774449</v>
      </c>
      <c r="P57" s="334">
        <v>19637470</v>
      </c>
      <c r="Q57" s="247" t="s">
        <v>26</v>
      </c>
      <c r="R57" s="216">
        <f>IF(表1_86121822242672112[[#This Row],[目标国家]]="魏",0,IF(表1_86121822242672112[[#This Row],[目标国家]]="蜀",1,2))</f>
        <v>1</v>
      </c>
      <c r="S57" s="217">
        <v>76384</v>
      </c>
      <c r="T57" s="217">
        <v>0</v>
      </c>
      <c r="U57" s="217">
        <v>492970</v>
      </c>
      <c r="V57" s="217">
        <v>10300</v>
      </c>
      <c r="W57" s="384">
        <v>951098</v>
      </c>
      <c r="X57" s="249" t="str">
        <f>"{"&amp;"'coin':"&amp;表1_86121822242672112[[#This Row],[补偿Coin]]&amp;",'"&amp;配置!$A$2&amp;"':"&amp;表1_86121822242672112[[#This Row],[补偿辎重]]&amp;"},"</f>
        <v>{'coin':1000,'item036':10},</v>
      </c>
      <c r="Y57" s="251" t="str">
        <f>"            'to_zone':'"&amp;表1_86121822242672112[[#This Row],[目标区服]]&amp;"',
            'reward':"&amp;表1_86121822242672112[[#This Row],[辅助导出]]&amp;"
            'country':["&amp;R56&amp;","&amp;R57&amp;","&amp;R58&amp;"],"</f>
        <v>            'to_zone':'h1_601',
            'reward':{'coin':1000,'item036':10},
            'country':[0,1,2],</v>
      </c>
    </row>
    <row r="58" s="354" customFormat="1" ht="14.25" customHeight="1" spans="1:25">
      <c r="A58" s="367">
        <v>5240</v>
      </c>
      <c r="B58" s="214">
        <f>VLOOKUP(表1_86121822242672112[[#This Row],[区服]],$P$113:$Q$148,2,FALSE)</f>
        <v>40</v>
      </c>
      <c r="C58" s="293" t="s">
        <v>255</v>
      </c>
      <c r="D58" s="216" t="str">
        <f>表1_86121822242672112[[#This Row],[目标国家]]</f>
        <v>吴</v>
      </c>
      <c r="E58" s="294">
        <f>(VLOOKUP(表1_86121822242672112[[#This Row],[目标区服]],$R$113:$S$124,2,FALSE)-表1_86121822242672112[[#This Row],[开服天数]])*配置!$B$1</f>
        <v>1000</v>
      </c>
      <c r="F58" s="217">
        <f>表1_86121822242672112[[#This Row],[补偿Coin]]*(表1_86121822242672112[[#This Row],[活跃高战玩家数]]+表1_86121822242672112[[#This Row],[活跃中坚玩家数]])</f>
        <v>15000</v>
      </c>
      <c r="G58" s="294">
        <f>(VLOOKUP(表1_86121822242672112[[#This Row],[目标区服]],$R$113:$S$124,2,FALSE)-表1_86121822242672112[[#This Row],[开服天数]])*配置!$B$2</f>
        <v>10</v>
      </c>
      <c r="H58" s="216" t="s">
        <v>27</v>
      </c>
      <c r="I58" s="216">
        <f>IF(表1_86121822242672112[[#This Row],[原国家]]="魏",0,IF(表1_86121822242672112[[#This Row],[原国家]]="蜀",1,2))</f>
        <v>2</v>
      </c>
      <c r="J58" s="217">
        <v>2</v>
      </c>
      <c r="K58" s="217">
        <v>97</v>
      </c>
      <c r="L58" s="217">
        <v>1</v>
      </c>
      <c r="M58" s="217">
        <v>14</v>
      </c>
      <c r="N58" s="217">
        <v>58526</v>
      </c>
      <c r="O58" s="217">
        <v>1699763</v>
      </c>
      <c r="P58" s="334">
        <v>8744535</v>
      </c>
      <c r="Q58" s="247" t="s">
        <v>27</v>
      </c>
      <c r="R58" s="216">
        <f>IF(表1_86121822242672112[[#This Row],[目标国家]]="魏",0,IF(表1_86121822242672112[[#This Row],[目标国家]]="蜀",1,2))</f>
        <v>2</v>
      </c>
      <c r="S58" s="217">
        <v>36044</v>
      </c>
      <c r="T58" s="217">
        <v>0</v>
      </c>
      <c r="U58" s="217">
        <v>90451</v>
      </c>
      <c r="V58" s="217">
        <v>5163</v>
      </c>
      <c r="W58" s="294">
        <v>597787</v>
      </c>
      <c r="X58" s="249" t="str">
        <f>"{"&amp;"'coin':"&amp;表1_86121822242672112[[#This Row],[补偿Coin]]&amp;",'"&amp;配置!$A$2&amp;"':"&amp;表1_86121822242672112[[#This Row],[补偿辎重]]&amp;"},"</f>
        <v>{'coin':1000,'item036':10},</v>
      </c>
      <c r="Y58" s="251" t="str">
        <f>"      },"</f>
        <v>      },</v>
      </c>
    </row>
    <row r="59" s="354" customFormat="1" ht="14.25" customHeight="1" spans="1:25">
      <c r="A59" s="214">
        <v>5241</v>
      </c>
      <c r="B59" s="214">
        <f>VLOOKUP(表1_86121822242672112[[#This Row],[区服]],$P$113:$Q$148,2,FALSE)</f>
        <v>40</v>
      </c>
      <c r="C59" s="293" t="s">
        <v>255</v>
      </c>
      <c r="D59" s="322" t="str">
        <f>表1_86121822242672112[[#This Row],[目标国家]]</f>
        <v>吴</v>
      </c>
      <c r="E59" s="294">
        <f>(VLOOKUP(表1_86121822242672112[[#This Row],[目标区服]],$R$113:$S$124,2,FALSE)-表1_86121822242672112[[#This Row],[开服天数]])*配置!$B$1</f>
        <v>1000</v>
      </c>
      <c r="F59" s="294">
        <f>表1_86121822242672112[[#This Row],[补偿Coin]]*(表1_86121822242672112[[#This Row],[活跃高战玩家数]]+表1_86121822242672112[[#This Row],[活跃中坚玩家数]])</f>
        <v>20000</v>
      </c>
      <c r="G59" s="294">
        <f>(VLOOKUP(表1_86121822242672112[[#This Row],[目标区服]],$R$113:$S$124,2,FALSE)-表1_86121822242672112[[#This Row],[开服天数]])*配置!$B$2</f>
        <v>10</v>
      </c>
      <c r="H59" s="216" t="s">
        <v>25</v>
      </c>
      <c r="I59" s="216">
        <f>IF(表1_86121822242672112[[#This Row],[原国家]]="魏",0,IF(表1_86121822242672112[[#This Row],[原国家]]="蜀",1,2))</f>
        <v>0</v>
      </c>
      <c r="J59" s="217">
        <v>2</v>
      </c>
      <c r="K59" s="217">
        <v>85</v>
      </c>
      <c r="L59" s="217">
        <v>2</v>
      </c>
      <c r="M59" s="217">
        <v>18</v>
      </c>
      <c r="N59" s="217">
        <v>71853</v>
      </c>
      <c r="O59" s="217">
        <v>2056592</v>
      </c>
      <c r="P59" s="334">
        <v>11675979</v>
      </c>
      <c r="Q59" s="247" t="s">
        <v>27</v>
      </c>
      <c r="R59" s="216">
        <f>IF(表1_86121822242672112[[#This Row],[目标国家]]="魏",0,IF(表1_86121822242672112[[#This Row],[目标国家]]="蜀",1,2))</f>
        <v>2</v>
      </c>
      <c r="S59" s="217">
        <v>24630</v>
      </c>
      <c r="T59" s="217">
        <v>0</v>
      </c>
      <c r="U59" s="217">
        <v>287530</v>
      </c>
      <c r="V59" s="217">
        <v>5516</v>
      </c>
      <c r="W59" s="294">
        <v>739569</v>
      </c>
      <c r="X59" s="249" t="str">
        <f>"{"&amp;"'coin':"&amp;表1_86121822242672112[[#This Row],[补偿Coin]]&amp;",'"&amp;配置!$A$2&amp;"':"&amp;表1_86121822242672112[[#This Row],[补偿辎重]]&amp;"},"</f>
        <v>{'coin':1000,'item036':10},</v>
      </c>
      <c r="Y59" s="251" t="str">
        <f>"      '"&amp;表1_86121822242672112[[#This Row],[区服]]&amp;"':{"</f>
        <v>      '5241':{</v>
      </c>
    </row>
    <row r="60" s="354" customFormat="1" ht="14.25" customHeight="1" spans="1:25">
      <c r="A60" s="367">
        <v>5241</v>
      </c>
      <c r="B60" s="214">
        <f>VLOOKUP(表1_86121822242672112[[#This Row],[区服]],$P$113:$Q$148,2,FALSE)</f>
        <v>40</v>
      </c>
      <c r="C60" s="293" t="s">
        <v>255</v>
      </c>
      <c r="D60" s="216" t="str">
        <f>表1_86121822242672112[[#This Row],[目标国家]]</f>
        <v>蜀</v>
      </c>
      <c r="E60" s="294">
        <f>(VLOOKUP(表1_86121822242672112[[#This Row],[目标区服]],$R$113:$S$124,2,FALSE)-表1_86121822242672112[[#This Row],[开服天数]])*配置!$B$1</f>
        <v>1000</v>
      </c>
      <c r="F60" s="217">
        <f>表1_86121822242672112[[#This Row],[补偿Coin]]*(表1_86121822242672112[[#This Row],[活跃高战玩家数]]+表1_86121822242672112[[#This Row],[活跃中坚玩家数]])</f>
        <v>18000</v>
      </c>
      <c r="G60" s="294">
        <f>(VLOOKUP(表1_86121822242672112[[#This Row],[目标区服]],$R$113:$S$124,2,FALSE)-表1_86121822242672112[[#This Row],[开服天数]])*配置!$B$2</f>
        <v>10</v>
      </c>
      <c r="H60" s="216" t="s">
        <v>26</v>
      </c>
      <c r="I60" s="216">
        <f>IF(表1_86121822242672112[[#This Row],[原国家]]="魏",0,IF(表1_86121822242672112[[#This Row],[原国家]]="蜀",1,2))</f>
        <v>1</v>
      </c>
      <c r="J60" s="217">
        <v>1</v>
      </c>
      <c r="K60" s="217">
        <v>76</v>
      </c>
      <c r="L60" s="217">
        <v>3</v>
      </c>
      <c r="M60" s="217">
        <v>15</v>
      </c>
      <c r="N60" s="217">
        <v>81275</v>
      </c>
      <c r="O60" s="217">
        <v>2769593</v>
      </c>
      <c r="P60" s="334">
        <v>13560580</v>
      </c>
      <c r="Q60" s="247" t="s">
        <v>26</v>
      </c>
      <c r="R60" s="216">
        <f>IF(表1_86121822242672112[[#This Row],[目标国家]]="魏",0,IF(表1_86121822242672112[[#This Row],[目标国家]]="蜀",1,2))</f>
        <v>1</v>
      </c>
      <c r="S60" s="217">
        <v>76466</v>
      </c>
      <c r="T60" s="217">
        <v>0</v>
      </c>
      <c r="U60" s="217">
        <v>326154</v>
      </c>
      <c r="V60" s="217">
        <v>7849</v>
      </c>
      <c r="W60" s="384">
        <v>939174</v>
      </c>
      <c r="X60" s="249" t="str">
        <f>"{"&amp;"'coin':"&amp;表1_86121822242672112[[#This Row],[补偿Coin]]&amp;",'"&amp;配置!$A$2&amp;"':"&amp;表1_86121822242672112[[#This Row],[补偿辎重]]&amp;"},"</f>
        <v>{'coin':1000,'item036':10},</v>
      </c>
      <c r="Y60" s="251" t="str">
        <f>"            'to_zone':'"&amp;表1_86121822242672112[[#This Row],[目标区服]]&amp;"',
            'reward':"&amp;表1_86121822242672112[[#This Row],[辅助导出]]&amp;"
            'country':["&amp;R59&amp;","&amp;R60&amp;","&amp;R61&amp;"],"</f>
        <v>            'to_zone':'h1_601',
            'reward':{'coin':1000,'item036':10},
            'country':[2,1,2],</v>
      </c>
    </row>
    <row r="61" s="354" customFormat="1" ht="14.25" customHeight="1" spans="1:25">
      <c r="A61" s="367">
        <v>5241</v>
      </c>
      <c r="B61" s="214">
        <f>VLOOKUP(表1_86121822242672112[[#This Row],[区服]],$P$113:$Q$148,2,FALSE)</f>
        <v>40</v>
      </c>
      <c r="C61" s="293" t="s">
        <v>255</v>
      </c>
      <c r="D61" s="216" t="str">
        <f>表1_86121822242672112[[#This Row],[目标国家]]</f>
        <v>吴</v>
      </c>
      <c r="E61" s="294">
        <f>(VLOOKUP(表1_86121822242672112[[#This Row],[目标区服]],$R$113:$S$124,2,FALSE)-表1_86121822242672112[[#This Row],[开服天数]])*配置!$B$1</f>
        <v>1000</v>
      </c>
      <c r="F61" s="217">
        <f>表1_86121822242672112[[#This Row],[补偿Coin]]*(表1_86121822242672112[[#This Row],[活跃高战玩家数]]+表1_86121822242672112[[#This Row],[活跃中坚玩家数]])</f>
        <v>28000</v>
      </c>
      <c r="G61" s="294">
        <f>(VLOOKUP(表1_86121822242672112[[#This Row],[目标区服]],$R$113:$S$124,2,FALSE)-表1_86121822242672112[[#This Row],[开服天数]])*配置!$B$2</f>
        <v>10</v>
      </c>
      <c r="H61" s="216" t="s">
        <v>27</v>
      </c>
      <c r="I61" s="216">
        <f>IF(表1_86121822242672112[[#This Row],[原国家]]="魏",0,IF(表1_86121822242672112[[#This Row],[原国家]]="蜀",1,2))</f>
        <v>2</v>
      </c>
      <c r="J61" s="217">
        <v>6</v>
      </c>
      <c r="K61" s="217">
        <v>234</v>
      </c>
      <c r="L61" s="217">
        <v>5</v>
      </c>
      <c r="M61" s="217">
        <v>23</v>
      </c>
      <c r="N61" s="217">
        <v>137114</v>
      </c>
      <c r="O61" s="217">
        <v>2877019</v>
      </c>
      <c r="P61" s="334">
        <v>21746574</v>
      </c>
      <c r="Q61" s="247" t="s">
        <v>27</v>
      </c>
      <c r="R61" s="216">
        <f>IF(表1_86121822242672112[[#This Row],[目标国家]]="魏",0,IF(表1_86121822242672112[[#This Row],[目标国家]]="蜀",1,2))</f>
        <v>2</v>
      </c>
      <c r="S61" s="217">
        <v>81963</v>
      </c>
      <c r="T61" s="217">
        <v>0</v>
      </c>
      <c r="U61" s="217">
        <v>596870</v>
      </c>
      <c r="V61" s="217">
        <v>11434</v>
      </c>
      <c r="W61" s="294">
        <v>846570</v>
      </c>
      <c r="X61" s="249" t="str">
        <f>"{"&amp;"'coin':"&amp;表1_86121822242672112[[#This Row],[补偿Coin]]&amp;",'"&amp;配置!$A$2&amp;"':"&amp;表1_86121822242672112[[#This Row],[补偿辎重]]&amp;"},"</f>
        <v>{'coin':1000,'item036':10},</v>
      </c>
      <c r="Y61" s="251" t="str">
        <f>"      },"</f>
        <v>      },</v>
      </c>
    </row>
    <row r="62" s="354" customFormat="1" ht="14.25" customHeight="1" spans="1:25">
      <c r="A62" s="214">
        <v>5242</v>
      </c>
      <c r="B62" s="214">
        <f>VLOOKUP(表1_86121822242672112[[#This Row],[区服]],$P$113:$Q$148,2,FALSE)</f>
        <v>40</v>
      </c>
      <c r="C62" s="293" t="s">
        <v>255</v>
      </c>
      <c r="D62" s="322" t="str">
        <f>表1_86121822242672112[[#This Row],[目标国家]]</f>
        <v>蜀</v>
      </c>
      <c r="E62" s="294">
        <f>(VLOOKUP(表1_86121822242672112[[#This Row],[目标区服]],$R$113:$S$124,2,FALSE)-表1_86121822242672112[[#This Row],[开服天数]])*配置!$B$1</f>
        <v>1000</v>
      </c>
      <c r="F62" s="294">
        <f>表1_86121822242672112[[#This Row],[补偿Coin]]*(表1_86121822242672112[[#This Row],[活跃高战玩家数]]+表1_86121822242672112[[#This Row],[活跃中坚玩家数]])</f>
        <v>11000</v>
      </c>
      <c r="G62" s="294">
        <f>(VLOOKUP(表1_86121822242672112[[#This Row],[目标区服]],$R$113:$S$124,2,FALSE)-表1_86121822242672112[[#This Row],[开服天数]])*配置!$B$2</f>
        <v>10</v>
      </c>
      <c r="H62" s="216" t="s">
        <v>25</v>
      </c>
      <c r="I62" s="216">
        <f>IF(表1_86121822242672112[[#This Row],[原国家]]="魏",0,IF(表1_86121822242672112[[#This Row],[原国家]]="蜀",1,2))</f>
        <v>0</v>
      </c>
      <c r="J62" s="217">
        <v>0</v>
      </c>
      <c r="K62" s="217">
        <v>30</v>
      </c>
      <c r="L62" s="217">
        <v>2</v>
      </c>
      <c r="M62" s="217">
        <v>9</v>
      </c>
      <c r="N62" s="217">
        <v>62621</v>
      </c>
      <c r="O62" s="217">
        <v>1334149</v>
      </c>
      <c r="P62" s="334">
        <v>6689104</v>
      </c>
      <c r="Q62" s="247" t="s">
        <v>26</v>
      </c>
      <c r="R62" s="216">
        <f>IF(表1_86121822242672112[[#This Row],[目标国家]]="魏",0,IF(表1_86121822242672112[[#This Row],[目标国家]]="蜀",1,2))</f>
        <v>1</v>
      </c>
      <c r="S62" s="217">
        <v>8118</v>
      </c>
      <c r="T62" s="217">
        <v>0</v>
      </c>
      <c r="U62" s="217">
        <v>89603</v>
      </c>
      <c r="V62" s="217">
        <v>2904</v>
      </c>
      <c r="W62" s="294">
        <v>493883</v>
      </c>
      <c r="X62" s="249" t="str">
        <f>"{"&amp;"'coin':"&amp;表1_86121822242672112[[#This Row],[补偿Coin]]&amp;",'"&amp;配置!$A$2&amp;"':"&amp;表1_86121822242672112[[#This Row],[补偿辎重]]&amp;"},"</f>
        <v>{'coin':1000,'item036':10},</v>
      </c>
      <c r="Y62" s="251" t="str">
        <f>"      '"&amp;表1_86121822242672112[[#This Row],[区服]]&amp;"':{"</f>
        <v>      '5242':{</v>
      </c>
    </row>
    <row r="63" s="354" customFormat="1" ht="14.25" customHeight="1" spans="1:25">
      <c r="A63" s="367">
        <v>5242</v>
      </c>
      <c r="B63" s="214">
        <f>VLOOKUP(表1_86121822242672112[[#This Row],[区服]],$P$113:$Q$148,2,FALSE)</f>
        <v>40</v>
      </c>
      <c r="C63" s="293" t="s">
        <v>255</v>
      </c>
      <c r="D63" s="216" t="str">
        <f>表1_86121822242672112[[#This Row],[目标国家]]</f>
        <v>魏</v>
      </c>
      <c r="E63" s="294">
        <f>(VLOOKUP(表1_86121822242672112[[#This Row],[目标区服]],$R$113:$S$124,2,FALSE)-表1_86121822242672112[[#This Row],[开服天数]])*配置!$B$1</f>
        <v>1000</v>
      </c>
      <c r="F63" s="217">
        <f>表1_86121822242672112[[#This Row],[补偿Coin]]*(表1_86121822242672112[[#This Row],[活跃高战玩家数]]+表1_86121822242672112[[#This Row],[活跃中坚玩家数]])</f>
        <v>38000</v>
      </c>
      <c r="G63" s="294">
        <f>(VLOOKUP(表1_86121822242672112[[#This Row],[目标区服]],$R$113:$S$124,2,FALSE)-表1_86121822242672112[[#This Row],[开服天数]])*配置!$B$2</f>
        <v>10</v>
      </c>
      <c r="H63" s="216" t="s">
        <v>26</v>
      </c>
      <c r="I63" s="216">
        <f>IF(表1_86121822242672112[[#This Row],[原国家]]="魏",0,IF(表1_86121822242672112[[#This Row],[原国家]]="蜀",1,2))</f>
        <v>1</v>
      </c>
      <c r="J63" s="217">
        <v>7</v>
      </c>
      <c r="K63" s="217">
        <v>293</v>
      </c>
      <c r="L63" s="217">
        <v>7</v>
      </c>
      <c r="M63" s="217">
        <v>31</v>
      </c>
      <c r="N63" s="217">
        <v>189226</v>
      </c>
      <c r="O63" s="217">
        <v>2269045</v>
      </c>
      <c r="P63" s="334">
        <v>22842793</v>
      </c>
      <c r="Q63" s="247" t="s">
        <v>25</v>
      </c>
      <c r="R63" s="216">
        <f>IF(表1_86121822242672112[[#This Row],[目标国家]]="魏",0,IF(表1_86121822242672112[[#This Row],[目标国家]]="蜀",1,2))</f>
        <v>0</v>
      </c>
      <c r="S63" s="217">
        <v>57676</v>
      </c>
      <c r="T63" s="217">
        <v>0</v>
      </c>
      <c r="U63" s="217">
        <v>486517</v>
      </c>
      <c r="V63" s="217">
        <v>11102</v>
      </c>
      <c r="W63" s="294">
        <v>672743</v>
      </c>
      <c r="X63" s="249" t="str">
        <f>"{"&amp;"'coin':"&amp;表1_86121822242672112[[#This Row],[补偿Coin]]&amp;",'"&amp;配置!$A$2&amp;"':"&amp;表1_86121822242672112[[#This Row],[补偿辎重]]&amp;"},"</f>
        <v>{'coin':1000,'item036':10},</v>
      </c>
      <c r="Y63" s="251" t="str">
        <f>"            'to_zone':'"&amp;表1_86121822242672112[[#This Row],[目标区服]]&amp;"',
            'reward':"&amp;表1_86121822242672112[[#This Row],[辅助导出]]&amp;"
            'country':["&amp;R62&amp;","&amp;R63&amp;","&amp;R64&amp;"],"</f>
        <v>            'to_zone':'h1_601',
            'reward':{'coin':1000,'item036':10},
            'country':[1,0,1],</v>
      </c>
    </row>
    <row r="64" s="354" customFormat="1" ht="14.25" customHeight="1" spans="1:25">
      <c r="A64" s="367">
        <v>5242</v>
      </c>
      <c r="B64" s="214">
        <f>VLOOKUP(表1_86121822242672112[[#This Row],[区服]],$P$113:$Q$148,2,FALSE)</f>
        <v>40</v>
      </c>
      <c r="C64" s="293" t="s">
        <v>255</v>
      </c>
      <c r="D64" s="216" t="str">
        <f>表1_86121822242672112[[#This Row],[目标国家]]</f>
        <v>蜀</v>
      </c>
      <c r="E64" s="294">
        <f>(VLOOKUP(表1_86121822242672112[[#This Row],[目标区服]],$R$113:$S$124,2,FALSE)-表1_86121822242672112[[#This Row],[开服天数]])*配置!$B$1</f>
        <v>1000</v>
      </c>
      <c r="F64" s="217">
        <f>表1_86121822242672112[[#This Row],[补偿Coin]]*(表1_86121822242672112[[#This Row],[活跃高战玩家数]]+表1_86121822242672112[[#This Row],[活跃中坚玩家数]])</f>
        <v>19000</v>
      </c>
      <c r="G64" s="294">
        <f>(VLOOKUP(表1_86121822242672112[[#This Row],[目标区服]],$R$113:$S$124,2,FALSE)-表1_86121822242672112[[#This Row],[开服天数]])*配置!$B$2</f>
        <v>10</v>
      </c>
      <c r="H64" s="216" t="s">
        <v>27</v>
      </c>
      <c r="I64" s="216">
        <f>IF(表1_86121822242672112[[#This Row],[原国家]]="魏",0,IF(表1_86121822242672112[[#This Row],[原国家]]="蜀",1,2))</f>
        <v>2</v>
      </c>
      <c r="J64" s="217">
        <v>2</v>
      </c>
      <c r="K64" s="217">
        <v>72</v>
      </c>
      <c r="L64" s="217">
        <v>1</v>
      </c>
      <c r="M64" s="217">
        <v>18</v>
      </c>
      <c r="N64" s="217">
        <v>36762</v>
      </c>
      <c r="O64" s="217">
        <v>870605</v>
      </c>
      <c r="P64" s="334">
        <v>6047781</v>
      </c>
      <c r="Q64" s="247" t="s">
        <v>26</v>
      </c>
      <c r="R64" s="216">
        <f>IF(表1_86121822242672112[[#This Row],[目标国家]]="魏",0,IF(表1_86121822242672112[[#This Row],[目标国家]]="蜀",1,2))</f>
        <v>1</v>
      </c>
      <c r="S64" s="217">
        <v>3412</v>
      </c>
      <c r="T64" s="217">
        <v>0</v>
      </c>
      <c r="U64" s="217">
        <v>116839</v>
      </c>
      <c r="V64" s="217">
        <v>2739</v>
      </c>
      <c r="W64" s="294">
        <v>312476</v>
      </c>
      <c r="X64" s="249" t="str">
        <f>"{"&amp;"'coin':"&amp;表1_86121822242672112[[#This Row],[补偿Coin]]&amp;",'"&amp;配置!$A$2&amp;"':"&amp;表1_86121822242672112[[#This Row],[补偿辎重]]&amp;"},"</f>
        <v>{'coin':1000,'item036':10},</v>
      </c>
      <c r="Y64" s="251" t="str">
        <f>"      },"</f>
        <v>      },</v>
      </c>
    </row>
    <row r="65" s="354" customFormat="1" ht="14.25" customHeight="1" spans="1:25">
      <c r="A65" s="91">
        <v>5243</v>
      </c>
      <c r="B65" s="91">
        <f>VLOOKUP(表1_86121822242672112[[#This Row],[区服]],$P$113:$Q$148,2,FALSE)</f>
        <v>40</v>
      </c>
      <c r="C65" s="92" t="s">
        <v>256</v>
      </c>
      <c r="D65" s="313" t="str">
        <f>表1_86121822242672112[[#This Row],[目标国家]]</f>
        <v>魏</v>
      </c>
      <c r="E65" s="94">
        <f>(VLOOKUP(表1_86121822242672112[[#This Row],[目标区服]],$R$113:$S$124,2,FALSE)-表1_86121822242672112[[#This Row],[开服天数]])*配置!$B$1</f>
        <v>1000</v>
      </c>
      <c r="F65" s="94">
        <f>表1_86121822242672112[[#This Row],[补偿Coin]]*(表1_86121822242672112[[#This Row],[活跃高战玩家数]]+表1_86121822242672112[[#This Row],[活跃中坚玩家数]])</f>
        <v>12000</v>
      </c>
      <c r="G65" s="94">
        <f>(VLOOKUP(表1_86121822242672112[[#This Row],[目标区服]],$R$113:$S$124,2,FALSE)-表1_86121822242672112[[#This Row],[开服天数]])*配置!$B$2</f>
        <v>10</v>
      </c>
      <c r="H65" s="93" t="s">
        <v>25</v>
      </c>
      <c r="I65" s="93">
        <f>IF(表1_86121822242672112[[#This Row],[原国家]]="魏",0,IF(表1_86121822242672112[[#This Row],[原国家]]="蜀",1,2))</f>
        <v>0</v>
      </c>
      <c r="J65" s="95">
        <v>0</v>
      </c>
      <c r="K65" s="95">
        <v>16</v>
      </c>
      <c r="L65" s="95">
        <v>1</v>
      </c>
      <c r="M65" s="95">
        <v>11</v>
      </c>
      <c r="N65" s="95">
        <v>34905</v>
      </c>
      <c r="O65" s="95">
        <v>1315785</v>
      </c>
      <c r="P65" s="326">
        <v>6904974</v>
      </c>
      <c r="Q65" s="137" t="s">
        <v>25</v>
      </c>
      <c r="R65" s="93">
        <f>IF(表1_86121822242672112[[#This Row],[目标国家]]="魏",0,IF(表1_86121822242672112[[#This Row],[目标国家]]="蜀",1,2))</f>
        <v>0</v>
      </c>
      <c r="S65" s="95">
        <v>36798</v>
      </c>
      <c r="T65" s="95">
        <v>0</v>
      </c>
      <c r="U65" s="95">
        <v>170898</v>
      </c>
      <c r="V65" s="95">
        <v>3530</v>
      </c>
      <c r="W65" s="94">
        <v>398498</v>
      </c>
      <c r="X65" s="140" t="str">
        <f>"{"&amp;"'coin':"&amp;表1_86121822242672112[[#This Row],[补偿Coin]]&amp;",'"&amp;配置!$A$2&amp;"':"&amp;表1_86121822242672112[[#This Row],[补偿辎重]]&amp;"},"</f>
        <v>{'coin':1000,'item036':10},</v>
      </c>
      <c r="Y65" s="138" t="str">
        <f>"      '"&amp;表1_86121822242672112[[#This Row],[区服]]&amp;"':{"</f>
        <v>      '5243':{</v>
      </c>
    </row>
    <row r="66" s="354" customFormat="1" ht="14.25" customHeight="1" spans="1:25">
      <c r="A66" s="314">
        <v>5243</v>
      </c>
      <c r="B66" s="91">
        <f>VLOOKUP(表1_86121822242672112[[#This Row],[区服]],$P$113:$Q$148,2,FALSE)</f>
        <v>40</v>
      </c>
      <c r="C66" s="92" t="s">
        <v>256</v>
      </c>
      <c r="D66" s="93" t="str">
        <f>表1_86121822242672112[[#This Row],[目标国家]]</f>
        <v>吴</v>
      </c>
      <c r="E66" s="94">
        <f>(VLOOKUP(表1_86121822242672112[[#This Row],[目标区服]],$R$113:$S$124,2,FALSE)-表1_86121822242672112[[#This Row],[开服天数]])*配置!$B$1</f>
        <v>1000</v>
      </c>
      <c r="F66" s="95">
        <f>表1_86121822242672112[[#This Row],[补偿Coin]]*(表1_86121822242672112[[#This Row],[活跃高战玩家数]]+表1_86121822242672112[[#This Row],[活跃中坚玩家数]])</f>
        <v>29000</v>
      </c>
      <c r="G66" s="94">
        <f>(VLOOKUP(表1_86121822242672112[[#This Row],[目标区服]],$R$113:$S$124,2,FALSE)-表1_86121822242672112[[#This Row],[开服天数]])*配置!$B$2</f>
        <v>10</v>
      </c>
      <c r="H66" s="93" t="s">
        <v>26</v>
      </c>
      <c r="I66" s="93">
        <f>IF(表1_86121822242672112[[#This Row],[原国家]]="魏",0,IF(表1_86121822242672112[[#This Row],[原国家]]="蜀",1,2))</f>
        <v>1</v>
      </c>
      <c r="J66" s="95">
        <v>0</v>
      </c>
      <c r="K66" s="95">
        <v>29</v>
      </c>
      <c r="L66" s="95">
        <v>1</v>
      </c>
      <c r="M66" s="95">
        <v>28</v>
      </c>
      <c r="N66" s="95">
        <v>84753</v>
      </c>
      <c r="O66" s="95">
        <v>1550519</v>
      </c>
      <c r="P66" s="326">
        <v>15779018</v>
      </c>
      <c r="Q66" s="137" t="s">
        <v>27</v>
      </c>
      <c r="R66" s="93">
        <f>IF(表1_86121822242672112[[#This Row],[目标国家]]="魏",0,IF(表1_86121822242672112[[#This Row],[目标国家]]="蜀",1,2))</f>
        <v>2</v>
      </c>
      <c r="S66" s="95">
        <v>29286</v>
      </c>
      <c r="T66" s="95">
        <v>0</v>
      </c>
      <c r="U66" s="95">
        <v>228646</v>
      </c>
      <c r="V66" s="95">
        <v>4835</v>
      </c>
      <c r="W66" s="94">
        <v>826651</v>
      </c>
      <c r="X66" s="140" t="str">
        <f>"{"&amp;"'coin':"&amp;表1_86121822242672112[[#This Row],[补偿Coin]]&amp;",'"&amp;配置!$A$2&amp;"':"&amp;表1_86121822242672112[[#This Row],[补偿辎重]]&amp;"},"</f>
        <v>{'coin':1000,'item036':10},</v>
      </c>
      <c r="Y66" s="138" t="str">
        <f>"            'to_zone':'"&amp;表1_86121822242672112[[#This Row],[目标区服]]&amp;"',
            'reward':"&amp;表1_86121822242672112[[#This Row],[辅助导出]]&amp;"
            'country':["&amp;R65&amp;","&amp;R66&amp;","&amp;R67&amp;"],"</f>
        <v>            'to_zone':'h1_602',
            'reward':{'coin':1000,'item036':10},
            'country':[0,2,2],</v>
      </c>
    </row>
    <row r="67" s="354" customFormat="1" ht="14.25" customHeight="1" spans="1:25">
      <c r="A67" s="314">
        <v>5243</v>
      </c>
      <c r="B67" s="91">
        <f>VLOOKUP(表1_86121822242672112[[#This Row],[区服]],$P$113:$Q$148,2,FALSE)</f>
        <v>40</v>
      </c>
      <c r="C67" s="92" t="s">
        <v>256</v>
      </c>
      <c r="D67" s="93" t="str">
        <f>表1_86121822242672112[[#This Row],[目标国家]]</f>
        <v>吴</v>
      </c>
      <c r="E67" s="94">
        <f>(VLOOKUP(表1_86121822242672112[[#This Row],[目标区服]],$R$113:$S$124,2,FALSE)-表1_86121822242672112[[#This Row],[开服天数]])*配置!$B$1</f>
        <v>1000</v>
      </c>
      <c r="F67" s="95">
        <f>表1_86121822242672112[[#This Row],[补偿Coin]]*(表1_86121822242672112[[#This Row],[活跃高战玩家数]]+表1_86121822242672112[[#This Row],[活跃中坚玩家数]])</f>
        <v>38000</v>
      </c>
      <c r="G67" s="94">
        <f>(VLOOKUP(表1_86121822242672112[[#This Row],[目标区服]],$R$113:$S$124,2,FALSE)-表1_86121822242672112[[#This Row],[开服天数]])*配置!$B$2</f>
        <v>10</v>
      </c>
      <c r="H67" s="93" t="s">
        <v>27</v>
      </c>
      <c r="I67" s="93">
        <f>IF(表1_86121822242672112[[#This Row],[原国家]]="魏",0,IF(表1_86121822242672112[[#This Row],[原国家]]="蜀",1,2))</f>
        <v>2</v>
      </c>
      <c r="J67" s="95">
        <v>9</v>
      </c>
      <c r="K67" s="95">
        <v>350</v>
      </c>
      <c r="L67" s="95">
        <v>7</v>
      </c>
      <c r="M67" s="95">
        <v>31</v>
      </c>
      <c r="N67" s="95">
        <v>186056</v>
      </c>
      <c r="O67" s="95">
        <v>3566089</v>
      </c>
      <c r="P67" s="326">
        <v>32109331</v>
      </c>
      <c r="Q67" s="137" t="s">
        <v>27</v>
      </c>
      <c r="R67" s="93">
        <f>IF(表1_86121822242672112[[#This Row],[目标国家]]="魏",0,IF(表1_86121822242672112[[#This Row],[目标国家]]="蜀",1,2))</f>
        <v>2</v>
      </c>
      <c r="S67" s="95">
        <v>229058</v>
      </c>
      <c r="T67" s="95">
        <v>0</v>
      </c>
      <c r="U67" s="95">
        <v>668839</v>
      </c>
      <c r="V67" s="95">
        <v>19313</v>
      </c>
      <c r="W67" s="365">
        <v>1266441</v>
      </c>
      <c r="X67" s="140" t="str">
        <f>"{"&amp;"'coin':"&amp;表1_86121822242672112[[#This Row],[补偿Coin]]&amp;",'"&amp;配置!$A$2&amp;"':"&amp;表1_86121822242672112[[#This Row],[补偿辎重]]&amp;"},"</f>
        <v>{'coin':1000,'item036':10},</v>
      </c>
      <c r="Y67" s="138" t="str">
        <f>"      },"</f>
        <v>      },</v>
      </c>
    </row>
    <row r="68" s="354" customFormat="1" ht="14.25" customHeight="1" spans="1:25">
      <c r="A68" s="91">
        <v>5244</v>
      </c>
      <c r="B68" s="91">
        <f>VLOOKUP(表1_86121822242672112[[#This Row],[区服]],$P$113:$Q$148,2,FALSE)</f>
        <v>39</v>
      </c>
      <c r="C68" s="92" t="s">
        <v>256</v>
      </c>
      <c r="D68" s="313" t="str">
        <f>表1_86121822242672112[[#This Row],[目标国家]]</f>
        <v>蜀</v>
      </c>
      <c r="E68" s="94">
        <f>(VLOOKUP(表1_86121822242672112[[#This Row],[目标区服]],$R$113:$S$124,2,FALSE)-表1_86121822242672112[[#This Row],[开服天数]])*配置!$B$1</f>
        <v>1500</v>
      </c>
      <c r="F68" s="94">
        <f>表1_86121822242672112[[#This Row],[补偿Coin]]*(表1_86121822242672112[[#This Row],[活跃高战玩家数]]+表1_86121822242672112[[#This Row],[活跃中坚玩家数]])</f>
        <v>22500</v>
      </c>
      <c r="G68" s="94">
        <f>(VLOOKUP(表1_86121822242672112[[#This Row],[目标区服]],$R$113:$S$124,2,FALSE)-表1_86121822242672112[[#This Row],[开服天数]])*配置!$B$2</f>
        <v>15</v>
      </c>
      <c r="H68" s="93" t="s">
        <v>25</v>
      </c>
      <c r="I68" s="93">
        <f>IF(表1_86121822242672112[[#This Row],[原国家]]="魏",0,IF(表1_86121822242672112[[#This Row],[原国家]]="蜀",1,2))</f>
        <v>0</v>
      </c>
      <c r="J68" s="95">
        <v>2</v>
      </c>
      <c r="K68" s="95">
        <v>58</v>
      </c>
      <c r="L68" s="95">
        <v>1</v>
      </c>
      <c r="M68" s="95">
        <v>14</v>
      </c>
      <c r="N68" s="95">
        <v>33175</v>
      </c>
      <c r="O68" s="95">
        <v>1186522</v>
      </c>
      <c r="P68" s="326">
        <v>8041256</v>
      </c>
      <c r="Q68" s="137" t="s">
        <v>26</v>
      </c>
      <c r="R68" s="93">
        <f>IF(表1_86121822242672112[[#This Row],[目标国家]]="魏",0,IF(表1_86121822242672112[[#This Row],[目标国家]]="蜀",1,2))</f>
        <v>1</v>
      </c>
      <c r="S68" s="95">
        <v>16178</v>
      </c>
      <c r="T68" s="95">
        <v>0</v>
      </c>
      <c r="U68" s="95">
        <v>160309</v>
      </c>
      <c r="V68" s="95">
        <v>3502</v>
      </c>
      <c r="W68" s="94">
        <v>383776</v>
      </c>
      <c r="X68" s="140" t="str">
        <f>"{"&amp;"'coin':"&amp;表1_86121822242672112[[#This Row],[补偿Coin]]&amp;",'"&amp;配置!$A$2&amp;"':"&amp;表1_86121822242672112[[#This Row],[补偿辎重]]&amp;"},"</f>
        <v>{'coin':1500,'item036':15},</v>
      </c>
      <c r="Y68" s="138" t="str">
        <f>"      '"&amp;表1_86121822242672112[[#This Row],[区服]]&amp;"':{"</f>
        <v>      '5244':{</v>
      </c>
    </row>
    <row r="69" s="354" customFormat="1" ht="14.25" customHeight="1" spans="1:25">
      <c r="A69" s="314">
        <v>5244</v>
      </c>
      <c r="B69" s="91">
        <f>VLOOKUP(表1_86121822242672112[[#This Row],[区服]],$P$113:$Q$148,2,FALSE)</f>
        <v>39</v>
      </c>
      <c r="C69" s="92" t="s">
        <v>256</v>
      </c>
      <c r="D69" s="93" t="str">
        <f>表1_86121822242672112[[#This Row],[目标国家]]</f>
        <v>蜀</v>
      </c>
      <c r="E69" s="94">
        <f>(VLOOKUP(表1_86121822242672112[[#This Row],[目标区服]],$R$113:$S$124,2,FALSE)-表1_86121822242672112[[#This Row],[开服天数]])*配置!$B$1</f>
        <v>1500</v>
      </c>
      <c r="F69" s="95">
        <f>表1_86121822242672112[[#This Row],[补偿Coin]]*(表1_86121822242672112[[#This Row],[活跃高战玩家数]]+表1_86121822242672112[[#This Row],[活跃中坚玩家数]])</f>
        <v>58500</v>
      </c>
      <c r="G69" s="94">
        <f>(VLOOKUP(表1_86121822242672112[[#This Row],[目标区服]],$R$113:$S$124,2,FALSE)-表1_86121822242672112[[#This Row],[开服天数]])*配置!$B$2</f>
        <v>15</v>
      </c>
      <c r="H69" s="93" t="s">
        <v>26</v>
      </c>
      <c r="I69" s="93">
        <f>IF(表1_86121822242672112[[#This Row],[原国家]]="魏",0,IF(表1_86121822242672112[[#This Row],[原国家]]="蜀",1,2))</f>
        <v>1</v>
      </c>
      <c r="J69" s="95">
        <v>4</v>
      </c>
      <c r="K69" s="95">
        <v>215</v>
      </c>
      <c r="L69" s="95">
        <v>4</v>
      </c>
      <c r="M69" s="95">
        <v>35</v>
      </c>
      <c r="N69" s="95">
        <v>150875</v>
      </c>
      <c r="O69" s="95">
        <v>2553986</v>
      </c>
      <c r="P69" s="326">
        <v>29194546</v>
      </c>
      <c r="Q69" s="137" t="s">
        <v>26</v>
      </c>
      <c r="R69" s="93">
        <f>IF(表1_86121822242672112[[#This Row],[目标国家]]="魏",0,IF(表1_86121822242672112[[#This Row],[目标国家]]="蜀",1,2))</f>
        <v>1</v>
      </c>
      <c r="S69" s="95">
        <v>107710</v>
      </c>
      <c r="T69" s="95">
        <v>0</v>
      </c>
      <c r="U69" s="95">
        <v>509796</v>
      </c>
      <c r="V69" s="95">
        <v>12264</v>
      </c>
      <c r="W69" s="365">
        <v>793210</v>
      </c>
      <c r="X69" s="140" t="str">
        <f>"{"&amp;"'coin':"&amp;表1_86121822242672112[[#This Row],[补偿Coin]]&amp;",'"&amp;配置!$A$2&amp;"':"&amp;表1_86121822242672112[[#This Row],[补偿辎重]]&amp;"},"</f>
        <v>{'coin':1500,'item036':15},</v>
      </c>
      <c r="Y69" s="138" t="str">
        <f>"            'to_zone':'"&amp;表1_86121822242672112[[#This Row],[目标区服]]&amp;"',
            'reward':"&amp;表1_86121822242672112[[#This Row],[辅助导出]]&amp;"
            'country':["&amp;R68&amp;","&amp;R69&amp;","&amp;R70&amp;"],"</f>
        <v>            'to_zone':'h1_602',
            'reward':{'coin':1500,'item036':15},
            'country':[1,1,0],</v>
      </c>
    </row>
    <row r="70" s="354" customFormat="1" ht="14.25" customHeight="1" spans="1:25">
      <c r="A70" s="314">
        <v>5244</v>
      </c>
      <c r="B70" s="91">
        <f>VLOOKUP(表1_86121822242672112[[#This Row],[区服]],$P$113:$Q$148,2,FALSE)</f>
        <v>39</v>
      </c>
      <c r="C70" s="92" t="s">
        <v>256</v>
      </c>
      <c r="D70" s="93" t="str">
        <f>表1_86121822242672112[[#This Row],[目标国家]]</f>
        <v>魏</v>
      </c>
      <c r="E70" s="94">
        <f>(VLOOKUP(表1_86121822242672112[[#This Row],[目标区服]],$R$113:$S$124,2,FALSE)-表1_86121822242672112[[#This Row],[开服天数]])*配置!$B$1</f>
        <v>1500</v>
      </c>
      <c r="F70" s="95">
        <f>表1_86121822242672112[[#This Row],[补偿Coin]]*(表1_86121822242672112[[#This Row],[活跃高战玩家数]]+表1_86121822242672112[[#This Row],[活跃中坚玩家数]])</f>
        <v>48000</v>
      </c>
      <c r="G70" s="94">
        <f>(VLOOKUP(表1_86121822242672112[[#This Row],[目标区服]],$R$113:$S$124,2,FALSE)-表1_86121822242672112[[#This Row],[开服天数]])*配置!$B$2</f>
        <v>15</v>
      </c>
      <c r="H70" s="93" t="s">
        <v>27</v>
      </c>
      <c r="I70" s="93">
        <f>IF(表1_86121822242672112[[#This Row],[原国家]]="魏",0,IF(表1_86121822242672112[[#This Row],[原国家]]="蜀",1,2))</f>
        <v>2</v>
      </c>
      <c r="J70" s="95">
        <v>3</v>
      </c>
      <c r="K70" s="95">
        <v>122</v>
      </c>
      <c r="L70" s="95">
        <v>5</v>
      </c>
      <c r="M70" s="95">
        <v>27</v>
      </c>
      <c r="N70" s="95">
        <v>140421</v>
      </c>
      <c r="O70" s="95">
        <v>1932036</v>
      </c>
      <c r="P70" s="326">
        <v>24082881</v>
      </c>
      <c r="Q70" s="137" t="s">
        <v>25</v>
      </c>
      <c r="R70" s="93">
        <f>IF(表1_86121822242672112[[#This Row],[目标国家]]="魏",0,IF(表1_86121822242672112[[#This Row],[目标国家]]="蜀",1,2))</f>
        <v>0</v>
      </c>
      <c r="S70" s="95">
        <v>54602</v>
      </c>
      <c r="T70" s="95">
        <v>0</v>
      </c>
      <c r="U70" s="95">
        <v>332033</v>
      </c>
      <c r="V70" s="95">
        <v>8366</v>
      </c>
      <c r="W70" s="94">
        <v>506266</v>
      </c>
      <c r="X70" s="140" t="str">
        <f>"{"&amp;"'coin':"&amp;表1_86121822242672112[[#This Row],[补偿Coin]]&amp;",'"&amp;配置!$A$2&amp;"':"&amp;表1_86121822242672112[[#This Row],[补偿辎重]]&amp;"},"</f>
        <v>{'coin':1500,'item036':15},</v>
      </c>
      <c r="Y70" s="138" t="str">
        <f>"      },"</f>
        <v>      },</v>
      </c>
    </row>
    <row r="71" s="354" customFormat="1" ht="14.25" customHeight="1" spans="1:25">
      <c r="A71" s="91">
        <v>5245</v>
      </c>
      <c r="B71" s="91">
        <f>VLOOKUP(表1_86121822242672112[[#This Row],[区服]],$P$113:$Q$148,2,FALSE)</f>
        <v>39</v>
      </c>
      <c r="C71" s="92" t="s">
        <v>256</v>
      </c>
      <c r="D71" s="313" t="str">
        <f>表1_86121822242672112[[#This Row],[目标国家]]</f>
        <v>蜀</v>
      </c>
      <c r="E71" s="94">
        <f>(VLOOKUP(表1_86121822242672112[[#This Row],[目标区服]],$R$113:$S$124,2,FALSE)-表1_86121822242672112[[#This Row],[开服天数]])*配置!$B$1</f>
        <v>1500</v>
      </c>
      <c r="F71" s="94">
        <f>表1_86121822242672112[[#This Row],[补偿Coin]]*(表1_86121822242672112[[#This Row],[活跃高战玩家数]]+表1_86121822242672112[[#This Row],[活跃中坚玩家数]])</f>
        <v>16500</v>
      </c>
      <c r="G71" s="94">
        <f>(VLOOKUP(表1_86121822242672112[[#This Row],[目标区服]],$R$113:$S$124,2,FALSE)-表1_86121822242672112[[#This Row],[开服天数]])*配置!$B$2</f>
        <v>15</v>
      </c>
      <c r="H71" s="93" t="s">
        <v>25</v>
      </c>
      <c r="I71" s="93">
        <f>IF(表1_86121822242672112[[#This Row],[原国家]]="魏",0,IF(表1_86121822242672112[[#This Row],[原国家]]="蜀",1,2))</f>
        <v>0</v>
      </c>
      <c r="J71" s="95">
        <v>0</v>
      </c>
      <c r="K71" s="95">
        <v>36</v>
      </c>
      <c r="L71" s="95">
        <v>1</v>
      </c>
      <c r="M71" s="95">
        <v>10</v>
      </c>
      <c r="N71" s="95">
        <v>32669</v>
      </c>
      <c r="O71" s="95">
        <v>881272</v>
      </c>
      <c r="P71" s="326">
        <v>5245716</v>
      </c>
      <c r="Q71" s="137" t="s">
        <v>26</v>
      </c>
      <c r="R71" s="93">
        <f>IF(表1_86121822242672112[[#This Row],[目标国家]]="魏",0,IF(表1_86121822242672112[[#This Row],[目标国家]]="蜀",1,2))</f>
        <v>1</v>
      </c>
      <c r="S71" s="95">
        <v>9608</v>
      </c>
      <c r="T71" s="95">
        <v>0</v>
      </c>
      <c r="U71" s="95">
        <v>73491</v>
      </c>
      <c r="V71" s="95">
        <v>2254</v>
      </c>
      <c r="W71" s="94">
        <v>362771</v>
      </c>
      <c r="X71" s="140" t="str">
        <f>"{"&amp;"'coin':"&amp;表1_86121822242672112[[#This Row],[补偿Coin]]&amp;",'"&amp;配置!$A$2&amp;"':"&amp;表1_86121822242672112[[#This Row],[补偿辎重]]&amp;"},"</f>
        <v>{'coin':1500,'item036':15},</v>
      </c>
      <c r="Y71" s="138" t="str">
        <f>"      '"&amp;表1_86121822242672112[[#This Row],[区服]]&amp;"':{"</f>
        <v>      '5245':{</v>
      </c>
    </row>
    <row r="72" s="354" customFormat="1" ht="14.25" customHeight="1" spans="1:25">
      <c r="A72" s="314">
        <v>5245</v>
      </c>
      <c r="B72" s="91">
        <f>VLOOKUP(表1_86121822242672112[[#This Row],[区服]],$P$113:$Q$148,2,FALSE)</f>
        <v>39</v>
      </c>
      <c r="C72" s="92" t="s">
        <v>256</v>
      </c>
      <c r="D72" s="93" t="str">
        <f>表1_86121822242672112[[#This Row],[目标国家]]</f>
        <v>魏</v>
      </c>
      <c r="E72" s="94">
        <f>(VLOOKUP(表1_86121822242672112[[#This Row],[目标区服]],$R$113:$S$124,2,FALSE)-表1_86121822242672112[[#This Row],[开服天数]])*配置!$B$1</f>
        <v>1500</v>
      </c>
      <c r="F72" s="95">
        <f>表1_86121822242672112[[#This Row],[补偿Coin]]*(表1_86121822242672112[[#This Row],[活跃高战玩家数]]+表1_86121822242672112[[#This Row],[活跃中坚玩家数]])</f>
        <v>58500</v>
      </c>
      <c r="G72" s="94">
        <f>(VLOOKUP(表1_86121822242672112[[#This Row],[目标区服]],$R$113:$S$124,2,FALSE)-表1_86121822242672112[[#This Row],[开服天数]])*配置!$B$2</f>
        <v>15</v>
      </c>
      <c r="H72" s="93" t="s">
        <v>26</v>
      </c>
      <c r="I72" s="93">
        <f>IF(表1_86121822242672112[[#This Row],[原国家]]="魏",0,IF(表1_86121822242672112[[#This Row],[原国家]]="蜀",1,2))</f>
        <v>1</v>
      </c>
      <c r="J72" s="95">
        <v>7</v>
      </c>
      <c r="K72" s="95">
        <v>270</v>
      </c>
      <c r="L72" s="95">
        <v>6</v>
      </c>
      <c r="M72" s="95">
        <v>33</v>
      </c>
      <c r="N72" s="95">
        <v>181250</v>
      </c>
      <c r="O72" s="95">
        <v>2265356</v>
      </c>
      <c r="P72" s="326">
        <v>26707372</v>
      </c>
      <c r="Q72" s="137" t="s">
        <v>25</v>
      </c>
      <c r="R72" s="93">
        <f>IF(表1_86121822242672112[[#This Row],[目标国家]]="魏",0,IF(表1_86121822242672112[[#This Row],[目标国家]]="蜀",1,2))</f>
        <v>0</v>
      </c>
      <c r="S72" s="95">
        <v>104676</v>
      </c>
      <c r="T72" s="95">
        <v>0</v>
      </c>
      <c r="U72" s="95">
        <v>719425</v>
      </c>
      <c r="V72" s="95">
        <v>12742</v>
      </c>
      <c r="W72" s="365">
        <v>766047</v>
      </c>
      <c r="X72" s="140" t="str">
        <f>"{"&amp;"'coin':"&amp;表1_86121822242672112[[#This Row],[补偿Coin]]&amp;",'"&amp;配置!$A$2&amp;"':"&amp;表1_86121822242672112[[#This Row],[补偿辎重]]&amp;"},"</f>
        <v>{'coin':1500,'item036':15},</v>
      </c>
      <c r="Y72" s="138" t="str">
        <f>"            'to_zone':'"&amp;表1_86121822242672112[[#This Row],[目标区服]]&amp;"',
            'reward':"&amp;表1_86121822242672112[[#This Row],[辅助导出]]&amp;"
            'country':["&amp;R71&amp;","&amp;R72&amp;","&amp;R73&amp;"],"</f>
        <v>            'to_zone':'h1_602',
            'reward':{'coin':1500,'item036':15},
            'country':[1,0,1],</v>
      </c>
    </row>
    <row r="73" s="354" customFormat="1" ht="14.25" customHeight="1" spans="1:25">
      <c r="A73" s="314">
        <v>5245</v>
      </c>
      <c r="B73" s="91">
        <f>VLOOKUP(表1_86121822242672112[[#This Row],[区服]],$P$113:$Q$148,2,FALSE)</f>
        <v>39</v>
      </c>
      <c r="C73" s="92" t="s">
        <v>256</v>
      </c>
      <c r="D73" s="93" t="str">
        <f>表1_86121822242672112[[#This Row],[目标国家]]</f>
        <v>蜀</v>
      </c>
      <c r="E73" s="94">
        <f>(VLOOKUP(表1_86121822242672112[[#This Row],[目标区服]],$R$113:$S$124,2,FALSE)-表1_86121822242672112[[#This Row],[开服天数]])*配置!$B$1</f>
        <v>1500</v>
      </c>
      <c r="F73" s="95">
        <f>表1_86121822242672112[[#This Row],[补偿Coin]]*(表1_86121822242672112[[#This Row],[活跃高战玩家数]]+表1_86121822242672112[[#This Row],[活跃中坚玩家数]])</f>
        <v>33000</v>
      </c>
      <c r="G73" s="94">
        <f>(VLOOKUP(表1_86121822242672112[[#This Row],[目标区服]],$R$113:$S$124,2,FALSE)-表1_86121822242672112[[#This Row],[开服天数]])*配置!$B$2</f>
        <v>15</v>
      </c>
      <c r="H73" s="93" t="s">
        <v>27</v>
      </c>
      <c r="I73" s="93">
        <f>IF(表1_86121822242672112[[#This Row],[原国家]]="魏",0,IF(表1_86121822242672112[[#This Row],[原国家]]="蜀",1,2))</f>
        <v>2</v>
      </c>
      <c r="J73" s="95">
        <v>2</v>
      </c>
      <c r="K73" s="95">
        <v>89</v>
      </c>
      <c r="L73" s="95">
        <v>3</v>
      </c>
      <c r="M73" s="95">
        <v>19</v>
      </c>
      <c r="N73" s="95">
        <v>97473</v>
      </c>
      <c r="O73" s="95">
        <v>1933984</v>
      </c>
      <c r="P73" s="326">
        <v>15316317</v>
      </c>
      <c r="Q73" s="137" t="s">
        <v>26</v>
      </c>
      <c r="R73" s="93">
        <f>IF(表1_86121822242672112[[#This Row],[目标国家]]="魏",0,IF(表1_86121822242672112[[#This Row],[目标国家]]="蜀",1,2))</f>
        <v>1</v>
      </c>
      <c r="S73" s="95">
        <v>74644</v>
      </c>
      <c r="T73" s="95">
        <v>0</v>
      </c>
      <c r="U73" s="95">
        <v>289284</v>
      </c>
      <c r="V73" s="95">
        <v>7426</v>
      </c>
      <c r="W73" s="94">
        <v>522881</v>
      </c>
      <c r="X73" s="140" t="str">
        <f>"{"&amp;"'coin':"&amp;表1_86121822242672112[[#This Row],[补偿Coin]]&amp;",'"&amp;配置!$A$2&amp;"':"&amp;表1_86121822242672112[[#This Row],[补偿辎重]]&amp;"},"</f>
        <v>{'coin':1500,'item036':15},</v>
      </c>
      <c r="Y73" s="138" t="str">
        <f>"      },"</f>
        <v>      },</v>
      </c>
    </row>
    <row r="74" s="354" customFormat="1" ht="14.25" customHeight="1" spans="1:25">
      <c r="A74" s="150">
        <v>5246</v>
      </c>
      <c r="B74" s="150">
        <f>VLOOKUP(表1_86121822242672112[[#This Row],[区服]],$P$113:$Q$148,2,FALSE)</f>
        <v>39</v>
      </c>
      <c r="C74" s="151" t="s">
        <v>257</v>
      </c>
      <c r="D74" s="256" t="str">
        <f>表1_86121822242672112[[#This Row],[目标国家]]</f>
        <v>魏</v>
      </c>
      <c r="E74" s="153">
        <f>(VLOOKUP(表1_86121822242672112[[#This Row],[目标区服]],$R$113:$S$124,2,FALSE)-表1_86121822242672112[[#This Row],[开服天数]])*配置!$B$1</f>
        <v>1000</v>
      </c>
      <c r="F74" s="153">
        <f>表1_86121822242672112[[#This Row],[补偿Coin]]*(表1_86121822242672112[[#This Row],[活跃高战玩家数]]+表1_86121822242672112[[#This Row],[活跃中坚玩家数]])</f>
        <v>38000</v>
      </c>
      <c r="G74" s="153">
        <f>(VLOOKUP(表1_86121822242672112[[#This Row],[目标区服]],$R$113:$S$124,2,FALSE)-表1_86121822242672112[[#This Row],[开服天数]])*配置!$B$2</f>
        <v>10</v>
      </c>
      <c r="H74" s="152" t="s">
        <v>25</v>
      </c>
      <c r="I74" s="152">
        <f>IF(表1_86121822242672112[[#This Row],[原国家]]="魏",0,IF(表1_86121822242672112[[#This Row],[原国家]]="蜀",1,2))</f>
        <v>0</v>
      </c>
      <c r="J74" s="154">
        <v>6</v>
      </c>
      <c r="K74" s="154">
        <v>236</v>
      </c>
      <c r="L74" s="154">
        <v>7</v>
      </c>
      <c r="M74" s="154">
        <v>31</v>
      </c>
      <c r="N74" s="154">
        <v>165024</v>
      </c>
      <c r="O74" s="154">
        <v>1977072</v>
      </c>
      <c r="P74" s="328">
        <v>24982194</v>
      </c>
      <c r="Q74" s="193" t="s">
        <v>25</v>
      </c>
      <c r="R74" s="152">
        <f>IF(表1_86121822242672112[[#This Row],[目标国家]]="魏",0,IF(表1_86121822242672112[[#This Row],[目标国家]]="蜀",1,2))</f>
        <v>0</v>
      </c>
      <c r="S74" s="154">
        <v>52177</v>
      </c>
      <c r="T74" s="154">
        <v>0</v>
      </c>
      <c r="U74" s="154">
        <v>579399</v>
      </c>
      <c r="V74" s="154">
        <v>10115</v>
      </c>
      <c r="W74" s="364">
        <v>584747</v>
      </c>
      <c r="X74" s="196" t="str">
        <f>"{"&amp;"'coin':"&amp;表1_86121822242672112[[#This Row],[补偿Coin]]&amp;",'"&amp;配置!$A$2&amp;"':"&amp;表1_86121822242672112[[#This Row],[补偿辎重]]&amp;"},"</f>
        <v>{'coin':1000,'item036':10},</v>
      </c>
      <c r="Y74" s="194" t="str">
        <f>"      '"&amp;表1_86121822242672112[[#This Row],[区服]]&amp;"':{"</f>
        <v>      '5246':{</v>
      </c>
    </row>
    <row r="75" s="354" customFormat="1" ht="14.25" customHeight="1" spans="1:25">
      <c r="A75" s="257">
        <v>5246</v>
      </c>
      <c r="B75" s="150">
        <f>VLOOKUP(表1_86121822242672112[[#This Row],[区服]],$P$113:$Q$148,2,FALSE)</f>
        <v>39</v>
      </c>
      <c r="C75" s="151" t="s">
        <v>257</v>
      </c>
      <c r="D75" s="152" t="str">
        <f>表1_86121822242672112[[#This Row],[目标国家]]</f>
        <v>蜀</v>
      </c>
      <c r="E75" s="153">
        <f>(VLOOKUP(表1_86121822242672112[[#This Row],[目标区服]],$R$113:$S$124,2,FALSE)-表1_86121822242672112[[#This Row],[开服天数]])*配置!$B$1</f>
        <v>1000</v>
      </c>
      <c r="F75" s="154">
        <f>表1_86121822242672112[[#This Row],[补偿Coin]]*(表1_86121822242672112[[#This Row],[活跃高战玩家数]]+表1_86121822242672112[[#This Row],[活跃中坚玩家数]])</f>
        <v>20000</v>
      </c>
      <c r="G75" s="153">
        <f>(VLOOKUP(表1_86121822242672112[[#This Row],[目标区服]],$R$113:$S$124,2,FALSE)-表1_86121822242672112[[#This Row],[开服天数]])*配置!$B$2</f>
        <v>10</v>
      </c>
      <c r="H75" s="152" t="s">
        <v>26</v>
      </c>
      <c r="I75" s="152">
        <f>IF(表1_86121822242672112[[#This Row],[原国家]]="魏",0,IF(表1_86121822242672112[[#This Row],[原国家]]="蜀",1,2))</f>
        <v>1</v>
      </c>
      <c r="J75" s="154">
        <v>1</v>
      </c>
      <c r="K75" s="154">
        <v>72</v>
      </c>
      <c r="L75" s="154">
        <v>0</v>
      </c>
      <c r="M75" s="154">
        <v>20</v>
      </c>
      <c r="N75" s="154">
        <v>65136</v>
      </c>
      <c r="O75" s="154">
        <v>1222193</v>
      </c>
      <c r="P75" s="328">
        <v>10394575</v>
      </c>
      <c r="Q75" s="193" t="s">
        <v>26</v>
      </c>
      <c r="R75" s="152">
        <f>IF(表1_86121822242672112[[#This Row],[目标国家]]="魏",0,IF(表1_86121822242672112[[#This Row],[目标国家]]="蜀",1,2))</f>
        <v>1</v>
      </c>
      <c r="S75" s="154">
        <v>11902</v>
      </c>
      <c r="T75" s="154">
        <v>0</v>
      </c>
      <c r="U75" s="154">
        <v>144557</v>
      </c>
      <c r="V75" s="154">
        <v>3836</v>
      </c>
      <c r="W75" s="153">
        <v>337260</v>
      </c>
      <c r="X75" s="196" t="str">
        <f>"{"&amp;"'coin':"&amp;表1_86121822242672112[[#This Row],[补偿Coin]]&amp;",'"&amp;配置!$A$2&amp;"':"&amp;表1_86121822242672112[[#This Row],[补偿辎重]]&amp;"},"</f>
        <v>{'coin':1000,'item036':10},</v>
      </c>
      <c r="Y75" s="194" t="str">
        <f>"            'to_zone':'"&amp;表1_86121822242672112[[#This Row],[目标区服]]&amp;"',
            'reward':"&amp;表1_86121822242672112[[#This Row],[辅助导出]]&amp;"
            'country':["&amp;R74&amp;","&amp;R75&amp;","&amp;R76&amp;"],"</f>
        <v>            'to_zone':'h1_603',
            'reward':{'coin':1000,'item036':10},
            'country':[0,1,0],</v>
      </c>
    </row>
    <row r="76" s="354" customFormat="1" ht="14.25" customHeight="1" spans="1:25">
      <c r="A76" s="257">
        <v>5246</v>
      </c>
      <c r="B76" s="150">
        <f>VLOOKUP(表1_86121822242672112[[#This Row],[区服]],$P$113:$Q$148,2,FALSE)</f>
        <v>39</v>
      </c>
      <c r="C76" s="151" t="s">
        <v>257</v>
      </c>
      <c r="D76" s="152" t="str">
        <f>表1_86121822242672112[[#This Row],[目标国家]]</f>
        <v>魏</v>
      </c>
      <c r="E76" s="153">
        <f>(VLOOKUP(表1_86121822242672112[[#This Row],[目标区服]],$R$113:$S$124,2,FALSE)-表1_86121822242672112[[#This Row],[开服天数]])*配置!$B$1</f>
        <v>1000</v>
      </c>
      <c r="F76" s="154">
        <f>表1_86121822242672112[[#This Row],[补偿Coin]]*(表1_86121822242672112[[#This Row],[活跃高战玩家数]]+表1_86121822242672112[[#This Row],[活跃中坚玩家数]])</f>
        <v>15000</v>
      </c>
      <c r="G76" s="153">
        <f>(VLOOKUP(表1_86121822242672112[[#This Row],[目标区服]],$R$113:$S$124,2,FALSE)-表1_86121822242672112[[#This Row],[开服天数]])*配置!$B$2</f>
        <v>10</v>
      </c>
      <c r="H76" s="152" t="s">
        <v>27</v>
      </c>
      <c r="I76" s="152">
        <f>IF(表1_86121822242672112[[#This Row],[原国家]]="魏",0,IF(表1_86121822242672112[[#This Row],[原国家]]="蜀",1,2))</f>
        <v>2</v>
      </c>
      <c r="J76" s="154">
        <v>2</v>
      </c>
      <c r="K76" s="154">
        <v>87</v>
      </c>
      <c r="L76" s="154">
        <v>1</v>
      </c>
      <c r="M76" s="154">
        <v>14</v>
      </c>
      <c r="N76" s="154">
        <v>50871</v>
      </c>
      <c r="O76" s="154">
        <v>1173998</v>
      </c>
      <c r="P76" s="328">
        <v>7955946</v>
      </c>
      <c r="Q76" s="193" t="s">
        <v>25</v>
      </c>
      <c r="R76" s="152">
        <f>IF(表1_86121822242672112[[#This Row],[目标国家]]="魏",0,IF(表1_86121822242672112[[#This Row],[目标国家]]="蜀",1,2))</f>
        <v>0</v>
      </c>
      <c r="S76" s="154">
        <v>8334</v>
      </c>
      <c r="T76" s="154">
        <v>0</v>
      </c>
      <c r="U76" s="154">
        <v>79188</v>
      </c>
      <c r="V76" s="154">
        <v>3583</v>
      </c>
      <c r="W76" s="153">
        <v>342288</v>
      </c>
      <c r="X76" s="196" t="str">
        <f>"{"&amp;"'coin':"&amp;表1_86121822242672112[[#This Row],[补偿Coin]]&amp;",'"&amp;配置!$A$2&amp;"':"&amp;表1_86121822242672112[[#This Row],[补偿辎重]]&amp;"},"</f>
        <v>{'coin':1000,'item036':10},</v>
      </c>
      <c r="Y76" s="194" t="str">
        <f>"      },"</f>
        <v>      },</v>
      </c>
    </row>
    <row r="77" s="354" customFormat="1" ht="14.25" customHeight="1" spans="1:25">
      <c r="A77" s="150">
        <v>5247</v>
      </c>
      <c r="B77" s="150">
        <f>VLOOKUP(表1_86121822242672112[[#This Row],[区服]],$P$113:$Q$148,2,FALSE)</f>
        <v>38</v>
      </c>
      <c r="C77" s="151" t="s">
        <v>257</v>
      </c>
      <c r="D77" s="256" t="str">
        <f>表1_86121822242672112[[#This Row],[目标国家]]</f>
        <v>蜀</v>
      </c>
      <c r="E77" s="153">
        <f>(VLOOKUP(表1_86121822242672112[[#This Row],[目标区服]],$R$113:$S$124,2,FALSE)-表1_86121822242672112[[#This Row],[开服天数]])*配置!$B$1</f>
        <v>1500</v>
      </c>
      <c r="F77" s="153">
        <f>表1_86121822242672112[[#This Row],[补偿Coin]]*(表1_86121822242672112[[#This Row],[活跃高战玩家数]]+表1_86121822242672112[[#This Row],[活跃中坚玩家数]])</f>
        <v>30000</v>
      </c>
      <c r="G77" s="153">
        <f>(VLOOKUP(表1_86121822242672112[[#This Row],[目标区服]],$R$113:$S$124,2,FALSE)-表1_86121822242672112[[#This Row],[开服天数]])*配置!$B$2</f>
        <v>15</v>
      </c>
      <c r="H77" s="152" t="s">
        <v>25</v>
      </c>
      <c r="I77" s="152">
        <f>IF(表1_86121822242672112[[#This Row],[原国家]]="魏",0,IF(表1_86121822242672112[[#This Row],[原国家]]="蜀",1,2))</f>
        <v>0</v>
      </c>
      <c r="J77" s="154">
        <v>5</v>
      </c>
      <c r="K77" s="154">
        <v>177</v>
      </c>
      <c r="L77" s="154">
        <v>5</v>
      </c>
      <c r="M77" s="154">
        <v>15</v>
      </c>
      <c r="N77" s="154">
        <v>119502</v>
      </c>
      <c r="O77" s="154">
        <v>2502982</v>
      </c>
      <c r="P77" s="328">
        <v>16824762</v>
      </c>
      <c r="Q77" s="193" t="s">
        <v>26</v>
      </c>
      <c r="R77" s="152">
        <f>IF(表1_86121822242672112[[#This Row],[目标国家]]="魏",0,IF(表1_86121822242672112[[#This Row],[目标国家]]="蜀",1,2))</f>
        <v>1</v>
      </c>
      <c r="S77" s="154">
        <v>32594</v>
      </c>
      <c r="T77" s="154">
        <v>37858</v>
      </c>
      <c r="U77" s="154">
        <v>363274</v>
      </c>
      <c r="V77" s="154">
        <v>8591</v>
      </c>
      <c r="W77" s="364">
        <v>714159</v>
      </c>
      <c r="X77" s="196" t="str">
        <f>"{"&amp;"'coin':"&amp;表1_86121822242672112[[#This Row],[补偿Coin]]&amp;",'"&amp;配置!$A$2&amp;"':"&amp;表1_86121822242672112[[#This Row],[补偿辎重]]&amp;"},"</f>
        <v>{'coin':1500,'item036':15},</v>
      </c>
      <c r="Y77" s="194" t="str">
        <f>"      '"&amp;表1_86121822242672112[[#This Row],[区服]]&amp;"':{"</f>
        <v>      '5247':{</v>
      </c>
    </row>
    <row r="78" s="354" customFormat="1" ht="14.25" customHeight="1" spans="1:25">
      <c r="A78" s="257">
        <v>5247</v>
      </c>
      <c r="B78" s="150">
        <f>VLOOKUP(表1_86121822242672112[[#This Row],[区服]],$P$113:$Q$148,2,FALSE)</f>
        <v>38</v>
      </c>
      <c r="C78" s="151" t="s">
        <v>257</v>
      </c>
      <c r="D78" s="152" t="str">
        <f>表1_86121822242672112[[#This Row],[目标国家]]</f>
        <v>魏</v>
      </c>
      <c r="E78" s="153">
        <f>(VLOOKUP(表1_86121822242672112[[#This Row],[目标区服]],$R$113:$S$124,2,FALSE)-表1_86121822242672112[[#This Row],[开服天数]])*配置!$B$1</f>
        <v>1500</v>
      </c>
      <c r="F78" s="154">
        <f>表1_86121822242672112[[#This Row],[补偿Coin]]*(表1_86121822242672112[[#This Row],[活跃高战玩家数]]+表1_86121822242672112[[#This Row],[活跃中坚玩家数]])</f>
        <v>31500</v>
      </c>
      <c r="G78" s="153">
        <f>(VLOOKUP(表1_86121822242672112[[#This Row],[目标区服]],$R$113:$S$124,2,FALSE)-表1_86121822242672112[[#This Row],[开服天数]])*配置!$B$2</f>
        <v>15</v>
      </c>
      <c r="H78" s="152" t="s">
        <v>26</v>
      </c>
      <c r="I78" s="152">
        <f>IF(表1_86121822242672112[[#This Row],[原国家]]="魏",0,IF(表1_86121822242672112[[#This Row],[原国家]]="蜀",1,2))</f>
        <v>1</v>
      </c>
      <c r="J78" s="154">
        <v>1</v>
      </c>
      <c r="K78" s="154">
        <v>82</v>
      </c>
      <c r="L78" s="154">
        <v>2</v>
      </c>
      <c r="M78" s="154">
        <v>19</v>
      </c>
      <c r="N78" s="154">
        <v>58505</v>
      </c>
      <c r="O78" s="154">
        <v>1310319</v>
      </c>
      <c r="P78" s="328">
        <v>10099035</v>
      </c>
      <c r="Q78" s="193" t="s">
        <v>25</v>
      </c>
      <c r="R78" s="152">
        <f>IF(表1_86121822242672112[[#This Row],[目标国家]]="魏",0,IF(表1_86121822242672112[[#This Row],[目标国家]]="蜀",1,2))</f>
        <v>0</v>
      </c>
      <c r="S78" s="154">
        <v>28616</v>
      </c>
      <c r="T78" s="154">
        <v>0</v>
      </c>
      <c r="U78" s="154">
        <v>266461</v>
      </c>
      <c r="V78" s="154">
        <v>4524</v>
      </c>
      <c r="W78" s="153">
        <v>411827</v>
      </c>
      <c r="X78" s="196" t="str">
        <f>"{"&amp;"'coin':"&amp;表1_86121822242672112[[#This Row],[补偿Coin]]&amp;",'"&amp;配置!$A$2&amp;"':"&amp;表1_86121822242672112[[#This Row],[补偿辎重]]&amp;"},"</f>
        <v>{'coin':1500,'item036':15},</v>
      </c>
      <c r="Y78" s="194" t="str">
        <f>"            'to_zone':'"&amp;表1_86121822242672112[[#This Row],[目标区服]]&amp;"',
            'reward':"&amp;表1_86121822242672112[[#This Row],[辅助导出]]&amp;"
            'country':["&amp;R77&amp;","&amp;R78&amp;","&amp;R79&amp;"],"</f>
        <v>            'to_zone':'h1_603',
            'reward':{'coin':1500,'item036':15},
            'country':[1,0,2],</v>
      </c>
    </row>
    <row r="79" s="354" customFormat="1" ht="14.25" customHeight="1" spans="1:25">
      <c r="A79" s="257">
        <v>5247</v>
      </c>
      <c r="B79" s="150">
        <f>VLOOKUP(表1_86121822242672112[[#This Row],[区服]],$P$113:$Q$148,2,FALSE)</f>
        <v>38</v>
      </c>
      <c r="C79" s="151" t="s">
        <v>257</v>
      </c>
      <c r="D79" s="152" t="str">
        <f>表1_86121822242672112[[#This Row],[目标国家]]</f>
        <v>吴</v>
      </c>
      <c r="E79" s="153">
        <f>(VLOOKUP(表1_86121822242672112[[#This Row],[目标区服]],$R$113:$S$124,2,FALSE)-表1_86121822242672112[[#This Row],[开服天数]])*配置!$B$1</f>
        <v>1500</v>
      </c>
      <c r="F79" s="154">
        <f>表1_86121822242672112[[#This Row],[补偿Coin]]*(表1_86121822242672112[[#This Row],[活跃高战玩家数]]+表1_86121822242672112[[#This Row],[活跃中坚玩家数]])</f>
        <v>30000</v>
      </c>
      <c r="G79" s="153">
        <f>(VLOOKUP(表1_86121822242672112[[#This Row],[目标区服]],$R$113:$S$124,2,FALSE)-表1_86121822242672112[[#This Row],[开服天数]])*配置!$B$2</f>
        <v>15</v>
      </c>
      <c r="H79" s="152" t="s">
        <v>27</v>
      </c>
      <c r="I79" s="152">
        <f>IF(表1_86121822242672112[[#This Row],[原国家]]="魏",0,IF(表1_86121822242672112[[#This Row],[原国家]]="蜀",1,2))</f>
        <v>2</v>
      </c>
      <c r="J79" s="154">
        <v>3</v>
      </c>
      <c r="K79" s="154">
        <v>136</v>
      </c>
      <c r="L79" s="154">
        <v>2</v>
      </c>
      <c r="M79" s="154">
        <v>18</v>
      </c>
      <c r="N79" s="154">
        <v>85173</v>
      </c>
      <c r="O79" s="154">
        <v>1901249</v>
      </c>
      <c r="P79" s="328">
        <v>12946554</v>
      </c>
      <c r="Q79" s="193" t="s">
        <v>27</v>
      </c>
      <c r="R79" s="152">
        <f>IF(表1_86121822242672112[[#This Row],[目标国家]]="魏",0,IF(表1_86121822242672112[[#This Row],[目标国家]]="蜀",1,2))</f>
        <v>2</v>
      </c>
      <c r="S79" s="154">
        <v>22328</v>
      </c>
      <c r="T79" s="154">
        <v>0</v>
      </c>
      <c r="U79" s="154">
        <v>370595</v>
      </c>
      <c r="V79" s="154">
        <v>6136</v>
      </c>
      <c r="W79" s="364">
        <v>630936</v>
      </c>
      <c r="X79" s="196" t="str">
        <f>"{"&amp;"'coin':"&amp;表1_86121822242672112[[#This Row],[补偿Coin]]&amp;",'"&amp;配置!$A$2&amp;"':"&amp;表1_86121822242672112[[#This Row],[补偿辎重]]&amp;"},"</f>
        <v>{'coin':1500,'item036':15},</v>
      </c>
      <c r="Y79" s="194" t="str">
        <f>"      },"</f>
        <v>      },</v>
      </c>
    </row>
    <row r="80" s="354" customFormat="1" ht="14.25" customHeight="1" spans="1:25">
      <c r="A80" s="150">
        <v>5248</v>
      </c>
      <c r="B80" s="150">
        <f>VLOOKUP(表1_86121822242672112[[#This Row],[区服]],$P$113:$Q$148,2,FALSE)</f>
        <v>38</v>
      </c>
      <c r="C80" s="151" t="s">
        <v>257</v>
      </c>
      <c r="D80" s="256" t="str">
        <f>表1_86121822242672112[[#This Row],[目标国家]]</f>
        <v>吴</v>
      </c>
      <c r="E80" s="153">
        <f>(VLOOKUP(表1_86121822242672112[[#This Row],[目标区服]],$R$113:$S$124,2,FALSE)-表1_86121822242672112[[#This Row],[开服天数]])*配置!$B$1</f>
        <v>1500</v>
      </c>
      <c r="F80" s="153">
        <f>表1_86121822242672112[[#This Row],[补偿Coin]]*(表1_86121822242672112[[#This Row],[活跃高战玩家数]]+表1_86121822242672112[[#This Row],[活跃中坚玩家数]])</f>
        <v>55500</v>
      </c>
      <c r="G80" s="153">
        <f>(VLOOKUP(表1_86121822242672112[[#This Row],[目标区服]],$R$113:$S$124,2,FALSE)-表1_86121822242672112[[#This Row],[开服天数]])*配置!$B$2</f>
        <v>15</v>
      </c>
      <c r="H80" s="152" t="s">
        <v>25</v>
      </c>
      <c r="I80" s="152">
        <f>IF(表1_86121822242672112[[#This Row],[原国家]]="魏",0,IF(表1_86121822242672112[[#This Row],[原国家]]="蜀",1,2))</f>
        <v>0</v>
      </c>
      <c r="J80" s="154">
        <v>6</v>
      </c>
      <c r="K80" s="154">
        <v>260</v>
      </c>
      <c r="L80" s="154">
        <v>7</v>
      </c>
      <c r="M80" s="154">
        <v>30</v>
      </c>
      <c r="N80" s="154">
        <v>184490</v>
      </c>
      <c r="O80" s="154">
        <v>1933213</v>
      </c>
      <c r="P80" s="328">
        <v>23114385</v>
      </c>
      <c r="Q80" s="193" t="s">
        <v>27</v>
      </c>
      <c r="R80" s="152">
        <f>IF(表1_86121822242672112[[#This Row],[目标国家]]="魏",0,IF(表1_86121822242672112[[#This Row],[目标国家]]="蜀",1,2))</f>
        <v>2</v>
      </c>
      <c r="S80" s="154">
        <v>47392</v>
      </c>
      <c r="T80" s="154">
        <v>0</v>
      </c>
      <c r="U80" s="154">
        <v>336074</v>
      </c>
      <c r="V80" s="154">
        <v>9956</v>
      </c>
      <c r="W80" s="153">
        <v>572968</v>
      </c>
      <c r="X80" s="196" t="str">
        <f>"{"&amp;"'coin':"&amp;表1_86121822242672112[[#This Row],[补偿Coin]]&amp;",'"&amp;配置!$A$2&amp;"':"&amp;表1_86121822242672112[[#This Row],[补偿辎重]]&amp;"},"</f>
        <v>{'coin':1500,'item036':15},</v>
      </c>
      <c r="Y80" s="194" t="str">
        <f>"      '"&amp;表1_86121822242672112[[#This Row],[区服]]&amp;"':{"</f>
        <v>      '5248':{</v>
      </c>
    </row>
    <row r="81" s="354" customFormat="1" ht="14.25" customHeight="1" spans="1:25">
      <c r="A81" s="257">
        <v>5248</v>
      </c>
      <c r="B81" s="150">
        <f>VLOOKUP(表1_86121822242672112[[#This Row],[区服]],$P$113:$Q$148,2,FALSE)</f>
        <v>38</v>
      </c>
      <c r="C81" s="151" t="s">
        <v>257</v>
      </c>
      <c r="D81" s="152" t="str">
        <f>表1_86121822242672112[[#This Row],[目标国家]]</f>
        <v>吴</v>
      </c>
      <c r="E81" s="153">
        <f>(VLOOKUP(表1_86121822242672112[[#This Row],[目标区服]],$R$113:$S$124,2,FALSE)-表1_86121822242672112[[#This Row],[开服天数]])*配置!$B$1</f>
        <v>1500</v>
      </c>
      <c r="F81" s="154">
        <f>表1_86121822242672112[[#This Row],[补偿Coin]]*(表1_86121822242672112[[#This Row],[活跃高战玩家数]]+表1_86121822242672112[[#This Row],[活跃中坚玩家数]])</f>
        <v>21000</v>
      </c>
      <c r="G81" s="153">
        <f>(VLOOKUP(表1_86121822242672112[[#This Row],[目标区服]],$R$113:$S$124,2,FALSE)-表1_86121822242672112[[#This Row],[开服天数]])*配置!$B$2</f>
        <v>15</v>
      </c>
      <c r="H81" s="152" t="s">
        <v>26</v>
      </c>
      <c r="I81" s="152">
        <f>IF(表1_86121822242672112[[#This Row],[原国家]]="魏",0,IF(表1_86121822242672112[[#This Row],[原国家]]="蜀",1,2))</f>
        <v>1</v>
      </c>
      <c r="J81" s="154">
        <v>1</v>
      </c>
      <c r="K81" s="154">
        <v>60</v>
      </c>
      <c r="L81" s="154">
        <v>0</v>
      </c>
      <c r="M81" s="154">
        <v>14</v>
      </c>
      <c r="N81" s="154">
        <v>33892</v>
      </c>
      <c r="O81" s="154">
        <v>843583</v>
      </c>
      <c r="P81" s="328">
        <v>5269872</v>
      </c>
      <c r="Q81" s="193" t="s">
        <v>27</v>
      </c>
      <c r="R81" s="152">
        <f>IF(表1_86121822242672112[[#This Row],[目标国家]]="魏",0,IF(表1_86121822242672112[[#This Row],[目标国家]]="蜀",1,2))</f>
        <v>2</v>
      </c>
      <c r="S81" s="154">
        <v>5478</v>
      </c>
      <c r="T81" s="154">
        <v>0</v>
      </c>
      <c r="U81" s="154">
        <v>53537</v>
      </c>
      <c r="V81" s="154">
        <v>2431</v>
      </c>
      <c r="W81" s="153">
        <v>297019</v>
      </c>
      <c r="X81" s="196" t="str">
        <f>"{"&amp;"'coin':"&amp;表1_86121822242672112[[#This Row],[补偿Coin]]&amp;",'"&amp;配置!$A$2&amp;"':"&amp;表1_86121822242672112[[#This Row],[补偿辎重]]&amp;"},"</f>
        <v>{'coin':1500,'item036':15},</v>
      </c>
      <c r="Y81" s="194" t="str">
        <f>"            'to_zone':'"&amp;表1_86121822242672112[[#This Row],[目标区服]]&amp;"',
            'reward':"&amp;表1_86121822242672112[[#This Row],[辅助导出]]&amp;"
            'country':["&amp;R80&amp;","&amp;R81&amp;","&amp;R82&amp;"],"</f>
        <v>            'to_zone':'h1_603',
            'reward':{'coin':1500,'item036':15},
            'country':[2,2,1],</v>
      </c>
    </row>
    <row r="82" s="354" customFormat="1" ht="14.25" customHeight="1" spans="1:25">
      <c r="A82" s="257">
        <v>5248</v>
      </c>
      <c r="B82" s="150">
        <f>VLOOKUP(表1_86121822242672112[[#This Row],[区服]],$P$113:$Q$148,2,FALSE)</f>
        <v>38</v>
      </c>
      <c r="C82" s="151" t="s">
        <v>257</v>
      </c>
      <c r="D82" s="152" t="str">
        <f>表1_86121822242672112[[#This Row],[目标国家]]</f>
        <v>蜀</v>
      </c>
      <c r="E82" s="153">
        <f>(VLOOKUP(表1_86121822242672112[[#This Row],[目标区服]],$R$113:$S$124,2,FALSE)-表1_86121822242672112[[#This Row],[开服天数]])*配置!$B$1</f>
        <v>1500</v>
      </c>
      <c r="F82" s="154">
        <f>表1_86121822242672112[[#This Row],[补偿Coin]]*(表1_86121822242672112[[#This Row],[活跃高战玩家数]]+表1_86121822242672112[[#This Row],[活跃中坚玩家数]])</f>
        <v>33000</v>
      </c>
      <c r="G82" s="153">
        <f>(VLOOKUP(表1_86121822242672112[[#This Row],[目标区服]],$R$113:$S$124,2,FALSE)-表1_86121822242672112[[#This Row],[开服天数]])*配置!$B$2</f>
        <v>15</v>
      </c>
      <c r="H82" s="152" t="s">
        <v>27</v>
      </c>
      <c r="I82" s="152">
        <f>IF(表1_86121822242672112[[#This Row],[原国家]]="魏",0,IF(表1_86121822242672112[[#This Row],[原国家]]="蜀",1,2))</f>
        <v>2</v>
      </c>
      <c r="J82" s="154">
        <v>2</v>
      </c>
      <c r="K82" s="154">
        <v>75</v>
      </c>
      <c r="L82" s="154">
        <v>2</v>
      </c>
      <c r="M82" s="154">
        <v>20</v>
      </c>
      <c r="N82" s="154">
        <v>74121</v>
      </c>
      <c r="O82" s="154">
        <v>1496542</v>
      </c>
      <c r="P82" s="328">
        <v>10195447</v>
      </c>
      <c r="Q82" s="193" t="s">
        <v>26</v>
      </c>
      <c r="R82" s="152">
        <f>IF(表1_86121822242672112[[#This Row],[目标国家]]="魏",0,IF(表1_86121822242672112[[#This Row],[目标国家]]="蜀",1,2))</f>
        <v>1</v>
      </c>
      <c r="S82" s="154">
        <v>6900</v>
      </c>
      <c r="T82" s="154">
        <v>0</v>
      </c>
      <c r="U82" s="154">
        <v>190426</v>
      </c>
      <c r="V82" s="154">
        <v>4138</v>
      </c>
      <c r="W82" s="153">
        <v>572082</v>
      </c>
      <c r="X82" s="196" t="str">
        <f>"{"&amp;"'coin':"&amp;表1_86121822242672112[[#This Row],[补偿Coin]]&amp;",'"&amp;配置!$A$2&amp;"':"&amp;表1_86121822242672112[[#This Row],[补偿辎重]]&amp;"},"</f>
        <v>{'coin':1500,'item036':15},</v>
      </c>
      <c r="Y82" s="194" t="str">
        <f>"      },"</f>
        <v>      },</v>
      </c>
    </row>
    <row r="83" s="354" customFormat="1" ht="14.25" customHeight="1" spans="1:25">
      <c r="A83" s="81">
        <v>5249</v>
      </c>
      <c r="B83" s="81">
        <f>VLOOKUP(表1_86121822242672112[[#This Row],[区服]],$P$113:$Q$148,2,FALSE)</f>
        <v>38</v>
      </c>
      <c r="C83" s="82" t="s">
        <v>258</v>
      </c>
      <c r="D83" s="369" t="str">
        <f>表1_86121822242672112[[#This Row],[目标国家]]</f>
        <v>魏</v>
      </c>
      <c r="E83" s="84">
        <f>(VLOOKUP(表1_86121822242672112[[#This Row],[目标区服]],$R$113:$S$124,2,FALSE)-表1_86121822242672112[[#This Row],[开服天数]])*配置!$B$1</f>
        <v>1000</v>
      </c>
      <c r="F83" s="84">
        <f>表1_86121822242672112[[#This Row],[补偿Coin]]*(表1_86121822242672112[[#This Row],[活跃高战玩家数]]+表1_86121822242672112[[#This Row],[活跃中坚玩家数]])</f>
        <v>25000</v>
      </c>
      <c r="G83" s="84">
        <f>(VLOOKUP(表1_86121822242672112[[#This Row],[目标区服]],$R$113:$S$124,2,FALSE)-表1_86121822242672112[[#This Row],[开服天数]])*配置!$B$2</f>
        <v>10</v>
      </c>
      <c r="H83" s="83" t="s">
        <v>25</v>
      </c>
      <c r="I83" s="83">
        <f>IF(表1_86121822242672112[[#This Row],[原国家]]="魏",0,IF(表1_86121822242672112[[#This Row],[原国家]]="蜀",1,2))</f>
        <v>0</v>
      </c>
      <c r="J83" s="85">
        <v>3</v>
      </c>
      <c r="K83" s="85">
        <v>101</v>
      </c>
      <c r="L83" s="85">
        <v>2</v>
      </c>
      <c r="M83" s="85">
        <v>23</v>
      </c>
      <c r="N83" s="85">
        <v>103272</v>
      </c>
      <c r="O83" s="85">
        <v>2028441</v>
      </c>
      <c r="P83" s="379">
        <v>15957487</v>
      </c>
      <c r="Q83" s="128" t="s">
        <v>25</v>
      </c>
      <c r="R83" s="83">
        <f>IF(表1_86121822242672112[[#This Row],[目标国家]]="魏",0,IF(表1_86121822242672112[[#This Row],[目标国家]]="蜀",1,2))</f>
        <v>0</v>
      </c>
      <c r="S83" s="85">
        <v>36104</v>
      </c>
      <c r="T83" s="85">
        <v>0</v>
      </c>
      <c r="U83" s="85">
        <v>300884</v>
      </c>
      <c r="V83" s="85">
        <v>6684</v>
      </c>
      <c r="W83" s="84">
        <v>566662</v>
      </c>
      <c r="X83" s="129" t="str">
        <f>"{"&amp;"'coin':"&amp;表1_86121822242672112[[#This Row],[补偿Coin]]&amp;",'"&amp;配置!$A$2&amp;"':"&amp;表1_86121822242672112[[#This Row],[补偿辎重]]&amp;"},"</f>
        <v>{'coin':1000,'item036':10},</v>
      </c>
      <c r="Y83" s="149" t="str">
        <f>"      '"&amp;表1_86121822242672112[[#This Row],[区服]]&amp;"':{"</f>
        <v>      '5249':{</v>
      </c>
    </row>
    <row r="84" s="354" customFormat="1" ht="14.25" customHeight="1" spans="1:25">
      <c r="A84" s="370">
        <v>5249</v>
      </c>
      <c r="B84" s="81">
        <f>VLOOKUP(表1_86121822242672112[[#This Row],[区服]],$P$113:$Q$148,2,FALSE)</f>
        <v>38</v>
      </c>
      <c r="C84" s="82" t="s">
        <v>258</v>
      </c>
      <c r="D84" s="83" t="str">
        <f>表1_86121822242672112[[#This Row],[目标国家]]</f>
        <v>蜀</v>
      </c>
      <c r="E84" s="84">
        <f>(VLOOKUP(表1_86121822242672112[[#This Row],[目标区服]],$R$113:$S$124,2,FALSE)-表1_86121822242672112[[#This Row],[开服天数]])*配置!$B$1</f>
        <v>1000</v>
      </c>
      <c r="F84" s="85">
        <f>表1_86121822242672112[[#This Row],[补偿Coin]]*(表1_86121822242672112[[#This Row],[活跃高战玩家数]]+表1_86121822242672112[[#This Row],[活跃中坚玩家数]])</f>
        <v>27000</v>
      </c>
      <c r="G84" s="84">
        <f>(VLOOKUP(表1_86121822242672112[[#This Row],[目标区服]],$R$113:$S$124,2,FALSE)-表1_86121822242672112[[#This Row],[开服天数]])*配置!$B$2</f>
        <v>10</v>
      </c>
      <c r="H84" s="83" t="s">
        <v>26</v>
      </c>
      <c r="I84" s="83">
        <f>IF(表1_86121822242672112[[#This Row],[原国家]]="魏",0,IF(表1_86121822242672112[[#This Row],[原国家]]="蜀",1,2))</f>
        <v>1</v>
      </c>
      <c r="J84" s="85">
        <v>3</v>
      </c>
      <c r="K84" s="85">
        <v>127</v>
      </c>
      <c r="L84" s="85">
        <v>5</v>
      </c>
      <c r="M84" s="85">
        <v>22</v>
      </c>
      <c r="N84" s="85">
        <v>112067</v>
      </c>
      <c r="O84" s="85">
        <v>1915093</v>
      </c>
      <c r="P84" s="379">
        <v>17011111</v>
      </c>
      <c r="Q84" s="128" t="s">
        <v>26</v>
      </c>
      <c r="R84" s="83">
        <f>IF(表1_86121822242672112[[#This Row],[目标国家]]="魏",0,IF(表1_86121822242672112[[#This Row],[目标国家]]="蜀",1,2))</f>
        <v>1</v>
      </c>
      <c r="S84" s="85">
        <v>28924</v>
      </c>
      <c r="T84" s="85">
        <v>24498</v>
      </c>
      <c r="U84" s="85">
        <v>272679</v>
      </c>
      <c r="V84" s="85">
        <v>6995</v>
      </c>
      <c r="W84" s="84">
        <v>571078</v>
      </c>
      <c r="X84" s="129" t="str">
        <f>"{"&amp;"'coin':"&amp;表1_86121822242672112[[#This Row],[补偿Coin]]&amp;",'"&amp;配置!$A$2&amp;"':"&amp;表1_86121822242672112[[#This Row],[补偿辎重]]&amp;"},"</f>
        <v>{'coin':1000,'item036':10},</v>
      </c>
      <c r="Y84" s="149" t="str">
        <f>"            'to_zone':'"&amp;表1_86121822242672112[[#This Row],[目标区服]]&amp;"',
            'reward':"&amp;表1_86121822242672112[[#This Row],[辅助导出]]&amp;"
            'country':["&amp;R83&amp;","&amp;R84&amp;","&amp;R85&amp;"],"</f>
        <v>            'to_zone':'h1_604',
            'reward':{'coin':1000,'item036':10},
            'country':[0,1,1],</v>
      </c>
    </row>
    <row r="85" s="354" customFormat="1" ht="14.25" customHeight="1" spans="1:25">
      <c r="A85" s="370">
        <v>5249</v>
      </c>
      <c r="B85" s="81">
        <f>VLOOKUP(表1_86121822242672112[[#This Row],[区服]],$P$113:$Q$148,2,FALSE)</f>
        <v>38</v>
      </c>
      <c r="C85" s="82" t="s">
        <v>258</v>
      </c>
      <c r="D85" s="83" t="str">
        <f>表1_86121822242672112[[#This Row],[目标国家]]</f>
        <v>蜀</v>
      </c>
      <c r="E85" s="84">
        <f>(VLOOKUP(表1_86121822242672112[[#This Row],[目标区服]],$R$113:$S$124,2,FALSE)-表1_86121822242672112[[#This Row],[开服天数]])*配置!$B$1</f>
        <v>1000</v>
      </c>
      <c r="F85" s="85">
        <f>表1_86121822242672112[[#This Row],[补偿Coin]]*(表1_86121822242672112[[#This Row],[活跃高战玩家数]]+表1_86121822242672112[[#This Row],[活跃中坚玩家数]])</f>
        <v>26000</v>
      </c>
      <c r="G85" s="84">
        <f>(VLOOKUP(表1_86121822242672112[[#This Row],[目标区服]],$R$113:$S$124,2,FALSE)-表1_86121822242672112[[#This Row],[开服天数]])*配置!$B$2</f>
        <v>10</v>
      </c>
      <c r="H85" s="83" t="s">
        <v>27</v>
      </c>
      <c r="I85" s="83">
        <f>IF(表1_86121822242672112[[#This Row],[原国家]]="魏",0,IF(表1_86121822242672112[[#This Row],[原国家]]="蜀",1,2))</f>
        <v>2</v>
      </c>
      <c r="J85" s="85">
        <v>3</v>
      </c>
      <c r="K85" s="85">
        <v>167</v>
      </c>
      <c r="L85" s="85">
        <v>3</v>
      </c>
      <c r="M85" s="85">
        <v>23</v>
      </c>
      <c r="N85" s="85">
        <v>89809</v>
      </c>
      <c r="O85" s="85">
        <v>2412765</v>
      </c>
      <c r="P85" s="379">
        <v>15512973</v>
      </c>
      <c r="Q85" s="128" t="s">
        <v>26</v>
      </c>
      <c r="R85" s="83">
        <f>IF(表1_86121822242672112[[#This Row],[目标国家]]="魏",0,IF(表1_86121822242672112[[#This Row],[目标国家]]="蜀",1,2))</f>
        <v>1</v>
      </c>
      <c r="S85" s="85">
        <v>63640</v>
      </c>
      <c r="T85" s="85">
        <v>0</v>
      </c>
      <c r="U85" s="85">
        <v>165457</v>
      </c>
      <c r="V85" s="85">
        <v>8375</v>
      </c>
      <c r="W85" s="389">
        <v>646088</v>
      </c>
      <c r="X85" s="129" t="str">
        <f>"{"&amp;"'coin':"&amp;表1_86121822242672112[[#This Row],[补偿Coin]]&amp;",'"&amp;配置!$A$2&amp;"':"&amp;表1_86121822242672112[[#This Row],[补偿辎重]]&amp;"},"</f>
        <v>{'coin':1000,'item036':10},</v>
      </c>
      <c r="Y85" s="149" t="str">
        <f>"      },"</f>
        <v>      },</v>
      </c>
    </row>
    <row r="86" s="354" customFormat="1" ht="14.25" customHeight="1" spans="1:25">
      <c r="A86" s="81">
        <v>5250</v>
      </c>
      <c r="B86" s="81">
        <f>VLOOKUP(表1_86121822242672112[[#This Row],[区服]],$P$113:$Q$148,2,FALSE)</f>
        <v>38</v>
      </c>
      <c r="C86" s="82" t="s">
        <v>258</v>
      </c>
      <c r="D86" s="369" t="str">
        <f>表1_86121822242672112[[#This Row],[目标国家]]</f>
        <v>魏</v>
      </c>
      <c r="E86" s="84">
        <f>(VLOOKUP(表1_86121822242672112[[#This Row],[目标区服]],$R$113:$S$124,2,FALSE)-表1_86121822242672112[[#This Row],[开服天数]])*配置!$B$1</f>
        <v>1000</v>
      </c>
      <c r="F86" s="84">
        <f>表1_86121822242672112[[#This Row],[补偿Coin]]*(表1_86121822242672112[[#This Row],[活跃高战玩家数]]+表1_86121822242672112[[#This Row],[活跃中坚玩家数]])</f>
        <v>12000</v>
      </c>
      <c r="G86" s="84">
        <f>(VLOOKUP(表1_86121822242672112[[#This Row],[目标区服]],$R$113:$S$124,2,FALSE)-表1_86121822242672112[[#This Row],[开服天数]])*配置!$B$2</f>
        <v>10</v>
      </c>
      <c r="H86" s="83" t="s">
        <v>25</v>
      </c>
      <c r="I86" s="83">
        <f>IF(表1_86121822242672112[[#This Row],[原国家]]="魏",0,IF(表1_86121822242672112[[#This Row],[原国家]]="蜀",1,2))</f>
        <v>0</v>
      </c>
      <c r="J86" s="85">
        <v>1</v>
      </c>
      <c r="K86" s="85">
        <v>63</v>
      </c>
      <c r="L86" s="85">
        <v>0</v>
      </c>
      <c r="M86" s="85">
        <v>12</v>
      </c>
      <c r="N86" s="85">
        <v>20615</v>
      </c>
      <c r="O86" s="85">
        <v>736119</v>
      </c>
      <c r="P86" s="379">
        <v>5196521</v>
      </c>
      <c r="Q86" s="128" t="s">
        <v>25</v>
      </c>
      <c r="R86" s="83">
        <f>IF(表1_86121822242672112[[#This Row],[目标国家]]="魏",0,IF(表1_86121822242672112[[#This Row],[目标国家]]="蜀",1,2))</f>
        <v>0</v>
      </c>
      <c r="S86" s="85">
        <v>4940</v>
      </c>
      <c r="T86" s="85">
        <v>0</v>
      </c>
      <c r="U86" s="85">
        <v>74149</v>
      </c>
      <c r="V86" s="85">
        <v>2274</v>
      </c>
      <c r="W86" s="84">
        <v>247279</v>
      </c>
      <c r="X86" s="129" t="str">
        <f>"{"&amp;"'coin':"&amp;表1_86121822242672112[[#This Row],[补偿Coin]]&amp;",'"&amp;配置!$A$2&amp;"':"&amp;表1_86121822242672112[[#This Row],[补偿辎重]]&amp;"},"</f>
        <v>{'coin':1000,'item036':10},</v>
      </c>
      <c r="Y86" s="149" t="str">
        <f>"      '"&amp;表1_86121822242672112[[#This Row],[区服]]&amp;"':{"</f>
        <v>      '5250':{</v>
      </c>
    </row>
    <row r="87" s="354" customFormat="1" ht="14.25" customHeight="1" spans="1:25">
      <c r="A87" s="370">
        <v>5250</v>
      </c>
      <c r="B87" s="81">
        <f>VLOOKUP(表1_86121822242672112[[#This Row],[区服]],$P$113:$Q$148,2,FALSE)</f>
        <v>38</v>
      </c>
      <c r="C87" s="82" t="s">
        <v>258</v>
      </c>
      <c r="D87" s="83" t="str">
        <f>表1_86121822242672112[[#This Row],[目标国家]]</f>
        <v>吴</v>
      </c>
      <c r="E87" s="84">
        <f>(VLOOKUP(表1_86121822242672112[[#This Row],[目标区服]],$R$113:$S$124,2,FALSE)-表1_86121822242672112[[#This Row],[开服天数]])*配置!$B$1</f>
        <v>1000</v>
      </c>
      <c r="F87" s="85">
        <f>表1_86121822242672112[[#This Row],[补偿Coin]]*(表1_86121822242672112[[#This Row],[活跃高战玩家数]]+表1_86121822242672112[[#This Row],[活跃中坚玩家数]])</f>
        <v>38000</v>
      </c>
      <c r="G87" s="84">
        <f>(VLOOKUP(表1_86121822242672112[[#This Row],[目标区服]],$R$113:$S$124,2,FALSE)-表1_86121822242672112[[#This Row],[开服天数]])*配置!$B$2</f>
        <v>10</v>
      </c>
      <c r="H87" s="83" t="s">
        <v>26</v>
      </c>
      <c r="I87" s="83">
        <f>IF(表1_86121822242672112[[#This Row],[原国家]]="魏",0,IF(表1_86121822242672112[[#This Row],[原国家]]="蜀",1,2))</f>
        <v>1</v>
      </c>
      <c r="J87" s="85">
        <v>3</v>
      </c>
      <c r="K87" s="85">
        <v>136</v>
      </c>
      <c r="L87" s="85">
        <v>5</v>
      </c>
      <c r="M87" s="85">
        <v>33</v>
      </c>
      <c r="N87" s="85">
        <v>150109</v>
      </c>
      <c r="O87" s="85">
        <v>2142850</v>
      </c>
      <c r="P87" s="379">
        <v>24819633</v>
      </c>
      <c r="Q87" s="128" t="s">
        <v>27</v>
      </c>
      <c r="R87" s="83">
        <f>IF(表1_86121822242672112[[#This Row],[目标国家]]="魏",0,IF(表1_86121822242672112[[#This Row],[目标国家]]="蜀",1,2))</f>
        <v>2</v>
      </c>
      <c r="S87" s="85">
        <v>62902</v>
      </c>
      <c r="T87" s="85">
        <v>0</v>
      </c>
      <c r="U87" s="85">
        <v>251860</v>
      </c>
      <c r="V87" s="85">
        <v>9048</v>
      </c>
      <c r="W87" s="84">
        <v>616181</v>
      </c>
      <c r="X87" s="129" t="str">
        <f>"{"&amp;"'coin':"&amp;表1_86121822242672112[[#This Row],[补偿Coin]]&amp;",'"&amp;配置!$A$2&amp;"':"&amp;表1_86121822242672112[[#This Row],[补偿辎重]]&amp;"},"</f>
        <v>{'coin':1000,'item036':10},</v>
      </c>
      <c r="Y87" s="149" t="str">
        <f>"            'to_zone':'"&amp;表1_86121822242672112[[#This Row],[目标区服]]&amp;"',
            'reward':"&amp;表1_86121822242672112[[#This Row],[辅助导出]]&amp;"
            'country':["&amp;R86&amp;","&amp;R87&amp;","&amp;R88&amp;"],"</f>
        <v>            'to_zone':'h1_604',
            'reward':{'coin':1000,'item036':10},
            'country':[0,2,2],</v>
      </c>
    </row>
    <row r="88" s="354" customFormat="1" ht="14.25" customHeight="1" spans="1:25">
      <c r="A88" s="370">
        <v>5250</v>
      </c>
      <c r="B88" s="81">
        <f>VLOOKUP(表1_86121822242672112[[#This Row],[区服]],$P$113:$Q$148,2,FALSE)</f>
        <v>38</v>
      </c>
      <c r="C88" s="82" t="s">
        <v>258</v>
      </c>
      <c r="D88" s="83" t="str">
        <f>表1_86121822242672112[[#This Row],[目标国家]]</f>
        <v>吴</v>
      </c>
      <c r="E88" s="84">
        <f>(VLOOKUP(表1_86121822242672112[[#This Row],[目标区服]],$R$113:$S$124,2,FALSE)-表1_86121822242672112[[#This Row],[开服天数]])*配置!$B$1</f>
        <v>1000</v>
      </c>
      <c r="F88" s="85">
        <f>表1_86121822242672112[[#This Row],[补偿Coin]]*(表1_86121822242672112[[#This Row],[活跃高战玩家数]]+表1_86121822242672112[[#This Row],[活跃中坚玩家数]])</f>
        <v>31000</v>
      </c>
      <c r="G88" s="84">
        <f>(VLOOKUP(表1_86121822242672112[[#This Row],[目标区服]],$R$113:$S$124,2,FALSE)-表1_86121822242672112[[#This Row],[开服天数]])*配置!$B$2</f>
        <v>10</v>
      </c>
      <c r="H88" s="83" t="s">
        <v>27</v>
      </c>
      <c r="I88" s="83">
        <f>IF(表1_86121822242672112[[#This Row],[原国家]]="魏",0,IF(表1_86121822242672112[[#This Row],[原国家]]="蜀",1,2))</f>
        <v>2</v>
      </c>
      <c r="J88" s="85">
        <v>5</v>
      </c>
      <c r="K88" s="85">
        <v>196</v>
      </c>
      <c r="L88" s="85">
        <v>5</v>
      </c>
      <c r="M88" s="85">
        <v>26</v>
      </c>
      <c r="N88" s="85">
        <v>137943</v>
      </c>
      <c r="O88" s="85">
        <v>2498039</v>
      </c>
      <c r="P88" s="379">
        <v>23087825</v>
      </c>
      <c r="Q88" s="128" t="s">
        <v>27</v>
      </c>
      <c r="R88" s="83">
        <f>IF(表1_86121822242672112[[#This Row],[目标国家]]="魏",0,IF(表1_86121822242672112[[#This Row],[目标国家]]="蜀",1,2))</f>
        <v>2</v>
      </c>
      <c r="S88" s="85">
        <v>80810</v>
      </c>
      <c r="T88" s="85">
        <v>0</v>
      </c>
      <c r="U88" s="85">
        <v>334493</v>
      </c>
      <c r="V88" s="85">
        <v>10548</v>
      </c>
      <c r="W88" s="385">
        <v>672227</v>
      </c>
      <c r="X88" s="129" t="str">
        <f>"{"&amp;"'coin':"&amp;表1_86121822242672112[[#This Row],[补偿Coin]]&amp;",'"&amp;配置!$A$2&amp;"':"&amp;表1_86121822242672112[[#This Row],[补偿辎重]]&amp;"},"</f>
        <v>{'coin':1000,'item036':10},</v>
      </c>
      <c r="Y88" s="149" t="str">
        <f>"      },"</f>
        <v>      },</v>
      </c>
    </row>
    <row r="89" s="354" customFormat="1" ht="14.25" customHeight="1" spans="1:25">
      <c r="A89" s="81">
        <v>5251</v>
      </c>
      <c r="B89" s="81">
        <f>VLOOKUP(表1_86121822242672112[[#This Row],[区服]],$P$113:$Q$148,2,FALSE)</f>
        <v>37</v>
      </c>
      <c r="C89" s="82" t="s">
        <v>258</v>
      </c>
      <c r="D89" s="369" t="str">
        <f>表1_86121822242672112[[#This Row],[目标国家]]</f>
        <v>魏</v>
      </c>
      <c r="E89" s="84">
        <f>(VLOOKUP(表1_86121822242672112[[#This Row],[目标区服]],$R$113:$S$124,2,FALSE)-表1_86121822242672112[[#This Row],[开服天数]])*配置!$B$1</f>
        <v>1500</v>
      </c>
      <c r="F89" s="84">
        <f>表1_86121822242672112[[#This Row],[补偿Coin]]*(表1_86121822242672112[[#This Row],[活跃高战玩家数]]+表1_86121822242672112[[#This Row],[活跃中坚玩家数]])</f>
        <v>25500</v>
      </c>
      <c r="G89" s="84">
        <f>(VLOOKUP(表1_86121822242672112[[#This Row],[目标区服]],$R$113:$S$124,2,FALSE)-表1_86121822242672112[[#This Row],[开服天数]])*配置!$B$2</f>
        <v>15</v>
      </c>
      <c r="H89" s="83" t="s">
        <v>25</v>
      </c>
      <c r="I89" s="83">
        <f>IF(表1_86121822242672112[[#This Row],[原国家]]="魏",0,IF(表1_86121822242672112[[#This Row],[原国家]]="蜀",1,2))</f>
        <v>0</v>
      </c>
      <c r="J89" s="85">
        <v>2</v>
      </c>
      <c r="K89" s="85">
        <v>60</v>
      </c>
      <c r="L89" s="85">
        <v>2</v>
      </c>
      <c r="M89" s="85">
        <v>15</v>
      </c>
      <c r="N89" s="85">
        <v>70094</v>
      </c>
      <c r="O89" s="85">
        <v>2089739</v>
      </c>
      <c r="P89" s="379">
        <v>12146300</v>
      </c>
      <c r="Q89" s="128" t="s">
        <v>25</v>
      </c>
      <c r="R89" s="83">
        <f>IF(表1_86121822242672112[[#This Row],[目标国家]]="魏",0,IF(表1_86121822242672112[[#This Row],[目标国家]]="蜀",1,2))</f>
        <v>0</v>
      </c>
      <c r="S89" s="85">
        <v>50102</v>
      </c>
      <c r="T89" s="85">
        <v>0</v>
      </c>
      <c r="U89" s="85">
        <v>278638</v>
      </c>
      <c r="V89" s="85">
        <v>6097</v>
      </c>
      <c r="W89" s="385">
        <v>706595</v>
      </c>
      <c r="X89" s="129" t="str">
        <f>"{"&amp;"'coin':"&amp;表1_86121822242672112[[#This Row],[补偿Coin]]&amp;",'"&amp;配置!$A$2&amp;"':"&amp;表1_86121822242672112[[#This Row],[补偿辎重]]&amp;"},"</f>
        <v>{'coin':1500,'item036':15},</v>
      </c>
      <c r="Y89" s="149" t="str">
        <f>"      '"&amp;表1_86121822242672112[[#This Row],[区服]]&amp;"':{"</f>
        <v>      '5251':{</v>
      </c>
    </row>
    <row r="90" s="354" customFormat="1" ht="14.25" customHeight="1" spans="1:25">
      <c r="A90" s="370">
        <v>5251</v>
      </c>
      <c r="B90" s="81">
        <f>VLOOKUP(表1_86121822242672112[[#This Row],[区服]],$P$113:$Q$148,2,FALSE)</f>
        <v>37</v>
      </c>
      <c r="C90" s="82" t="s">
        <v>258</v>
      </c>
      <c r="D90" s="83" t="str">
        <f>表1_86121822242672112[[#This Row],[目标国家]]</f>
        <v>魏</v>
      </c>
      <c r="E90" s="84">
        <f>(VLOOKUP(表1_86121822242672112[[#This Row],[目标区服]],$R$113:$S$124,2,FALSE)-表1_86121822242672112[[#This Row],[开服天数]])*配置!$B$1</f>
        <v>1500</v>
      </c>
      <c r="F90" s="85">
        <f>表1_86121822242672112[[#This Row],[补偿Coin]]*(表1_86121822242672112[[#This Row],[活跃高战玩家数]]+表1_86121822242672112[[#This Row],[活跃中坚玩家数]])</f>
        <v>46500</v>
      </c>
      <c r="G90" s="84">
        <f>(VLOOKUP(表1_86121822242672112[[#This Row],[目标区服]],$R$113:$S$124,2,FALSE)-表1_86121822242672112[[#This Row],[开服天数]])*配置!$B$2</f>
        <v>15</v>
      </c>
      <c r="H90" s="83" t="s">
        <v>26</v>
      </c>
      <c r="I90" s="83">
        <f>IF(表1_86121822242672112[[#This Row],[原国家]]="魏",0,IF(表1_86121822242672112[[#This Row],[原国家]]="蜀",1,2))</f>
        <v>1</v>
      </c>
      <c r="J90" s="85">
        <v>4</v>
      </c>
      <c r="K90" s="85">
        <v>204</v>
      </c>
      <c r="L90" s="85">
        <v>5</v>
      </c>
      <c r="M90" s="85">
        <v>26</v>
      </c>
      <c r="N90" s="85">
        <v>122487</v>
      </c>
      <c r="O90" s="85">
        <v>2225112</v>
      </c>
      <c r="P90" s="379">
        <v>20458012</v>
      </c>
      <c r="Q90" s="128" t="s">
        <v>25</v>
      </c>
      <c r="R90" s="83">
        <f>IF(表1_86121822242672112[[#This Row],[目标国家]]="魏",0,IF(表1_86121822242672112[[#This Row],[目标国家]]="蜀",1,2))</f>
        <v>0</v>
      </c>
      <c r="S90" s="85">
        <v>47476</v>
      </c>
      <c r="T90" s="85">
        <v>0</v>
      </c>
      <c r="U90" s="85">
        <v>337291</v>
      </c>
      <c r="V90" s="85">
        <v>8916</v>
      </c>
      <c r="W90" s="84">
        <v>599677</v>
      </c>
      <c r="X90" s="129" t="str">
        <f>"{"&amp;"'coin':"&amp;表1_86121822242672112[[#This Row],[补偿Coin]]&amp;",'"&amp;配置!$A$2&amp;"':"&amp;表1_86121822242672112[[#This Row],[补偿辎重]]&amp;"},"</f>
        <v>{'coin':1500,'item036':15},</v>
      </c>
      <c r="Y90" s="149" t="str">
        <f>"            'to_zone':'"&amp;表1_86121822242672112[[#This Row],[目标区服]]&amp;"',
            'reward':"&amp;表1_86121822242672112[[#This Row],[辅助导出]]&amp;"
            'country':["&amp;R89&amp;","&amp;R90&amp;","&amp;R91&amp;"],"</f>
        <v>            'to_zone':'h1_604',
            'reward':{'coin':1500,'item036':15},
            'country':[0,0,1],</v>
      </c>
    </row>
    <row r="91" s="354" customFormat="1" ht="14.25" customHeight="1" spans="1:25">
      <c r="A91" s="370">
        <v>5251</v>
      </c>
      <c r="B91" s="81">
        <f>VLOOKUP(表1_86121822242672112[[#This Row],[区服]],$P$113:$Q$148,2,FALSE)</f>
        <v>37</v>
      </c>
      <c r="C91" s="82" t="s">
        <v>258</v>
      </c>
      <c r="D91" s="83" t="str">
        <f>表1_86121822242672112[[#This Row],[目标国家]]</f>
        <v>蜀</v>
      </c>
      <c r="E91" s="84">
        <f>(VLOOKUP(表1_86121822242672112[[#This Row],[目标区服]],$R$113:$S$124,2,FALSE)-表1_86121822242672112[[#This Row],[开服天数]])*配置!$B$1</f>
        <v>1500</v>
      </c>
      <c r="F91" s="85">
        <f>表1_86121822242672112[[#This Row],[补偿Coin]]*(表1_86121822242672112[[#This Row],[活跃高战玩家数]]+表1_86121822242672112[[#This Row],[活跃中坚玩家数]])</f>
        <v>43500</v>
      </c>
      <c r="G91" s="84">
        <f>(VLOOKUP(表1_86121822242672112[[#This Row],[目标区服]],$R$113:$S$124,2,FALSE)-表1_86121822242672112[[#This Row],[开服天数]])*配置!$B$2</f>
        <v>15</v>
      </c>
      <c r="H91" s="83" t="s">
        <v>27</v>
      </c>
      <c r="I91" s="83">
        <f>IF(表1_86121822242672112[[#This Row],[原国家]]="魏",0,IF(表1_86121822242672112[[#This Row],[原国家]]="蜀",1,2))</f>
        <v>2</v>
      </c>
      <c r="J91" s="85">
        <v>3</v>
      </c>
      <c r="K91" s="85">
        <v>131</v>
      </c>
      <c r="L91" s="85">
        <v>3</v>
      </c>
      <c r="M91" s="85">
        <v>26</v>
      </c>
      <c r="N91" s="85">
        <v>116698</v>
      </c>
      <c r="O91" s="85">
        <v>1916502</v>
      </c>
      <c r="P91" s="379">
        <v>18889992</v>
      </c>
      <c r="Q91" s="128" t="s">
        <v>26</v>
      </c>
      <c r="R91" s="83">
        <f>IF(表1_86121822242672112[[#This Row],[目标国家]]="魏",0,IF(表1_86121822242672112[[#This Row],[目标国家]]="蜀",1,2))</f>
        <v>1</v>
      </c>
      <c r="S91" s="85">
        <v>55764</v>
      </c>
      <c r="T91" s="85">
        <v>0</v>
      </c>
      <c r="U91" s="85">
        <v>263219</v>
      </c>
      <c r="V91" s="85">
        <v>7803</v>
      </c>
      <c r="W91" s="385">
        <v>653377</v>
      </c>
      <c r="X91" s="129" t="str">
        <f>"{"&amp;"'coin':"&amp;表1_86121822242672112[[#This Row],[补偿Coin]]&amp;",'"&amp;配置!$A$2&amp;"':"&amp;表1_86121822242672112[[#This Row],[补偿辎重]]&amp;"},"</f>
        <v>{'coin':1500,'item036':15},</v>
      </c>
      <c r="Y91" s="149" t="str">
        <f>"      },"</f>
        <v>      },</v>
      </c>
    </row>
    <row r="92" s="354" customFormat="1" ht="14.25" customHeight="1" spans="1:25">
      <c r="A92" s="371">
        <v>5252</v>
      </c>
      <c r="B92" s="371">
        <f>VLOOKUP(表1_86121822242672112[[#This Row],[区服]],$P$113:$Q$148,2,FALSE)</f>
        <v>37</v>
      </c>
      <c r="C92" s="372" t="s">
        <v>259</v>
      </c>
      <c r="D92" s="373" t="str">
        <f>表1_86121822242672112[[#This Row],[目标国家]]</f>
        <v>吴</v>
      </c>
      <c r="E92" s="374">
        <f>(VLOOKUP(表1_86121822242672112[[#This Row],[目标区服]],$R$113:$S$124,2,FALSE)-表1_86121822242672112[[#This Row],[开服天数]])*配置!$B$1</f>
        <v>1000</v>
      </c>
      <c r="F92" s="89">
        <f>表1_86121822242672112[[#This Row],[补偿Coin]]*(表1_86121822242672112[[#This Row],[活跃高战玩家数]]+表1_86121822242672112[[#This Row],[活跃中坚玩家数]])</f>
        <v>22000</v>
      </c>
      <c r="G92" s="89">
        <f>(VLOOKUP(表1_86121822242672112[[#This Row],[目标区服]],$R$113:$S$124,2,FALSE)-表1_86121822242672112[[#This Row],[开服天数]])*配置!$B$2</f>
        <v>10</v>
      </c>
      <c r="H92" s="88" t="s">
        <v>25</v>
      </c>
      <c r="I92" s="376">
        <f>IF(表1_86121822242672112[[#This Row],[原国家]]="魏",0,IF(表1_86121822242672112[[#This Row],[原国家]]="蜀",1,2))</f>
        <v>0</v>
      </c>
      <c r="J92" s="380">
        <v>3</v>
      </c>
      <c r="K92" s="380">
        <v>87</v>
      </c>
      <c r="L92" s="380">
        <v>4</v>
      </c>
      <c r="M92" s="380">
        <v>18</v>
      </c>
      <c r="N92" s="380">
        <v>99287</v>
      </c>
      <c r="O92" s="380">
        <v>2441468</v>
      </c>
      <c r="P92" s="381">
        <v>17244505</v>
      </c>
      <c r="Q92" s="31" t="s">
        <v>27</v>
      </c>
      <c r="R92" s="376">
        <f>IF(表1_86121822242672112[[#This Row],[目标国家]]="魏",0,IF(表1_86121822242672112[[#This Row],[目标国家]]="蜀",1,2))</f>
        <v>2</v>
      </c>
      <c r="S92" s="380">
        <v>69736</v>
      </c>
      <c r="T92" s="380">
        <v>0</v>
      </c>
      <c r="U92" s="380">
        <v>119032</v>
      </c>
      <c r="V92" s="380">
        <v>7983</v>
      </c>
      <c r="W92" s="386">
        <v>758131</v>
      </c>
      <c r="X92" s="387" t="str">
        <f>"{"&amp;"'coin':"&amp;表1_86121822242672112[[#This Row],[补偿Coin]]&amp;",'"&amp;配置!$A$2&amp;"':"&amp;表1_86121822242672112[[#This Row],[补偿辎重]]&amp;"},"</f>
        <v>{'coin':1000,'item036':10},</v>
      </c>
      <c r="Y92" s="388" t="str">
        <f>"      '"&amp;表1_86121822242672112[[#This Row],[区服]]&amp;"':{"</f>
        <v>      '5252':{</v>
      </c>
    </row>
    <row r="93" s="354" customFormat="1" ht="14.25" customHeight="1" spans="1:25">
      <c r="A93" s="375">
        <v>5252</v>
      </c>
      <c r="B93" s="371">
        <f>VLOOKUP(表1_86121822242672112[[#This Row],[区服]],$P$113:$Q$148,2,FALSE)</f>
        <v>37</v>
      </c>
      <c r="C93" s="372" t="s">
        <v>259</v>
      </c>
      <c r="D93" s="376" t="str">
        <f>表1_86121822242672112[[#This Row],[目标国家]]</f>
        <v>蜀</v>
      </c>
      <c r="E93" s="374">
        <f>(VLOOKUP(表1_86121822242672112[[#This Row],[目标区服]],$R$113:$S$124,2,FALSE)-表1_86121822242672112[[#This Row],[开服天数]])*配置!$B$1</f>
        <v>1000</v>
      </c>
      <c r="F93" s="90">
        <f>表1_86121822242672112[[#This Row],[补偿Coin]]*(表1_86121822242672112[[#This Row],[活跃高战玩家数]]+表1_86121822242672112[[#This Row],[活跃中坚玩家数]])</f>
        <v>31000</v>
      </c>
      <c r="G93" s="89">
        <f>(VLOOKUP(表1_86121822242672112[[#This Row],[目标区服]],$R$113:$S$124,2,FALSE)-表1_86121822242672112[[#This Row],[开服天数]])*配置!$B$2</f>
        <v>10</v>
      </c>
      <c r="H93" s="88" t="s">
        <v>26</v>
      </c>
      <c r="I93" s="376">
        <f>IF(表1_86121822242672112[[#This Row],[原国家]]="魏",0,IF(表1_86121822242672112[[#This Row],[原国家]]="蜀",1,2))</f>
        <v>1</v>
      </c>
      <c r="J93" s="380">
        <v>4</v>
      </c>
      <c r="K93" s="380">
        <v>234</v>
      </c>
      <c r="L93" s="380">
        <v>4</v>
      </c>
      <c r="M93" s="380">
        <v>27</v>
      </c>
      <c r="N93" s="380">
        <v>121409</v>
      </c>
      <c r="O93" s="380">
        <v>2999766</v>
      </c>
      <c r="P93" s="381">
        <v>22910674</v>
      </c>
      <c r="Q93" s="31" t="s">
        <v>26</v>
      </c>
      <c r="R93" s="376">
        <f>IF(表1_86121822242672112[[#This Row],[目标国家]]="魏",0,IF(表1_86121822242672112[[#This Row],[目标国家]]="蜀",1,2))</f>
        <v>1</v>
      </c>
      <c r="S93" s="380">
        <v>102514</v>
      </c>
      <c r="T93" s="380">
        <v>0</v>
      </c>
      <c r="U93" s="380">
        <v>621866</v>
      </c>
      <c r="V93" s="380">
        <v>12024</v>
      </c>
      <c r="W93" s="386">
        <v>895906</v>
      </c>
      <c r="X93" s="387" t="str">
        <f>"{"&amp;"'coin':"&amp;表1_86121822242672112[[#This Row],[补偿Coin]]&amp;",'"&amp;配置!$A$2&amp;"':"&amp;表1_86121822242672112[[#This Row],[补偿辎重]]&amp;"},"</f>
        <v>{'coin':1000,'item036':10},</v>
      </c>
      <c r="Y93" s="388" t="str">
        <f>"            'to_zone':'"&amp;表1_86121822242672112[[#This Row],[目标区服]]&amp;"',
            'reward':"&amp;表1_86121822242672112[[#This Row],[辅助导出]]&amp;"
            'country':["&amp;R92&amp;","&amp;R93&amp;","&amp;R94&amp;"],"</f>
        <v>            'to_zone':'h1_605',
            'reward':{'coin':1000,'item036':10},
            'country':[2,1,1],</v>
      </c>
    </row>
    <row r="94" s="354" customFormat="1" ht="14.25" customHeight="1" spans="1:25">
      <c r="A94" s="375">
        <v>5252</v>
      </c>
      <c r="B94" s="371">
        <f>VLOOKUP(表1_86121822242672112[[#This Row],[区服]],$P$113:$Q$148,2,FALSE)</f>
        <v>37</v>
      </c>
      <c r="C94" s="372" t="s">
        <v>259</v>
      </c>
      <c r="D94" s="376" t="str">
        <f>表1_86121822242672112[[#This Row],[目标国家]]</f>
        <v>蜀</v>
      </c>
      <c r="E94" s="374">
        <f>(VLOOKUP(表1_86121822242672112[[#This Row],[目标区服]],$R$113:$S$124,2,FALSE)-表1_86121822242672112[[#This Row],[开服天数]])*配置!$B$1</f>
        <v>1000</v>
      </c>
      <c r="F94" s="90">
        <f>表1_86121822242672112[[#This Row],[补偿Coin]]*(表1_86121822242672112[[#This Row],[活跃高战玩家数]]+表1_86121822242672112[[#This Row],[活跃中坚玩家数]])</f>
        <v>18000</v>
      </c>
      <c r="G94" s="89">
        <f>(VLOOKUP(表1_86121822242672112[[#This Row],[目标区服]],$R$113:$S$124,2,FALSE)-表1_86121822242672112[[#This Row],[开服天数]])*配置!$B$2</f>
        <v>10</v>
      </c>
      <c r="H94" s="88" t="s">
        <v>27</v>
      </c>
      <c r="I94" s="376">
        <f>IF(表1_86121822242672112[[#This Row],[原国家]]="魏",0,IF(表1_86121822242672112[[#This Row],[原国家]]="蜀",1,2))</f>
        <v>2</v>
      </c>
      <c r="J94" s="380">
        <v>2</v>
      </c>
      <c r="K94" s="380">
        <v>74</v>
      </c>
      <c r="L94" s="380">
        <v>2</v>
      </c>
      <c r="M94" s="380">
        <v>16</v>
      </c>
      <c r="N94" s="380">
        <v>69848</v>
      </c>
      <c r="O94" s="380">
        <v>2025462</v>
      </c>
      <c r="P94" s="381">
        <v>12510571</v>
      </c>
      <c r="Q94" s="31" t="s">
        <v>26</v>
      </c>
      <c r="R94" s="376">
        <f>IF(表1_86121822242672112[[#This Row],[目标国家]]="魏",0,IF(表1_86121822242672112[[#This Row],[目标国家]]="蜀",1,2))</f>
        <v>1</v>
      </c>
      <c r="S94" s="380">
        <v>33994</v>
      </c>
      <c r="T94" s="380">
        <v>0</v>
      </c>
      <c r="U94" s="380">
        <v>212957</v>
      </c>
      <c r="V94" s="380">
        <v>5692</v>
      </c>
      <c r="W94" s="374">
        <v>616026</v>
      </c>
      <c r="X94" s="387" t="str">
        <f>"{"&amp;"'coin':"&amp;表1_86121822242672112[[#This Row],[补偿Coin]]&amp;",'"&amp;配置!$A$2&amp;"':"&amp;表1_86121822242672112[[#This Row],[补偿辎重]]&amp;"},"</f>
        <v>{'coin':1000,'item036':10},</v>
      </c>
      <c r="Y94" s="388" t="str">
        <f>"      },"</f>
        <v>      },</v>
      </c>
    </row>
    <row r="95" s="354" customFormat="1" ht="14.25" customHeight="1" spans="1:25">
      <c r="A95" s="371">
        <v>5253</v>
      </c>
      <c r="B95" s="371">
        <f>VLOOKUP(表1_86121822242672112[[#This Row],[区服]],$P$113:$Q$148,2,FALSE)</f>
        <v>37</v>
      </c>
      <c r="C95" s="372" t="s">
        <v>259</v>
      </c>
      <c r="D95" s="373" t="str">
        <f>表1_86121822242672112[[#This Row],[目标国家]]</f>
        <v>魏</v>
      </c>
      <c r="E95" s="374">
        <f>(VLOOKUP(表1_86121822242672112[[#This Row],[目标区服]],$R$113:$S$124,2,FALSE)-表1_86121822242672112[[#This Row],[开服天数]])*配置!$B$1</f>
        <v>1000</v>
      </c>
      <c r="F95" s="89">
        <f>表1_86121822242672112[[#This Row],[补偿Coin]]*(表1_86121822242672112[[#This Row],[活跃高战玩家数]]+表1_86121822242672112[[#This Row],[活跃中坚玩家数]])</f>
        <v>41000</v>
      </c>
      <c r="G95" s="89">
        <f>(VLOOKUP(表1_86121822242672112[[#This Row],[目标区服]],$R$113:$S$124,2,FALSE)-表1_86121822242672112[[#This Row],[开服天数]])*配置!$B$2</f>
        <v>10</v>
      </c>
      <c r="H95" s="88" t="s">
        <v>25</v>
      </c>
      <c r="I95" s="376">
        <f>IF(表1_86121822242672112[[#This Row],[原国家]]="魏",0,IF(表1_86121822242672112[[#This Row],[原国家]]="蜀",1,2))</f>
        <v>0</v>
      </c>
      <c r="J95" s="380">
        <v>7</v>
      </c>
      <c r="K95" s="380">
        <v>283</v>
      </c>
      <c r="L95" s="380">
        <v>7</v>
      </c>
      <c r="M95" s="380">
        <v>34</v>
      </c>
      <c r="N95" s="380">
        <v>192809</v>
      </c>
      <c r="O95" s="380">
        <v>2806913</v>
      </c>
      <c r="P95" s="381">
        <v>30843741</v>
      </c>
      <c r="Q95" s="31" t="s">
        <v>25</v>
      </c>
      <c r="R95" s="376">
        <f>IF(表1_86121822242672112[[#This Row],[目标国家]]="魏",0,IF(表1_86121822242672112[[#This Row],[目标国家]]="蜀",1,2))</f>
        <v>0</v>
      </c>
      <c r="S95" s="380">
        <v>118626</v>
      </c>
      <c r="T95" s="380">
        <v>0</v>
      </c>
      <c r="U95" s="380">
        <v>961487</v>
      </c>
      <c r="V95" s="380">
        <v>14424</v>
      </c>
      <c r="W95" s="386">
        <v>774845</v>
      </c>
      <c r="X95" s="387" t="str">
        <f>"{"&amp;"'coin':"&amp;表1_86121822242672112[[#This Row],[补偿Coin]]&amp;",'"&amp;配置!$A$2&amp;"':"&amp;表1_86121822242672112[[#This Row],[补偿辎重]]&amp;"},"</f>
        <v>{'coin':1000,'item036':10},</v>
      </c>
      <c r="Y95" s="388" t="str">
        <f>"      '"&amp;表1_86121822242672112[[#This Row],[区服]]&amp;"':{"</f>
        <v>      '5253':{</v>
      </c>
    </row>
    <row r="96" s="354" customFormat="1" ht="14.25" customHeight="1" spans="1:25">
      <c r="A96" s="375">
        <v>5253</v>
      </c>
      <c r="B96" s="371">
        <f>VLOOKUP(表1_86121822242672112[[#This Row],[区服]],$P$113:$Q$148,2,FALSE)</f>
        <v>37</v>
      </c>
      <c r="C96" s="372" t="s">
        <v>259</v>
      </c>
      <c r="D96" s="376" t="str">
        <f>表1_86121822242672112[[#This Row],[目标国家]]</f>
        <v>蜀</v>
      </c>
      <c r="E96" s="374">
        <f>(VLOOKUP(表1_86121822242672112[[#This Row],[目标区服]],$R$113:$S$124,2,FALSE)-表1_86121822242672112[[#This Row],[开服天数]])*配置!$B$1</f>
        <v>1000</v>
      </c>
      <c r="F96" s="90">
        <f>表1_86121822242672112[[#This Row],[补偿Coin]]*(表1_86121822242672112[[#This Row],[活跃高战玩家数]]+表1_86121822242672112[[#This Row],[活跃中坚玩家数]])</f>
        <v>18000</v>
      </c>
      <c r="G96" s="89">
        <f>(VLOOKUP(表1_86121822242672112[[#This Row],[目标区服]],$R$113:$S$124,2,FALSE)-表1_86121822242672112[[#This Row],[开服天数]])*配置!$B$2</f>
        <v>10</v>
      </c>
      <c r="H96" s="88" t="s">
        <v>26</v>
      </c>
      <c r="I96" s="376">
        <f>IF(表1_86121822242672112[[#This Row],[原国家]]="魏",0,IF(表1_86121822242672112[[#This Row],[原国家]]="蜀",1,2))</f>
        <v>1</v>
      </c>
      <c r="J96" s="380">
        <v>0</v>
      </c>
      <c r="K96" s="380">
        <v>34</v>
      </c>
      <c r="L96" s="380">
        <v>0</v>
      </c>
      <c r="M96" s="380">
        <v>18</v>
      </c>
      <c r="N96" s="380">
        <v>22568</v>
      </c>
      <c r="O96" s="380">
        <v>566237</v>
      </c>
      <c r="P96" s="381">
        <v>6894312</v>
      </c>
      <c r="Q96" s="31" t="s">
        <v>26</v>
      </c>
      <c r="R96" s="376">
        <f>IF(表1_86121822242672112[[#This Row],[目标国家]]="魏",0,IF(表1_86121822242672112[[#This Row],[目标国家]]="蜀",1,2))</f>
        <v>1</v>
      </c>
      <c r="S96" s="380">
        <v>3540</v>
      </c>
      <c r="T96" s="380">
        <v>0</v>
      </c>
      <c r="U96" s="380">
        <v>90224</v>
      </c>
      <c r="V96" s="380">
        <v>1859</v>
      </c>
      <c r="W96" s="374">
        <v>202732</v>
      </c>
      <c r="X96" s="387" t="str">
        <f>"{"&amp;"'coin':"&amp;表1_86121822242672112[[#This Row],[补偿Coin]]&amp;",'"&amp;配置!$A$2&amp;"':"&amp;表1_86121822242672112[[#This Row],[补偿辎重]]&amp;"},"</f>
        <v>{'coin':1000,'item036':10},</v>
      </c>
      <c r="Y96" s="388" t="str">
        <f>"            'to_zone':'"&amp;表1_86121822242672112[[#This Row],[目标区服]]&amp;"',
            'reward':"&amp;表1_86121822242672112[[#This Row],[辅助导出]]&amp;"
            'country':["&amp;R95&amp;","&amp;R96&amp;","&amp;R97&amp;"],"</f>
        <v>            'to_zone':'h1_605',
            'reward':{'coin':1000,'item036':10},
            'country':[0,1,0],</v>
      </c>
    </row>
    <row r="97" s="354" customFormat="1" ht="14.25" customHeight="1" spans="1:25">
      <c r="A97" s="375">
        <v>5253</v>
      </c>
      <c r="B97" s="371">
        <f>VLOOKUP(表1_86121822242672112[[#This Row],[区服]],$P$113:$Q$148,2,FALSE)</f>
        <v>37</v>
      </c>
      <c r="C97" s="372" t="s">
        <v>259</v>
      </c>
      <c r="D97" s="376" t="str">
        <f>表1_86121822242672112[[#This Row],[目标国家]]</f>
        <v>魏</v>
      </c>
      <c r="E97" s="374">
        <f>(VLOOKUP(表1_86121822242672112[[#This Row],[目标区服]],$R$113:$S$124,2,FALSE)-表1_86121822242672112[[#This Row],[开服天数]])*配置!$B$1</f>
        <v>1000</v>
      </c>
      <c r="F97" s="90">
        <f>表1_86121822242672112[[#This Row],[补偿Coin]]*(表1_86121822242672112[[#This Row],[活跃高战玩家数]]+表1_86121822242672112[[#This Row],[活跃中坚玩家数]])</f>
        <v>28000</v>
      </c>
      <c r="G97" s="89">
        <f>(VLOOKUP(表1_86121822242672112[[#This Row],[目标区服]],$R$113:$S$124,2,FALSE)-表1_86121822242672112[[#This Row],[开服天数]])*配置!$B$2</f>
        <v>10</v>
      </c>
      <c r="H97" s="88" t="s">
        <v>27</v>
      </c>
      <c r="I97" s="376">
        <f>IF(表1_86121822242672112[[#This Row],[原国家]]="魏",0,IF(表1_86121822242672112[[#This Row],[原国家]]="蜀",1,2))</f>
        <v>2</v>
      </c>
      <c r="J97" s="380">
        <v>2</v>
      </c>
      <c r="K97" s="380">
        <v>78</v>
      </c>
      <c r="L97" s="380">
        <v>3</v>
      </c>
      <c r="M97" s="380">
        <v>25</v>
      </c>
      <c r="N97" s="380">
        <v>95374</v>
      </c>
      <c r="O97" s="380">
        <v>2317193</v>
      </c>
      <c r="P97" s="381">
        <v>16931035</v>
      </c>
      <c r="Q97" s="31" t="s">
        <v>25</v>
      </c>
      <c r="R97" s="376">
        <f>IF(表1_86121822242672112[[#This Row],[目标国家]]="魏",0,IF(表1_86121822242672112[[#This Row],[目标国家]]="蜀",1,2))</f>
        <v>0</v>
      </c>
      <c r="S97" s="380">
        <v>73636</v>
      </c>
      <c r="T97" s="380">
        <v>0</v>
      </c>
      <c r="U97" s="380">
        <v>180053</v>
      </c>
      <c r="V97" s="380">
        <v>7766</v>
      </c>
      <c r="W97" s="374">
        <v>721287</v>
      </c>
      <c r="X97" s="387" t="str">
        <f>"{"&amp;"'coin':"&amp;表1_86121822242672112[[#This Row],[补偿Coin]]&amp;",'"&amp;配置!$A$2&amp;"':"&amp;表1_86121822242672112[[#This Row],[补偿辎重]]&amp;"},"</f>
        <v>{'coin':1000,'item036':10},</v>
      </c>
      <c r="Y97" s="388" t="str">
        <f>"      },"</f>
        <v>      },</v>
      </c>
    </row>
    <row r="98" s="354" customFormat="1" ht="14.25" customHeight="1" spans="1:25">
      <c r="A98" s="371">
        <v>5254</v>
      </c>
      <c r="B98" s="371">
        <f>VLOOKUP(表1_86121822242672112[[#This Row],[区服]],$P$113:$Q$148,2,FALSE)</f>
        <v>37</v>
      </c>
      <c r="C98" s="372" t="s">
        <v>259</v>
      </c>
      <c r="D98" s="373" t="str">
        <f>表1_86121822242672112[[#This Row],[目标国家]]</f>
        <v>吴</v>
      </c>
      <c r="E98" s="374">
        <f>(VLOOKUP(表1_86121822242672112[[#This Row],[目标区服]],$R$113:$S$124,2,FALSE)-表1_86121822242672112[[#This Row],[开服天数]])*配置!$B$1</f>
        <v>1000</v>
      </c>
      <c r="F98" s="89">
        <f>表1_86121822242672112[[#This Row],[补偿Coin]]*(表1_86121822242672112[[#This Row],[活跃高战玩家数]]+表1_86121822242672112[[#This Row],[活跃中坚玩家数]])</f>
        <v>10000</v>
      </c>
      <c r="G98" s="89">
        <f>(VLOOKUP(表1_86121822242672112[[#This Row],[目标区服]],$R$113:$S$124,2,FALSE)-表1_86121822242672112[[#This Row],[开服天数]])*配置!$B$2</f>
        <v>10</v>
      </c>
      <c r="H98" s="88" t="s">
        <v>25</v>
      </c>
      <c r="I98" s="376">
        <f>IF(表1_86121822242672112[[#This Row],[原国家]]="魏",0,IF(表1_86121822242672112[[#This Row],[原国家]]="蜀",1,2))</f>
        <v>0</v>
      </c>
      <c r="J98" s="380">
        <v>0</v>
      </c>
      <c r="K98" s="380">
        <v>26</v>
      </c>
      <c r="L98" s="380">
        <v>0</v>
      </c>
      <c r="M98" s="380">
        <v>10</v>
      </c>
      <c r="N98" s="380">
        <v>32816</v>
      </c>
      <c r="O98" s="380">
        <v>740136</v>
      </c>
      <c r="P98" s="381">
        <v>4550794</v>
      </c>
      <c r="Q98" s="31" t="s">
        <v>27</v>
      </c>
      <c r="R98" s="376">
        <f>IF(表1_86121822242672112[[#This Row],[目标国家]]="魏",0,IF(表1_86121822242672112[[#This Row],[目标国家]]="蜀",1,2))</f>
        <v>2</v>
      </c>
      <c r="S98" s="380">
        <v>3150</v>
      </c>
      <c r="T98" s="380">
        <v>0</v>
      </c>
      <c r="U98" s="380">
        <v>67869</v>
      </c>
      <c r="V98" s="380">
        <v>1747</v>
      </c>
      <c r="W98" s="374">
        <v>201624</v>
      </c>
      <c r="X98" s="387" t="str">
        <f>"{"&amp;"'coin':"&amp;表1_86121822242672112[[#This Row],[补偿Coin]]&amp;",'"&amp;配置!$A$2&amp;"':"&amp;表1_86121822242672112[[#This Row],[补偿辎重]]&amp;"},"</f>
        <v>{'coin':1000,'item036':10},</v>
      </c>
      <c r="Y98" s="388" t="str">
        <f>"      '"&amp;表1_86121822242672112[[#This Row],[区服]]&amp;"':{"</f>
        <v>      '5254':{</v>
      </c>
    </row>
    <row r="99" s="354" customFormat="1" ht="14.25" customHeight="1" spans="1:25">
      <c r="A99" s="375">
        <v>5254</v>
      </c>
      <c r="B99" s="371">
        <f>VLOOKUP(表1_86121822242672112[[#This Row],[区服]],$P$113:$Q$148,2,FALSE)</f>
        <v>37</v>
      </c>
      <c r="C99" s="372" t="s">
        <v>259</v>
      </c>
      <c r="D99" s="376" t="str">
        <f>表1_86121822242672112[[#This Row],[目标国家]]</f>
        <v>吴</v>
      </c>
      <c r="E99" s="374">
        <f>(VLOOKUP(表1_86121822242672112[[#This Row],[目标区服]],$R$113:$S$124,2,FALSE)-表1_86121822242672112[[#This Row],[开服天数]])*配置!$B$1</f>
        <v>1000</v>
      </c>
      <c r="F99" s="90">
        <f>表1_86121822242672112[[#This Row],[补偿Coin]]*(表1_86121822242672112[[#This Row],[活跃高战玩家数]]+表1_86121822242672112[[#This Row],[活跃中坚玩家数]])</f>
        <v>42000</v>
      </c>
      <c r="G99" s="89">
        <f>(VLOOKUP(表1_86121822242672112[[#This Row],[目标区服]],$R$113:$S$124,2,FALSE)-表1_86121822242672112[[#This Row],[开服天数]])*配置!$B$2</f>
        <v>10</v>
      </c>
      <c r="H99" s="88" t="s">
        <v>26</v>
      </c>
      <c r="I99" s="376">
        <f>IF(表1_86121822242672112[[#This Row],[原国家]]="魏",0,IF(表1_86121822242672112[[#This Row],[原国家]]="蜀",1,2))</f>
        <v>1</v>
      </c>
      <c r="J99" s="380">
        <v>9</v>
      </c>
      <c r="K99" s="380">
        <v>352</v>
      </c>
      <c r="L99" s="380">
        <v>9</v>
      </c>
      <c r="M99" s="380">
        <v>33</v>
      </c>
      <c r="N99" s="380">
        <v>226566</v>
      </c>
      <c r="O99" s="380">
        <v>2470106</v>
      </c>
      <c r="P99" s="381">
        <v>30153199</v>
      </c>
      <c r="Q99" s="31" t="s">
        <v>27</v>
      </c>
      <c r="R99" s="376">
        <f>IF(表1_86121822242672112[[#This Row],[目标国家]]="魏",0,IF(表1_86121822242672112[[#This Row],[目标国家]]="蜀",1,2))</f>
        <v>2</v>
      </c>
      <c r="S99" s="380">
        <v>88060</v>
      </c>
      <c r="T99" s="380">
        <v>0</v>
      </c>
      <c r="U99" s="380">
        <v>722666</v>
      </c>
      <c r="V99" s="380">
        <v>14041</v>
      </c>
      <c r="W99" s="374">
        <v>629872</v>
      </c>
      <c r="X99" s="387" t="str">
        <f>"{"&amp;"'coin':"&amp;表1_86121822242672112[[#This Row],[补偿Coin]]&amp;",'"&amp;配置!$A$2&amp;"':"&amp;表1_86121822242672112[[#This Row],[补偿辎重]]&amp;"},"</f>
        <v>{'coin':1000,'item036':10},</v>
      </c>
      <c r="Y99" s="388" t="str">
        <f>"            'to_zone':'"&amp;表1_86121822242672112[[#This Row],[目标区服]]&amp;"',
            'reward':"&amp;表1_86121822242672112[[#This Row],[辅助导出]]&amp;"
            'country':["&amp;R98&amp;","&amp;R99&amp;","&amp;R100&amp;"],"</f>
        <v>            'to_zone':'h1_605',
            'reward':{'coin':1000,'item036':10},
            'country':[2,2,1],</v>
      </c>
    </row>
    <row r="100" s="354" customFormat="1" ht="14.25" customHeight="1" spans="1:25">
      <c r="A100" s="375">
        <v>5254</v>
      </c>
      <c r="B100" s="371">
        <f>VLOOKUP(表1_86121822242672112[[#This Row],[区服]],$P$113:$Q$148,2,FALSE)</f>
        <v>37</v>
      </c>
      <c r="C100" s="372" t="s">
        <v>259</v>
      </c>
      <c r="D100" s="376" t="str">
        <f>表1_86121822242672112[[#This Row],[目标国家]]</f>
        <v>蜀</v>
      </c>
      <c r="E100" s="374">
        <f>(VLOOKUP(表1_86121822242672112[[#This Row],[目标区服]],$R$113:$S$124,2,FALSE)-表1_86121822242672112[[#This Row],[开服天数]])*配置!$B$1</f>
        <v>1000</v>
      </c>
      <c r="F100" s="90">
        <f>表1_86121822242672112[[#This Row],[补偿Coin]]*(表1_86121822242672112[[#This Row],[活跃高战玩家数]]+表1_86121822242672112[[#This Row],[活跃中坚玩家数]])</f>
        <v>17000</v>
      </c>
      <c r="G100" s="89">
        <f>(VLOOKUP(表1_86121822242672112[[#This Row],[目标区服]],$R$113:$S$124,2,FALSE)-表1_86121822242672112[[#This Row],[开服天数]])*配置!$B$2</f>
        <v>10</v>
      </c>
      <c r="H100" s="88" t="s">
        <v>27</v>
      </c>
      <c r="I100" s="376">
        <f>IF(表1_86121822242672112[[#This Row],[原国家]]="魏",0,IF(表1_86121822242672112[[#This Row],[原国家]]="蜀",1,2))</f>
        <v>2</v>
      </c>
      <c r="J100" s="380">
        <v>0</v>
      </c>
      <c r="K100" s="380">
        <v>17</v>
      </c>
      <c r="L100" s="380">
        <v>1</v>
      </c>
      <c r="M100" s="380">
        <v>16</v>
      </c>
      <c r="N100" s="380">
        <v>46440</v>
      </c>
      <c r="O100" s="380">
        <v>1098972</v>
      </c>
      <c r="P100" s="381">
        <v>7126077</v>
      </c>
      <c r="Q100" s="31" t="s">
        <v>26</v>
      </c>
      <c r="R100" s="376">
        <f>IF(表1_86121822242672112[[#This Row],[目标国家]]="魏",0,IF(表1_86121822242672112[[#This Row],[目标国家]]="蜀",1,2))</f>
        <v>1</v>
      </c>
      <c r="S100" s="380">
        <v>16192</v>
      </c>
      <c r="T100" s="380">
        <v>0</v>
      </c>
      <c r="U100" s="380">
        <v>101223</v>
      </c>
      <c r="V100" s="380">
        <v>2750</v>
      </c>
      <c r="W100" s="374">
        <v>357835</v>
      </c>
      <c r="X100" s="387" t="str">
        <f>"{"&amp;"'coin':"&amp;表1_86121822242672112[[#This Row],[补偿Coin]]&amp;",'"&amp;配置!$A$2&amp;"':"&amp;表1_86121822242672112[[#This Row],[补偿辎重]]&amp;"},"</f>
        <v>{'coin':1000,'item036':10},</v>
      </c>
      <c r="Y100" s="388" t="str">
        <f>"      },"</f>
        <v>      },</v>
      </c>
    </row>
    <row r="101" ht="14.25" customHeight="1" spans="1:25">
      <c r="A101" s="214">
        <v>5255</v>
      </c>
      <c r="B101" s="214">
        <f>VLOOKUP(表1_86121822242672112[[#This Row],[区服]],$P$113:$Q$148,2,FALSE)</f>
        <v>36</v>
      </c>
      <c r="C101" s="293" t="s">
        <v>260</v>
      </c>
      <c r="D101" s="216" t="str">
        <f>表1_86121822242672112[[#This Row],[目标国家]]</f>
        <v>魏</v>
      </c>
      <c r="E101" s="294">
        <f>(VLOOKUP(表1_86121822242672112[[#This Row],[目标区服]],$R$113:$S$124,2,FALSE)-表1_86121822242672112[[#This Row],[开服天数]])*配置!$B$1</f>
        <v>1000</v>
      </c>
      <c r="F101" s="217">
        <f>表1_86121822242672112[[#This Row],[补偿Coin]]*(表1_86121822242672112[[#This Row],[活跃高战玩家数]]+表1_86121822242672112[[#This Row],[活跃中坚玩家数]])</f>
        <v>13000</v>
      </c>
      <c r="G101" s="294">
        <f>(VLOOKUP(表1_86121822242672112[[#This Row],[目标区服]],$R$113:$S$124,2,FALSE)-表1_86121822242672112[[#This Row],[开服天数]])*配置!$B$2</f>
        <v>10</v>
      </c>
      <c r="H101" s="216" t="s">
        <v>25</v>
      </c>
      <c r="I101" s="216">
        <f>IF(表1_86121822242672112[[#This Row],[原国家]]="魏",0,IF(表1_86121822242672112[[#This Row],[原国家]]="蜀",1,2))</f>
        <v>0</v>
      </c>
      <c r="J101" s="217">
        <v>2</v>
      </c>
      <c r="K101" s="217">
        <v>84</v>
      </c>
      <c r="L101" s="217">
        <v>3</v>
      </c>
      <c r="M101" s="217">
        <v>10</v>
      </c>
      <c r="N101" s="217">
        <v>63349</v>
      </c>
      <c r="O101" s="217">
        <v>1336436</v>
      </c>
      <c r="P101" s="334">
        <v>7686163</v>
      </c>
      <c r="Q101" s="247" t="s">
        <v>25</v>
      </c>
      <c r="R101" s="216">
        <f>IF(表1_86121822242672112[[#This Row],[目标国家]]="魏",0,IF(表1_86121822242672112[[#This Row],[目标国家]]="蜀",1,2))</f>
        <v>0</v>
      </c>
      <c r="S101" s="217">
        <v>10886</v>
      </c>
      <c r="T101" s="217">
        <v>0</v>
      </c>
      <c r="U101" s="217">
        <v>84947</v>
      </c>
      <c r="V101" s="217">
        <v>3830</v>
      </c>
      <c r="W101" s="294">
        <v>374413</v>
      </c>
      <c r="X101" s="249" t="str">
        <f>"{"&amp;"'coin':"&amp;表1_86121822242672112[[#This Row],[补偿Coin]]&amp;",'"&amp;配置!$A$2&amp;"':"&amp;表1_86121822242672112[[#This Row],[补偿辎重]]&amp;"},"</f>
        <v>{'coin':1000,'item036':10},</v>
      </c>
      <c r="Y101" s="251" t="str">
        <f>"      '"&amp;表1_86121822242672112[[#This Row],[区服]]&amp;"':{"</f>
        <v>      '5255':{</v>
      </c>
    </row>
    <row r="102" ht="14.25" customHeight="1" spans="1:25">
      <c r="A102" s="214">
        <v>5255</v>
      </c>
      <c r="B102" s="214">
        <f>VLOOKUP(表1_86121822242672112[[#This Row],[区服]],$P$113:$Q$148,2,FALSE)</f>
        <v>36</v>
      </c>
      <c r="C102" s="293" t="s">
        <v>260</v>
      </c>
      <c r="D102" s="216" t="str">
        <f>表1_86121822242672112[[#This Row],[目标国家]]</f>
        <v>吴</v>
      </c>
      <c r="E102" s="294">
        <f>(VLOOKUP(表1_86121822242672112[[#This Row],[目标区服]],$R$113:$S$124,2,FALSE)-表1_86121822242672112[[#This Row],[开服天数]])*配置!$B$1</f>
        <v>1000</v>
      </c>
      <c r="F102" s="217">
        <f>表1_86121822242672112[[#This Row],[补偿Coin]]*(表1_86121822242672112[[#This Row],[活跃高战玩家数]]+表1_86121822242672112[[#This Row],[活跃中坚玩家数]])</f>
        <v>35000</v>
      </c>
      <c r="G102" s="294">
        <f>(VLOOKUP(表1_86121822242672112[[#This Row],[目标区服]],$R$113:$S$124,2,FALSE)-表1_86121822242672112[[#This Row],[开服天数]])*配置!$B$2</f>
        <v>10</v>
      </c>
      <c r="H102" s="216" t="s">
        <v>26</v>
      </c>
      <c r="I102" s="216">
        <f>IF(表1_86121822242672112[[#This Row],[原国家]]="魏",0,IF(表1_86121822242672112[[#This Row],[原国家]]="蜀",1,2))</f>
        <v>1</v>
      </c>
      <c r="J102" s="217">
        <v>5</v>
      </c>
      <c r="K102" s="217">
        <v>225</v>
      </c>
      <c r="L102" s="217">
        <v>5</v>
      </c>
      <c r="M102" s="217">
        <v>30</v>
      </c>
      <c r="N102" s="217">
        <v>163737</v>
      </c>
      <c r="O102" s="217">
        <v>2248679</v>
      </c>
      <c r="P102" s="334">
        <v>21819919</v>
      </c>
      <c r="Q102" s="247" t="s">
        <v>27</v>
      </c>
      <c r="R102" s="216">
        <f>IF(表1_86121822242672112[[#This Row],[目标国家]]="魏",0,IF(表1_86121822242672112[[#This Row],[目标国家]]="蜀",1,2))</f>
        <v>2</v>
      </c>
      <c r="S102" s="217">
        <v>42716</v>
      </c>
      <c r="T102" s="217">
        <v>0</v>
      </c>
      <c r="U102" s="217">
        <v>276713</v>
      </c>
      <c r="V102" s="217">
        <v>9419</v>
      </c>
      <c r="W102" s="384">
        <v>724707</v>
      </c>
      <c r="X102" s="249" t="str">
        <f>"{"&amp;"'coin':"&amp;表1_86121822242672112[[#This Row],[补偿Coin]]&amp;",'"&amp;配置!$A$2&amp;"':"&amp;表1_86121822242672112[[#This Row],[补偿辎重]]&amp;"},"</f>
        <v>{'coin':1000,'item036':10},</v>
      </c>
      <c r="Y102" s="251" t="str">
        <f>"            'to_zone':'"&amp;表1_86121822242672112[[#This Row],[目标区服]]&amp;"',
            'reward':"&amp;表1_86121822242672112[[#This Row],[辅助导出]]&amp;"
            'country':["&amp;R101&amp;","&amp;R102&amp;","&amp;R103&amp;"],"</f>
        <v>            'to_zone':'h1_606',
            'reward':{'coin':1000,'item036':10},
            'country':[0,2,1],</v>
      </c>
    </row>
    <row r="103" ht="14.25" customHeight="1" spans="1:25">
      <c r="A103" s="214">
        <v>5255</v>
      </c>
      <c r="B103" s="214">
        <f>VLOOKUP(表1_86121822242672112[[#This Row],[区服]],$P$113:$Q$148,2,FALSE)</f>
        <v>36</v>
      </c>
      <c r="C103" s="293" t="s">
        <v>260</v>
      </c>
      <c r="D103" s="216" t="str">
        <f>表1_86121822242672112[[#This Row],[目标国家]]</f>
        <v>蜀</v>
      </c>
      <c r="E103" s="294">
        <f>(VLOOKUP(表1_86121822242672112[[#This Row],[目标区服]],$R$113:$S$124,2,FALSE)-表1_86121822242672112[[#This Row],[开服天数]])*配置!$B$1</f>
        <v>1000</v>
      </c>
      <c r="F103" s="217">
        <f>表1_86121822242672112[[#This Row],[补偿Coin]]*(表1_86121822242672112[[#This Row],[活跃高战玩家数]]+表1_86121822242672112[[#This Row],[活跃中坚玩家数]])</f>
        <v>27000</v>
      </c>
      <c r="G103" s="294">
        <f>(VLOOKUP(表1_86121822242672112[[#This Row],[目标区服]],$R$113:$S$124,2,FALSE)-表1_86121822242672112[[#This Row],[开服天数]])*配置!$B$2</f>
        <v>10</v>
      </c>
      <c r="H103" s="216" t="s">
        <v>27</v>
      </c>
      <c r="I103" s="216">
        <f>IF(表1_86121822242672112[[#This Row],[原国家]]="魏",0,IF(表1_86121822242672112[[#This Row],[原国家]]="蜀",1,2))</f>
        <v>2</v>
      </c>
      <c r="J103" s="217">
        <v>2</v>
      </c>
      <c r="K103" s="217">
        <v>86</v>
      </c>
      <c r="L103" s="217">
        <v>2</v>
      </c>
      <c r="M103" s="217">
        <v>25</v>
      </c>
      <c r="N103" s="217">
        <v>84900</v>
      </c>
      <c r="O103" s="217">
        <v>1305599</v>
      </c>
      <c r="P103" s="334">
        <v>12257540</v>
      </c>
      <c r="Q103" s="247" t="s">
        <v>26</v>
      </c>
      <c r="R103" s="216">
        <f>IF(表1_86121822242672112[[#This Row],[目标国家]]="魏",0,IF(表1_86121822242672112[[#This Row],[目标国家]]="蜀",1,2))</f>
        <v>1</v>
      </c>
      <c r="S103" s="217">
        <v>17270</v>
      </c>
      <c r="T103" s="217">
        <v>0</v>
      </c>
      <c r="U103" s="217">
        <v>350069</v>
      </c>
      <c r="V103" s="217">
        <v>4708</v>
      </c>
      <c r="W103" s="294">
        <v>394175</v>
      </c>
      <c r="X103" s="249" t="str">
        <f>"{"&amp;"'coin':"&amp;表1_86121822242672112[[#This Row],[补偿Coin]]&amp;",'"&amp;配置!$A$2&amp;"':"&amp;表1_86121822242672112[[#This Row],[补偿辎重]]&amp;"},"</f>
        <v>{'coin':1000,'item036':10},</v>
      </c>
      <c r="Y103" s="251" t="str">
        <f>"      },"</f>
        <v>      },</v>
      </c>
    </row>
    <row r="104" ht="14.25" customHeight="1" spans="1:25">
      <c r="A104" s="214">
        <v>5256</v>
      </c>
      <c r="B104" s="214">
        <f>VLOOKUP(表1_86121822242672112[[#This Row],[区服]],$P$113:$Q$148,2,FALSE)</f>
        <v>36</v>
      </c>
      <c r="C104" s="293" t="s">
        <v>260</v>
      </c>
      <c r="D104" s="216" t="str">
        <f>表1_86121822242672112[[#This Row],[目标国家]]</f>
        <v>蜀</v>
      </c>
      <c r="E104" s="294">
        <f>(VLOOKUP(表1_86121822242672112[[#This Row],[目标区服]],$R$113:$S$124,2,FALSE)-表1_86121822242672112[[#This Row],[开服天数]])*配置!$B$1</f>
        <v>1000</v>
      </c>
      <c r="F104" s="217">
        <f>表1_86121822242672112[[#This Row],[补偿Coin]]*(表1_86121822242672112[[#This Row],[活跃高战玩家数]]+表1_86121822242672112[[#This Row],[活跃中坚玩家数]])</f>
        <v>21000</v>
      </c>
      <c r="G104" s="294">
        <f>(VLOOKUP(表1_86121822242672112[[#This Row],[目标区服]],$R$113:$S$124,2,FALSE)-表1_86121822242672112[[#This Row],[开服天数]])*配置!$B$2</f>
        <v>10</v>
      </c>
      <c r="H104" s="216" t="s">
        <v>25</v>
      </c>
      <c r="I104" s="216">
        <f>IF(表1_86121822242672112[[#This Row],[原国家]]="魏",0,IF(表1_86121822242672112[[#This Row],[原国家]]="蜀",1,2))</f>
        <v>0</v>
      </c>
      <c r="J104" s="217">
        <v>0</v>
      </c>
      <c r="K104" s="217">
        <v>7</v>
      </c>
      <c r="L104" s="217">
        <v>1</v>
      </c>
      <c r="M104" s="217">
        <v>20</v>
      </c>
      <c r="N104" s="217">
        <v>59395</v>
      </c>
      <c r="O104" s="217">
        <v>1507053</v>
      </c>
      <c r="P104" s="334">
        <v>10017011</v>
      </c>
      <c r="Q104" s="247" t="s">
        <v>26</v>
      </c>
      <c r="R104" s="216">
        <f>IF(表1_86121822242672112[[#This Row],[目标国家]]="魏",0,IF(表1_86121822242672112[[#This Row],[目标国家]]="蜀",1,2))</f>
        <v>1</v>
      </c>
      <c r="S104" s="217">
        <v>43252</v>
      </c>
      <c r="T104" s="217">
        <v>0</v>
      </c>
      <c r="U104" s="217">
        <v>155783</v>
      </c>
      <c r="V104" s="217">
        <v>4251</v>
      </c>
      <c r="W104" s="294">
        <v>571010</v>
      </c>
      <c r="X104" s="249" t="str">
        <f>"{"&amp;"'coin':"&amp;表1_86121822242672112[[#This Row],[补偿Coin]]&amp;",'"&amp;配置!$A$2&amp;"':"&amp;表1_86121822242672112[[#This Row],[补偿辎重]]&amp;"},"</f>
        <v>{'coin':1000,'item036':10},</v>
      </c>
      <c r="Y104" s="251" t="str">
        <f>"      '"&amp;表1_86121822242672112[[#This Row],[区服]]&amp;"':{"</f>
        <v>      '5256':{</v>
      </c>
    </row>
    <row r="105" ht="14.25" customHeight="1" spans="1:25">
      <c r="A105" s="214">
        <v>5256</v>
      </c>
      <c r="B105" s="214">
        <f>VLOOKUP(表1_86121822242672112[[#This Row],[区服]],$P$113:$Q$148,2,FALSE)</f>
        <v>36</v>
      </c>
      <c r="C105" s="293" t="s">
        <v>260</v>
      </c>
      <c r="D105" s="216" t="str">
        <f>表1_86121822242672112[[#This Row],[目标国家]]</f>
        <v>蜀</v>
      </c>
      <c r="E105" s="294">
        <f>(VLOOKUP(表1_86121822242672112[[#This Row],[目标区服]],$R$113:$S$124,2,FALSE)-表1_86121822242672112[[#This Row],[开服天数]])*配置!$B$1</f>
        <v>1000</v>
      </c>
      <c r="F105" s="217">
        <f>表1_86121822242672112[[#This Row],[补偿Coin]]*(表1_86121822242672112[[#This Row],[活跃高战玩家数]]+表1_86121822242672112[[#This Row],[活跃中坚玩家数]])</f>
        <v>36000</v>
      </c>
      <c r="G105" s="294">
        <f>(VLOOKUP(表1_86121822242672112[[#This Row],[目标区服]],$R$113:$S$124,2,FALSE)-表1_86121822242672112[[#This Row],[开服天数]])*配置!$B$2</f>
        <v>10</v>
      </c>
      <c r="H105" s="216" t="s">
        <v>26</v>
      </c>
      <c r="I105" s="216">
        <f>IF(表1_86121822242672112[[#This Row],[原国家]]="魏",0,IF(表1_86121822242672112[[#This Row],[原国家]]="蜀",1,2))</f>
        <v>1</v>
      </c>
      <c r="J105" s="217">
        <v>7</v>
      </c>
      <c r="K105" s="217">
        <v>319</v>
      </c>
      <c r="L105" s="217">
        <v>7</v>
      </c>
      <c r="M105" s="217">
        <v>29</v>
      </c>
      <c r="N105" s="217">
        <v>150886</v>
      </c>
      <c r="O105" s="217">
        <v>3360011</v>
      </c>
      <c r="P105" s="334">
        <v>25743077</v>
      </c>
      <c r="Q105" s="247" t="s">
        <v>26</v>
      </c>
      <c r="R105" s="216">
        <f>IF(表1_86121822242672112[[#This Row],[目标国家]]="魏",0,IF(表1_86121822242672112[[#This Row],[目标国家]]="蜀",1,2))</f>
        <v>1</v>
      </c>
      <c r="S105" s="217">
        <v>145872</v>
      </c>
      <c r="T105" s="217">
        <v>0</v>
      </c>
      <c r="U105" s="217">
        <v>956692</v>
      </c>
      <c r="V105" s="217">
        <v>15433</v>
      </c>
      <c r="W105" s="384">
        <v>1022688</v>
      </c>
      <c r="X105" s="249" t="str">
        <f>"{"&amp;"'coin':"&amp;表1_86121822242672112[[#This Row],[补偿Coin]]&amp;",'"&amp;配置!$A$2&amp;"':"&amp;表1_86121822242672112[[#This Row],[补偿辎重]]&amp;"},"</f>
        <v>{'coin':1000,'item036':10},</v>
      </c>
      <c r="Y105" s="251" t="str">
        <f>"            'to_zone':'"&amp;表1_86121822242672112[[#This Row],[目标区服]]&amp;"',
            'reward':"&amp;表1_86121822242672112[[#This Row],[辅助导出]]&amp;"
            'country':["&amp;R104&amp;","&amp;R105&amp;","&amp;R106&amp;"],"</f>
        <v>            'to_zone':'h1_606',
            'reward':{'coin':1000,'item036':10},
            'country':[1,1,2],</v>
      </c>
    </row>
    <row r="106" ht="14.25" customHeight="1" spans="1:25">
      <c r="A106" s="214">
        <v>5256</v>
      </c>
      <c r="B106" s="214">
        <f>VLOOKUP(表1_86121822242672112[[#This Row],[区服]],$P$113:$Q$148,2,FALSE)</f>
        <v>36</v>
      </c>
      <c r="C106" s="293" t="s">
        <v>260</v>
      </c>
      <c r="D106" s="216" t="str">
        <f>表1_86121822242672112[[#This Row],[目标国家]]</f>
        <v>吴</v>
      </c>
      <c r="E106" s="294">
        <f>(VLOOKUP(表1_86121822242672112[[#This Row],[目标区服]],$R$113:$S$124,2,FALSE)-表1_86121822242672112[[#This Row],[开服天数]])*配置!$B$1</f>
        <v>1000</v>
      </c>
      <c r="F106" s="217">
        <f>表1_86121822242672112[[#This Row],[补偿Coin]]*(表1_86121822242672112[[#This Row],[活跃高战玩家数]]+表1_86121822242672112[[#This Row],[活跃中坚玩家数]])</f>
        <v>27000</v>
      </c>
      <c r="G106" s="294">
        <f>(VLOOKUP(表1_86121822242672112[[#This Row],[目标区服]],$R$113:$S$124,2,FALSE)-表1_86121822242672112[[#This Row],[开服天数]])*配置!$B$2</f>
        <v>10</v>
      </c>
      <c r="H106" s="216" t="s">
        <v>27</v>
      </c>
      <c r="I106" s="216">
        <f>IF(表1_86121822242672112[[#This Row],[原国家]]="魏",0,IF(表1_86121822242672112[[#This Row],[原国家]]="蜀",1,2))</f>
        <v>2</v>
      </c>
      <c r="J106" s="217">
        <v>2</v>
      </c>
      <c r="K106" s="217">
        <v>69</v>
      </c>
      <c r="L106" s="217">
        <v>2</v>
      </c>
      <c r="M106" s="217">
        <v>25</v>
      </c>
      <c r="N106" s="217">
        <v>103478</v>
      </c>
      <c r="O106" s="217">
        <v>1815739</v>
      </c>
      <c r="P106" s="334">
        <v>15149130</v>
      </c>
      <c r="Q106" s="247" t="s">
        <v>27</v>
      </c>
      <c r="R106" s="216">
        <f>IF(表1_86121822242672112[[#This Row],[目标国家]]="魏",0,IF(表1_86121822242672112[[#This Row],[目标国家]]="蜀",1,2))</f>
        <v>2</v>
      </c>
      <c r="S106" s="217">
        <v>35614</v>
      </c>
      <c r="T106" s="217">
        <v>0</v>
      </c>
      <c r="U106" s="217">
        <v>152105</v>
      </c>
      <c r="V106" s="217">
        <v>5882</v>
      </c>
      <c r="W106" s="294">
        <v>589471</v>
      </c>
      <c r="X106" s="249" t="str">
        <f>"{"&amp;"'coin':"&amp;表1_86121822242672112[[#This Row],[补偿Coin]]&amp;",'"&amp;配置!$A$2&amp;"':"&amp;表1_86121822242672112[[#This Row],[补偿辎重]]&amp;"},"</f>
        <v>{'coin':1000,'item036':10},</v>
      </c>
      <c r="Y106" s="251" t="str">
        <f>"      },"</f>
        <v>      },</v>
      </c>
    </row>
    <row r="107" ht="14.25" customHeight="1" spans="1:25">
      <c r="A107" s="214">
        <v>5257</v>
      </c>
      <c r="B107" s="214">
        <f>VLOOKUP(表1_86121822242672112[[#This Row],[区服]],$P$113:$Q$148,2,FALSE)</f>
        <v>36</v>
      </c>
      <c r="C107" s="293" t="s">
        <v>260</v>
      </c>
      <c r="D107" s="216" t="str">
        <f>表1_86121822242672112[[#This Row],[目标国家]]</f>
        <v>魏</v>
      </c>
      <c r="E107" s="294">
        <f>(VLOOKUP(表1_86121822242672112[[#This Row],[目标区服]],$R$113:$S$124,2,FALSE)-表1_86121822242672112[[#This Row],[开服天数]])*配置!$B$1</f>
        <v>1000</v>
      </c>
      <c r="F107" s="217">
        <f>表1_86121822242672112[[#This Row],[补偿Coin]]*(表1_86121822242672112[[#This Row],[活跃高战玩家数]]+表1_86121822242672112[[#This Row],[活跃中坚玩家数]])</f>
        <v>36000</v>
      </c>
      <c r="G107" s="294">
        <f>(VLOOKUP(表1_86121822242672112[[#This Row],[目标区服]],$R$113:$S$124,2,FALSE)-表1_86121822242672112[[#This Row],[开服天数]])*配置!$B$2</f>
        <v>10</v>
      </c>
      <c r="H107" s="216" t="s">
        <v>25</v>
      </c>
      <c r="I107" s="216">
        <f>IF(表1_86121822242672112[[#This Row],[原国家]]="魏",0,IF(表1_86121822242672112[[#This Row],[原国家]]="蜀",1,2))</f>
        <v>0</v>
      </c>
      <c r="J107" s="217">
        <v>4</v>
      </c>
      <c r="K107" s="217">
        <v>187</v>
      </c>
      <c r="L107" s="217">
        <v>5</v>
      </c>
      <c r="M107" s="217">
        <v>31</v>
      </c>
      <c r="N107" s="217">
        <v>127329</v>
      </c>
      <c r="O107" s="217">
        <v>2395448</v>
      </c>
      <c r="P107" s="334">
        <v>26531426</v>
      </c>
      <c r="Q107" s="247" t="s">
        <v>25</v>
      </c>
      <c r="R107" s="216">
        <f>IF(表1_86121822242672112[[#This Row],[目标国家]]="魏",0,IF(表1_86121822242672112[[#This Row],[目标国家]]="蜀",1,2))</f>
        <v>0</v>
      </c>
      <c r="S107" s="217">
        <v>87602</v>
      </c>
      <c r="T107" s="217">
        <v>0</v>
      </c>
      <c r="U107" s="217">
        <v>502919</v>
      </c>
      <c r="V107" s="217">
        <v>10834</v>
      </c>
      <c r="W107" s="294">
        <v>676942</v>
      </c>
      <c r="X107" s="249" t="str">
        <f>"{"&amp;"'coin':"&amp;表1_86121822242672112[[#This Row],[补偿Coin]]&amp;",'"&amp;配置!$A$2&amp;"':"&amp;表1_86121822242672112[[#This Row],[补偿辎重]]&amp;"},"</f>
        <v>{'coin':1000,'item036':10},</v>
      </c>
      <c r="Y107" s="251" t="str">
        <f>"      '"&amp;表1_86121822242672112[[#This Row],[区服]]&amp;"':{"</f>
        <v>      '5257':{</v>
      </c>
    </row>
    <row r="108" ht="14.25" customHeight="1" spans="1:25">
      <c r="A108" s="214">
        <v>5257</v>
      </c>
      <c r="B108" s="214">
        <f>VLOOKUP(表1_86121822242672112[[#This Row],[区服]],$P$113:$Q$148,2,FALSE)</f>
        <v>36</v>
      </c>
      <c r="C108" s="293" t="s">
        <v>260</v>
      </c>
      <c r="D108" s="216" t="str">
        <f>表1_86121822242672112[[#This Row],[目标国家]]</f>
        <v>魏</v>
      </c>
      <c r="E108" s="294">
        <f>(VLOOKUP(表1_86121822242672112[[#This Row],[目标区服]],$R$113:$S$124,2,FALSE)-表1_86121822242672112[[#This Row],[开服天数]])*配置!$B$1</f>
        <v>1000</v>
      </c>
      <c r="F108" s="217">
        <f>表1_86121822242672112[[#This Row],[补偿Coin]]*(表1_86121822242672112[[#This Row],[活跃高战玩家数]]+表1_86121822242672112[[#This Row],[活跃中坚玩家数]])</f>
        <v>26000</v>
      </c>
      <c r="G108" s="294">
        <f>(VLOOKUP(表1_86121822242672112[[#This Row],[目标区服]],$R$113:$S$124,2,FALSE)-表1_86121822242672112[[#This Row],[开服天数]])*配置!$B$2</f>
        <v>10</v>
      </c>
      <c r="H108" s="216" t="s">
        <v>26</v>
      </c>
      <c r="I108" s="216">
        <f>IF(表1_86121822242672112[[#This Row],[原国家]]="魏",0,IF(表1_86121822242672112[[#This Row],[原国家]]="蜀",1,2))</f>
        <v>1</v>
      </c>
      <c r="J108" s="217">
        <v>3</v>
      </c>
      <c r="K108" s="217">
        <v>131</v>
      </c>
      <c r="L108" s="217">
        <v>3</v>
      </c>
      <c r="M108" s="217">
        <v>23</v>
      </c>
      <c r="N108" s="217">
        <v>84510</v>
      </c>
      <c r="O108" s="217">
        <v>2270984</v>
      </c>
      <c r="P108" s="334">
        <v>18002710</v>
      </c>
      <c r="Q108" s="247" t="s">
        <v>25</v>
      </c>
      <c r="R108" s="216">
        <f>IF(表1_86121822242672112[[#This Row],[目标国家]]="魏",0,IF(表1_86121822242672112[[#This Row],[目标国家]]="蜀",1,2))</f>
        <v>0</v>
      </c>
      <c r="S108" s="217">
        <v>62012</v>
      </c>
      <c r="T108" s="217">
        <v>0</v>
      </c>
      <c r="U108" s="217">
        <v>114020</v>
      </c>
      <c r="V108" s="217">
        <v>8021</v>
      </c>
      <c r="W108" s="384">
        <v>690122</v>
      </c>
      <c r="X108" s="249" t="str">
        <f>"{"&amp;"'coin':"&amp;表1_86121822242672112[[#This Row],[补偿Coin]]&amp;",'"&amp;配置!$A$2&amp;"':"&amp;表1_86121822242672112[[#This Row],[补偿辎重]]&amp;"},"</f>
        <v>{'coin':1000,'item036':10},</v>
      </c>
      <c r="Y108" s="251" t="str">
        <f>"            'to_zone':'"&amp;表1_86121822242672112[[#This Row],[目标区服]]&amp;"',
            'reward':"&amp;表1_86121822242672112[[#This Row],[辅助导出]]&amp;"
            'country':["&amp;R107&amp;","&amp;R108&amp;","&amp;R109&amp;"],"</f>
        <v>            'to_zone':'h1_606',
            'reward':{'coin':1000,'item036':10},
            'country':[0,0,2],</v>
      </c>
    </row>
    <row r="109" ht="14.25" customHeight="1" spans="1:25">
      <c r="A109" s="214">
        <v>5257</v>
      </c>
      <c r="B109" s="214">
        <f>VLOOKUP(表1_86121822242672112[[#This Row],[区服]],$P$113:$Q$148,2,FALSE)</f>
        <v>36</v>
      </c>
      <c r="C109" s="293" t="s">
        <v>260</v>
      </c>
      <c r="D109" s="216" t="str">
        <f>表1_86121822242672112[[#This Row],[目标国家]]</f>
        <v>吴</v>
      </c>
      <c r="E109" s="294">
        <f>(VLOOKUP(表1_86121822242672112[[#This Row],[目标区服]],$R$113:$S$124,2,FALSE)-表1_86121822242672112[[#This Row],[开服天数]])*配置!$B$1</f>
        <v>1000</v>
      </c>
      <c r="F109" s="217">
        <f>表1_86121822242672112[[#This Row],[补偿Coin]]*(表1_86121822242672112[[#This Row],[活跃高战玩家数]]+表1_86121822242672112[[#This Row],[活跃中坚玩家数]])</f>
        <v>26000</v>
      </c>
      <c r="G109" s="294">
        <f>(VLOOKUP(表1_86121822242672112[[#This Row],[目标区服]],$R$113:$S$124,2,FALSE)-表1_86121822242672112[[#This Row],[开服天数]])*配置!$B$2</f>
        <v>10</v>
      </c>
      <c r="H109" s="216" t="s">
        <v>27</v>
      </c>
      <c r="I109" s="216">
        <f>IF(表1_86121822242672112[[#This Row],[原国家]]="魏",0,IF(表1_86121822242672112[[#This Row],[原国家]]="蜀",1,2))</f>
        <v>2</v>
      </c>
      <c r="J109" s="217">
        <v>2</v>
      </c>
      <c r="K109" s="217">
        <v>77</v>
      </c>
      <c r="L109" s="217">
        <v>2</v>
      </c>
      <c r="M109" s="217">
        <v>24</v>
      </c>
      <c r="N109" s="217">
        <v>92888</v>
      </c>
      <c r="O109" s="217">
        <v>2378012</v>
      </c>
      <c r="P109" s="334">
        <v>18948033</v>
      </c>
      <c r="Q109" s="247" t="s">
        <v>27</v>
      </c>
      <c r="R109" s="216">
        <f>IF(表1_86121822242672112[[#This Row],[目标国家]]="魏",0,IF(表1_86121822242672112[[#This Row],[目标国家]]="蜀",1,2))</f>
        <v>2</v>
      </c>
      <c r="S109" s="217">
        <v>69678</v>
      </c>
      <c r="T109" s="217">
        <v>0</v>
      </c>
      <c r="U109" s="217">
        <v>232631</v>
      </c>
      <c r="V109" s="217">
        <v>7913</v>
      </c>
      <c r="W109" s="294">
        <v>687719</v>
      </c>
      <c r="X109" s="249" t="str">
        <f>"{"&amp;"'coin':"&amp;表1_86121822242672112[[#This Row],[补偿Coin]]&amp;",'"&amp;配置!$A$2&amp;"':"&amp;表1_86121822242672112[[#This Row],[补偿辎重]]&amp;"},"</f>
        <v>{'coin':1000,'item036':10},</v>
      </c>
      <c r="Y109" s="251" t="str">
        <f>"      },"</f>
        <v>      },</v>
      </c>
    </row>
    <row r="112" ht="37.5" customHeight="1" spans="1:19">
      <c r="A112" s="36" t="s">
        <v>28</v>
      </c>
      <c r="B112" s="37" t="s">
        <v>29</v>
      </c>
      <c r="C112" s="38" t="s">
        <v>30</v>
      </c>
      <c r="D112" s="38" t="s">
        <v>31</v>
      </c>
      <c r="E112" s="38" t="s">
        <v>32</v>
      </c>
      <c r="F112" s="38" t="s">
        <v>33</v>
      </c>
      <c r="G112" s="38" t="s">
        <v>15</v>
      </c>
      <c r="H112" s="37" t="s">
        <v>18</v>
      </c>
      <c r="I112" s="37" t="s">
        <v>19</v>
      </c>
      <c r="J112" s="37" t="s">
        <v>34</v>
      </c>
      <c r="K112" s="38" t="s">
        <v>35</v>
      </c>
      <c r="L112" s="38" t="s">
        <v>36</v>
      </c>
      <c r="M112" s="38" t="s">
        <v>37</v>
      </c>
      <c r="N112" s="38" t="s">
        <v>88</v>
      </c>
      <c r="P112" s="51" t="s">
        <v>0</v>
      </c>
      <c r="Q112" s="51" t="s">
        <v>1</v>
      </c>
      <c r="R112" s="51"/>
      <c r="S112" s="51" t="s">
        <v>38</v>
      </c>
    </row>
    <row r="113" ht="15.75" customHeight="1" spans="1:19">
      <c r="A113" s="173" t="s">
        <v>249</v>
      </c>
      <c r="B113" s="173" t="s">
        <v>25</v>
      </c>
      <c r="C113" s="173">
        <f>COUNTIFS(表1_86121822242672112[目标区服],表2_97131923252773113[[#This Row],[合区区服]],表1_86121822242672112[目标国家（映射）],表2_97131923252773113[[#This Row],[国家]])</f>
        <v>3</v>
      </c>
      <c r="D113" s="173">
        <f>SUMIFS(表1_86121822242672112[活跃高战玩家数],表1_86121822242672112[目标区服],表2_97131923252773113[[#This Row],[合区区服]],表1_86121822242672112[目标国家（映射）],表2_97131923252773113[[#This Row],[国家]])</f>
        <v>13</v>
      </c>
      <c r="E113" s="173">
        <f>SUMIFS(表1_86121822242672112[活跃中坚玩家数],表1_86121822242672112[目标区服],表2_97131923252773113[[#This Row],[合区区服]],表1_86121822242672112[目标国家（映射）],表2_97131923252773113[[#This Row],[国家]])</f>
        <v>52</v>
      </c>
      <c r="F113" s="173">
        <f t="array" ref="F113">MAX((表1_86121822242672112[目标区服]=表2_97131923252773113[[#This Row],[合区区服]])*(表1_86121822242672112[目标国家（映射）]=表2_97131923252773113[[#This Row],[国家]])*表1_86121822242672112[活跃尖端战力])</f>
        <v>2699719</v>
      </c>
      <c r="G113" s="174">
        <f>SUMIFS(表1_86121822242672112[活跃总战力],表1_86121822242672112[目标区服],表2_97131923252773113[[#This Row],[合区区服]],表1_86121822242672112[目标国家（映射）],表2_97131923252773113[[#This Row],[国家]])</f>
        <v>46633538</v>
      </c>
      <c r="H113" s="173">
        <f>SUMIFS(表1_86121822242672112[活跃实际充值],表1_86121822242672112[目标区服],表2_97131923252773113[[#This Row],[合区区服]],表1_86121822242672112[目标国家（映射）],表2_97131923252773113[[#This Row],[国家]])</f>
        <v>98254</v>
      </c>
      <c r="I113" s="173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13" s="173">
        <f>SUMIFS(表1_86121822242672112[活跃Coin],表1_86121822242672112[目标区服],表2_97131923252773113[[#This Row],[合区区服]],表1_86121822242672112[目标国家（映射）],表2_97131923252773113[[#This Row],[国家]])</f>
        <v>886280</v>
      </c>
      <c r="K113" s="173">
        <f>SUMIFS(表1_86121822242672112[共计补偿Coin],表1_86121822242672112[目标区服],表2_97131923252773113[[#This Row],[合区区服]],表1_86121822242672112[目标国家（映射）],表2_97131923252773113[[#This Row],[国家]])</f>
        <v>65000</v>
      </c>
      <c r="L113" s="173">
        <f>表2_97131923252773113[[#This Row],[活跃Coin]]+表2_97131923252773113[[#This Row],[共计补偿Coin]]</f>
        <v>951280</v>
      </c>
      <c r="M113" s="173">
        <f>SUMIFS(表1_86121822242672112[综合国力],表1_86121822242672112[目标区服],表2_97131923252773113[[#This Row],[合区区服]],表1_86121822242672112[目标国家（映射）],表2_97131923252773113[[#This Row],[国家]])</f>
        <v>22154</v>
      </c>
      <c r="N113" s="173">
        <f t="array" ref="N113">MAX((表1_86121822242672112[目标区服]=表2_97131923252773113[[#This Row],[合区区服]])*(表1_86121822242672112[目标国家（映射）]=表2_97131923252773113[[#This Row],[国家]])*表1_86121822242672112[单将最高战力])</f>
        <v>751089</v>
      </c>
      <c r="P113" s="335">
        <v>5222</v>
      </c>
      <c r="Q113" s="335">
        <v>44</v>
      </c>
      <c r="R113" s="51" t="s">
        <v>249</v>
      </c>
      <c r="S113" s="51">
        <v>46</v>
      </c>
    </row>
    <row r="114" ht="15" spans="1:19">
      <c r="A114" s="173" t="s">
        <v>249</v>
      </c>
      <c r="B114" s="173" t="s">
        <v>26</v>
      </c>
      <c r="C114" s="173">
        <f>COUNTIFS(表1_86121822242672112[目标区服],表2_97131923252773113[[#This Row],[合区区服]],表1_86121822242672112[目标国家（映射）],表2_97131923252773113[[#This Row],[国家]])</f>
        <v>3</v>
      </c>
      <c r="D114" s="173">
        <f>SUMIFS(表1_86121822242672112[活跃高战玩家数],表1_86121822242672112[目标区服],表2_97131923252773113[[#This Row],[合区区服]],表1_86121822242672112[目标国家（映射）],表2_97131923252773113[[#This Row],[国家]])</f>
        <v>5</v>
      </c>
      <c r="E114" s="173">
        <f>SUMIFS(表1_86121822242672112[活跃中坚玩家数],表1_86121822242672112[目标区服],表2_97131923252773113[[#This Row],[合区区服]],表1_86121822242672112[目标国家（映射）],表2_97131923252773113[[#This Row],[国家]])</f>
        <v>42</v>
      </c>
      <c r="F114" s="173">
        <f t="array" ref="F114">MAX((表1_86121822242672112[目标区服]=表2_97131923252773113[[#This Row],[合区区服]])*(表1_86121822242672112[目标国家（映射）]=表2_97131923252773113[[#This Row],[国家]])*表1_86121822242672112[活跃尖端战力])</f>
        <v>2983583</v>
      </c>
      <c r="G114" s="174">
        <f>SUMIFS(表1_86121822242672112[活跃总战力],表1_86121822242672112[目标区服],表2_97131923252773113[[#This Row],[合区区服]],表1_86121822242672112[目标国家（映射）],表2_97131923252773113[[#This Row],[国家]])</f>
        <v>33559377</v>
      </c>
      <c r="H114" s="173">
        <f>SUMIFS(表1_86121822242672112[活跃实际充值],表1_86121822242672112[目标区服],表2_97131923252773113[[#This Row],[合区区服]],表1_86121822242672112[目标国家（映射）],表2_97131923252773113[[#This Row],[国家]])</f>
        <v>182819</v>
      </c>
      <c r="I114" s="173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14" s="173">
        <f>SUMIFS(表1_86121822242672112[活跃Coin],表1_86121822242672112[目标区服],表2_97131923252773113[[#This Row],[合区区服]],表1_86121822242672112[目标国家（映射）],表2_97131923252773113[[#This Row],[国家]])</f>
        <v>1283615</v>
      </c>
      <c r="K114" s="173">
        <f>SUMIFS(表1_86121822242672112[共计补偿Coin],表1_86121822242672112[目标区服],表2_97131923252773113[[#This Row],[合区区服]],表1_86121822242672112[目标国家（映射）],表2_97131923252773113[[#This Row],[国家]])</f>
        <v>47000</v>
      </c>
      <c r="L114" s="173">
        <f>表2_97131923252773113[[#This Row],[活跃Coin]]+表2_97131923252773113[[#This Row],[共计补偿Coin]]</f>
        <v>1330615</v>
      </c>
      <c r="M114" s="173">
        <f>SUMIFS(表1_86121822242672112[综合国力],表1_86121822242672112[目标区服],表2_97131923252773113[[#This Row],[合区区服]],表1_86121822242672112[目标国家（映射）],表2_97131923252773113[[#This Row],[国家]])</f>
        <v>20009</v>
      </c>
      <c r="N114" s="173">
        <f t="array" ref="N114">MAX((表1_86121822242672112[目标区服]=表2_97131923252773113[[#This Row],[合区区服]])*(表1_86121822242672112[目标国家（映射）]=表2_97131923252773113[[#This Row],[国家]])*表1_86121822242672112[单将最高战力])</f>
        <v>882451</v>
      </c>
      <c r="P114" s="335">
        <v>5223</v>
      </c>
      <c r="Q114" s="335">
        <v>44</v>
      </c>
      <c r="R114" s="51" t="s">
        <v>250</v>
      </c>
      <c r="S114" s="51">
        <v>46</v>
      </c>
    </row>
    <row r="115" ht="15" spans="1:19">
      <c r="A115" s="173" t="s">
        <v>249</v>
      </c>
      <c r="B115" s="173" t="s">
        <v>27</v>
      </c>
      <c r="C115" s="173">
        <f>COUNTIFS(表1_86121822242672112[目标区服],表2_97131923252773113[[#This Row],[合区区服]],表1_86121822242672112[目标国家（映射）],表2_97131923252773113[[#This Row],[国家]])</f>
        <v>3</v>
      </c>
      <c r="D115" s="173">
        <f>SUMIFS(表1_86121822242672112[活跃高战玩家数],表1_86121822242672112[目标区服],表2_97131923252773113[[#This Row],[合区区服]],表1_86121822242672112[目标国家（映射）],表2_97131923252773113[[#This Row],[国家]])</f>
        <v>11</v>
      </c>
      <c r="E115" s="173">
        <f>SUMIFS(表1_86121822242672112[活跃中坚玩家数],表1_86121822242672112[目标区服],表2_97131923252773113[[#This Row],[合区区服]],表1_86121822242672112[目标国家（映射）],表2_97131923252773113[[#This Row],[国家]])</f>
        <v>54</v>
      </c>
      <c r="F115" s="173">
        <f t="array" ref="F115">MAX((表1_86121822242672112[目标区服]=表2_97131923252773113[[#This Row],[合区区服]])*(表1_86121822242672112[目标国家（映射）]=表2_97131923252773113[[#This Row],[国家]])*表1_86121822242672112[活跃尖端战力])</f>
        <v>2388648</v>
      </c>
      <c r="G115" s="174">
        <f>SUMIFS(表1_86121822242672112[活跃总战力],表1_86121822242672112[目标区服],表2_97131923252773113[[#This Row],[合区区服]],表1_86121822242672112[目标国家（映射）],表2_97131923252773113[[#This Row],[国家]])</f>
        <v>46048620</v>
      </c>
      <c r="H115" s="173">
        <f>SUMIFS(表1_86121822242672112[活跃实际充值],表1_86121822242672112[目标区服],表2_97131923252773113[[#This Row],[合区区服]],表1_86121822242672112[目标国家（映射）],表2_97131923252773113[[#This Row],[国家]])</f>
        <v>121308</v>
      </c>
      <c r="I115" s="173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15" s="173">
        <f>SUMIFS(表1_86121822242672112[活跃Coin],表1_86121822242672112[目标区服],表2_97131923252773113[[#This Row],[合区区服]],表1_86121822242672112[目标国家（映射）],表2_97131923252773113[[#This Row],[国家]])</f>
        <v>1169483</v>
      </c>
      <c r="K115" s="173">
        <f>SUMIFS(表1_86121822242672112[共计补偿Coin],表1_86121822242672112[目标区服],表2_97131923252773113[[#This Row],[合区区服]],表1_86121822242672112[目标国家（映射）],表2_97131923252773113[[#This Row],[国家]])</f>
        <v>65000</v>
      </c>
      <c r="L115" s="173">
        <f>表2_97131923252773113[[#This Row],[活跃Coin]]+表2_97131923252773113[[#This Row],[共计补偿Coin]]</f>
        <v>1234483</v>
      </c>
      <c r="M115" s="173">
        <f>SUMIFS(表1_86121822242672112[综合国力],表1_86121822242672112[目标区服],表2_97131923252773113[[#This Row],[合区区服]],表1_86121822242672112[目标国家（映射）],表2_97131923252773113[[#This Row],[国家]])</f>
        <v>22058</v>
      </c>
      <c r="N115" s="173">
        <f t="array" ref="N115">MAX((表1_86121822242672112[目标区服]=表2_97131923252773113[[#This Row],[合区区服]])*(表1_86121822242672112[目标国家（映射）]=表2_97131923252773113[[#This Row],[国家]])*表1_86121822242672112[单将最高战力])</f>
        <v>692325</v>
      </c>
      <c r="P115" s="335">
        <v>5224</v>
      </c>
      <c r="Q115" s="335">
        <v>44</v>
      </c>
      <c r="R115" s="51" t="s">
        <v>251</v>
      </c>
      <c r="S115" s="51">
        <v>45</v>
      </c>
    </row>
    <row r="116" ht="15" spans="1:19">
      <c r="A116" s="224" t="s">
        <v>250</v>
      </c>
      <c r="B116" s="224" t="s">
        <v>25</v>
      </c>
      <c r="C116" s="224">
        <f>COUNTIFS(表1_86121822242672112[目标区服],表2_97131923252773113[[#This Row],[合区区服]],表1_86121822242672112[目标国家（映射）],表2_97131923252773113[[#This Row],[国家]])</f>
        <v>4</v>
      </c>
      <c r="D116" s="224">
        <f>SUMIFS(表1_86121822242672112[活跃高战玩家数],表1_86121822242672112[目标区服],表2_97131923252773113[[#This Row],[合区区服]],表1_86121822242672112[目标国家（映射）],表2_97131923252773113[[#This Row],[国家]])</f>
        <v>9</v>
      </c>
      <c r="E116" s="224">
        <f>SUMIFS(表1_86121822242672112[活跃中坚玩家数],表1_86121822242672112[目标区服],表2_97131923252773113[[#This Row],[合区区服]],表1_86121822242672112[目标国家（映射）],表2_97131923252773113[[#This Row],[国家]])</f>
        <v>57</v>
      </c>
      <c r="F116" s="224">
        <f t="array" ref="F116">MAX((表1_86121822242672112[目标区服]=表2_97131923252773113[[#This Row],[合区区服]])*(表1_86121822242672112[目标国家（映射）]=表2_97131923252773113[[#This Row],[国家]])*表1_86121822242672112[活跃尖端战力])</f>
        <v>1912024</v>
      </c>
      <c r="G116" s="225">
        <f>SUMIFS(表1_86121822242672112[活跃总战力],表1_86121822242672112[目标区服],表2_97131923252773113[[#This Row],[合区区服]],表1_86121822242672112[目标国家（映射）],表2_97131923252773113[[#This Row],[国家]])</f>
        <v>42450238</v>
      </c>
      <c r="H116" s="224">
        <f>SUMIFS(表1_86121822242672112[活跃实际充值],表1_86121822242672112[目标区服],表2_97131923252773113[[#This Row],[合区区服]],表1_86121822242672112[目标国家（映射）],表2_97131923252773113[[#This Row],[国家]])</f>
        <v>107216</v>
      </c>
      <c r="I116" s="224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16" s="224">
        <f>SUMIFS(表1_86121822242672112[活跃Coin],表1_86121822242672112[目标区服],表2_97131923252773113[[#This Row],[合区区服]],表1_86121822242672112[目标国家（映射）],表2_97131923252773113[[#This Row],[国家]])</f>
        <v>639290</v>
      </c>
      <c r="K116" s="224">
        <f>SUMIFS(表1_86121822242672112[共计补偿Coin],表1_86121822242672112[目标区服],表2_97131923252773113[[#This Row],[合区区服]],表1_86121822242672112[目标国家（映射）],表2_97131923252773113[[#This Row],[国家]])</f>
        <v>85500</v>
      </c>
      <c r="L116" s="224">
        <f>表2_97131923252773113[[#This Row],[活跃Coin]]+表2_97131923252773113[[#This Row],[共计补偿Coin]]</f>
        <v>724790</v>
      </c>
      <c r="M116" s="224">
        <f>SUMIFS(表1_86121822242672112[综合国力],表1_86121822242672112[目标区服],表2_97131923252773113[[#This Row],[合区区服]],表1_86121822242672112[目标国家（映射）],表2_97131923252773113[[#This Row],[国家]])</f>
        <v>19719</v>
      </c>
      <c r="N116" s="224">
        <f t="array" ref="N116">MAX((表1_86121822242672112[目标区服]=表2_97131923252773113[[#This Row],[合区区服]])*(表1_86121822242672112[目标国家（映射）]=表2_97131923252773113[[#This Row],[国家]])*表1_86121822242672112[单将最高战力])</f>
        <v>574476</v>
      </c>
      <c r="P116" s="335">
        <v>5225</v>
      </c>
      <c r="Q116" s="335">
        <v>44</v>
      </c>
      <c r="R116" s="51" t="s">
        <v>252</v>
      </c>
      <c r="S116" s="51">
        <v>45</v>
      </c>
    </row>
    <row r="117" ht="15" spans="1:19">
      <c r="A117" s="224" t="s">
        <v>250</v>
      </c>
      <c r="B117" s="224" t="s">
        <v>26</v>
      </c>
      <c r="C117" s="224">
        <f>COUNTIFS(表1_86121822242672112[目标区服],表2_97131923252773113[[#This Row],[合区区服]],表1_86121822242672112[目标国家（映射）],表2_97131923252773113[[#This Row],[国家]])</f>
        <v>2</v>
      </c>
      <c r="D117" s="224">
        <f>SUMIFS(表1_86121822242672112[活跃高战玩家数],表1_86121822242672112[目标区服],表2_97131923252773113[[#This Row],[合区区服]],表1_86121822242672112[目标国家（映射）],表2_97131923252773113[[#This Row],[国家]])</f>
        <v>11</v>
      </c>
      <c r="E117" s="224">
        <f>SUMIFS(表1_86121822242672112[活跃中坚玩家数],表1_86121822242672112[目标区服],表2_97131923252773113[[#This Row],[合区区服]],表1_86121822242672112[目标国家（映射）],表2_97131923252773113[[#This Row],[国家]])</f>
        <v>34</v>
      </c>
      <c r="F117" s="224">
        <f t="array" ref="F117">MAX((表1_86121822242672112[目标区服]=表2_97131923252773113[[#This Row],[合区区服]])*(表1_86121822242672112[目标国家（映射）]=表2_97131923252773113[[#This Row],[国家]])*表1_86121822242672112[活跃尖端战力])</f>
        <v>2950141</v>
      </c>
      <c r="G117" s="225">
        <f>SUMIFS(表1_86121822242672112[活跃总战力],表1_86121822242672112[目标区服],表2_97131923252773113[[#This Row],[合区区服]],表1_86121822242672112[目标国家（映射）],表2_97131923252773113[[#This Row],[国家]])</f>
        <v>35170338</v>
      </c>
      <c r="H117" s="224">
        <f>SUMIFS(表1_86121822242672112[活跃实际充值],表1_86121822242672112[目标区服],表2_97131923252773113[[#This Row],[合区区服]],表1_86121822242672112[目标国家（映射）],表2_97131923252773113[[#This Row],[国家]])</f>
        <v>113728</v>
      </c>
      <c r="I117" s="224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17" s="224">
        <f>SUMIFS(表1_86121822242672112[活跃Coin],表1_86121822242672112[目标区服],表2_97131923252773113[[#This Row],[合区区服]],表1_86121822242672112[目标国家（映射）],表2_97131923252773113[[#This Row],[国家]])</f>
        <v>646625</v>
      </c>
      <c r="K117" s="224">
        <f>SUMIFS(表1_86121822242672112[共计补偿Coin],表1_86121822242672112[目标区服],表2_97131923252773113[[#This Row],[合区区服]],表1_86121822242672112[目标国家（映射）],表2_97131923252773113[[#This Row],[国家]])</f>
        <v>45000</v>
      </c>
      <c r="L117" s="224">
        <f>表2_97131923252773113[[#This Row],[活跃Coin]]+表2_97131923252773113[[#This Row],[共计补偿Coin]]</f>
        <v>691625</v>
      </c>
      <c r="M117" s="224">
        <f>SUMIFS(表1_86121822242672112[综合国力],表1_86121822242672112[目标区服],表2_97131923252773113[[#This Row],[合区区服]],表1_86121822242672112[目标国家（映射）],表2_97131923252773113[[#This Row],[国家]])</f>
        <v>19384</v>
      </c>
      <c r="N117" s="224">
        <f t="array" ref="N117">MAX((表1_86121822242672112[目标区服]=表2_97131923252773113[[#This Row],[合区区服]])*(表1_86121822242672112[目标国家（映射）]=表2_97131923252773113[[#This Row],[国家]])*表1_86121822242672112[单将最高战力])</f>
        <v>996269</v>
      </c>
      <c r="P117" s="335">
        <v>5226</v>
      </c>
      <c r="Q117" s="335">
        <v>44</v>
      </c>
      <c r="R117" s="51" t="s">
        <v>253</v>
      </c>
      <c r="S117" s="51">
        <v>44</v>
      </c>
    </row>
    <row r="118" ht="15" spans="1:19">
      <c r="A118" s="224" t="s">
        <v>250</v>
      </c>
      <c r="B118" s="226" t="s">
        <v>27</v>
      </c>
      <c r="C118" s="226">
        <f>COUNTIFS(表1_86121822242672112[目标区服],表2_97131923252773113[[#This Row],[合区区服]],表1_86121822242672112[目标国家（映射）],表2_97131923252773113[[#This Row],[国家]])</f>
        <v>3</v>
      </c>
      <c r="D118" s="226">
        <f>SUMIFS(表1_86121822242672112[活跃高战玩家数],表1_86121822242672112[目标区服],表2_97131923252773113[[#This Row],[合区区服]],表1_86121822242672112[目标国家（映射）],表2_97131923252773113[[#This Row],[国家]])</f>
        <v>10</v>
      </c>
      <c r="E118" s="226">
        <f>SUMIFS(表1_86121822242672112[活跃中坚玩家数],表1_86121822242672112[目标区服],表2_97131923252773113[[#This Row],[合区区服]],表1_86121822242672112[目标国家（映射）],表2_97131923252773113[[#This Row],[国家]])</f>
        <v>49</v>
      </c>
      <c r="F118" s="226">
        <f t="array" ref="F118">MAX((表1_86121822242672112[目标区服]=表2_97131923252773113[[#This Row],[合区区服]])*(表1_86121822242672112[目标国家（映射）]=表2_97131923252773113[[#This Row],[国家]])*表1_86121822242672112[活跃尖端战力])</f>
        <v>1717907</v>
      </c>
      <c r="G118" s="227">
        <f>SUMIFS(表1_86121822242672112[活跃总战力],表1_86121822242672112[目标区服],表2_97131923252773113[[#This Row],[合区区服]],表1_86121822242672112[目标国家（映射）],表2_97131923252773113[[#This Row],[国家]])</f>
        <v>38831650</v>
      </c>
      <c r="H118" s="226">
        <f>SUMIFS(表1_86121822242672112[活跃实际充值],表1_86121822242672112[目标区服],表2_97131923252773113[[#This Row],[合区区服]],表1_86121822242672112[目标国家（映射）],表2_97131923252773113[[#This Row],[国家]])</f>
        <v>133704</v>
      </c>
      <c r="I118" s="226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18" s="226">
        <f>SUMIFS(表1_86121822242672112[活跃Coin],表1_86121822242672112[目标区服],表2_97131923252773113[[#This Row],[合区区服]],表1_86121822242672112[目标国家（映射）],表2_97131923252773113[[#This Row],[国家]])</f>
        <v>920257</v>
      </c>
      <c r="K118" s="226">
        <f>SUMIFS(表1_86121822242672112[共计补偿Coin],表1_86121822242672112[目标区服],表2_97131923252773113[[#This Row],[合区区服]],表1_86121822242672112[目标国家（映射）],表2_97131923252773113[[#This Row],[国家]])</f>
        <v>68000</v>
      </c>
      <c r="L118" s="226">
        <f>表2_97131923252773113[[#This Row],[活跃Coin]]+表2_97131923252773113[[#This Row],[共计补偿Coin]]</f>
        <v>988257</v>
      </c>
      <c r="M118" s="226">
        <f>SUMIFS(表1_86121822242672112[综合国力],表1_86121822242672112[目标区服],表2_97131923252773113[[#This Row],[合区区服]],表1_86121822242672112[目标国家（映射）],表2_97131923252773113[[#This Row],[国家]])</f>
        <v>17219</v>
      </c>
      <c r="N118" s="224">
        <f t="array" ref="N118">MAX((表1_86121822242672112[目标区服]=表2_97131923252773113[[#This Row],[合区区服]])*(表1_86121822242672112[目标国家（映射）]=表2_97131923252773113[[#This Row],[国家]])*表1_86121822242672112[单将最高战力])</f>
        <v>785248</v>
      </c>
      <c r="P118" s="335">
        <v>5227</v>
      </c>
      <c r="Q118" s="335">
        <v>43</v>
      </c>
      <c r="R118" s="51" t="s">
        <v>254</v>
      </c>
      <c r="S118" s="51">
        <v>43</v>
      </c>
    </row>
    <row r="119" ht="15" spans="1:19">
      <c r="A119" s="178" t="s">
        <v>251</v>
      </c>
      <c r="B119" s="178" t="s">
        <v>25</v>
      </c>
      <c r="C119" s="178">
        <f>COUNTIFS(表1_86121822242672112[目标区服],表2_97131923252773113[[#This Row],[合区区服]],表1_86121822242672112[目标国家（映射）],表2_97131923252773113[[#This Row],[国家]])</f>
        <v>4</v>
      </c>
      <c r="D119" s="178">
        <f>SUMIFS(表1_86121822242672112[活跃高战玩家数],表1_86121822242672112[目标区服],表2_97131923252773113[[#This Row],[合区区服]],表1_86121822242672112[目标国家（映射）],表2_97131923252773113[[#This Row],[国家]])</f>
        <v>14</v>
      </c>
      <c r="E119" s="178">
        <f>SUMIFS(表1_86121822242672112[活跃中坚玩家数],表1_86121822242672112[目标区服],表2_97131923252773113[[#This Row],[合区区服]],表1_86121822242672112[目标国家（映射）],表2_97131923252773113[[#This Row],[国家]])</f>
        <v>66</v>
      </c>
      <c r="F119" s="178">
        <f t="array" ref="F119">MAX((表1_86121822242672112[目标区服]=表2_97131923252773113[[#This Row],[合区区服]])*(表1_86121822242672112[目标国家（映射）]=表2_97131923252773113[[#This Row],[国家]])*表1_86121822242672112[活跃尖端战力])</f>
        <v>2468266</v>
      </c>
      <c r="G119" s="179">
        <f>SUMIFS(表1_86121822242672112[活跃总战力],表1_86121822242672112[目标区服],表2_97131923252773113[[#This Row],[合区区服]],表1_86121822242672112[目标国家（映射）],表2_97131923252773113[[#This Row],[国家]])</f>
        <v>50223454</v>
      </c>
      <c r="H119" s="178">
        <f>SUMIFS(表1_86121822242672112[活跃实际充值],表1_86121822242672112[目标区服],表2_97131923252773113[[#This Row],[合区区服]],表1_86121822242672112[目标国家（映射）],表2_97131923252773113[[#This Row],[国家]])</f>
        <v>90228</v>
      </c>
      <c r="I119" s="178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19" s="178">
        <f>SUMIFS(表1_86121822242672112[活跃Coin],表1_86121822242672112[目标区服],表2_97131923252773113[[#This Row],[合区区服]],表1_86121822242672112[目标国家（映射）],表2_97131923252773113[[#This Row],[国家]])</f>
        <v>1033876</v>
      </c>
      <c r="K119" s="178">
        <f>SUMIFS(表1_86121822242672112[共计补偿Coin],表1_86121822242672112[目标区服],表2_97131923252773113[[#This Row],[合区区服]],表1_86121822242672112[目标国家（映射）],表2_97131923252773113[[#This Row],[国家]])</f>
        <v>80000</v>
      </c>
      <c r="L119" s="178">
        <f>表2_97131923252773113[[#This Row],[活跃Coin]]+表2_97131923252773113[[#This Row],[共计补偿Coin]]</f>
        <v>1113876</v>
      </c>
      <c r="M119" s="178">
        <f>SUMIFS(表1_86121822242672112[综合国力],表1_86121822242672112[目标区服],表2_97131923252773113[[#This Row],[合区区服]],表1_86121822242672112[目标国家（映射）],表2_97131923252773113[[#This Row],[国家]])</f>
        <v>22680</v>
      </c>
      <c r="N119" s="178">
        <f t="array" ref="N119">MAX((表1_86121822242672112[目标区服]=表2_97131923252773113[[#This Row],[合区区服]])*(表1_86121822242672112[目标国家（映射）]=表2_97131923252773113[[#This Row],[国家]])*表1_86121822242672112[单将最高战力])</f>
        <v>794625</v>
      </c>
      <c r="P119" s="335">
        <v>5228</v>
      </c>
      <c r="Q119" s="335">
        <v>43</v>
      </c>
      <c r="R119" s="51" t="s">
        <v>255</v>
      </c>
      <c r="S119" s="51">
        <v>42</v>
      </c>
    </row>
    <row r="120" ht="15" spans="1:19">
      <c r="A120" s="178" t="s">
        <v>251</v>
      </c>
      <c r="B120" s="178" t="s">
        <v>26</v>
      </c>
      <c r="C120" s="178">
        <f>COUNTIFS(表1_86121822242672112[目标区服],表2_97131923252773113[[#This Row],[合区区服]],表1_86121822242672112[目标国家（映射）],表2_97131923252773113[[#This Row],[国家]])</f>
        <v>2</v>
      </c>
      <c r="D120" s="178">
        <f>SUMIFS(表1_86121822242672112[活跃高战玩家数],表1_86121822242672112[目标区服],表2_97131923252773113[[#This Row],[合区区服]],表1_86121822242672112[目标国家（映射）],表2_97131923252773113[[#This Row],[国家]])</f>
        <v>6</v>
      </c>
      <c r="E120" s="178">
        <f>SUMIFS(表1_86121822242672112[活跃中坚玩家数],表1_86121822242672112[目标区服],表2_97131923252773113[[#This Row],[合区区服]],表1_86121822242672112[目标国家（映射）],表2_97131923252773113[[#This Row],[国家]])</f>
        <v>35</v>
      </c>
      <c r="F120" s="178">
        <f t="array" ref="F120">MAX((表1_86121822242672112[目标区服]=表2_97131923252773113[[#This Row],[合区区服]])*(表1_86121822242672112[目标国家（映射）]=表2_97131923252773113[[#This Row],[国家]])*表1_86121822242672112[活跃尖端战力])</f>
        <v>3982850</v>
      </c>
      <c r="G120" s="179">
        <f>SUMIFS(表1_86121822242672112[活跃总战力],表1_86121822242672112[目标区服],表2_97131923252773113[[#This Row],[合区区服]],表1_86121822242672112[目标国家（映射）],表2_97131923252773113[[#This Row],[国家]])</f>
        <v>34271171</v>
      </c>
      <c r="H120" s="178">
        <f>SUMIFS(表1_86121822242672112[活跃实际充值],表1_86121822242672112[目标区服],表2_97131923252773113[[#This Row],[合区区服]],表1_86121822242672112[目标国家（映射）],表2_97131923252773113[[#This Row],[国家]])</f>
        <v>221576</v>
      </c>
      <c r="I120" s="178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20" s="178">
        <f>SUMIFS(表1_86121822242672112[活跃Coin],表1_86121822242672112[目标区服],表2_97131923252773113[[#This Row],[合区区服]],表1_86121822242672112[目标国家（映射）],表2_97131923252773113[[#This Row],[国家]])</f>
        <v>962057</v>
      </c>
      <c r="K120" s="178">
        <f>SUMIFS(表1_86121822242672112[共计补偿Coin],表1_86121822242672112[目标区服],表2_97131923252773113[[#This Row],[合区区服]],表1_86121822242672112[目标国家（映射）],表2_97131923252773113[[#This Row],[国家]])</f>
        <v>41000</v>
      </c>
      <c r="L120" s="178">
        <f>表2_97131923252773113[[#This Row],[活跃Coin]]+表2_97131923252773113[[#This Row],[共计补偿Coin]]</f>
        <v>1003057</v>
      </c>
      <c r="M120" s="178">
        <f>SUMIFS(表1_86121822242672112[综合国力],表1_86121822242672112[目标区服],表2_97131923252773113[[#This Row],[合区区服]],表1_86121822242672112[目标国家（映射）],表2_97131923252773113[[#This Row],[国家]])</f>
        <v>20514</v>
      </c>
      <c r="N120" s="178">
        <f t="array" ref="N120">MAX((表1_86121822242672112[目标区服]=表2_97131923252773113[[#This Row],[合区区服]])*(表1_86121822242672112[目标国家（映射）]=表2_97131923252773113[[#This Row],[国家]])*表1_86121822242672112[单将最高战力])</f>
        <v>994129</v>
      </c>
      <c r="P120" s="335">
        <v>5229</v>
      </c>
      <c r="Q120" s="335">
        <v>43</v>
      </c>
      <c r="R120" s="51" t="s">
        <v>256</v>
      </c>
      <c r="S120" s="51">
        <v>42</v>
      </c>
    </row>
    <row r="121" ht="15" spans="1:19">
      <c r="A121" s="178" t="s">
        <v>251</v>
      </c>
      <c r="B121" s="178" t="s">
        <v>27</v>
      </c>
      <c r="C121" s="178">
        <f>COUNTIFS(表1_86121822242672112[目标区服],表2_97131923252773113[[#This Row],[合区区服]],表1_86121822242672112[目标国家（映射）],表2_97131923252773113[[#This Row],[国家]])</f>
        <v>3</v>
      </c>
      <c r="D121" s="178">
        <f>SUMIFS(表1_86121822242672112[活跃高战玩家数],表1_86121822242672112[目标区服],表2_97131923252773113[[#This Row],[合区区服]],表1_86121822242672112[目标国家（映射）],表2_97131923252773113[[#This Row],[国家]])</f>
        <v>8</v>
      </c>
      <c r="E121" s="178">
        <f>SUMIFS(表1_86121822242672112[活跃中坚玩家数],表1_86121822242672112[目标区服],表2_97131923252773113[[#This Row],[合区区服]],表1_86121822242672112[目标国家（映射）],表2_97131923252773113[[#This Row],[国家]])</f>
        <v>51</v>
      </c>
      <c r="F121" s="178">
        <f t="array" ref="F121">MAX((表1_86121822242672112[目标区服]=表2_97131923252773113[[#This Row],[合区区服]])*(表1_86121822242672112[目标国家（映射）]=表2_97131923252773113[[#This Row],[国家]])*表1_86121822242672112[活跃尖端战力])</f>
        <v>2802345</v>
      </c>
      <c r="G121" s="179">
        <f>SUMIFS(表1_86121822242672112[活跃总战力],表1_86121822242672112[目标区服],表2_97131923252773113[[#This Row],[合区区服]],表1_86121822242672112[目标国家（映射）],表2_97131923252773113[[#This Row],[国家]])</f>
        <v>40205498</v>
      </c>
      <c r="H121" s="178">
        <f>SUMIFS(表1_86121822242672112[活跃实际充值],表1_86121822242672112[目标区服],表2_97131923252773113[[#This Row],[合区区服]],表1_86121822242672112[目标国家（映射）],表2_97131923252773113[[#This Row],[国家]])</f>
        <v>144222</v>
      </c>
      <c r="I121" s="178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21" s="178">
        <f>SUMIFS(表1_86121822242672112[活跃Coin],表1_86121822242672112[目标区服],表2_97131923252773113[[#This Row],[合区区服]],表1_86121822242672112[目标国家（映射）],表2_97131923252773113[[#This Row],[国家]])</f>
        <v>1194203</v>
      </c>
      <c r="K121" s="178">
        <f>SUMIFS(表1_86121822242672112[共计补偿Coin],表1_86121822242672112[目标区服],表2_97131923252773113[[#This Row],[合区区服]],表1_86121822242672112[目标国家（映射）],表2_97131923252773113[[#This Row],[国家]])</f>
        <v>59000</v>
      </c>
      <c r="L121" s="178">
        <f>表2_97131923252773113[[#This Row],[活跃Coin]]+表2_97131923252773113[[#This Row],[共计补偿Coin]]</f>
        <v>1253203</v>
      </c>
      <c r="M121" s="178">
        <f>SUMIFS(表1_86121822242672112[综合国力],表1_86121822242672112[目标区服],表2_97131923252773113[[#This Row],[合区区服]],表1_86121822242672112[目标国家（映射）],表2_97131923252773113[[#This Row],[国家]])</f>
        <v>20927</v>
      </c>
      <c r="N121" s="178">
        <f t="array" ref="N121">MAX((表1_86121822242672112[目标区服]=表2_97131923252773113[[#This Row],[合区区服]])*(表1_86121822242672112[目标国家（映射）]=表2_97131923252773113[[#This Row],[国家]])*表1_86121822242672112[单将最高战力])</f>
        <v>885552</v>
      </c>
      <c r="P121" s="335">
        <v>5230</v>
      </c>
      <c r="Q121" s="335">
        <v>43</v>
      </c>
      <c r="R121" s="51" t="s">
        <v>257</v>
      </c>
      <c r="S121" s="51">
        <v>41</v>
      </c>
    </row>
    <row r="122" ht="15" spans="1:19">
      <c r="A122" s="186" t="s">
        <v>252</v>
      </c>
      <c r="B122" s="186" t="s">
        <v>25</v>
      </c>
      <c r="C122" s="186">
        <f>COUNTIFS(表1_86121822242672112[目标区服],表2_97131923252773113[[#This Row],[合区区服]],表1_86121822242672112[目标国家（映射）],表2_97131923252773113[[#This Row],[国家]])</f>
        <v>2</v>
      </c>
      <c r="D122" s="186">
        <f>SUMIFS(表1_86121822242672112[活跃高战玩家数],表1_86121822242672112[目标区服],表2_97131923252773113[[#This Row],[合区区服]],表1_86121822242672112[目标国家（映射）],表2_97131923252773113[[#This Row],[国家]])</f>
        <v>13</v>
      </c>
      <c r="E122" s="186">
        <f>SUMIFS(表1_86121822242672112[活跃中坚玩家数],表1_86121822242672112[目标区服],表2_97131923252773113[[#This Row],[合区区服]],表1_86121822242672112[目标国家（映射）],表2_97131923252773113[[#This Row],[国家]])</f>
        <v>46</v>
      </c>
      <c r="F122" s="186">
        <f t="array" ref="F122">MAX((表1_86121822242672112[目标区服]=表2_97131923252773113[[#This Row],[合区区服]])*(表1_86121822242672112[目标国家（映射）]=表2_97131923252773113[[#This Row],[国家]])*表1_86121822242672112[活跃尖端战力])</f>
        <v>2720458</v>
      </c>
      <c r="G122" s="187">
        <f>SUMIFS(表1_86121822242672112[活跃总战力],表1_86121822242672112[目标区服],表2_97131923252773113[[#This Row],[合区区服]],表1_86121822242672112[目标国家（映射）],表2_97131923252773113[[#This Row],[国家]])</f>
        <v>45566896</v>
      </c>
      <c r="H122" s="186">
        <f>SUMIFS(表1_86121822242672112[活跃实际充值],表1_86121822242672112[目标区服],表2_97131923252773113[[#This Row],[合区区服]],表1_86121822242672112[目标国家（映射）],表2_97131923252773113[[#This Row],[国家]])</f>
        <v>138918</v>
      </c>
      <c r="I122" s="186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22" s="186">
        <f>SUMIFS(表1_86121822242672112[活跃Coin],表1_86121822242672112[目标区服],表2_97131923252773113[[#This Row],[合区区服]],表1_86121822242672112[目标国家（映射）],表2_97131923252773113[[#This Row],[国家]])</f>
        <v>773829</v>
      </c>
      <c r="K122" s="186">
        <f>SUMIFS(表1_86121822242672112[共计补偿Coin],表1_86121822242672112[目标区服],表2_97131923252773113[[#This Row],[合区区服]],表1_86121822242672112[目标国家（映射）],表2_97131923252773113[[#This Row],[国家]])</f>
        <v>71500</v>
      </c>
      <c r="L122" s="186">
        <f>表2_97131923252773113[[#This Row],[活跃Coin]]+表2_97131923252773113[[#This Row],[共计补偿Coin]]</f>
        <v>845329</v>
      </c>
      <c r="M122" s="186">
        <f>SUMIFS(表1_86121822242672112[综合国力],表1_86121822242672112[目标区服],表2_97131923252773113[[#This Row],[合区区服]],表1_86121822242672112[目标国家（映射）],表2_97131923252773113[[#This Row],[国家]])</f>
        <v>21414</v>
      </c>
      <c r="N122" s="186">
        <f t="array" ref="N122">MAX((表1_86121822242672112[目标区服]=表2_97131923252773113[[#This Row],[合区区服]])*(表1_86121822242672112[目标国家（映射）]=表2_97131923252773113[[#This Row],[国家]])*表1_86121822242672112[单将最高战力])</f>
        <v>849277</v>
      </c>
      <c r="P122" s="335">
        <v>5231</v>
      </c>
      <c r="Q122" s="335">
        <v>43</v>
      </c>
      <c r="R122" s="51" t="s">
        <v>258</v>
      </c>
      <c r="S122" s="51">
        <v>40</v>
      </c>
    </row>
    <row r="123" ht="15" spans="1:19">
      <c r="A123" s="186" t="s">
        <v>252</v>
      </c>
      <c r="B123" s="186" t="s">
        <v>26</v>
      </c>
      <c r="C123" s="186">
        <f>COUNTIFS(表1_86121822242672112[目标区服],表2_97131923252773113[[#This Row],[合区区服]],表1_86121822242672112[目标国家（映射）],表2_97131923252773113[[#This Row],[国家]])</f>
        <v>2</v>
      </c>
      <c r="D123" s="186">
        <f>SUMIFS(表1_86121822242672112[活跃高战玩家数],表1_86121822242672112[目标区服],表2_97131923252773113[[#This Row],[合区区服]],表1_86121822242672112[目标国家（映射）],表2_97131923252773113[[#This Row],[国家]])</f>
        <v>10</v>
      </c>
      <c r="E123" s="186">
        <f>SUMIFS(表1_86121822242672112[活跃中坚玩家数],表1_86121822242672112[目标区服],表2_97131923252773113[[#This Row],[合区区服]],表1_86121822242672112[目标国家（映射）],表2_97131923252773113[[#This Row],[国家]])</f>
        <v>55</v>
      </c>
      <c r="F123" s="186">
        <f t="array" ref="F123">MAX((表1_86121822242672112[目标区服]=表2_97131923252773113[[#This Row],[合区区服]])*(表1_86121822242672112[目标国家（映射）]=表2_97131923252773113[[#This Row],[国家]])*表1_86121822242672112[活跃尖端战力])</f>
        <v>2558914</v>
      </c>
      <c r="G123" s="187">
        <f>SUMIFS(表1_86121822242672112[活跃总战力],表1_86121822242672112[目标区服],表2_97131923252773113[[#This Row],[合区区服]],表1_86121822242672112[目标国家（映射）],表2_97131923252773113[[#This Row],[国家]])</f>
        <v>48178006</v>
      </c>
      <c r="H123" s="186">
        <f>SUMIFS(表1_86121822242672112[活跃实际充值],表1_86121822242672112[目标区服],表2_97131923252773113[[#This Row],[合区区服]],表1_86121822242672112[目标国家（映射）],表2_97131923252773113[[#This Row],[国家]])</f>
        <v>132150</v>
      </c>
      <c r="I123" s="186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23" s="186">
        <f>SUMIFS(表1_86121822242672112[活跃Coin],表1_86121822242672112[目标区服],表2_97131923252773113[[#This Row],[合区区服]],表1_86121822242672112[目标国家（映射）],表2_97131923252773113[[#This Row],[国家]])</f>
        <v>1031981</v>
      </c>
      <c r="K123" s="186">
        <f>SUMIFS(表1_86121822242672112[共计补偿Coin],表1_86121822242672112[目标区服],表2_97131923252773113[[#This Row],[合区区服]],表1_86121822242672112[目标国家（映射）],表2_97131923252773113[[#This Row],[国家]])</f>
        <v>97500</v>
      </c>
      <c r="L123" s="186">
        <f>表2_97131923252773113[[#This Row],[活跃Coin]]+表2_97131923252773113[[#This Row],[共计补偿Coin]]</f>
        <v>1129481</v>
      </c>
      <c r="M123" s="186">
        <f>SUMIFS(表1_86121822242672112[综合国力],表1_86121822242672112[目标区服],表2_97131923252773113[[#This Row],[合区区服]],表1_86121822242672112[目标国家（映射）],表2_97131923252773113[[#This Row],[国家]])</f>
        <v>21391</v>
      </c>
      <c r="N123" s="186">
        <f t="array" ref="N123">MAX((表1_86121822242672112[目标区服]=表2_97131923252773113[[#This Row],[合区区服]])*(表1_86121822242672112[目标国家（映射）]=表2_97131923252773113[[#This Row],[国家]])*表1_86121822242672112[单将最高战力])</f>
        <v>757222</v>
      </c>
      <c r="P123" s="335">
        <v>5232</v>
      </c>
      <c r="Q123" s="335">
        <v>42</v>
      </c>
      <c r="R123" s="51" t="s">
        <v>259</v>
      </c>
      <c r="S123" s="51">
        <v>39</v>
      </c>
    </row>
    <row r="124" ht="15" spans="1:19">
      <c r="A124" s="186" t="s">
        <v>252</v>
      </c>
      <c r="B124" s="186" t="s">
        <v>27</v>
      </c>
      <c r="C124" s="186">
        <f>COUNTIFS(表1_86121822242672112[目标区服],表2_97131923252773113[[#This Row],[合区区服]],表1_86121822242672112[目标国家（映射）],表2_97131923252773113[[#This Row],[国家]])</f>
        <v>5</v>
      </c>
      <c r="D124" s="186">
        <f>SUMIFS(表1_86121822242672112[活跃高战玩家数],表1_86121822242672112[目标区服],表2_97131923252773113[[#This Row],[合区区服]],表1_86121822242672112[目标国家（映射）],表2_97131923252773113[[#This Row],[国家]])</f>
        <v>6</v>
      </c>
      <c r="E124" s="186">
        <f>SUMIFS(表1_86121822242672112[活跃中坚玩家数],表1_86121822242672112[目标区服],表2_97131923252773113[[#This Row],[合区区服]],表1_86121822242672112[目标国家（映射）],表2_97131923252773113[[#This Row],[国家]])</f>
        <v>71</v>
      </c>
      <c r="F124" s="186">
        <f t="array" ref="F124">MAX((表1_86121822242672112[目标区服]=表2_97131923252773113[[#This Row],[合区区服]])*(表1_86121822242672112[目标国家（映射）]=表2_97131923252773113[[#This Row],[国家]])*表1_86121822242672112[活跃尖端战力])</f>
        <v>2611759</v>
      </c>
      <c r="G124" s="187">
        <f>SUMIFS(表1_86121822242672112[活跃总战力],表1_86121822242672112[目标区服],表2_97131923252773113[[#This Row],[合区区服]],表1_86121822242672112[目标国家（映射）],表2_97131923252773113[[#This Row],[国家]])</f>
        <v>46051481</v>
      </c>
      <c r="H124" s="186">
        <f>SUMIFS(表1_86121822242672112[活跃实际充值],表1_86121822242672112[目标区服],表2_97131923252773113[[#This Row],[合区区服]],表1_86121822242672112[目标国家（映射）],表2_97131923252773113[[#This Row],[国家]])</f>
        <v>110808</v>
      </c>
      <c r="I124" s="186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24" s="186">
        <f>SUMIFS(表1_86121822242672112[活跃Coin],表1_86121822242672112[目标区服],表2_97131923252773113[[#This Row],[合区区服]],表1_86121822242672112[目标国家（映射）],表2_97131923252773113[[#This Row],[国家]])</f>
        <v>1003997</v>
      </c>
      <c r="K124" s="186">
        <f>SUMIFS(表1_86121822242672112[共计补偿Coin],表1_86121822242672112[目标区服],表2_97131923252773113[[#This Row],[合区区服]],表1_86121822242672112[目标国家（映射）],表2_97131923252773113[[#This Row],[国家]])</f>
        <v>106500</v>
      </c>
      <c r="L124" s="186">
        <f>表2_97131923252773113[[#This Row],[活跃Coin]]+表2_97131923252773113[[#This Row],[共计补偿Coin]]</f>
        <v>1110497</v>
      </c>
      <c r="M124" s="186">
        <f>SUMIFS(表1_86121822242672112[综合国力],表1_86121822242672112[目标区服],表2_97131923252773113[[#This Row],[合区区服]],表1_86121822242672112[目标国家（映射）],表2_97131923252773113[[#This Row],[国家]])</f>
        <v>19247</v>
      </c>
      <c r="N124" s="186">
        <f t="array" ref="N124">MAX((表1_86121822242672112[目标区服]=表2_97131923252773113[[#This Row],[合区区服]])*(表1_86121822242672112[目标国家（映射）]=表2_97131923252773113[[#This Row],[国家]])*表1_86121822242672112[单将最高战力])</f>
        <v>858771</v>
      </c>
      <c r="P124" s="335">
        <v>5233</v>
      </c>
      <c r="Q124" s="335">
        <v>42</v>
      </c>
      <c r="R124" s="51" t="s">
        <v>260</v>
      </c>
      <c r="S124" s="51">
        <v>38</v>
      </c>
    </row>
    <row r="125" ht="15" spans="1:17">
      <c r="A125" s="169" t="s">
        <v>253</v>
      </c>
      <c r="B125" s="169" t="s">
        <v>25</v>
      </c>
      <c r="C125" s="169">
        <f>COUNTIFS(表1_86121822242672112[目标区服],表2_97131923252773113[[#This Row],[合区区服]],表1_86121822242672112[目标国家（映射）],表2_97131923252773113[[#This Row],[国家]])</f>
        <v>4</v>
      </c>
      <c r="D125" s="169">
        <f>SUMIFS(表1_86121822242672112[活跃高战玩家数],表1_86121822242672112[目标区服],表2_97131923252773113[[#This Row],[合区区服]],表1_86121822242672112[目标国家（映射）],表2_97131923252773113[[#This Row],[国家]])</f>
        <v>8</v>
      </c>
      <c r="E125" s="169">
        <f>SUMIFS(表1_86121822242672112[活跃中坚玩家数],表1_86121822242672112[目标区服],表2_97131923252773113[[#This Row],[合区区服]],表1_86121822242672112[目标国家（映射）],表2_97131923252773113[[#This Row],[国家]])</f>
        <v>63</v>
      </c>
      <c r="F125" s="169">
        <f t="array" ref="F125">MAX((表1_86121822242672112[目标区服]=表2_97131923252773113[[#This Row],[合区区服]])*(表1_86121822242672112[目标国家（映射）]=表2_97131923252773113[[#This Row],[国家]])*表1_86121822242672112[活跃尖端战力])</f>
        <v>2251313</v>
      </c>
      <c r="G125" s="170">
        <f>SUMIFS(表1_86121822242672112[活跃总战力],表1_86121822242672112[目标区服],表2_97131923252773113[[#This Row],[合区区服]],表1_86121822242672112[目标国家（映射）],表2_97131923252773113[[#This Row],[国家]])</f>
        <v>41901783</v>
      </c>
      <c r="H125" s="169">
        <f>SUMIFS(表1_86121822242672112[活跃实际充值],表1_86121822242672112[目标区服],表2_97131923252773113[[#This Row],[合区区服]],表1_86121822242672112[目标国家（映射）],表2_97131923252773113[[#This Row],[国家]])</f>
        <v>94600</v>
      </c>
      <c r="I125" s="169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25" s="169">
        <f>SUMIFS(表1_86121822242672112[活跃Coin],表1_86121822242672112[目标区服],表2_97131923252773113[[#This Row],[合区区服]],表1_86121822242672112[目标国家（映射）],表2_97131923252773113[[#This Row],[国家]])</f>
        <v>572746</v>
      </c>
      <c r="K125" s="169">
        <f>SUMIFS(表1_86121822242672112[共计补偿Coin],表1_86121822242672112[目标区服],表2_97131923252773113[[#This Row],[合区区服]],表1_86121822242672112[目标国家（映射）],表2_97131923252773113[[#This Row],[国家]])</f>
        <v>80500</v>
      </c>
      <c r="L125" s="169">
        <f>表2_97131923252773113[[#This Row],[活跃Coin]]+表2_97131923252773113[[#This Row],[共计补偿Coin]]</f>
        <v>653246</v>
      </c>
      <c r="M125" s="169">
        <f>SUMIFS(表1_86121822242672112[综合国力],表1_86121822242672112[目标区服],表2_97131923252773113[[#This Row],[合区区服]],表1_86121822242672112[目标国家（映射）],表2_97131923252773113[[#This Row],[国家]])</f>
        <v>17881</v>
      </c>
      <c r="N125" s="169">
        <f t="array" ref="N125">MAX((表1_86121822242672112[目标区服]=表2_97131923252773113[[#This Row],[合区区服]])*(表1_86121822242672112[目标国家（映射）]=表2_97131923252773113[[#This Row],[国家]])*表1_86121822242672112[单将最高战力])</f>
        <v>643499</v>
      </c>
      <c r="P125" s="335">
        <v>5234</v>
      </c>
      <c r="Q125" s="335">
        <v>42</v>
      </c>
    </row>
    <row r="126" ht="15" spans="1:17">
      <c r="A126" s="169" t="s">
        <v>253</v>
      </c>
      <c r="B126" s="169" t="s">
        <v>26</v>
      </c>
      <c r="C126" s="169">
        <f>COUNTIFS(表1_86121822242672112[目标区服],表2_97131923252773113[[#This Row],[合区区服]],表1_86121822242672112[目标国家（映射）],表2_97131923252773113[[#This Row],[国家]])</f>
        <v>2</v>
      </c>
      <c r="D126" s="169">
        <f>SUMIFS(表1_86121822242672112[活跃高战玩家数],表1_86121822242672112[目标区服],表2_97131923252773113[[#This Row],[合区区服]],表1_86121822242672112[目标国家（映射）],表2_97131923252773113[[#This Row],[国家]])</f>
        <v>6</v>
      </c>
      <c r="E126" s="169">
        <f>SUMIFS(表1_86121822242672112[活跃中坚玩家数],表1_86121822242672112[目标区服],表2_97131923252773113[[#This Row],[合区区服]],表1_86121822242672112[目标国家（映射）],表2_97131923252773113[[#This Row],[国家]])</f>
        <v>47</v>
      </c>
      <c r="F126" s="169">
        <f t="array" ref="F126">MAX((表1_86121822242672112[目标区服]=表2_97131923252773113[[#This Row],[合区区服]])*(表1_86121822242672112[目标国家（映射）]=表2_97131923252773113[[#This Row],[国家]])*表1_86121822242672112[活跃尖端战力])</f>
        <v>3389263</v>
      </c>
      <c r="G126" s="170">
        <f>SUMIFS(表1_86121822242672112[活跃总战力],表1_86121822242672112[目标区服],表2_97131923252773113[[#This Row],[合区区服]],表1_86121822242672112[目标国家（映射）],表2_97131923252773113[[#This Row],[国家]])</f>
        <v>36019899</v>
      </c>
      <c r="H126" s="169">
        <f>SUMIFS(表1_86121822242672112[活跃实际充值],表1_86121822242672112[目标区服],表2_97131923252773113[[#This Row],[合区区服]],表1_86121822242672112[目标国家（映射）],表2_97131923252773113[[#This Row],[国家]])</f>
        <v>113556</v>
      </c>
      <c r="I126" s="169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26" s="169">
        <f>SUMIFS(表1_86121822242672112[活跃Coin],表1_86121822242672112[目标区服],表2_97131923252773113[[#This Row],[合区区服]],表1_86121822242672112[目标国家（映射）],表2_97131923252773113[[#This Row],[国家]])</f>
        <v>700546</v>
      </c>
      <c r="K126" s="169">
        <f>SUMIFS(表1_86121822242672112[共计补偿Coin],表1_86121822242672112[目标区服],表2_97131923252773113[[#This Row],[合区区服]],表1_86121822242672112[目标国家（映射）],表2_97131923252773113[[#This Row],[国家]])</f>
        <v>60000</v>
      </c>
      <c r="L126" s="169">
        <f>表2_97131923252773113[[#This Row],[活跃Coin]]+表2_97131923252773113[[#This Row],[共计补偿Coin]]</f>
        <v>760546</v>
      </c>
      <c r="M126" s="169">
        <f>SUMIFS(表1_86121822242672112[综合国力],表1_86121822242672112[目标区服],表2_97131923252773113[[#This Row],[合区区服]],表1_86121822242672112[目标国家（映射）],表2_97131923252773113[[#This Row],[国家]])</f>
        <v>17487</v>
      </c>
      <c r="N126" s="169">
        <f t="array" ref="N126">MAX((表1_86121822242672112[目标区服]=表2_97131923252773113[[#This Row],[合区区服]])*(表1_86121822242672112[目标国家（映射）]=表2_97131923252773113[[#This Row],[国家]])*表1_86121822242672112[单将最高战力])</f>
        <v>972172</v>
      </c>
      <c r="P126" s="335">
        <v>5235</v>
      </c>
      <c r="Q126" s="335">
        <v>42</v>
      </c>
    </row>
    <row r="127" ht="15" spans="1:17">
      <c r="A127" s="169" t="s">
        <v>253</v>
      </c>
      <c r="B127" s="169" t="s">
        <v>27</v>
      </c>
      <c r="C127" s="169">
        <f>COUNTIFS(表1_86121822242672112[目标区服],表2_97131923252773113[[#This Row],[合区区服]],表1_86121822242672112[目标国家（映射）],表2_97131923252773113[[#This Row],[国家]])</f>
        <v>3</v>
      </c>
      <c r="D127" s="169">
        <f>SUMIFS(表1_86121822242672112[活跃高战玩家数],表1_86121822242672112[目标区服],表2_97131923252773113[[#This Row],[合区区服]],表1_86121822242672112[目标国家（映射）],表2_97131923252773113[[#This Row],[国家]])</f>
        <v>14</v>
      </c>
      <c r="E127" s="169">
        <f>SUMIFS(表1_86121822242672112[活跃中坚玩家数],表1_86121822242672112[目标区服],表2_97131923252773113[[#This Row],[合区区服]],表1_86121822242672112[目标国家（映射）],表2_97131923252773113[[#This Row],[国家]])</f>
        <v>59</v>
      </c>
      <c r="F127" s="169">
        <f t="array" ref="F127">MAX((表1_86121822242672112[目标区服]=表2_97131923252773113[[#This Row],[合区区服]])*(表1_86121822242672112[目标国家（映射）]=表2_97131923252773113[[#This Row],[国家]])*表1_86121822242672112[活跃尖端战力])</f>
        <v>2271274</v>
      </c>
      <c r="G127" s="170">
        <f>SUMIFS(表1_86121822242672112[活跃总战力],表1_86121822242672112[目标区服],表2_97131923252773113[[#This Row],[合区区服]],表1_86121822242672112[目标国家（映射）],表2_97131923252773113[[#This Row],[国家]])</f>
        <v>44094179</v>
      </c>
      <c r="H127" s="169">
        <f>SUMIFS(表1_86121822242672112[活跃实际充值],表1_86121822242672112[目标区服],表2_97131923252773113[[#This Row],[合区区服]],表1_86121822242672112[目标国家（映射）],表2_97131923252773113[[#This Row],[国家]])</f>
        <v>88895</v>
      </c>
      <c r="I127" s="169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27" s="169">
        <f>SUMIFS(表1_86121822242672112[活跃Coin],表1_86121822242672112[目标区服],表2_97131923252773113[[#This Row],[合区区服]],表1_86121822242672112[目标国家（映射）],表2_97131923252773113[[#This Row],[国家]])</f>
        <v>716855</v>
      </c>
      <c r="K127" s="169">
        <f>SUMIFS(表1_86121822242672112[共计补偿Coin],表1_86121822242672112[目标区服],表2_97131923252773113[[#This Row],[合区区服]],表1_86121822242672112[目标国家（映射）],表2_97131923252773113[[#This Row],[国家]])</f>
        <v>89000</v>
      </c>
      <c r="L127" s="169">
        <f>表2_97131923252773113[[#This Row],[活跃Coin]]+表2_97131923252773113[[#This Row],[共计补偿Coin]]</f>
        <v>805855</v>
      </c>
      <c r="M127" s="169">
        <f>SUMIFS(表1_86121822242672112[综合国力],表1_86121822242672112[目标区服],表2_97131923252773113[[#This Row],[合区区服]],表1_86121822242672112[目标国家（映射）],表2_97131923252773113[[#This Row],[国家]])</f>
        <v>21482</v>
      </c>
      <c r="N127" s="169">
        <f t="array" ref="N127">MAX((表1_86121822242672112[目标区服]=表2_97131923252773113[[#This Row],[合区区服]])*(表1_86121822242672112[目标国家（映射）]=表2_97131923252773113[[#This Row],[国家]])*表1_86121822242672112[单将最高战力])</f>
        <v>601886</v>
      </c>
      <c r="P127" s="335">
        <v>5236</v>
      </c>
      <c r="Q127" s="335">
        <v>41</v>
      </c>
    </row>
    <row r="128" ht="15" spans="1:17">
      <c r="A128" s="39" t="s">
        <v>254</v>
      </c>
      <c r="B128" s="39" t="s">
        <v>25</v>
      </c>
      <c r="C128" s="39">
        <f>COUNTIFS(表1_86121822242672112[目标区服],表2_97131923252773113[[#This Row],[合区区服]],表1_86121822242672112[目标国家（映射）],表2_97131923252773113[[#This Row],[国家]])</f>
        <v>3</v>
      </c>
      <c r="D128" s="39">
        <f>SUMIFS(表1_86121822242672112[活跃高战玩家数],表1_86121822242672112[目标区服],表2_97131923252773113[[#This Row],[合区区服]],表1_86121822242672112[目标国家（映射）],表2_97131923252773113[[#This Row],[国家]])</f>
        <v>10</v>
      </c>
      <c r="E128" s="39">
        <f>SUMIFS(表1_86121822242672112[活跃中坚玩家数],表1_86121822242672112[目标区服],表2_97131923252773113[[#This Row],[合区区服]],表1_86121822242672112[目标国家（映射）],表2_97131923252773113[[#This Row],[国家]])</f>
        <v>60</v>
      </c>
      <c r="F128" s="39">
        <f t="array" ref="F128">MAX((表1_86121822242672112[目标区服]=表2_97131923252773113[[#This Row],[合区区服]])*(表1_86121822242672112[目标国家（映射）]=表2_97131923252773113[[#This Row],[国家]])*表1_86121822242672112[活跃尖端战力])</f>
        <v>2826646</v>
      </c>
      <c r="G128" s="40">
        <f>SUMIFS(表1_86121822242672112[活跃总战力],表1_86121822242672112[目标区服],表2_97131923252773113[[#This Row],[合区区服]],表1_86121822242672112[目标国家（映射）],表2_97131923252773113[[#This Row],[国家]])</f>
        <v>48690106</v>
      </c>
      <c r="H128" s="39">
        <f>SUMIFS(表1_86121822242672112[活跃实际充值],表1_86121822242672112[目标区服],表2_97131923252773113[[#This Row],[合区区服]],表1_86121822242672112[目标国家（映射）],表2_97131923252773113[[#This Row],[国家]])</f>
        <v>177016</v>
      </c>
      <c r="I128" s="39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28" s="39">
        <f>SUMIFS(表1_86121822242672112[活跃Coin],表1_86121822242672112[目标区服],表2_97131923252773113[[#This Row],[合区区服]],表1_86121822242672112[目标国家（映射）],表2_97131923252773113[[#This Row],[国家]])</f>
        <v>1020911</v>
      </c>
      <c r="K128" s="39">
        <f>SUMIFS(表1_86121822242672112[共计补偿Coin],表1_86121822242672112[目标区服],表2_97131923252773113[[#This Row],[合区区服]],表1_86121822242672112[目标国家（映射）],表2_97131923252773113[[#This Row],[国家]])</f>
        <v>70000</v>
      </c>
      <c r="L128" s="39">
        <f>表2_97131923252773113[[#This Row],[活跃Coin]]+表2_97131923252773113[[#This Row],[共计补偿Coin]]</f>
        <v>1090911</v>
      </c>
      <c r="M128" s="39">
        <f>SUMIFS(表1_86121822242672112[综合国力],表1_86121822242672112[目标区服],表2_97131923252773113[[#This Row],[合区区服]],表1_86121822242672112[目标国家（映射）],表2_97131923252773113[[#This Row],[国家]])</f>
        <v>23032</v>
      </c>
      <c r="N128" s="39">
        <f t="array" ref="N128">MAX((表1_86121822242672112[目标区服]=表2_97131923252773113[[#This Row],[合区区服]])*(表1_86121822242672112[目标国家（映射）]=表2_97131923252773113[[#This Row],[国家]])*表1_86121822242672112[单将最高战力])</f>
        <v>875866</v>
      </c>
      <c r="P128" s="335">
        <v>5237</v>
      </c>
      <c r="Q128" s="335">
        <v>41</v>
      </c>
    </row>
    <row r="129" ht="15" spans="1:17">
      <c r="A129" s="39" t="s">
        <v>254</v>
      </c>
      <c r="B129" s="39" t="s">
        <v>26</v>
      </c>
      <c r="C129" s="39">
        <f>COUNTIFS(表1_86121822242672112[目标区服],表2_97131923252773113[[#This Row],[合区区服]],表1_86121822242672112[目标国家（映射）],表2_97131923252773113[[#This Row],[国家]])</f>
        <v>4</v>
      </c>
      <c r="D129" s="39">
        <f>SUMIFS(表1_86121822242672112[活跃高战玩家数],表1_86121822242672112[目标区服],表2_97131923252773113[[#This Row],[合区区服]],表1_86121822242672112[目标国家（映射）],表2_97131923252773113[[#This Row],[国家]])</f>
        <v>12</v>
      </c>
      <c r="E129" s="39">
        <f>SUMIFS(表1_86121822242672112[活跃中坚玩家数],表1_86121822242672112[目标区服],表2_97131923252773113[[#This Row],[合区区服]],表1_86121822242672112[目标国家（映射）],表2_97131923252773113[[#This Row],[国家]])</f>
        <v>71</v>
      </c>
      <c r="F129" s="39">
        <f t="array" ref="F129">MAX((表1_86121822242672112[目标区服]=表2_97131923252773113[[#This Row],[合区区服]])*(表1_86121822242672112[目标国家（映射）]=表2_97131923252773113[[#This Row],[国家]])*表1_86121822242672112[活跃尖端战力])</f>
        <v>2058283</v>
      </c>
      <c r="G129" s="40">
        <f>SUMIFS(表1_86121822242672112[活跃总战力],表1_86121822242672112[目标区服],表2_97131923252773113[[#This Row],[合区区服]],表1_86121822242672112[目标国家（映射）],表2_97131923252773113[[#This Row],[国家]])</f>
        <v>54708557</v>
      </c>
      <c r="H129" s="39">
        <f>SUMIFS(表1_86121822242672112[活跃实际充值],表1_86121822242672112[目标区服],表2_97131923252773113[[#This Row],[合区区服]],表1_86121822242672112[目标国家（映射）],表2_97131923252773113[[#This Row],[国家]])</f>
        <v>106958</v>
      </c>
      <c r="I129" s="39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29" s="39">
        <f>SUMIFS(表1_86121822242672112[活跃Coin],表1_86121822242672112[目标区服],表2_97131923252773113[[#This Row],[合区区服]],表1_86121822242672112[目标国家（映射）],表2_97131923252773113[[#This Row],[国家]])</f>
        <v>1127764</v>
      </c>
      <c r="K129" s="39">
        <f>SUMIFS(表1_86121822242672112[共计补偿Coin],表1_86121822242672112[目标区服],表2_97131923252773113[[#This Row],[合区区服]],表1_86121822242672112[目标国家（映射）],表2_97131923252773113[[#This Row],[国家]])</f>
        <v>83000</v>
      </c>
      <c r="L129" s="39">
        <f>表2_97131923252773113[[#This Row],[活跃Coin]]+表2_97131923252773113[[#This Row],[共计补偿Coin]]</f>
        <v>1210764</v>
      </c>
      <c r="M129" s="39">
        <f>SUMIFS(表1_86121822242672112[综合国力],表1_86121822242672112[目标区服],表2_97131923252773113[[#This Row],[合区区服]],表1_86121822242672112[目标国家（映射）],表2_97131923252773113[[#This Row],[国家]])</f>
        <v>24391</v>
      </c>
      <c r="N129" s="39">
        <f t="array" ref="N129">MAX((表1_86121822242672112[目标区服]=表2_97131923252773113[[#This Row],[合区区服]])*(表1_86121822242672112[目标国家（映射）]=表2_97131923252773113[[#This Row],[国家]])*表1_86121822242672112[单将最高战力])</f>
        <v>675100</v>
      </c>
      <c r="P129" s="335">
        <v>5238</v>
      </c>
      <c r="Q129" s="335">
        <v>41</v>
      </c>
    </row>
    <row r="130" ht="15" spans="1:17">
      <c r="A130" s="39" t="s">
        <v>254</v>
      </c>
      <c r="B130" s="39" t="s">
        <v>27</v>
      </c>
      <c r="C130" s="39">
        <f>COUNTIFS(表1_86121822242672112[目标区服],表2_97131923252773113[[#This Row],[合区区服]],表1_86121822242672112[目标国家（映射）],表2_97131923252773113[[#This Row],[国家]])</f>
        <v>2</v>
      </c>
      <c r="D130" s="39">
        <f>SUMIFS(表1_86121822242672112[活跃高战玩家数],表1_86121822242672112[目标区服],表2_97131923252773113[[#This Row],[合区区服]],表1_86121822242672112[目标国家（映射）],表2_97131923252773113[[#This Row],[国家]])</f>
        <v>7</v>
      </c>
      <c r="E130" s="39">
        <f>SUMIFS(表1_86121822242672112[活跃中坚玩家数],表1_86121822242672112[目标区服],表2_97131923252773113[[#This Row],[合区区服]],表1_86121822242672112[目标国家（映射）],表2_97131923252773113[[#This Row],[国家]])</f>
        <v>54</v>
      </c>
      <c r="F130" s="39">
        <f t="array" ref="F130">MAX((表1_86121822242672112[目标区服]=表2_97131923252773113[[#This Row],[合区区服]])*(表1_86121822242672112[目标国家（映射）]=表2_97131923252773113[[#This Row],[国家]])*表1_86121822242672112[活跃尖端战力])</f>
        <v>2630478</v>
      </c>
      <c r="G130" s="40">
        <f>SUMIFS(表1_86121822242672112[活跃总战力],表1_86121822242672112[目标区服],表2_97131923252773113[[#This Row],[合区区服]],表1_86121822242672112[目标国家（映射）],表2_97131923252773113[[#This Row],[国家]])</f>
        <v>43438554</v>
      </c>
      <c r="H130" s="39">
        <f>SUMIFS(表1_86121822242672112[活跃实际充值],表1_86121822242672112[目标区服],表2_97131923252773113[[#This Row],[合区区服]],表1_86121822242672112[目标国家（映射）],表2_97131923252773113[[#This Row],[国家]])</f>
        <v>175357</v>
      </c>
      <c r="I130" s="39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30" s="39">
        <f>SUMIFS(表1_86121822242672112[活跃Coin],表1_86121822242672112[目标区服],表2_97131923252773113[[#This Row],[合区区服]],表1_86121822242672112[目标国家（映射）],表2_97131923252773113[[#This Row],[国家]])</f>
        <v>735552</v>
      </c>
      <c r="K130" s="39">
        <f>SUMIFS(表1_86121822242672112[共计补偿Coin],表1_86121822242672112[目标区服],表2_97131923252773113[[#This Row],[合区区服]],表1_86121822242672112[目标国家（映射）],表2_97131923252773113[[#This Row],[国家]])</f>
        <v>61000</v>
      </c>
      <c r="L130" s="39">
        <f>表2_97131923252773113[[#This Row],[活跃Coin]]+表2_97131923252773113[[#This Row],[共计补偿Coin]]</f>
        <v>796552</v>
      </c>
      <c r="M130" s="39">
        <f>SUMIFS(表1_86121822242672112[综合国力],表1_86121822242672112[目标区服],表2_97131923252773113[[#This Row],[合区区服]],表1_86121822242672112[目标国家（映射）],表2_97131923252773113[[#This Row],[国家]])</f>
        <v>20153</v>
      </c>
      <c r="N130" s="39">
        <f t="array" ref="N130">MAX((表1_86121822242672112[目标区服]=表2_97131923252773113[[#This Row],[合区区服]])*(表1_86121822242672112[目标国家（映射）]=表2_97131923252773113[[#This Row],[国家]])*表1_86121822242672112[单将最高战力])</f>
        <v>854811</v>
      </c>
      <c r="P130" s="335">
        <v>5239</v>
      </c>
      <c r="Q130" s="335">
        <v>41</v>
      </c>
    </row>
    <row r="131" ht="15" spans="1:17">
      <c r="A131" s="224" t="s">
        <v>255</v>
      </c>
      <c r="B131" s="224" t="s">
        <v>25</v>
      </c>
      <c r="C131" s="224">
        <f>COUNTIFS(表1_86121822242672112[目标区服],表2_97131923252773113[[#This Row],[合区区服]],表1_86121822242672112[目标国家（映射）],表2_97131923252773113[[#This Row],[国家]])</f>
        <v>2</v>
      </c>
      <c r="D131" s="224">
        <f>SUMIFS(表1_86121822242672112[活跃高战玩家数],表1_86121822242672112[目标区服],表2_97131923252773113[[#This Row],[合区区服]],表1_86121822242672112[目标国家（映射）],表2_97131923252773113[[#This Row],[国家]])</f>
        <v>11</v>
      </c>
      <c r="E131" s="224">
        <f>SUMIFS(表1_86121822242672112[活跃中坚玩家数],表1_86121822242672112[目标区服],表2_97131923252773113[[#This Row],[合区区服]],表1_86121822242672112[目标国家（映射）],表2_97131923252773113[[#This Row],[国家]])</f>
        <v>54</v>
      </c>
      <c r="F131" s="224">
        <f t="array" ref="F131">MAX((表1_86121822242672112[目标区服]=表2_97131923252773113[[#This Row],[合区区服]])*(表1_86121822242672112[目标国家（映射）]=表2_97131923252773113[[#This Row],[国家]])*表1_86121822242672112[活跃尖端战力])</f>
        <v>3029985</v>
      </c>
      <c r="G131" s="225">
        <f>SUMIFS(表1_86121822242672112[活跃总战力],表1_86121822242672112[目标区服],表2_97131923252773113[[#This Row],[合区区服]],表1_86121822242672112[目标国家（映射）],表2_97131923252773113[[#This Row],[国家]])</f>
        <v>40123347</v>
      </c>
      <c r="H131" s="224">
        <f>SUMIFS(表1_86121822242672112[活跃实际充值],表1_86121822242672112[目标区服],表2_97131923252773113[[#This Row],[合区区服]],表1_86121822242672112[目标国家（映射）],表2_97131923252773113[[#This Row],[国家]])</f>
        <v>145976</v>
      </c>
      <c r="I131" s="224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31" s="224">
        <f>SUMIFS(表1_86121822242672112[活跃Coin],表1_86121822242672112[目标区服],表2_97131923252773113[[#This Row],[合区区服]],表1_86121822242672112[目标国家（映射）],表2_97131923252773113[[#This Row],[国家]])</f>
        <v>1117319</v>
      </c>
      <c r="K131" s="224">
        <f>SUMIFS(表1_86121822242672112[共计补偿Coin],表1_86121822242672112[目标区服],表2_97131923252773113[[#This Row],[合区区服]],表1_86121822242672112[目标国家（映射）],表2_97131923252773113[[#This Row],[国家]])</f>
        <v>65000</v>
      </c>
      <c r="L131" s="224">
        <f>表2_97131923252773113[[#This Row],[活跃Coin]]+表2_97131923252773113[[#This Row],[共计补偿Coin]]</f>
        <v>1182319</v>
      </c>
      <c r="M131" s="224">
        <f>SUMIFS(表1_86121822242672112[综合国力],表1_86121822242672112[目标区服],表2_97131923252773113[[#This Row],[合区区服]],表1_86121822242672112[目标国家（映射）],表2_97131923252773113[[#This Row],[国家]])</f>
        <v>20688</v>
      </c>
      <c r="N131" s="224">
        <f t="array" ref="N131">MAX((表1_86121822242672112[目标区服]=表2_97131923252773113[[#This Row],[合区区服]])*(表1_86121822242672112[目标国家（映射）]=表2_97131923252773113[[#This Row],[国家]])*表1_86121822242672112[单将最高战力])</f>
        <v>921721</v>
      </c>
      <c r="P131" s="335">
        <v>5240</v>
      </c>
      <c r="Q131" s="335">
        <v>40</v>
      </c>
    </row>
    <row r="132" ht="15" spans="1:17">
      <c r="A132" s="224" t="s">
        <v>255</v>
      </c>
      <c r="B132" s="224" t="s">
        <v>26</v>
      </c>
      <c r="C132" s="224">
        <f>COUNTIFS(表1_86121822242672112[目标区服],表2_97131923252773113[[#This Row],[合区区服]],表1_86121822242672112[目标国家（映射）],表2_97131923252773113[[#This Row],[国家]])</f>
        <v>4</v>
      </c>
      <c r="D132" s="224">
        <f>SUMIFS(表1_86121822242672112[活跃高战玩家数],表1_86121822242672112[目标区服],表2_97131923252773113[[#This Row],[合区区服]],表1_86121822242672112[目标国家（映射）],表2_97131923252773113[[#This Row],[国家]])</f>
        <v>11</v>
      </c>
      <c r="E132" s="224">
        <f>SUMIFS(表1_86121822242672112[活跃中坚玩家数],表1_86121822242672112[目标区服],表2_97131923252773113[[#This Row],[合区区服]],表1_86121822242672112[目标国家（映射）],表2_97131923252773113[[#This Row],[国家]])</f>
        <v>64</v>
      </c>
      <c r="F132" s="224">
        <f t="array" ref="F132">MAX((表1_86121822242672112[目标区服]=表2_97131923252773113[[#This Row],[合区区服]])*(表1_86121822242672112[目标国家（映射）]=表2_97131923252773113[[#This Row],[国家]])*表1_86121822242672112[活跃尖端战力])</f>
        <v>2774449</v>
      </c>
      <c r="G132" s="225">
        <f>SUMIFS(表1_86121822242672112[活跃总战力],表1_86121822242672112[目标区服],表2_97131923252773113[[#This Row],[合区区服]],表1_86121822242672112[目标国家（映射）],表2_97131923252773113[[#This Row],[国家]])</f>
        <v>45934935</v>
      </c>
      <c r="H132" s="224">
        <f>SUMIFS(表1_86121822242672112[活跃实际充值],表1_86121822242672112[目标区服],表2_97131923252773113[[#This Row],[合区区服]],表1_86121822242672112[目标国家（映射）],表2_97131923252773113[[#This Row],[国家]])</f>
        <v>164380</v>
      </c>
      <c r="I132" s="224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32" s="224">
        <f>SUMIFS(表1_86121822242672112[活跃Coin],表1_86121822242672112[目标区服],表2_97131923252773113[[#This Row],[合区区服]],表1_86121822242672112[目标国家（映射）],表2_97131923252773113[[#This Row],[国家]])</f>
        <v>1025566</v>
      </c>
      <c r="K132" s="224">
        <f>SUMIFS(表1_86121822242672112[共计补偿Coin],表1_86121822242672112[目标区服],表2_97131923252773113[[#This Row],[合区区服]],表1_86121822242672112[目标国家（映射）],表2_97131923252773113[[#This Row],[国家]])</f>
        <v>75000</v>
      </c>
      <c r="L132" s="224">
        <f>表2_97131923252773113[[#This Row],[活跃Coin]]+表2_97131923252773113[[#This Row],[共计补偿Coin]]</f>
        <v>1100566</v>
      </c>
      <c r="M132" s="224">
        <f>SUMIFS(表1_86121822242672112[综合国力],表1_86121822242672112[目标区服],表2_97131923252773113[[#This Row],[合区区服]],表1_86121822242672112[目标国家（映射）],表2_97131923252773113[[#This Row],[国家]])</f>
        <v>23792</v>
      </c>
      <c r="N132" s="224">
        <f t="array" ref="N132">MAX((表1_86121822242672112[目标区服]=表2_97131923252773113[[#This Row],[合区区服]])*(表1_86121822242672112[目标国家（映射）]=表2_97131923252773113[[#This Row],[国家]])*表1_86121822242672112[单将最高战力])</f>
        <v>951098</v>
      </c>
      <c r="P132" s="335">
        <v>5241</v>
      </c>
      <c r="Q132" s="335">
        <v>40</v>
      </c>
    </row>
    <row r="133" ht="15" spans="1:17">
      <c r="A133" s="224" t="s">
        <v>255</v>
      </c>
      <c r="B133" s="224" t="s">
        <v>27</v>
      </c>
      <c r="C133" s="224">
        <f>COUNTIFS(表1_86121822242672112[目标区服],表2_97131923252773113[[#This Row],[合区区服]],表1_86121822242672112[目标国家（映射）],表2_97131923252773113[[#This Row],[国家]])</f>
        <v>3</v>
      </c>
      <c r="D133" s="224">
        <f>SUMIFS(表1_86121822242672112[活跃高战玩家数],表1_86121822242672112[目标区服],表2_97131923252773113[[#This Row],[合区区服]],表1_86121822242672112[目标国家（映射）],表2_97131923252773113[[#This Row],[国家]])</f>
        <v>8</v>
      </c>
      <c r="E133" s="224">
        <f>SUMIFS(表1_86121822242672112[活跃中坚玩家数],表1_86121822242672112[目标区服],表2_97131923252773113[[#This Row],[合区区服]],表1_86121822242672112[目标国家（映射）],表2_97131923252773113[[#This Row],[国家]])</f>
        <v>55</v>
      </c>
      <c r="F133" s="224">
        <f t="array" ref="F133">MAX((表1_86121822242672112[目标区服]=表2_97131923252773113[[#This Row],[合区区服]])*(表1_86121822242672112[目标国家（映射）]=表2_97131923252773113[[#This Row],[国家]])*表1_86121822242672112[活跃尖端战力])</f>
        <v>2877019</v>
      </c>
      <c r="G133" s="225">
        <f>SUMIFS(表1_86121822242672112[活跃总战力],表1_86121822242672112[目标区服],表2_97131923252773113[[#This Row],[合区区服]],表1_86121822242672112[目标国家（映射）],表2_97131923252773113[[#This Row],[国家]])</f>
        <v>42167088</v>
      </c>
      <c r="H133" s="224">
        <f>SUMIFS(表1_86121822242672112[活跃实际充值],表1_86121822242672112[目标区服],表2_97131923252773113[[#This Row],[合区区服]],表1_86121822242672112[目标国家（映射）],表2_97131923252773113[[#This Row],[国家]])</f>
        <v>142637</v>
      </c>
      <c r="I133" s="224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33" s="224">
        <f>SUMIFS(表1_86121822242672112[活跃Coin],表1_86121822242672112[目标区服],表2_97131923252773113[[#This Row],[合区区服]],表1_86121822242672112[目标国家（映射）],表2_97131923252773113[[#This Row],[国家]])</f>
        <v>974851</v>
      </c>
      <c r="K133" s="224">
        <f>SUMIFS(表1_86121822242672112[共计补偿Coin],表1_86121822242672112[目标区服],表2_97131923252773113[[#This Row],[合区区服]],表1_86121822242672112[目标国家（映射）],表2_97131923252773113[[#This Row],[国家]])</f>
        <v>63000</v>
      </c>
      <c r="L133" s="224">
        <f>表2_97131923252773113[[#This Row],[活跃Coin]]+表2_97131923252773113[[#This Row],[共计补偿Coin]]</f>
        <v>1037851</v>
      </c>
      <c r="M133" s="224">
        <f>SUMIFS(表1_86121822242672112[综合国力],表1_86121822242672112[目标区服],表2_97131923252773113[[#This Row],[合区区服]],表1_86121822242672112[目标国家（映射）],表2_97131923252773113[[#This Row],[国家]])</f>
        <v>22113</v>
      </c>
      <c r="N133" s="224">
        <f t="array" ref="N133">MAX((表1_86121822242672112[目标区服]=表2_97131923252773113[[#This Row],[合区区服]])*(表1_86121822242672112[目标国家（映射）]=表2_97131923252773113[[#This Row],[国家]])*表1_86121822242672112[单将最高战力])</f>
        <v>846570</v>
      </c>
      <c r="P133" s="335">
        <v>5242</v>
      </c>
      <c r="Q133" s="335">
        <v>40</v>
      </c>
    </row>
    <row r="134" ht="15" spans="1:17">
      <c r="A134" s="178" t="s">
        <v>256</v>
      </c>
      <c r="B134" s="178" t="s">
        <v>25</v>
      </c>
      <c r="C134" s="178">
        <f>COUNTIFS(表1_86121822242672112[目标区服],表2_97131923252773113[[#This Row],[合区区服]],表1_86121822242672112[目标国家（映射）],表2_97131923252773113[[#This Row],[国家]])</f>
        <v>3</v>
      </c>
      <c r="D134" s="178">
        <f>SUMIFS(表1_86121822242672112[活跃高战玩家数],表1_86121822242672112[目标区服],表2_97131923252773113[[#This Row],[合区区服]],表1_86121822242672112[目标国家（映射）],表2_97131923252773113[[#This Row],[国家]])</f>
        <v>12</v>
      </c>
      <c r="E134" s="178">
        <f>SUMIFS(表1_86121822242672112[活跃中坚玩家数],表1_86121822242672112[目标区服],表2_97131923252773113[[#This Row],[合区区服]],表1_86121822242672112[目标国家（映射）],表2_97131923252773113[[#This Row],[国家]])</f>
        <v>71</v>
      </c>
      <c r="F134" s="178">
        <f t="array" ref="F134">MAX((表1_86121822242672112[目标区服]=表2_97131923252773113[[#This Row],[合区区服]])*(表1_86121822242672112[目标国家（映射）]=表2_97131923252773113[[#This Row],[国家]])*表1_86121822242672112[活跃尖端战力])</f>
        <v>2265356</v>
      </c>
      <c r="G134" s="179">
        <f>SUMIFS(表1_86121822242672112[活跃总战力],表1_86121822242672112[目标区服],表2_97131923252773113[[#This Row],[合区区服]],表1_86121822242672112[目标国家（映射）],表2_97131923252773113[[#This Row],[国家]])</f>
        <v>57695227</v>
      </c>
      <c r="H134" s="178">
        <f>SUMIFS(表1_86121822242672112[活跃实际充值],表1_86121822242672112[目标区服],表2_97131923252773113[[#This Row],[合区区服]],表1_86121822242672112[目标国家（映射）],表2_97131923252773113[[#This Row],[国家]])</f>
        <v>196076</v>
      </c>
      <c r="I134" s="178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34" s="178">
        <f>SUMIFS(表1_86121822242672112[活跃Coin],表1_86121822242672112[目标区服],表2_97131923252773113[[#This Row],[合区区服]],表1_86121822242672112[目标国家（映射）],表2_97131923252773113[[#This Row],[国家]])</f>
        <v>1222356</v>
      </c>
      <c r="K134" s="178">
        <f>SUMIFS(表1_86121822242672112[共计补偿Coin],表1_86121822242672112[目标区服],表2_97131923252773113[[#This Row],[合区区服]],表1_86121822242672112[目标国家（映射）],表2_97131923252773113[[#This Row],[国家]])</f>
        <v>118500</v>
      </c>
      <c r="L134" s="178">
        <f>表2_97131923252773113[[#This Row],[活跃Coin]]+表2_97131923252773113[[#This Row],[共计补偿Coin]]</f>
        <v>1340856</v>
      </c>
      <c r="M134" s="178">
        <f>SUMIFS(表1_86121822242672112[综合国力],表1_86121822242672112[目标区服],表2_97131923252773113[[#This Row],[合区区服]],表1_86121822242672112[目标国家（映射）],表2_97131923252773113[[#This Row],[国家]])</f>
        <v>24638</v>
      </c>
      <c r="N134" s="178">
        <f t="array" ref="N134">MAX((表1_86121822242672112[目标区服]=表2_97131923252773113[[#This Row],[合区区服]])*(表1_86121822242672112[目标国家（映射）]=表2_97131923252773113[[#This Row],[国家]])*表1_86121822242672112[单将最高战力])</f>
        <v>766047</v>
      </c>
      <c r="P134" s="335">
        <v>5243</v>
      </c>
      <c r="Q134" s="335">
        <v>40</v>
      </c>
    </row>
    <row r="135" ht="15" spans="1:17">
      <c r="A135" s="178" t="s">
        <v>256</v>
      </c>
      <c r="B135" s="178" t="s">
        <v>26</v>
      </c>
      <c r="C135" s="178">
        <f>COUNTIFS(表1_86121822242672112[目标区服],表2_97131923252773113[[#This Row],[合区区服]],表1_86121822242672112[目标国家（映射）],表2_97131923252773113[[#This Row],[国家]])</f>
        <v>4</v>
      </c>
      <c r="D135" s="178">
        <f>SUMIFS(表1_86121822242672112[活跃高战玩家数],表1_86121822242672112[目标区服],表2_97131923252773113[[#This Row],[合区区服]],表1_86121822242672112[目标国家（映射）],表2_97131923252773113[[#This Row],[国家]])</f>
        <v>9</v>
      </c>
      <c r="E135" s="178">
        <f>SUMIFS(表1_86121822242672112[活跃中坚玩家数],表1_86121822242672112[目标区服],表2_97131923252773113[[#This Row],[合区区服]],表1_86121822242672112[目标国家（映射）],表2_97131923252773113[[#This Row],[国家]])</f>
        <v>78</v>
      </c>
      <c r="F135" s="178">
        <f t="array" ref="F135">MAX((表1_86121822242672112[目标区服]=表2_97131923252773113[[#This Row],[合区区服]])*(表1_86121822242672112[目标国家（映射）]=表2_97131923252773113[[#This Row],[国家]])*表1_86121822242672112[活跃尖端战力])</f>
        <v>2553986</v>
      </c>
      <c r="G135" s="179">
        <f>SUMIFS(表1_86121822242672112[活跃总战力],表1_86121822242672112[目标区服],表2_97131923252773113[[#This Row],[合区区服]],表1_86121822242672112[目标国家（映射）],表2_97131923252773113[[#This Row],[国家]])</f>
        <v>57797835</v>
      </c>
      <c r="H135" s="178">
        <f>SUMIFS(表1_86121822242672112[活跃实际充值],表1_86121822242672112[目标区服],表2_97131923252773113[[#This Row],[合区区服]],表1_86121822242672112[目标国家（映射）],表2_97131923252773113[[#This Row],[国家]])</f>
        <v>208140</v>
      </c>
      <c r="I135" s="178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35" s="178">
        <f>SUMIFS(表1_86121822242672112[活跃Coin],表1_86121822242672112[目标区服],表2_97131923252773113[[#This Row],[合区区服]],表1_86121822242672112[目标国家（映射）],表2_97131923252773113[[#This Row],[国家]])</f>
        <v>1032880</v>
      </c>
      <c r="K135" s="178">
        <f>SUMIFS(表1_86121822242672112[共计补偿Coin],表1_86121822242672112[目标区服],表2_97131923252773113[[#This Row],[合区区服]],表1_86121822242672112[目标国家（映射）],表2_97131923252773113[[#This Row],[国家]])</f>
        <v>130500</v>
      </c>
      <c r="L135" s="178">
        <f>表2_97131923252773113[[#This Row],[活跃Coin]]+表2_97131923252773113[[#This Row],[共计补偿Coin]]</f>
        <v>1163380</v>
      </c>
      <c r="M135" s="178">
        <f>SUMIFS(表1_86121822242672112[综合国力],表1_86121822242672112[目标区服],表2_97131923252773113[[#This Row],[合区区服]],表1_86121822242672112[目标国家（映射）],表2_97131923252773113[[#This Row],[国家]])</f>
        <v>25446</v>
      </c>
      <c r="N135" s="178">
        <f t="array" ref="N135">MAX((表1_86121822242672112[目标区服]=表2_97131923252773113[[#This Row],[合区区服]])*(表1_86121822242672112[目标国家（映射）]=表2_97131923252773113[[#This Row],[国家]])*表1_86121822242672112[单将最高战力])</f>
        <v>793210</v>
      </c>
      <c r="P135" s="335">
        <v>5244</v>
      </c>
      <c r="Q135" s="335">
        <v>39</v>
      </c>
    </row>
    <row r="136" ht="15" spans="1:17">
      <c r="A136" s="178" t="s">
        <v>256</v>
      </c>
      <c r="B136" s="178" t="s">
        <v>27</v>
      </c>
      <c r="C136" s="178">
        <f>COUNTIFS(表1_86121822242672112[目标区服],表2_97131923252773113[[#This Row],[合区区服]],表1_86121822242672112[目标国家（映射）],表2_97131923252773113[[#This Row],[国家]])</f>
        <v>2</v>
      </c>
      <c r="D136" s="178">
        <f>SUMIFS(表1_86121822242672112[活跃高战玩家数],表1_86121822242672112[目标区服],表2_97131923252773113[[#This Row],[合区区服]],表1_86121822242672112[目标国家（映射）],表2_97131923252773113[[#This Row],[国家]])</f>
        <v>8</v>
      </c>
      <c r="E136" s="178">
        <f>SUMIFS(表1_86121822242672112[活跃中坚玩家数],表1_86121822242672112[目标区服],表2_97131923252773113[[#This Row],[合区区服]],表1_86121822242672112[目标国家（映射）],表2_97131923252773113[[#This Row],[国家]])</f>
        <v>59</v>
      </c>
      <c r="F136" s="178">
        <f t="array" ref="F136">MAX((表1_86121822242672112[目标区服]=表2_97131923252773113[[#This Row],[合区区服]])*(表1_86121822242672112[目标国家（映射）]=表2_97131923252773113[[#This Row],[国家]])*表1_86121822242672112[活跃尖端战力])</f>
        <v>3566089</v>
      </c>
      <c r="G136" s="179">
        <f>SUMIFS(表1_86121822242672112[活跃总战力],表1_86121822242672112[目标区服],表2_97131923252773113[[#This Row],[合区区服]],表1_86121822242672112[目标国家（映射）],表2_97131923252773113[[#This Row],[国家]])</f>
        <v>47888349</v>
      </c>
      <c r="H136" s="178">
        <f>SUMIFS(表1_86121822242672112[活跃实际充值],表1_86121822242672112[目标区服],表2_97131923252773113[[#This Row],[合区区服]],表1_86121822242672112[目标国家（映射）],表2_97131923252773113[[#This Row],[国家]])</f>
        <v>258344</v>
      </c>
      <c r="I136" s="178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36" s="178">
        <f>SUMIFS(表1_86121822242672112[活跃Coin],表1_86121822242672112[目标区服],表2_97131923252773113[[#This Row],[合区区服]],表1_86121822242672112[目标国家（映射）],表2_97131923252773113[[#This Row],[国家]])</f>
        <v>897485</v>
      </c>
      <c r="K136" s="178">
        <f>SUMIFS(表1_86121822242672112[共计补偿Coin],表1_86121822242672112[目标区服],表2_97131923252773113[[#This Row],[合区区服]],表1_86121822242672112[目标国家（映射）],表2_97131923252773113[[#This Row],[国家]])</f>
        <v>67000</v>
      </c>
      <c r="L136" s="178">
        <f>表2_97131923252773113[[#This Row],[活跃Coin]]+表2_97131923252773113[[#This Row],[共计补偿Coin]]</f>
        <v>964485</v>
      </c>
      <c r="M136" s="178">
        <f>SUMIFS(表1_86121822242672112[综合国力],表1_86121822242672112[目标区服],表2_97131923252773113[[#This Row],[合区区服]],表1_86121822242672112[目标国家（映射）],表2_97131923252773113[[#This Row],[国家]])</f>
        <v>24148</v>
      </c>
      <c r="N136" s="178">
        <f t="array" ref="N136">MAX((表1_86121822242672112[目标区服]=表2_97131923252773113[[#This Row],[合区区服]])*(表1_86121822242672112[目标国家（映射）]=表2_97131923252773113[[#This Row],[国家]])*表1_86121822242672112[单将最高战力])</f>
        <v>1266441</v>
      </c>
      <c r="P136" s="335">
        <v>5245</v>
      </c>
      <c r="Q136" s="335">
        <v>39</v>
      </c>
    </row>
    <row r="137" ht="15" spans="1:17">
      <c r="A137" s="186" t="s">
        <v>257</v>
      </c>
      <c r="B137" s="186" t="s">
        <v>25</v>
      </c>
      <c r="C137" s="186">
        <f>COUNTIFS(表1_86121822242672112[目标区服],表2_97131923252773113[[#This Row],[合区区服]],表1_86121822242672112[目标国家（映射）],表2_97131923252773113[[#This Row],[国家]])</f>
        <v>3</v>
      </c>
      <c r="D137" s="186">
        <f>SUMIFS(表1_86121822242672112[活跃高战玩家数],表1_86121822242672112[目标区服],表2_97131923252773113[[#This Row],[合区区服]],表1_86121822242672112[目标国家（映射）],表2_97131923252773113[[#This Row],[国家]])</f>
        <v>10</v>
      </c>
      <c r="E137" s="186">
        <f>SUMIFS(表1_86121822242672112[活跃中坚玩家数],表1_86121822242672112[目标区服],表2_97131923252773113[[#This Row],[合区区服]],表1_86121822242672112[目标国家（映射）],表2_97131923252773113[[#This Row],[国家]])</f>
        <v>64</v>
      </c>
      <c r="F137" s="186">
        <f t="array" ref="F137">MAX((表1_86121822242672112[目标区服]=表2_97131923252773113[[#This Row],[合区区服]])*(表1_86121822242672112[目标国家（映射）]=表2_97131923252773113[[#This Row],[国家]])*表1_86121822242672112[活跃尖端战力])</f>
        <v>1977072</v>
      </c>
      <c r="G137" s="187">
        <f>SUMIFS(表1_86121822242672112[活跃总战力],表1_86121822242672112[目标区服],表2_97131923252773113[[#This Row],[合区区服]],表1_86121822242672112[目标国家（映射）],表2_97131923252773113[[#This Row],[国家]])</f>
        <v>43037175</v>
      </c>
      <c r="H137" s="186">
        <f>SUMIFS(表1_86121822242672112[活跃实际充值],表1_86121822242672112[目标区服],表2_97131923252773113[[#This Row],[合区区服]],表1_86121822242672112[目标国家（映射）],表2_97131923252773113[[#This Row],[国家]])</f>
        <v>89127</v>
      </c>
      <c r="I137" s="186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37" s="186">
        <f>SUMIFS(表1_86121822242672112[活跃Coin],表1_86121822242672112[目标区服],表2_97131923252773113[[#This Row],[合区区服]],表1_86121822242672112[目标国家（映射）],表2_97131923252773113[[#This Row],[国家]])</f>
        <v>925048</v>
      </c>
      <c r="K137" s="186">
        <f>SUMIFS(表1_86121822242672112[共计补偿Coin],表1_86121822242672112[目标区服],表2_97131923252773113[[#This Row],[合区区服]],表1_86121822242672112[目标国家（映射）],表2_97131923252773113[[#This Row],[国家]])</f>
        <v>84500</v>
      </c>
      <c r="L137" s="186">
        <f>表2_97131923252773113[[#This Row],[活跃Coin]]+表2_97131923252773113[[#This Row],[共计补偿Coin]]</f>
        <v>1009548</v>
      </c>
      <c r="M137" s="186">
        <f>SUMIFS(表1_86121822242672112[综合国力],表1_86121822242672112[目标区服],表2_97131923252773113[[#This Row],[合区区服]],表1_86121822242672112[目标国家（映射）],表2_97131923252773113[[#This Row],[国家]])</f>
        <v>18222</v>
      </c>
      <c r="N137" s="186">
        <f t="array" ref="N137">MAX((表1_86121822242672112[目标区服]=表2_97131923252773113[[#This Row],[合区区服]])*(表1_86121822242672112[目标国家（映射）]=表2_97131923252773113[[#This Row],[国家]])*表1_86121822242672112[单将最高战力])</f>
        <v>584747</v>
      </c>
      <c r="P137" s="335">
        <v>5246</v>
      </c>
      <c r="Q137" s="335">
        <v>39</v>
      </c>
    </row>
    <row r="138" ht="15" spans="1:17">
      <c r="A138" s="186" t="s">
        <v>257</v>
      </c>
      <c r="B138" s="186" t="s">
        <v>26</v>
      </c>
      <c r="C138" s="186">
        <f>COUNTIFS(表1_86121822242672112[目标区服],表2_97131923252773113[[#This Row],[合区区服]],表1_86121822242672112[目标国家（映射）],表2_97131923252773113[[#This Row],[国家]])</f>
        <v>3</v>
      </c>
      <c r="D138" s="186">
        <f>SUMIFS(表1_86121822242672112[活跃高战玩家数],表1_86121822242672112[目标区服],表2_97131923252773113[[#This Row],[合区区服]],表1_86121822242672112[目标国家（映射）],表2_97131923252773113[[#This Row],[国家]])</f>
        <v>7</v>
      </c>
      <c r="E138" s="186">
        <f>SUMIFS(表1_86121822242672112[活跃中坚玩家数],表1_86121822242672112[目标区服],表2_97131923252773113[[#This Row],[合区区服]],表1_86121822242672112[目标国家（映射）],表2_97131923252773113[[#This Row],[国家]])</f>
        <v>55</v>
      </c>
      <c r="F138" s="186">
        <f t="array" ref="F138">MAX((表1_86121822242672112[目标区服]=表2_97131923252773113[[#This Row],[合区区服]])*(表1_86121822242672112[目标国家（映射）]=表2_97131923252773113[[#This Row],[国家]])*表1_86121822242672112[活跃尖端战力])</f>
        <v>2502982</v>
      </c>
      <c r="G138" s="187">
        <f>SUMIFS(表1_86121822242672112[活跃总战力],表1_86121822242672112[目标区服],表2_97131923252773113[[#This Row],[合区区服]],表1_86121822242672112[目标国家（映射）],表2_97131923252773113[[#This Row],[国家]])</f>
        <v>37414784</v>
      </c>
      <c r="H138" s="186">
        <f>SUMIFS(表1_86121822242672112[活跃实际充值],表1_86121822242672112[目标区服],表2_97131923252773113[[#This Row],[合区区服]],表1_86121822242672112[目标国家（映射）],表2_97131923252773113[[#This Row],[国家]])</f>
        <v>51396</v>
      </c>
      <c r="I138" s="186">
        <f>SUMIFS(表1_86121822242672112[活跃虚拟充值],表1_86121822242672112[目标区服],表2_97131923252773113[[#This Row],[合区区服]],表1_86121822242672112[目标国家（映射）],表2_97131923252773113[[#This Row],[国家]])</f>
        <v>37858</v>
      </c>
      <c r="J138" s="186">
        <f>SUMIFS(表1_86121822242672112[活跃Coin],表1_86121822242672112[目标区服],表2_97131923252773113[[#This Row],[合区区服]],表1_86121822242672112[目标国家（映射）],表2_97131923252773113[[#This Row],[国家]])</f>
        <v>698257</v>
      </c>
      <c r="K138" s="186">
        <f>SUMIFS(表1_86121822242672112[共计补偿Coin],表1_86121822242672112[目标区服],表2_97131923252773113[[#This Row],[合区区服]],表1_86121822242672112[目标国家（映射）],表2_97131923252773113[[#This Row],[国家]])</f>
        <v>83000</v>
      </c>
      <c r="L138" s="186">
        <f>表2_97131923252773113[[#This Row],[活跃Coin]]+表2_97131923252773113[[#This Row],[共计补偿Coin]]</f>
        <v>781257</v>
      </c>
      <c r="M138" s="186">
        <f>SUMIFS(表1_86121822242672112[综合国力],表1_86121822242672112[目标区服],表2_97131923252773113[[#This Row],[合区区服]],表1_86121822242672112[目标国家（映射）],表2_97131923252773113[[#This Row],[国家]])</f>
        <v>16565</v>
      </c>
      <c r="N138" s="186">
        <f t="array" ref="N138">MAX((表1_86121822242672112[目标区服]=表2_97131923252773113[[#This Row],[合区区服]])*(表1_86121822242672112[目标国家（映射）]=表2_97131923252773113[[#This Row],[国家]])*表1_86121822242672112[单将最高战力])</f>
        <v>714159</v>
      </c>
      <c r="P138" s="335">
        <v>5247</v>
      </c>
      <c r="Q138" s="335">
        <v>38</v>
      </c>
    </row>
    <row r="139" ht="15" spans="1:17">
      <c r="A139" s="186" t="s">
        <v>257</v>
      </c>
      <c r="B139" s="186" t="s">
        <v>27</v>
      </c>
      <c r="C139" s="186">
        <f>COUNTIFS(表1_86121822242672112[目标区服],表2_97131923252773113[[#This Row],[合区区服]],表1_86121822242672112[目标国家（映射）],表2_97131923252773113[[#This Row],[国家]])</f>
        <v>3</v>
      </c>
      <c r="D139" s="186">
        <f>SUMIFS(表1_86121822242672112[活跃高战玩家数],表1_86121822242672112[目标区服],表2_97131923252773113[[#This Row],[合区区服]],表1_86121822242672112[目标国家（映射）],表2_97131923252773113[[#This Row],[国家]])</f>
        <v>9</v>
      </c>
      <c r="E139" s="186">
        <f>SUMIFS(表1_86121822242672112[活跃中坚玩家数],表1_86121822242672112[目标区服],表2_97131923252773113[[#This Row],[合区区服]],表1_86121822242672112[目标国家（映射）],表2_97131923252773113[[#This Row],[国家]])</f>
        <v>62</v>
      </c>
      <c r="F139" s="186">
        <f t="array" ref="F139">MAX((表1_86121822242672112[目标区服]=表2_97131923252773113[[#This Row],[合区区服]])*(表1_86121822242672112[目标国家（映射）]=表2_97131923252773113[[#This Row],[国家]])*表1_86121822242672112[活跃尖端战力])</f>
        <v>1933213</v>
      </c>
      <c r="G139" s="187">
        <f>SUMIFS(表1_86121822242672112[活跃总战力],表1_86121822242672112[目标区服],表2_97131923252773113[[#This Row],[合区区服]],表1_86121822242672112[目标国家（映射）],表2_97131923252773113[[#This Row],[国家]])</f>
        <v>41330811</v>
      </c>
      <c r="H139" s="186">
        <f>SUMIFS(表1_86121822242672112[活跃实际充值],表1_86121822242672112[目标区服],表2_97131923252773113[[#This Row],[合区区服]],表1_86121822242672112[目标国家（映射）],表2_97131923252773113[[#This Row],[国家]])</f>
        <v>75198</v>
      </c>
      <c r="I139" s="186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39" s="186">
        <f>SUMIFS(表1_86121822242672112[活跃Coin],表1_86121822242672112[目标区服],表2_97131923252773113[[#This Row],[合区区服]],表1_86121822242672112[目标国家（映射）],表2_97131923252773113[[#This Row],[国家]])</f>
        <v>760206</v>
      </c>
      <c r="K139" s="186">
        <f>SUMIFS(表1_86121822242672112[共计补偿Coin],表1_86121822242672112[目标区服],表2_97131923252773113[[#This Row],[合区区服]],表1_86121822242672112[目标国家（映射）],表2_97131923252773113[[#This Row],[国家]])</f>
        <v>106500</v>
      </c>
      <c r="L139" s="186">
        <f>表2_97131923252773113[[#This Row],[活跃Coin]]+表2_97131923252773113[[#This Row],[共计补偿Coin]]</f>
        <v>866706</v>
      </c>
      <c r="M139" s="186">
        <f>SUMIFS(表1_86121822242672112[综合国力],表1_86121822242672112[目标区服],表2_97131923252773113[[#This Row],[合区区服]],表1_86121822242672112[目标国家（映射）],表2_97131923252773113[[#This Row],[国家]])</f>
        <v>18523</v>
      </c>
      <c r="N139" s="186">
        <f t="array" ref="N139">MAX((表1_86121822242672112[目标区服]=表2_97131923252773113[[#This Row],[合区区服]])*(表1_86121822242672112[目标国家（映射）]=表2_97131923252773113[[#This Row],[国家]])*表1_86121822242672112[单将最高战力])</f>
        <v>630936</v>
      </c>
      <c r="P139" s="335">
        <v>5248</v>
      </c>
      <c r="Q139" s="335">
        <v>38</v>
      </c>
    </row>
    <row r="140" ht="15" spans="1:17">
      <c r="A140" s="169" t="s">
        <v>258</v>
      </c>
      <c r="B140" s="169" t="s">
        <v>25</v>
      </c>
      <c r="C140" s="169">
        <f>COUNTIFS(表1_86121822242672112[目标区服],表2_97131923252773113[[#This Row],[合区区服]],表1_86121822242672112[目标国家（映射）],表2_97131923252773113[[#This Row],[国家]])</f>
        <v>4</v>
      </c>
      <c r="D140" s="169">
        <f>SUMIFS(表1_86121822242672112[活跃高战玩家数],表1_86121822242672112[目标区服],表2_97131923252773113[[#This Row],[合区区服]],表1_86121822242672112[目标国家（映射）],表2_97131923252773113[[#This Row],[国家]])</f>
        <v>9</v>
      </c>
      <c r="E140" s="169">
        <f>SUMIFS(表1_86121822242672112[活跃中坚玩家数],表1_86121822242672112[目标区服],表2_97131923252773113[[#This Row],[合区区服]],表1_86121822242672112[目标国家（映射）],表2_97131923252773113[[#This Row],[国家]])</f>
        <v>76</v>
      </c>
      <c r="F140" s="169">
        <f t="array" ref="F140">MAX((表1_86121822242672112[目标区服]=表2_97131923252773113[[#This Row],[合区区服]])*(表1_86121822242672112[目标国家（映射）]=表2_97131923252773113[[#This Row],[国家]])*表1_86121822242672112[活跃尖端战力])</f>
        <v>2225112</v>
      </c>
      <c r="G140" s="170">
        <f>SUMIFS(表1_86121822242672112[活跃总战力],表1_86121822242672112[目标区服],表2_97131923252773113[[#This Row],[合区区服]],表1_86121822242672112[目标国家（映射）],表2_97131923252773113[[#This Row],[国家]])</f>
        <v>53758320</v>
      </c>
      <c r="H140" s="169">
        <f>SUMIFS(表1_86121822242672112[活跃实际充值],表1_86121822242672112[目标区服],表2_97131923252773113[[#This Row],[合区区服]],表1_86121822242672112[目标国家（映射）],表2_97131923252773113[[#This Row],[国家]])</f>
        <v>138622</v>
      </c>
      <c r="I140" s="169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40" s="169">
        <f>SUMIFS(表1_86121822242672112[活跃Coin],表1_86121822242672112[目标区服],表2_97131923252773113[[#This Row],[合区区服]],表1_86121822242672112[目标国家（映射）],表2_97131923252773113[[#This Row],[国家]])</f>
        <v>990962</v>
      </c>
      <c r="K140" s="169">
        <f>SUMIFS(表1_86121822242672112[共计补偿Coin],表1_86121822242672112[目标区服],表2_97131923252773113[[#This Row],[合区区服]],表1_86121822242672112[目标国家（映射）],表2_97131923252773113[[#This Row],[国家]])</f>
        <v>109000</v>
      </c>
      <c r="L140" s="169">
        <f>表2_97131923252773113[[#This Row],[活跃Coin]]+表2_97131923252773113[[#This Row],[共计补偿Coin]]</f>
        <v>1099962</v>
      </c>
      <c r="M140" s="169">
        <f>SUMIFS(表1_86121822242672112[综合国力],表1_86121822242672112[目标区服],表2_97131923252773113[[#This Row],[合区区服]],表1_86121822242672112[目标国家（映射）],表2_97131923252773113[[#This Row],[国家]])</f>
        <v>23971</v>
      </c>
      <c r="N140" s="169">
        <f t="array" ref="N140">MAX((表1_86121822242672112[目标区服]=表2_97131923252773113[[#This Row],[合区区服]])*(表1_86121822242672112[目标国家（映射）]=表2_97131923252773113[[#This Row],[国家]])*表1_86121822242672112[单将最高战力])</f>
        <v>706595</v>
      </c>
      <c r="P140" s="335">
        <v>5249</v>
      </c>
      <c r="Q140" s="335">
        <v>38</v>
      </c>
    </row>
    <row r="141" ht="15" spans="1:17">
      <c r="A141" s="169" t="s">
        <v>258</v>
      </c>
      <c r="B141" s="169" t="s">
        <v>26</v>
      </c>
      <c r="C141" s="169">
        <f>COUNTIFS(表1_86121822242672112[目标区服],表2_97131923252773113[[#This Row],[合区区服]],表1_86121822242672112[目标国家（映射）],表2_97131923252773113[[#This Row],[国家]])</f>
        <v>3</v>
      </c>
      <c r="D141" s="169">
        <f>SUMIFS(表1_86121822242672112[活跃高战玩家数],表1_86121822242672112[目标区服],表2_97131923252773113[[#This Row],[合区区服]],表1_86121822242672112[目标国家（映射）],表2_97131923252773113[[#This Row],[国家]])</f>
        <v>11</v>
      </c>
      <c r="E141" s="169">
        <f>SUMIFS(表1_86121822242672112[活跃中坚玩家数],表1_86121822242672112[目标区服],表2_97131923252773113[[#This Row],[合区区服]],表1_86121822242672112[目标国家（映射）],表2_97131923252773113[[#This Row],[国家]])</f>
        <v>71</v>
      </c>
      <c r="F141" s="169">
        <f t="array" ref="F141">MAX((表1_86121822242672112[目标区服]=表2_97131923252773113[[#This Row],[合区区服]])*(表1_86121822242672112[目标国家（映射）]=表2_97131923252773113[[#This Row],[国家]])*表1_86121822242672112[活跃尖端战力])</f>
        <v>2412765</v>
      </c>
      <c r="G141" s="170">
        <f>SUMIFS(表1_86121822242672112[活跃总战力],表1_86121822242672112[目标区服],表2_97131923252773113[[#This Row],[合区区服]],表1_86121822242672112[目标国家（映射）],表2_97131923252773113[[#This Row],[国家]])</f>
        <v>51414076</v>
      </c>
      <c r="H141" s="169">
        <f>SUMIFS(表1_86121822242672112[活跃实际充值],表1_86121822242672112[目标区服],表2_97131923252773113[[#This Row],[合区区服]],表1_86121822242672112[目标国家（映射）],表2_97131923252773113[[#This Row],[国家]])</f>
        <v>148328</v>
      </c>
      <c r="I141" s="169">
        <f>SUMIFS(表1_86121822242672112[活跃虚拟充值],表1_86121822242672112[目标区服],表2_97131923252773113[[#This Row],[合区区服]],表1_86121822242672112[目标国家（映射）],表2_97131923252773113[[#This Row],[国家]])</f>
        <v>24498</v>
      </c>
      <c r="J141" s="169">
        <f>SUMIFS(表1_86121822242672112[活跃Coin],表1_86121822242672112[目标区服],表2_97131923252773113[[#This Row],[合区区服]],表1_86121822242672112[目标国家（映射）],表2_97131923252773113[[#This Row],[国家]])</f>
        <v>701355</v>
      </c>
      <c r="K141" s="169">
        <f>SUMIFS(表1_86121822242672112[共计补偿Coin],表1_86121822242672112[目标区服],表2_97131923252773113[[#This Row],[合区区服]],表1_86121822242672112[目标国家（映射）],表2_97131923252773113[[#This Row],[国家]])</f>
        <v>96500</v>
      </c>
      <c r="L141" s="169">
        <f>表2_97131923252773113[[#This Row],[活跃Coin]]+表2_97131923252773113[[#This Row],[共计补偿Coin]]</f>
        <v>797855</v>
      </c>
      <c r="M141" s="169">
        <f>SUMIFS(表1_86121822242672112[综合国力],表1_86121822242672112[目标区服],表2_97131923252773113[[#This Row],[合区区服]],表1_86121822242672112[目标国家（映射）],表2_97131923252773113[[#This Row],[国家]])</f>
        <v>23173</v>
      </c>
      <c r="N141" s="169">
        <f t="array" ref="N141">MAX((表1_86121822242672112[目标区服]=表2_97131923252773113[[#This Row],[合区区服]])*(表1_86121822242672112[目标国家（映射）]=表2_97131923252773113[[#This Row],[国家]])*表1_86121822242672112[单将最高战力])</f>
        <v>653377</v>
      </c>
      <c r="P141" s="335">
        <v>5250</v>
      </c>
      <c r="Q141" s="335">
        <v>38</v>
      </c>
    </row>
    <row r="142" ht="15" spans="1:17">
      <c r="A142" s="169" t="s">
        <v>258</v>
      </c>
      <c r="B142" s="169" t="s">
        <v>27</v>
      </c>
      <c r="C142" s="169">
        <f>COUNTIFS(表1_86121822242672112[目标区服],表2_97131923252773113[[#This Row],[合区区服]],表1_86121822242672112[目标国家（映射）],表2_97131923252773113[[#This Row],[国家]])</f>
        <v>2</v>
      </c>
      <c r="D142" s="169">
        <f>SUMIFS(表1_86121822242672112[活跃高战玩家数],表1_86121822242672112[目标区服],表2_97131923252773113[[#This Row],[合区区服]],表1_86121822242672112[目标国家（映射）],表2_97131923252773113[[#This Row],[国家]])</f>
        <v>10</v>
      </c>
      <c r="E142" s="169">
        <f>SUMIFS(表1_86121822242672112[活跃中坚玩家数],表1_86121822242672112[目标区服],表2_97131923252773113[[#This Row],[合区区服]],表1_86121822242672112[目标国家（映射）],表2_97131923252773113[[#This Row],[国家]])</f>
        <v>59</v>
      </c>
      <c r="F142" s="169">
        <f t="array" ref="F142">MAX((表1_86121822242672112[目标区服]=表2_97131923252773113[[#This Row],[合区区服]])*(表1_86121822242672112[目标国家（映射）]=表2_97131923252773113[[#This Row],[国家]])*表1_86121822242672112[活跃尖端战力])</f>
        <v>2498039</v>
      </c>
      <c r="G142" s="170">
        <f>SUMIFS(表1_86121822242672112[活跃总战力],表1_86121822242672112[目标区服],表2_97131923252773113[[#This Row],[合区区服]],表1_86121822242672112[目标国家（映射）],表2_97131923252773113[[#This Row],[国家]])</f>
        <v>47907458</v>
      </c>
      <c r="H142" s="169">
        <f>SUMIFS(表1_86121822242672112[活跃实际充值],表1_86121822242672112[目标区服],表2_97131923252773113[[#This Row],[合区区服]],表1_86121822242672112[目标国家（映射）],表2_97131923252773113[[#This Row],[国家]])</f>
        <v>143712</v>
      </c>
      <c r="I142" s="169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42" s="169">
        <f>SUMIFS(表1_86121822242672112[活跃Coin],表1_86121822242672112[目标区服],表2_97131923252773113[[#This Row],[合区区服]],表1_86121822242672112[目标国家（映射）],表2_97131923252773113[[#This Row],[国家]])</f>
        <v>586353</v>
      </c>
      <c r="K142" s="169">
        <f>SUMIFS(表1_86121822242672112[共计补偿Coin],表1_86121822242672112[目标区服],表2_97131923252773113[[#This Row],[合区区服]],表1_86121822242672112[目标国家（映射）],表2_97131923252773113[[#This Row],[国家]])</f>
        <v>69000</v>
      </c>
      <c r="L142" s="169">
        <f>表2_97131923252773113[[#This Row],[活跃Coin]]+表2_97131923252773113[[#This Row],[共计补偿Coin]]</f>
        <v>655353</v>
      </c>
      <c r="M142" s="169">
        <f>SUMIFS(表1_86121822242672112[综合国力],表1_86121822242672112[目标区服],表2_97131923252773113[[#This Row],[合区区服]],表1_86121822242672112[目标国家（映射）],表2_97131923252773113[[#This Row],[国家]])</f>
        <v>19596</v>
      </c>
      <c r="N142" s="169">
        <f t="array" ref="N142">MAX((表1_86121822242672112[目标区服]=表2_97131923252773113[[#This Row],[合区区服]])*(表1_86121822242672112[目标国家（映射）]=表2_97131923252773113[[#This Row],[国家]])*表1_86121822242672112[单将最高战力])</f>
        <v>672227</v>
      </c>
      <c r="P142" s="335">
        <v>5251</v>
      </c>
      <c r="Q142" s="335">
        <v>37</v>
      </c>
    </row>
    <row r="143" ht="15" spans="1:17">
      <c r="A143" s="39" t="s">
        <v>259</v>
      </c>
      <c r="B143" s="39" t="s">
        <v>25</v>
      </c>
      <c r="C143" s="39">
        <f>COUNTIFS(表1_86121822242672112[目标区服],表2_97131923252773113[[#This Row],[合区区服]],表1_86121822242672112[目标国家（映射）],表2_97131923252773113[[#This Row],[国家]])</f>
        <v>2</v>
      </c>
      <c r="D143" s="39">
        <f>SUMIFS(表1_86121822242672112[活跃高战玩家数],表1_86121822242672112[目标区服],表2_97131923252773113[[#This Row],[合区区服]],表1_86121822242672112[目标国家（映射）],表2_97131923252773113[[#This Row],[国家]])</f>
        <v>10</v>
      </c>
      <c r="E143" s="39">
        <f>SUMIFS(表1_86121822242672112[活跃中坚玩家数],表1_86121822242672112[目标区服],表2_97131923252773113[[#This Row],[合区区服]],表1_86121822242672112[目标国家（映射）],表2_97131923252773113[[#This Row],[国家]])</f>
        <v>59</v>
      </c>
      <c r="F143" s="39">
        <f t="array" ref="F143">MAX((表1_86121822242672112[目标区服]=表2_97131923252773113[[#This Row],[合区区服]])*(表1_86121822242672112[目标国家（映射）]=表2_97131923252773113[[#This Row],[国家]])*表1_86121822242672112[活跃尖端战力])</f>
        <v>2806913</v>
      </c>
      <c r="G143" s="40">
        <f>SUMIFS(表1_86121822242672112[活跃总战力],表1_86121822242672112[目标区服],表2_97131923252773113[[#This Row],[合区区服]],表1_86121822242672112[目标国家（映射）],表2_97131923252773113[[#This Row],[国家]])</f>
        <v>47774776</v>
      </c>
      <c r="H143" s="39">
        <f>SUMIFS(表1_86121822242672112[活跃实际充值],表1_86121822242672112[目标区服],表2_97131923252773113[[#This Row],[合区区服]],表1_86121822242672112[目标国家（映射）],表2_97131923252773113[[#This Row],[国家]])</f>
        <v>192262</v>
      </c>
      <c r="I143" s="39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43" s="39">
        <f>SUMIFS(表1_86121822242672112[活跃Coin],表1_86121822242672112[目标区服],表2_97131923252773113[[#This Row],[合区区服]],表1_86121822242672112[目标国家（映射）],表2_97131923252773113[[#This Row],[国家]])</f>
        <v>1141540</v>
      </c>
      <c r="K143" s="39">
        <f>SUMIFS(表1_86121822242672112[共计补偿Coin],表1_86121822242672112[目标区服],表2_97131923252773113[[#This Row],[合区区服]],表1_86121822242672112[目标国家（映射）],表2_97131923252773113[[#This Row],[国家]])</f>
        <v>69000</v>
      </c>
      <c r="L143" s="39">
        <f>表2_97131923252773113[[#This Row],[活跃Coin]]+表2_97131923252773113[[#This Row],[共计补偿Coin]]</f>
        <v>1210540</v>
      </c>
      <c r="M143" s="39">
        <f>SUMIFS(表1_86121822242672112[综合国力],表1_86121822242672112[目标区服],表2_97131923252773113[[#This Row],[合区区服]],表1_86121822242672112[目标国家（映射）],表2_97131923252773113[[#This Row],[国家]])</f>
        <v>22190</v>
      </c>
      <c r="N143" s="39">
        <f t="array" ref="N143">MAX((表1_86121822242672112[目标区服]=表2_97131923252773113[[#This Row],[合区区服]])*(表1_86121822242672112[目标国家（映射）]=表2_97131923252773113[[#This Row],[国家]])*表1_86121822242672112[单将最高战力])</f>
        <v>774845</v>
      </c>
      <c r="P143" s="335">
        <v>5252</v>
      </c>
      <c r="Q143" s="335">
        <v>37</v>
      </c>
    </row>
    <row r="144" ht="15" spans="1:17">
      <c r="A144" s="39" t="s">
        <v>259</v>
      </c>
      <c r="B144" s="39" t="s">
        <v>26</v>
      </c>
      <c r="C144" s="39">
        <f>COUNTIFS(表1_86121822242672112[目标区服],表2_97131923252773113[[#This Row],[合区区服]],表1_86121822242672112[目标国家（映射）],表2_97131923252773113[[#This Row],[国家]])</f>
        <v>4</v>
      </c>
      <c r="D144" s="39">
        <f>SUMIFS(表1_86121822242672112[活跃高战玩家数],表1_86121822242672112[目标区服],表2_97131923252773113[[#This Row],[合区区服]],表1_86121822242672112[目标国家（映射）],表2_97131923252773113[[#This Row],[国家]])</f>
        <v>7</v>
      </c>
      <c r="E144" s="39">
        <f>SUMIFS(表1_86121822242672112[活跃中坚玩家数],表1_86121822242672112[目标区服],表2_97131923252773113[[#This Row],[合区区服]],表1_86121822242672112[目标国家（映射）],表2_97131923252773113[[#This Row],[国家]])</f>
        <v>77</v>
      </c>
      <c r="F144" s="39">
        <f t="array" ref="F144">MAX((表1_86121822242672112[目标区服]=表2_97131923252773113[[#This Row],[合区区服]])*(表1_86121822242672112[目标国家（映射）]=表2_97131923252773113[[#This Row],[国家]])*表1_86121822242672112[活跃尖端战力])</f>
        <v>2999766</v>
      </c>
      <c r="G144" s="40">
        <f>SUMIFS(表1_86121822242672112[活跃总战力],表1_86121822242672112[目标区服],表2_97131923252773113[[#This Row],[合区区服]],表1_86121822242672112[目标国家（映射）],表2_97131923252773113[[#This Row],[国家]])</f>
        <v>49441634</v>
      </c>
      <c r="H144" s="39">
        <f>SUMIFS(表1_86121822242672112[活跃实际充值],表1_86121822242672112[目标区服],表2_97131923252773113[[#This Row],[合区区服]],表1_86121822242672112[目标国家（映射）],表2_97131923252773113[[#This Row],[国家]])</f>
        <v>156240</v>
      </c>
      <c r="I144" s="39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44" s="39">
        <f>SUMIFS(表1_86121822242672112[活跃Coin],表1_86121822242672112[目标区服],表2_97131923252773113[[#This Row],[合区区服]],表1_86121822242672112[目标国家（映射）],表2_97131923252773113[[#This Row],[国家]])</f>
        <v>1026270</v>
      </c>
      <c r="K144" s="39">
        <f>SUMIFS(表1_86121822242672112[共计补偿Coin],表1_86121822242672112[目标区服],表2_97131923252773113[[#This Row],[合区区服]],表1_86121822242672112[目标国家（映射）],表2_97131923252773113[[#This Row],[国家]])</f>
        <v>84000</v>
      </c>
      <c r="L144" s="39">
        <f>表2_97131923252773113[[#This Row],[活跃Coin]]+表2_97131923252773113[[#This Row],[共计补偿Coin]]</f>
        <v>1110270</v>
      </c>
      <c r="M144" s="39">
        <f>SUMIFS(表1_86121822242672112[综合国力],表1_86121822242672112[目标区服],表2_97131923252773113[[#This Row],[合区区服]],表1_86121822242672112[目标国家（映射）],表2_97131923252773113[[#This Row],[国家]])</f>
        <v>22325</v>
      </c>
      <c r="N144" s="39">
        <f t="array" ref="N144">MAX((表1_86121822242672112[目标区服]=表2_97131923252773113[[#This Row],[合区区服]])*(表1_86121822242672112[目标国家（映射）]=表2_97131923252773113[[#This Row],[国家]])*表1_86121822242672112[单将最高战力])</f>
        <v>895906</v>
      </c>
      <c r="P144" s="335">
        <v>5253</v>
      </c>
      <c r="Q144" s="335">
        <v>37</v>
      </c>
    </row>
    <row r="145" ht="15" spans="1:17">
      <c r="A145" s="39" t="s">
        <v>259</v>
      </c>
      <c r="B145" s="39" t="s">
        <v>27</v>
      </c>
      <c r="C145" s="39">
        <f>COUNTIFS(表1_86121822242672112[目标区服],表2_97131923252773113[[#This Row],[合区区服]],表1_86121822242672112[目标国家（映射）],表2_97131923252773113[[#This Row],[国家]])</f>
        <v>3</v>
      </c>
      <c r="D145" s="39">
        <f>SUMIFS(表1_86121822242672112[活跃高战玩家数],表1_86121822242672112[目标区服],表2_97131923252773113[[#This Row],[合区区服]],表1_86121822242672112[目标国家（映射）],表2_97131923252773113[[#This Row],[国家]])</f>
        <v>13</v>
      </c>
      <c r="E145" s="39">
        <f>SUMIFS(表1_86121822242672112[活跃中坚玩家数],表1_86121822242672112[目标区服],表2_97131923252773113[[#This Row],[合区区服]],表1_86121822242672112[目标国家（映射）],表2_97131923252773113[[#This Row],[国家]])</f>
        <v>61</v>
      </c>
      <c r="F145" s="39">
        <f t="array" ref="F145">MAX((表1_86121822242672112[目标区服]=表2_97131923252773113[[#This Row],[合区区服]])*(表1_86121822242672112[目标国家（映射）]=表2_97131923252773113[[#This Row],[国家]])*表1_86121822242672112[活跃尖端战力])</f>
        <v>2470106</v>
      </c>
      <c r="G145" s="40">
        <f>SUMIFS(表1_86121822242672112[活跃总战力],表1_86121822242672112[目标区服],表2_97131923252773113[[#This Row],[合区区服]],表1_86121822242672112[目标国家（映射）],表2_97131923252773113[[#This Row],[国家]])</f>
        <v>51948498</v>
      </c>
      <c r="H145" s="39">
        <f>SUMIFS(表1_86121822242672112[活跃实际充值],表1_86121822242672112[目标区服],表2_97131923252773113[[#This Row],[合区区服]],表1_86121822242672112[目标国家（映射）],表2_97131923252773113[[#This Row],[国家]])</f>
        <v>160946</v>
      </c>
      <c r="I145" s="39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45" s="39">
        <f>SUMIFS(表1_86121822242672112[活跃Coin],表1_86121822242672112[目标区服],表2_97131923252773113[[#This Row],[合区区服]],表1_86121822242672112[目标国家（映射）],表2_97131923252773113[[#This Row],[国家]])</f>
        <v>909567</v>
      </c>
      <c r="K145" s="39">
        <f>SUMIFS(表1_86121822242672112[共计补偿Coin],表1_86121822242672112[目标区服],表2_97131923252773113[[#This Row],[合区区服]],表1_86121822242672112[目标国家（映射）],表2_97131923252773113[[#This Row],[国家]])</f>
        <v>74000</v>
      </c>
      <c r="L145" s="39">
        <f>表2_97131923252773113[[#This Row],[活跃Coin]]+表2_97131923252773113[[#This Row],[共计补偿Coin]]</f>
        <v>983567</v>
      </c>
      <c r="M145" s="39">
        <f>SUMIFS(表1_86121822242672112[综合国力],表1_86121822242672112[目标区服],表2_97131923252773113[[#This Row],[合区区服]],表1_86121822242672112[目标国家（映射）],表2_97131923252773113[[#This Row],[国家]])</f>
        <v>23771</v>
      </c>
      <c r="N145" s="39">
        <f t="array" ref="N145">MAX((表1_86121822242672112[目标区服]=表2_97131923252773113[[#This Row],[合区区服]])*(表1_86121822242672112[目标国家（映射）]=表2_97131923252773113[[#This Row],[国家]])*表1_86121822242672112[单将最高战力])</f>
        <v>758131</v>
      </c>
      <c r="P145" s="335">
        <v>5254</v>
      </c>
      <c r="Q145" s="335">
        <v>37</v>
      </c>
    </row>
    <row r="146" ht="15" spans="1:17">
      <c r="A146" s="308" t="s">
        <v>260</v>
      </c>
      <c r="B146" s="224" t="s">
        <v>25</v>
      </c>
      <c r="C146" s="224">
        <f>COUNTIFS(表1_86121822242672112[目标区服],表2_97131923252773113[[#This Row],[合区区服]],表1_86121822242672112[目标国家（映射）],表2_97131923252773113[[#This Row],[国家]])</f>
        <v>3</v>
      </c>
      <c r="D146" s="224">
        <f>SUMIFS(表1_86121822242672112[活跃高战玩家数],表1_86121822242672112[目标区服],表2_97131923252773113[[#This Row],[合区区服]],表1_86121822242672112[目标国家（映射）],表2_97131923252773113[[#This Row],[国家]])</f>
        <v>11</v>
      </c>
      <c r="E146" s="224">
        <f>SUMIFS(表1_86121822242672112[活跃中坚玩家数],表1_86121822242672112[目标区服],表2_97131923252773113[[#This Row],[合区区服]],表1_86121822242672112[目标国家（映射）],表2_97131923252773113[[#This Row],[国家]])</f>
        <v>64</v>
      </c>
      <c r="F146" s="224">
        <f t="array" ref="F146">MAX((表1_86121822242672112[目标区服]=表2_97131923252773113[[#This Row],[合区区服]])*(表1_86121822242672112[目标国家（映射）]=表2_97131923252773113[[#This Row],[国家]])*表1_86121822242672112[活跃尖端战力])</f>
        <v>2395448</v>
      </c>
      <c r="G146" s="225">
        <f>SUMIFS(表1_86121822242672112[活跃总战力],表1_86121822242672112[目标区服],表2_97131923252773113[[#This Row],[合区区服]],表1_86121822242672112[目标国家（映射）],表2_97131923252773113[[#This Row],[国家]])</f>
        <v>52220299</v>
      </c>
      <c r="H146" s="224">
        <f>SUMIFS(表1_86121822242672112[活跃实际充值],表1_86121822242672112[目标区服],表2_97131923252773113[[#This Row],[合区区服]],表1_86121822242672112[目标国家（映射）],表2_97131923252773113[[#This Row],[国家]])</f>
        <v>160500</v>
      </c>
      <c r="I146" s="224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46" s="224">
        <f>SUMIFS(表1_86121822242672112[活跃Coin],表1_86121822242672112[目标区服],表2_97131923252773113[[#This Row],[合区区服]],表1_86121822242672112[目标国家（映射）],表2_97131923252773113[[#This Row],[国家]])</f>
        <v>701886</v>
      </c>
      <c r="K146" s="224">
        <f>SUMIFS(表1_86121822242672112[共计补偿Coin],表1_86121822242672112[目标区服],表2_97131923252773113[[#This Row],[合区区服]],表1_86121822242672112[目标国家（映射）],表2_97131923252773113[[#This Row],[国家]])</f>
        <v>75000</v>
      </c>
      <c r="L146" s="224">
        <f>表2_97131923252773113[[#This Row],[活跃Coin]]+表2_97131923252773113[[#This Row],[共计补偿Coin]]</f>
        <v>776886</v>
      </c>
      <c r="M146" s="224">
        <f>SUMIFS(表1_86121822242672112[综合国力],表1_86121822242672112[目标区服],表2_97131923252773113[[#This Row],[合区区服]],表1_86121822242672112[目标国家（映射）],表2_97131923252773113[[#This Row],[国家]])</f>
        <v>22685</v>
      </c>
      <c r="N146" s="224">
        <f t="array" ref="N146">MAX((表1_86121822242672112[目标区服]=表2_97131923252773113[[#This Row],[合区区服]])*(表1_86121822242672112[目标国家（映射）]=表2_97131923252773113[[#This Row],[国家]])*表1_86121822242672112[单将最高战力])</f>
        <v>690122</v>
      </c>
      <c r="P146" s="335">
        <v>5255</v>
      </c>
      <c r="Q146" s="335">
        <v>36</v>
      </c>
    </row>
    <row r="147" ht="15" spans="1:17">
      <c r="A147" s="308" t="s">
        <v>260</v>
      </c>
      <c r="B147" s="224" t="s">
        <v>26</v>
      </c>
      <c r="C147" s="224">
        <f>COUNTIFS(表1_86121822242672112[目标区服],表2_97131923252773113[[#This Row],[合区区服]],表1_86121822242672112[目标国家（映射）],表2_97131923252773113[[#This Row],[国家]])</f>
        <v>3</v>
      </c>
      <c r="D147" s="224">
        <f>SUMIFS(表1_86121822242672112[活跃高战玩家数],表1_86121822242672112[目标区服],表2_97131923252773113[[#This Row],[合区区服]],表1_86121822242672112[目标国家（映射）],表2_97131923252773113[[#This Row],[国家]])</f>
        <v>10</v>
      </c>
      <c r="E147" s="224">
        <f>SUMIFS(表1_86121822242672112[活跃中坚玩家数],表1_86121822242672112[目标区服],表2_97131923252773113[[#This Row],[合区区服]],表1_86121822242672112[目标国家（映射）],表2_97131923252773113[[#This Row],[国家]])</f>
        <v>74</v>
      </c>
      <c r="F147" s="224">
        <f t="array" ref="F147">MAX((表1_86121822242672112[目标区服]=表2_97131923252773113[[#This Row],[合区区服]])*(表1_86121822242672112[目标国家（映射）]=表2_97131923252773113[[#This Row],[国家]])*表1_86121822242672112[活跃尖端战力])</f>
        <v>3360011</v>
      </c>
      <c r="G147" s="225">
        <f>SUMIFS(表1_86121822242672112[活跃总战力],表1_86121822242672112[目标区服],表2_97131923252773113[[#This Row],[合区区服]],表1_86121822242672112[目标国家（映射）],表2_97131923252773113[[#This Row],[国家]])</f>
        <v>48017628</v>
      </c>
      <c r="H147" s="224">
        <f>SUMIFS(表1_86121822242672112[活跃实际充值],表1_86121822242672112[目标区服],表2_97131923252773113[[#This Row],[合区区服]],表1_86121822242672112[目标国家（映射）],表2_97131923252773113[[#This Row],[国家]])</f>
        <v>206394</v>
      </c>
      <c r="I147" s="224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47" s="224">
        <f>SUMIFS(表1_86121822242672112[活跃Coin],表1_86121822242672112[目标区服],表2_97131923252773113[[#This Row],[合区区服]],表1_86121822242672112[目标国家（映射）],表2_97131923252773113[[#This Row],[国家]])</f>
        <v>1462544</v>
      </c>
      <c r="K147" s="224">
        <f>SUMIFS(表1_86121822242672112[共计补偿Coin],表1_86121822242672112[目标区服],表2_97131923252773113[[#This Row],[合区区服]],表1_86121822242672112[目标国家（映射）],表2_97131923252773113[[#This Row],[国家]])</f>
        <v>84000</v>
      </c>
      <c r="L147" s="224">
        <f>表2_97131923252773113[[#This Row],[活跃Coin]]+表2_97131923252773113[[#This Row],[共计补偿Coin]]</f>
        <v>1546544</v>
      </c>
      <c r="M147" s="224">
        <f>SUMIFS(表1_86121822242672112[综合国力],表1_86121822242672112[目标区服],表2_97131923252773113[[#This Row],[合区区服]],表1_86121822242672112[目标国家（映射）],表2_97131923252773113[[#This Row],[国家]])</f>
        <v>24392</v>
      </c>
      <c r="N147" s="224">
        <f t="array" ref="N147">MAX((表1_86121822242672112[目标区服]=表2_97131923252773113[[#This Row],[合区区服]])*(表1_86121822242672112[目标国家（映射）]=表2_97131923252773113[[#This Row],[国家]])*表1_86121822242672112[单将最高战力])</f>
        <v>1022688</v>
      </c>
      <c r="P147" s="335">
        <v>5256</v>
      </c>
      <c r="Q147" s="335">
        <v>36</v>
      </c>
    </row>
    <row r="148" ht="15" spans="1:17">
      <c r="A148" s="308" t="s">
        <v>260</v>
      </c>
      <c r="B148" s="226" t="s">
        <v>27</v>
      </c>
      <c r="C148" s="226">
        <f>COUNTIFS(表1_86121822242672112[目标区服],表2_97131923252773113[[#This Row],[合区区服]],表1_86121822242672112[目标国家（映射）],表2_97131923252773113[[#This Row],[国家]])</f>
        <v>3</v>
      </c>
      <c r="D148" s="226">
        <f>SUMIFS(表1_86121822242672112[活跃高战玩家数],表1_86121822242672112[目标区服],表2_97131923252773113[[#This Row],[合区区服]],表1_86121822242672112[目标国家（映射）],表2_97131923252773113[[#This Row],[国家]])</f>
        <v>9</v>
      </c>
      <c r="E148" s="226">
        <f>SUMIFS(表1_86121822242672112[活跃中坚玩家数],表1_86121822242672112[目标区服],表2_97131923252773113[[#This Row],[合区区服]],表1_86121822242672112[目标国家（映射）],表2_97131923252773113[[#This Row],[国家]])</f>
        <v>79</v>
      </c>
      <c r="F148" s="226">
        <f t="array" ref="F148">MAX((表1_86121822242672112[目标区服]=表2_97131923252773113[[#This Row],[合区区服]])*(表1_86121822242672112[目标国家（映射）]=表2_97131923252773113[[#This Row],[国家]])*表1_86121822242672112[活跃尖端战力])</f>
        <v>2378012</v>
      </c>
      <c r="G148" s="227">
        <f>SUMIFS(表1_86121822242672112[活跃总战力],表1_86121822242672112[目标区服],表2_97131923252773113[[#This Row],[合区区服]],表1_86121822242672112[目标国家（映射）],表2_97131923252773113[[#This Row],[国家]])</f>
        <v>55917082</v>
      </c>
      <c r="H148" s="226">
        <f>SUMIFS(表1_86121822242672112[活跃实际充值],表1_86121822242672112[目标区服],表2_97131923252773113[[#This Row],[合区区服]],表1_86121822242672112[目标国家（映射）],表2_97131923252773113[[#This Row],[国家]])</f>
        <v>148008</v>
      </c>
      <c r="I148" s="226">
        <f>SUMIFS(表1_86121822242672112[活跃虚拟充值],表1_86121822242672112[目标区服],表2_97131923252773113[[#This Row],[合区区服]],表1_86121822242672112[目标国家（映射）],表2_97131923252773113[[#This Row],[国家]])</f>
        <v>0</v>
      </c>
      <c r="J148" s="226">
        <f>SUMIFS(表1_86121822242672112[活跃Coin],表1_86121822242672112[目标区服],表2_97131923252773113[[#This Row],[合区区服]],表1_86121822242672112[目标国家（映射）],表2_97131923252773113[[#This Row],[国家]])</f>
        <v>661449</v>
      </c>
      <c r="K148" s="226">
        <f>SUMIFS(表1_86121822242672112[共计补偿Coin],表1_86121822242672112[目标区服],表2_97131923252773113[[#This Row],[合区区服]],表1_86121822242672112[目标国家（映射）],表2_97131923252773113[[#This Row],[国家]])</f>
        <v>88000</v>
      </c>
      <c r="L148" s="226">
        <f>表2_97131923252773113[[#This Row],[活跃Coin]]+表2_97131923252773113[[#This Row],[共计补偿Coin]]</f>
        <v>749449</v>
      </c>
      <c r="M148" s="226">
        <f>SUMIFS(表1_86121822242672112[综合国力],表1_86121822242672112[目标区服],表2_97131923252773113[[#This Row],[合区区服]],表1_86121822242672112[目标国家（映射）],表2_97131923252773113[[#This Row],[国家]])</f>
        <v>23214</v>
      </c>
      <c r="N148" s="224">
        <f t="array" ref="N148">MAX((表1_86121822242672112[目标区服]=表2_97131923252773113[[#This Row],[合区区服]])*(表1_86121822242672112[目标国家（映射）]=表2_97131923252773113[[#This Row],[国家]])*表1_86121822242672112[单将最高战力])</f>
        <v>724707</v>
      </c>
      <c r="P148" s="335">
        <v>5257</v>
      </c>
      <c r="Q148" s="335">
        <v>36</v>
      </c>
    </row>
    <row r="151" ht="27" spans="2:14">
      <c r="B151" s="49"/>
      <c r="C151" s="50" t="s">
        <v>9</v>
      </c>
      <c r="D151" s="50" t="s">
        <v>10</v>
      </c>
      <c r="E151" s="50" t="s">
        <v>11</v>
      </c>
      <c r="F151" s="50" t="s">
        <v>12</v>
      </c>
      <c r="G151" s="50" t="s">
        <v>13</v>
      </c>
      <c r="H151" s="50" t="s">
        <v>14</v>
      </c>
      <c r="I151" s="50" t="s">
        <v>15</v>
      </c>
      <c r="J151" s="50" t="s">
        <v>18</v>
      </c>
      <c r="K151" s="50" t="s">
        <v>19</v>
      </c>
      <c r="L151" s="50" t="s">
        <v>20</v>
      </c>
      <c r="M151" s="50" t="s">
        <v>21</v>
      </c>
      <c r="N151" s="50" t="s">
        <v>82</v>
      </c>
    </row>
    <row r="152" spans="1:14">
      <c r="A152">
        <v>5222</v>
      </c>
      <c r="B152" s="190" t="s">
        <v>25</v>
      </c>
      <c r="C152" s="190">
        <v>2</v>
      </c>
      <c r="D152" s="190">
        <v>69</v>
      </c>
      <c r="E152" s="190">
        <v>3</v>
      </c>
      <c r="F152" s="190">
        <v>14</v>
      </c>
      <c r="G152" s="190">
        <v>62017</v>
      </c>
      <c r="H152" s="190">
        <v>1913486</v>
      </c>
      <c r="I152" s="190">
        <v>10011224</v>
      </c>
      <c r="J152" s="190">
        <v>11688</v>
      </c>
      <c r="K152" s="190">
        <v>0</v>
      </c>
      <c r="L152" s="190">
        <v>208839</v>
      </c>
      <c r="M152" s="190">
        <v>4569</v>
      </c>
      <c r="N152" s="190">
        <v>613207</v>
      </c>
    </row>
    <row r="153" spans="2:14">
      <c r="B153" s="190" t="s">
        <v>26</v>
      </c>
      <c r="C153" s="190">
        <v>4</v>
      </c>
      <c r="D153" s="190">
        <v>180</v>
      </c>
      <c r="E153" s="190">
        <v>3</v>
      </c>
      <c r="F153" s="190">
        <v>21</v>
      </c>
      <c r="G153" s="190">
        <v>113555</v>
      </c>
      <c r="H153" s="190">
        <v>2983583</v>
      </c>
      <c r="I153" s="190">
        <v>19536429</v>
      </c>
      <c r="J153" s="190">
        <v>109471</v>
      </c>
      <c r="K153" s="190">
        <v>0</v>
      </c>
      <c r="L153" s="190">
        <v>698623</v>
      </c>
      <c r="M153" s="190">
        <v>11338</v>
      </c>
      <c r="N153" s="190">
        <v>882451</v>
      </c>
    </row>
    <row r="154" spans="2:14">
      <c r="B154" s="190" t="s">
        <v>27</v>
      </c>
      <c r="C154" s="190">
        <v>3</v>
      </c>
      <c r="D154" s="190">
        <v>146</v>
      </c>
      <c r="E154" s="190">
        <v>3</v>
      </c>
      <c r="F154" s="190">
        <v>18</v>
      </c>
      <c r="G154" s="190">
        <v>102843</v>
      </c>
      <c r="H154" s="190">
        <v>2388648</v>
      </c>
      <c r="I154" s="190">
        <v>15719611</v>
      </c>
      <c r="J154" s="190">
        <v>42104</v>
      </c>
      <c r="K154" s="190">
        <v>0</v>
      </c>
      <c r="L154" s="190">
        <v>515261</v>
      </c>
      <c r="M154" s="190">
        <v>7755</v>
      </c>
      <c r="N154" s="190">
        <v>692325</v>
      </c>
    </row>
    <row r="155" spans="1:14">
      <c r="A155">
        <v>5223</v>
      </c>
      <c r="B155" s="190" t="s">
        <v>25</v>
      </c>
      <c r="C155" s="190">
        <v>6</v>
      </c>
      <c r="D155" s="190">
        <v>231</v>
      </c>
      <c r="E155" s="190">
        <v>4</v>
      </c>
      <c r="F155" s="190">
        <v>16</v>
      </c>
      <c r="G155" s="190">
        <v>114774</v>
      </c>
      <c r="H155" s="190">
        <v>2306800</v>
      </c>
      <c r="I155" s="190">
        <v>16049121</v>
      </c>
      <c r="J155" s="190">
        <v>38850</v>
      </c>
      <c r="K155" s="190">
        <v>0</v>
      </c>
      <c r="L155" s="190">
        <v>331880</v>
      </c>
      <c r="M155" s="190">
        <v>8727</v>
      </c>
      <c r="N155" s="190">
        <v>606322</v>
      </c>
    </row>
    <row r="156" spans="2:14">
      <c r="B156" s="190" t="s">
        <v>26</v>
      </c>
      <c r="C156" s="190">
        <v>3</v>
      </c>
      <c r="D156" s="190">
        <v>144</v>
      </c>
      <c r="E156" s="190">
        <v>6</v>
      </c>
      <c r="F156" s="190">
        <v>22</v>
      </c>
      <c r="G156" s="190">
        <v>151420</v>
      </c>
      <c r="H156" s="190">
        <v>2699719</v>
      </c>
      <c r="I156" s="190">
        <v>20573193</v>
      </c>
      <c r="J156" s="190">
        <v>47716</v>
      </c>
      <c r="K156" s="190">
        <v>0</v>
      </c>
      <c r="L156" s="190">
        <v>345561</v>
      </c>
      <c r="M156" s="190">
        <v>8858</v>
      </c>
      <c r="N156" s="190">
        <v>751089</v>
      </c>
    </row>
    <row r="157" spans="2:14">
      <c r="B157" s="190" t="s">
        <v>27</v>
      </c>
      <c r="C157" s="190">
        <v>0</v>
      </c>
      <c r="D157" s="190">
        <v>20</v>
      </c>
      <c r="E157" s="190">
        <v>0</v>
      </c>
      <c r="F157" s="190">
        <v>7</v>
      </c>
      <c r="G157" s="190">
        <v>20741</v>
      </c>
      <c r="H157" s="190">
        <v>575824</v>
      </c>
      <c r="I157" s="190">
        <v>2538235</v>
      </c>
      <c r="J157" s="190">
        <v>388</v>
      </c>
      <c r="K157" s="190">
        <v>0</v>
      </c>
      <c r="L157" s="190">
        <v>149609</v>
      </c>
      <c r="M157" s="190">
        <v>1219</v>
      </c>
      <c r="N157" s="190">
        <v>181593</v>
      </c>
    </row>
    <row r="158" spans="1:14">
      <c r="A158">
        <v>5224</v>
      </c>
      <c r="B158" s="190" t="s">
        <v>25</v>
      </c>
      <c r="C158" s="190">
        <v>2</v>
      </c>
      <c r="D158" s="190">
        <v>94</v>
      </c>
      <c r="E158" s="190">
        <v>4</v>
      </c>
      <c r="F158" s="190">
        <v>18</v>
      </c>
      <c r="G158" s="190">
        <v>98510</v>
      </c>
      <c r="H158" s="190">
        <v>2028452</v>
      </c>
      <c r="I158" s="190">
        <v>14176243</v>
      </c>
      <c r="J158" s="190">
        <v>14158</v>
      </c>
      <c r="K158" s="190">
        <v>0</v>
      </c>
      <c r="L158" s="190">
        <v>228755</v>
      </c>
      <c r="M158" s="190">
        <v>5617</v>
      </c>
      <c r="N158" s="190">
        <v>612037</v>
      </c>
    </row>
    <row r="159" spans="2:14">
      <c r="B159" s="190" t="s">
        <v>26</v>
      </c>
      <c r="C159" s="190">
        <v>3</v>
      </c>
      <c r="D159" s="190">
        <v>137</v>
      </c>
      <c r="E159" s="190">
        <v>2</v>
      </c>
      <c r="F159" s="190">
        <v>14</v>
      </c>
      <c r="G159" s="190">
        <v>79222</v>
      </c>
      <c r="H159" s="190">
        <v>1831116</v>
      </c>
      <c r="I159" s="190">
        <v>11484713</v>
      </c>
      <c r="J159" s="190">
        <v>72960</v>
      </c>
      <c r="K159" s="190">
        <v>0</v>
      </c>
      <c r="L159" s="190">
        <v>435383</v>
      </c>
      <c r="M159" s="190">
        <v>7452</v>
      </c>
      <c r="N159" s="190">
        <v>556940</v>
      </c>
    </row>
    <row r="160" spans="2:14">
      <c r="B160" s="190" t="s">
        <v>27</v>
      </c>
      <c r="C160" s="190">
        <v>4</v>
      </c>
      <c r="D160" s="190">
        <v>164</v>
      </c>
      <c r="E160" s="190">
        <v>4</v>
      </c>
      <c r="F160" s="190">
        <v>18</v>
      </c>
      <c r="G160" s="190">
        <v>107312</v>
      </c>
      <c r="H160" s="190">
        <v>2330393</v>
      </c>
      <c r="I160" s="190">
        <v>16152766</v>
      </c>
      <c r="J160" s="190">
        <v>65046</v>
      </c>
      <c r="K160" s="190">
        <v>0</v>
      </c>
      <c r="L160" s="190">
        <v>425467</v>
      </c>
      <c r="M160" s="190">
        <v>8686</v>
      </c>
      <c r="N160" s="190">
        <v>585876</v>
      </c>
    </row>
    <row r="161" spans="1:14">
      <c r="A161">
        <v>5225</v>
      </c>
      <c r="B161" s="190" t="s">
        <v>25</v>
      </c>
      <c r="C161" s="190">
        <v>0</v>
      </c>
      <c r="D161" s="190">
        <v>22</v>
      </c>
      <c r="E161" s="190">
        <v>0</v>
      </c>
      <c r="F161" s="190">
        <v>8</v>
      </c>
      <c r="G161" s="190">
        <v>31840</v>
      </c>
      <c r="H161" s="190">
        <v>586817</v>
      </c>
      <c r="I161" s="190">
        <v>2688648</v>
      </c>
      <c r="J161" s="190">
        <v>1314</v>
      </c>
      <c r="K161" s="190">
        <v>0</v>
      </c>
      <c r="L161" s="190">
        <v>52948</v>
      </c>
      <c r="M161" s="190">
        <v>1300</v>
      </c>
      <c r="N161" s="190">
        <v>202690</v>
      </c>
    </row>
    <row r="162" spans="2:14">
      <c r="B162" s="190" t="s">
        <v>26</v>
      </c>
      <c r="C162" s="190">
        <v>9</v>
      </c>
      <c r="D162" s="190">
        <v>356</v>
      </c>
      <c r="E162" s="190">
        <v>9</v>
      </c>
      <c r="F162" s="190">
        <v>11</v>
      </c>
      <c r="G162" s="190">
        <v>151957</v>
      </c>
      <c r="H162" s="190">
        <v>2950141</v>
      </c>
      <c r="I162" s="190">
        <v>19233998</v>
      </c>
      <c r="J162" s="190">
        <v>83102</v>
      </c>
      <c r="K162" s="190">
        <v>0</v>
      </c>
      <c r="L162" s="190">
        <v>496809</v>
      </c>
      <c r="M162" s="190">
        <v>12834</v>
      </c>
      <c r="N162" s="190">
        <v>996269</v>
      </c>
    </row>
    <row r="163" spans="2:14">
      <c r="B163" s="190" t="s">
        <v>27</v>
      </c>
      <c r="C163" s="190">
        <v>0</v>
      </c>
      <c r="D163" s="190">
        <v>17</v>
      </c>
      <c r="E163" s="190">
        <v>1</v>
      </c>
      <c r="F163" s="190">
        <v>8</v>
      </c>
      <c r="G163" s="190">
        <v>39633</v>
      </c>
      <c r="H163" s="190">
        <v>1268836</v>
      </c>
      <c r="I163" s="190">
        <v>4157571</v>
      </c>
      <c r="J163" s="190">
        <v>2948</v>
      </c>
      <c r="K163" s="190">
        <v>0</v>
      </c>
      <c r="L163" s="190">
        <v>19690</v>
      </c>
      <c r="M163" s="190">
        <v>2151</v>
      </c>
      <c r="N163" s="190">
        <v>375434</v>
      </c>
    </row>
    <row r="164" spans="1:14">
      <c r="A164">
        <v>5226</v>
      </c>
      <c r="B164" s="190" t="s">
        <v>25</v>
      </c>
      <c r="C164" s="190">
        <v>2</v>
      </c>
      <c r="D164" s="190">
        <v>105</v>
      </c>
      <c r="E164" s="190">
        <v>3</v>
      </c>
      <c r="F164" s="190">
        <v>15</v>
      </c>
      <c r="G164" s="190">
        <v>68958</v>
      </c>
      <c r="H164" s="190">
        <v>1568310</v>
      </c>
      <c r="I164" s="190">
        <v>12136224</v>
      </c>
      <c r="J164" s="190">
        <v>64640</v>
      </c>
      <c r="K164" s="190">
        <v>0</v>
      </c>
      <c r="L164" s="190">
        <v>130573</v>
      </c>
      <c r="M164" s="190">
        <v>6381</v>
      </c>
      <c r="N164" s="190">
        <v>574476</v>
      </c>
    </row>
    <row r="165" spans="2:14">
      <c r="B165" s="190" t="s">
        <v>26</v>
      </c>
      <c r="C165" s="190">
        <v>3</v>
      </c>
      <c r="D165" s="190">
        <v>144</v>
      </c>
      <c r="E165" s="190">
        <v>2</v>
      </c>
      <c r="F165" s="190">
        <v>23</v>
      </c>
      <c r="G165" s="190">
        <v>95570</v>
      </c>
      <c r="H165" s="190">
        <v>1745655</v>
      </c>
      <c r="I165" s="190">
        <v>15936340</v>
      </c>
      <c r="J165" s="190">
        <v>30626</v>
      </c>
      <c r="K165" s="190">
        <v>0</v>
      </c>
      <c r="L165" s="190">
        <v>149816</v>
      </c>
      <c r="M165" s="190">
        <v>6550</v>
      </c>
      <c r="N165" s="190">
        <v>516030</v>
      </c>
    </row>
    <row r="166" spans="2:14">
      <c r="B166" s="190" t="s">
        <v>27</v>
      </c>
      <c r="C166" s="190">
        <v>4</v>
      </c>
      <c r="D166" s="190">
        <v>146</v>
      </c>
      <c r="E166" s="190">
        <v>5</v>
      </c>
      <c r="F166" s="190">
        <v>28</v>
      </c>
      <c r="G166" s="190">
        <v>144850</v>
      </c>
      <c r="H166" s="190">
        <v>1538439</v>
      </c>
      <c r="I166" s="190">
        <v>23131978</v>
      </c>
      <c r="J166" s="190">
        <v>115070</v>
      </c>
      <c r="K166" s="190">
        <v>0</v>
      </c>
      <c r="L166" s="190">
        <v>648700</v>
      </c>
      <c r="M166" s="190">
        <v>10212</v>
      </c>
      <c r="N166" s="190">
        <v>785248</v>
      </c>
    </row>
    <row r="167" spans="1:14">
      <c r="A167">
        <v>5227</v>
      </c>
      <c r="B167" s="190" t="s">
        <v>25</v>
      </c>
      <c r="C167" s="190">
        <v>0</v>
      </c>
      <c r="D167" s="190">
        <v>19</v>
      </c>
      <c r="E167" s="190">
        <v>0</v>
      </c>
      <c r="F167" s="190">
        <v>12</v>
      </c>
      <c r="G167" s="190">
        <v>42396</v>
      </c>
      <c r="H167" s="190">
        <v>995051</v>
      </c>
      <c r="I167" s="190">
        <v>5491023</v>
      </c>
      <c r="J167" s="190">
        <v>1874</v>
      </c>
      <c r="K167" s="190">
        <v>0</v>
      </c>
      <c r="L167" s="190">
        <v>66942</v>
      </c>
      <c r="M167" s="190">
        <v>2035</v>
      </c>
      <c r="N167" s="190">
        <v>378389</v>
      </c>
    </row>
    <row r="168" spans="2:14">
      <c r="B168" s="190" t="s">
        <v>26</v>
      </c>
      <c r="C168" s="190">
        <v>2</v>
      </c>
      <c r="D168" s="190">
        <v>138</v>
      </c>
      <c r="E168" s="190">
        <v>5</v>
      </c>
      <c r="F168" s="190">
        <v>13</v>
      </c>
      <c r="G168" s="190">
        <v>95902</v>
      </c>
      <c r="H168" s="190">
        <v>1717907</v>
      </c>
      <c r="I168" s="190">
        <v>13011024</v>
      </c>
      <c r="J168" s="190">
        <v>17320</v>
      </c>
      <c r="K168" s="190">
        <v>0</v>
      </c>
      <c r="L168" s="190">
        <v>218609</v>
      </c>
      <c r="M168" s="190">
        <v>5707</v>
      </c>
      <c r="N168" s="190">
        <v>478781</v>
      </c>
    </row>
    <row r="169" spans="2:14">
      <c r="B169" s="190" t="s">
        <v>27</v>
      </c>
      <c r="C169" s="190">
        <v>7</v>
      </c>
      <c r="D169" s="190">
        <v>238</v>
      </c>
      <c r="E169" s="190">
        <v>5</v>
      </c>
      <c r="F169" s="190">
        <v>22</v>
      </c>
      <c r="G169" s="190">
        <v>150083</v>
      </c>
      <c r="H169" s="190">
        <v>1912024</v>
      </c>
      <c r="I169" s="190">
        <v>20665420</v>
      </c>
      <c r="J169" s="190">
        <v>37754</v>
      </c>
      <c r="K169" s="190">
        <v>0</v>
      </c>
      <c r="L169" s="190">
        <v>422085</v>
      </c>
      <c r="M169" s="190">
        <v>9152</v>
      </c>
      <c r="N169" s="190">
        <v>540561</v>
      </c>
    </row>
    <row r="170" spans="1:14">
      <c r="A170">
        <v>5228</v>
      </c>
      <c r="B170" s="190" t="s">
        <v>25</v>
      </c>
      <c r="C170" s="190">
        <v>4</v>
      </c>
      <c r="D170" s="190">
        <v>106</v>
      </c>
      <c r="E170" s="190">
        <v>4</v>
      </c>
      <c r="F170" s="190">
        <v>17</v>
      </c>
      <c r="G170" s="190">
        <v>111551</v>
      </c>
      <c r="H170" s="190">
        <v>2468266</v>
      </c>
      <c r="I170" s="190">
        <v>16219953</v>
      </c>
      <c r="J170" s="190">
        <v>43066</v>
      </c>
      <c r="K170" s="190">
        <v>0</v>
      </c>
      <c r="L170" s="190">
        <v>381103</v>
      </c>
      <c r="M170" s="190">
        <v>7590</v>
      </c>
      <c r="N170" s="190">
        <v>794625</v>
      </c>
    </row>
    <row r="171" spans="2:14">
      <c r="B171" s="190" t="s">
        <v>26</v>
      </c>
      <c r="C171" s="190">
        <v>3</v>
      </c>
      <c r="D171" s="190">
        <v>179</v>
      </c>
      <c r="E171" s="190">
        <v>4</v>
      </c>
      <c r="F171" s="190">
        <v>24</v>
      </c>
      <c r="G171" s="190">
        <v>126883</v>
      </c>
      <c r="H171" s="190">
        <v>2802345</v>
      </c>
      <c r="I171" s="190">
        <v>19358631</v>
      </c>
      <c r="J171" s="190">
        <v>89274</v>
      </c>
      <c r="K171" s="190">
        <v>0</v>
      </c>
      <c r="L171" s="190">
        <v>527299</v>
      </c>
      <c r="M171" s="190">
        <v>10404</v>
      </c>
      <c r="N171" s="190">
        <v>885552</v>
      </c>
    </row>
    <row r="172" spans="2:14">
      <c r="B172" s="190" t="s">
        <v>27</v>
      </c>
      <c r="C172" s="190">
        <v>2</v>
      </c>
      <c r="D172" s="190">
        <v>110</v>
      </c>
      <c r="E172" s="190">
        <v>1</v>
      </c>
      <c r="F172" s="190">
        <v>9</v>
      </c>
      <c r="G172" s="190">
        <v>50394</v>
      </c>
      <c r="H172" s="190">
        <v>1512439</v>
      </c>
      <c r="I172" s="190">
        <v>6526901</v>
      </c>
      <c r="J172" s="190">
        <v>7604</v>
      </c>
      <c r="K172" s="190">
        <v>0</v>
      </c>
      <c r="L172" s="190">
        <v>82857</v>
      </c>
      <c r="M172" s="190">
        <v>3986</v>
      </c>
      <c r="N172" s="190">
        <v>600367</v>
      </c>
    </row>
    <row r="173" spans="1:14">
      <c r="A173">
        <v>5229</v>
      </c>
      <c r="B173" s="190" t="s">
        <v>25</v>
      </c>
      <c r="C173" s="190">
        <v>0</v>
      </c>
      <c r="D173" s="190">
        <v>37</v>
      </c>
      <c r="E173" s="190">
        <v>2</v>
      </c>
      <c r="F173" s="190">
        <v>19</v>
      </c>
      <c r="G173" s="190">
        <v>71488</v>
      </c>
      <c r="H173" s="190">
        <v>1547447</v>
      </c>
      <c r="I173" s="190">
        <v>12154573</v>
      </c>
      <c r="J173" s="190">
        <v>30784</v>
      </c>
      <c r="K173" s="190">
        <v>0</v>
      </c>
      <c r="L173" s="190">
        <v>236079</v>
      </c>
      <c r="M173" s="190">
        <v>4531</v>
      </c>
      <c r="N173" s="190">
        <v>480437</v>
      </c>
    </row>
    <row r="174" spans="2:14">
      <c r="B174" s="190" t="s">
        <v>26</v>
      </c>
      <c r="C174" s="190">
        <v>7</v>
      </c>
      <c r="D174" s="190">
        <v>273</v>
      </c>
      <c r="E174" s="190">
        <v>5</v>
      </c>
      <c r="F174" s="190">
        <v>20</v>
      </c>
      <c r="G174" s="190">
        <v>137403</v>
      </c>
      <c r="H174" s="190">
        <v>3982850</v>
      </c>
      <c r="I174" s="190">
        <v>27421470</v>
      </c>
      <c r="J174" s="190">
        <v>212408</v>
      </c>
      <c r="K174" s="190">
        <v>0</v>
      </c>
      <c r="L174" s="190">
        <v>877297</v>
      </c>
      <c r="M174" s="190">
        <v>17652</v>
      </c>
      <c r="N174" s="190">
        <v>994129</v>
      </c>
    </row>
    <row r="175" spans="2:14">
      <c r="B175" s="190" t="s">
        <v>27</v>
      </c>
      <c r="C175" s="190">
        <v>2</v>
      </c>
      <c r="D175" s="190">
        <v>85</v>
      </c>
      <c r="E175" s="190">
        <v>3</v>
      </c>
      <c r="F175" s="190">
        <v>18</v>
      </c>
      <c r="G175" s="190">
        <v>89545</v>
      </c>
      <c r="H175" s="190">
        <v>1895078</v>
      </c>
      <c r="I175" s="190">
        <v>14319966</v>
      </c>
      <c r="J175" s="190">
        <v>47344</v>
      </c>
      <c r="K175" s="190">
        <v>0</v>
      </c>
      <c r="L175" s="190">
        <v>584047</v>
      </c>
      <c r="M175" s="190">
        <v>6537</v>
      </c>
      <c r="N175" s="190">
        <v>567703</v>
      </c>
    </row>
    <row r="176" spans="1:14">
      <c r="A176">
        <v>5230</v>
      </c>
      <c r="B176" s="190" t="s">
        <v>25</v>
      </c>
      <c r="C176" s="190">
        <v>0</v>
      </c>
      <c r="D176" s="190">
        <v>39</v>
      </c>
      <c r="E176" s="190">
        <v>0</v>
      </c>
      <c r="F176" s="190">
        <v>12</v>
      </c>
      <c r="G176" s="190">
        <v>40975</v>
      </c>
      <c r="H176" s="190">
        <v>789385</v>
      </c>
      <c r="I176" s="190">
        <v>4374123</v>
      </c>
      <c r="J176" s="190">
        <v>3254</v>
      </c>
      <c r="K176" s="190">
        <v>0</v>
      </c>
      <c r="L176" s="190">
        <v>107586</v>
      </c>
      <c r="M176" s="190">
        <v>1973</v>
      </c>
      <c r="N176" s="190">
        <v>241756</v>
      </c>
    </row>
    <row r="177" spans="2:14">
      <c r="B177" s="190" t="s">
        <v>26</v>
      </c>
      <c r="C177" s="190">
        <v>1</v>
      </c>
      <c r="D177" s="190">
        <v>64</v>
      </c>
      <c r="E177" s="190">
        <v>1</v>
      </c>
      <c r="F177" s="190">
        <v>15</v>
      </c>
      <c r="G177" s="190">
        <v>65298</v>
      </c>
      <c r="H177" s="190">
        <v>794008</v>
      </c>
      <c r="I177" s="190">
        <v>6849701</v>
      </c>
      <c r="J177" s="190">
        <v>9168</v>
      </c>
      <c r="K177" s="190">
        <v>0</v>
      </c>
      <c r="L177" s="190">
        <v>84760</v>
      </c>
      <c r="M177" s="190">
        <v>2862</v>
      </c>
      <c r="N177" s="190">
        <v>240969</v>
      </c>
    </row>
    <row r="178" spans="2:14">
      <c r="B178" s="190" t="s">
        <v>27</v>
      </c>
      <c r="C178" s="190">
        <v>8</v>
      </c>
      <c r="D178" s="190">
        <v>292</v>
      </c>
      <c r="E178" s="190">
        <v>8</v>
      </c>
      <c r="F178" s="190">
        <v>18</v>
      </c>
      <c r="G178" s="190">
        <v>151565</v>
      </c>
      <c r="H178" s="190">
        <v>1812487</v>
      </c>
      <c r="I178" s="190">
        <v>17474805</v>
      </c>
      <c r="J178" s="190">
        <v>13124</v>
      </c>
      <c r="K178" s="190">
        <v>0</v>
      </c>
      <c r="L178" s="190">
        <v>309108</v>
      </c>
      <c r="M178" s="190">
        <v>8586</v>
      </c>
      <c r="N178" s="190">
        <v>484387</v>
      </c>
    </row>
    <row r="179" spans="1:14">
      <c r="A179">
        <v>5231</v>
      </c>
      <c r="B179" s="190" t="s">
        <v>25</v>
      </c>
      <c r="C179" s="190">
        <v>0</v>
      </c>
      <c r="D179" s="190">
        <v>15</v>
      </c>
      <c r="E179" s="190">
        <v>1</v>
      </c>
      <c r="F179" s="190">
        <v>8</v>
      </c>
      <c r="G179" s="190">
        <v>24139</v>
      </c>
      <c r="H179" s="190">
        <v>769405</v>
      </c>
      <c r="I179" s="190">
        <v>3238039</v>
      </c>
      <c r="J179" s="190">
        <v>1602</v>
      </c>
      <c r="K179" s="190">
        <v>0</v>
      </c>
      <c r="L179" s="190">
        <v>66431</v>
      </c>
      <c r="M179" s="190">
        <v>1445</v>
      </c>
      <c r="N179" s="190">
        <v>303121</v>
      </c>
    </row>
    <row r="180" spans="2:14">
      <c r="B180" s="190" t="s">
        <v>26</v>
      </c>
      <c r="C180" s="190">
        <v>9</v>
      </c>
      <c r="D180" s="190">
        <v>368</v>
      </c>
      <c r="E180" s="190">
        <v>8</v>
      </c>
      <c r="F180" s="190">
        <v>26</v>
      </c>
      <c r="G180" s="190">
        <v>205309</v>
      </c>
      <c r="H180" s="190">
        <v>1971939</v>
      </c>
      <c r="I180" s="190">
        <v>26097141</v>
      </c>
      <c r="J180" s="190">
        <v>59914</v>
      </c>
      <c r="K180" s="190">
        <v>0</v>
      </c>
      <c r="L180" s="190">
        <v>399775</v>
      </c>
      <c r="M180" s="190">
        <v>12185</v>
      </c>
      <c r="N180" s="190">
        <v>495737</v>
      </c>
    </row>
    <row r="181" spans="2:14">
      <c r="B181" s="190" t="s">
        <v>27</v>
      </c>
      <c r="C181" s="190">
        <v>0</v>
      </c>
      <c r="D181" s="190">
        <v>12</v>
      </c>
      <c r="E181" s="190">
        <v>0</v>
      </c>
      <c r="F181" s="190">
        <v>9</v>
      </c>
      <c r="G181" s="190">
        <v>39019</v>
      </c>
      <c r="H181" s="190">
        <v>853311</v>
      </c>
      <c r="I181" s="190">
        <v>4555697</v>
      </c>
      <c r="J181" s="190">
        <v>1058</v>
      </c>
      <c r="K181" s="190">
        <v>0</v>
      </c>
      <c r="L181" s="190">
        <v>62979</v>
      </c>
      <c r="M181" s="190">
        <v>1687</v>
      </c>
      <c r="N181" s="190">
        <v>282547</v>
      </c>
    </row>
    <row r="182" spans="1:14">
      <c r="A182">
        <v>5232</v>
      </c>
      <c r="B182" s="190" t="s">
        <v>25</v>
      </c>
      <c r="C182" s="190">
        <v>0</v>
      </c>
      <c r="D182" s="190">
        <v>26</v>
      </c>
      <c r="E182" s="190">
        <v>1</v>
      </c>
      <c r="F182" s="190">
        <v>12</v>
      </c>
      <c r="G182" s="190">
        <v>50952</v>
      </c>
      <c r="H182" s="190">
        <v>1381329</v>
      </c>
      <c r="I182" s="190">
        <v>7232564</v>
      </c>
      <c r="J182" s="190">
        <v>13544</v>
      </c>
      <c r="K182" s="190">
        <v>0</v>
      </c>
      <c r="L182" s="190">
        <v>105493</v>
      </c>
      <c r="M182" s="190">
        <v>3078</v>
      </c>
      <c r="N182" s="190">
        <v>378630</v>
      </c>
    </row>
    <row r="183" spans="2:14">
      <c r="B183" s="190" t="s">
        <v>26</v>
      </c>
      <c r="C183" s="190">
        <v>9</v>
      </c>
      <c r="D183" s="190">
        <v>338</v>
      </c>
      <c r="E183" s="190">
        <v>8</v>
      </c>
      <c r="F183" s="190">
        <v>28</v>
      </c>
      <c r="G183" s="190">
        <v>185127</v>
      </c>
      <c r="H183" s="190">
        <v>2558914</v>
      </c>
      <c r="I183" s="190">
        <v>29251883</v>
      </c>
      <c r="J183" s="190">
        <v>105250</v>
      </c>
      <c r="K183" s="190">
        <v>0</v>
      </c>
      <c r="L183" s="190">
        <v>911899</v>
      </c>
      <c r="M183" s="190">
        <v>14303</v>
      </c>
      <c r="N183" s="190">
        <v>757222</v>
      </c>
    </row>
    <row r="184" spans="2:14">
      <c r="B184" s="190" t="s">
        <v>27</v>
      </c>
      <c r="C184" s="190">
        <v>0</v>
      </c>
      <c r="D184" s="190">
        <v>31</v>
      </c>
      <c r="E184" s="190">
        <v>1</v>
      </c>
      <c r="F184" s="190">
        <v>16</v>
      </c>
      <c r="G184" s="190">
        <v>54665</v>
      </c>
      <c r="H184" s="190">
        <v>1125619</v>
      </c>
      <c r="I184" s="190">
        <v>8434853</v>
      </c>
      <c r="J184" s="190">
        <v>18284</v>
      </c>
      <c r="K184" s="190">
        <v>0</v>
      </c>
      <c r="L184" s="190">
        <v>126731</v>
      </c>
      <c r="M184" s="190">
        <v>3164</v>
      </c>
      <c r="N184" s="190">
        <v>341175</v>
      </c>
    </row>
    <row r="185" spans="1:14">
      <c r="A185">
        <v>5233</v>
      </c>
      <c r="B185" s="190" t="s">
        <v>25</v>
      </c>
      <c r="C185" s="190">
        <v>3</v>
      </c>
      <c r="D185" s="190">
        <v>148</v>
      </c>
      <c r="E185" s="190">
        <v>3</v>
      </c>
      <c r="F185" s="190">
        <v>26</v>
      </c>
      <c r="G185" s="190">
        <v>122433</v>
      </c>
      <c r="H185" s="190">
        <v>2611759</v>
      </c>
      <c r="I185" s="190">
        <v>22590328</v>
      </c>
      <c r="J185" s="190">
        <v>76320</v>
      </c>
      <c r="K185" s="190">
        <v>0</v>
      </c>
      <c r="L185" s="190">
        <v>642363</v>
      </c>
      <c r="M185" s="190">
        <v>9873</v>
      </c>
      <c r="N185" s="190">
        <v>858771</v>
      </c>
    </row>
    <row r="186" spans="2:14">
      <c r="B186" s="190" t="s">
        <v>26</v>
      </c>
      <c r="C186" s="190">
        <v>3</v>
      </c>
      <c r="D186" s="190">
        <v>122</v>
      </c>
      <c r="E186" s="190">
        <v>5</v>
      </c>
      <c r="F186" s="190">
        <v>20</v>
      </c>
      <c r="G186" s="190">
        <v>97045</v>
      </c>
      <c r="H186" s="190">
        <v>2720458</v>
      </c>
      <c r="I186" s="190">
        <v>19469755</v>
      </c>
      <c r="J186" s="190">
        <v>79004</v>
      </c>
      <c r="K186" s="190">
        <v>0</v>
      </c>
      <c r="L186" s="190">
        <v>374054</v>
      </c>
      <c r="M186" s="190">
        <v>9229</v>
      </c>
      <c r="N186" s="190">
        <v>849277</v>
      </c>
    </row>
    <row r="187" spans="2:14">
      <c r="B187" s="190" t="s">
        <v>27</v>
      </c>
      <c r="C187" s="190">
        <v>3</v>
      </c>
      <c r="D187" s="190">
        <v>125</v>
      </c>
      <c r="E187" s="190">
        <v>2</v>
      </c>
      <c r="F187" s="190">
        <v>27</v>
      </c>
      <c r="G187" s="190">
        <v>98802</v>
      </c>
      <c r="H187" s="190">
        <v>2285053</v>
      </c>
      <c r="I187" s="190">
        <v>18926123</v>
      </c>
      <c r="J187" s="190">
        <v>26900</v>
      </c>
      <c r="K187" s="190">
        <v>0</v>
      </c>
      <c r="L187" s="190">
        <v>120082</v>
      </c>
      <c r="M187" s="190">
        <v>7088</v>
      </c>
      <c r="N187" s="190">
        <v>683508</v>
      </c>
    </row>
    <row r="188" spans="1:14">
      <c r="A188">
        <v>5234</v>
      </c>
      <c r="B188" s="190" t="s">
        <v>25</v>
      </c>
      <c r="C188" s="190">
        <v>0</v>
      </c>
      <c r="D188" s="190">
        <v>59</v>
      </c>
      <c r="E188" s="190">
        <v>2</v>
      </c>
      <c r="F188" s="190">
        <v>19</v>
      </c>
      <c r="G188" s="190">
        <v>89794</v>
      </c>
      <c r="H188" s="190">
        <v>1097351</v>
      </c>
      <c r="I188" s="190">
        <v>9798404</v>
      </c>
      <c r="J188" s="190">
        <v>10970</v>
      </c>
      <c r="K188" s="190">
        <v>0</v>
      </c>
      <c r="L188" s="190">
        <v>137219</v>
      </c>
      <c r="M188" s="190">
        <v>3513</v>
      </c>
      <c r="N188" s="190">
        <v>328459</v>
      </c>
    </row>
    <row r="189" spans="2:14">
      <c r="B189" s="190" t="s">
        <v>26</v>
      </c>
      <c r="C189" s="190">
        <v>9</v>
      </c>
      <c r="D189" s="190">
        <v>303</v>
      </c>
      <c r="E189" s="190">
        <v>6</v>
      </c>
      <c r="F189" s="190">
        <v>21</v>
      </c>
      <c r="G189" s="190">
        <v>135217</v>
      </c>
      <c r="H189" s="190">
        <v>1668332</v>
      </c>
      <c r="I189" s="190">
        <v>17368024</v>
      </c>
      <c r="J189" s="190">
        <v>54113</v>
      </c>
      <c r="K189" s="190">
        <v>0</v>
      </c>
      <c r="L189" s="190">
        <v>153277</v>
      </c>
      <c r="M189" s="190">
        <v>9711</v>
      </c>
      <c r="N189" s="190">
        <v>443272</v>
      </c>
    </row>
    <row r="190" spans="2:14">
      <c r="B190" s="190" t="s">
        <v>27</v>
      </c>
      <c r="C190" s="190">
        <v>0</v>
      </c>
      <c r="D190" s="190">
        <v>33</v>
      </c>
      <c r="E190" s="190">
        <v>1</v>
      </c>
      <c r="F190" s="190">
        <v>13</v>
      </c>
      <c r="G190" s="190">
        <v>55139</v>
      </c>
      <c r="H190" s="190">
        <v>988922</v>
      </c>
      <c r="I190" s="190">
        <v>6407969</v>
      </c>
      <c r="J190" s="190">
        <v>10724</v>
      </c>
      <c r="K190" s="190">
        <v>0</v>
      </c>
      <c r="L190" s="190">
        <v>98826</v>
      </c>
      <c r="M190" s="190">
        <v>2606</v>
      </c>
      <c r="N190" s="190">
        <v>275106</v>
      </c>
    </row>
    <row r="191" spans="1:14">
      <c r="A191">
        <v>5235</v>
      </c>
      <c r="B191" s="190" t="s">
        <v>25</v>
      </c>
      <c r="C191" s="190">
        <v>1</v>
      </c>
      <c r="D191" s="190">
        <v>97</v>
      </c>
      <c r="E191" s="190">
        <v>4</v>
      </c>
      <c r="F191" s="190">
        <v>15</v>
      </c>
      <c r="G191" s="190">
        <v>87656</v>
      </c>
      <c r="H191" s="190">
        <v>2251313</v>
      </c>
      <c r="I191" s="190">
        <v>14323722</v>
      </c>
      <c r="J191" s="190">
        <v>54472</v>
      </c>
      <c r="K191" s="190">
        <v>0</v>
      </c>
      <c r="L191" s="190">
        <v>108758</v>
      </c>
      <c r="M191" s="190">
        <v>6880</v>
      </c>
      <c r="N191" s="190">
        <v>643499</v>
      </c>
    </row>
    <row r="192" spans="2:14">
      <c r="B192" s="190" t="s">
        <v>26</v>
      </c>
      <c r="C192" s="190">
        <v>8</v>
      </c>
      <c r="D192" s="190">
        <v>278</v>
      </c>
      <c r="E192" s="190">
        <v>5</v>
      </c>
      <c r="F192" s="190">
        <v>34</v>
      </c>
      <c r="G192" s="190">
        <v>173171</v>
      </c>
      <c r="H192" s="190">
        <v>3389263</v>
      </c>
      <c r="I192" s="190">
        <v>29471048</v>
      </c>
      <c r="J192" s="190">
        <v>107346</v>
      </c>
      <c r="K192" s="190">
        <v>0</v>
      </c>
      <c r="L192" s="190">
        <v>610121</v>
      </c>
      <c r="M192" s="190">
        <v>14307</v>
      </c>
      <c r="N192" s="190">
        <v>972172</v>
      </c>
    </row>
    <row r="193" spans="2:14">
      <c r="B193" s="190" t="s">
        <v>27</v>
      </c>
      <c r="C193" s="190">
        <v>0</v>
      </c>
      <c r="D193" s="190">
        <v>20</v>
      </c>
      <c r="E193" s="190">
        <v>1</v>
      </c>
      <c r="F193" s="190">
        <v>11</v>
      </c>
      <c r="G193" s="190">
        <v>40483</v>
      </c>
      <c r="H193" s="190">
        <v>1298404</v>
      </c>
      <c r="I193" s="190">
        <v>6514482</v>
      </c>
      <c r="J193" s="190">
        <v>12462</v>
      </c>
      <c r="K193" s="190">
        <v>0</v>
      </c>
      <c r="L193" s="190">
        <v>71535</v>
      </c>
      <c r="M193" s="190">
        <v>2761</v>
      </c>
      <c r="N193" s="190">
        <v>456532</v>
      </c>
    </row>
    <row r="194" spans="1:14">
      <c r="A194">
        <v>5236</v>
      </c>
      <c r="B194" s="190" t="s">
        <v>25</v>
      </c>
      <c r="C194" s="190">
        <v>6</v>
      </c>
      <c r="D194" s="190">
        <v>256</v>
      </c>
      <c r="E194" s="190">
        <v>7</v>
      </c>
      <c r="F194" s="190">
        <v>25</v>
      </c>
      <c r="G194" s="190">
        <v>149591</v>
      </c>
      <c r="H194" s="190">
        <v>2271274</v>
      </c>
      <c r="I194" s="190">
        <v>20318186</v>
      </c>
      <c r="J194" s="190">
        <v>24058</v>
      </c>
      <c r="K194" s="190">
        <v>0</v>
      </c>
      <c r="L194" s="190">
        <v>464752</v>
      </c>
      <c r="M194" s="190">
        <v>9165</v>
      </c>
      <c r="N194" s="190">
        <v>601886</v>
      </c>
    </row>
    <row r="195" spans="2:14">
      <c r="B195" s="190" t="s">
        <v>26</v>
      </c>
      <c r="C195" s="190">
        <v>1</v>
      </c>
      <c r="D195" s="190">
        <v>62</v>
      </c>
      <c r="E195" s="190">
        <v>1</v>
      </c>
      <c r="F195" s="190">
        <v>13</v>
      </c>
      <c r="G195" s="190">
        <v>47664</v>
      </c>
      <c r="H195" s="190">
        <v>1336147</v>
      </c>
      <c r="I195" s="190">
        <v>6548851</v>
      </c>
      <c r="J195" s="190">
        <v>6210</v>
      </c>
      <c r="K195" s="190">
        <v>0</v>
      </c>
      <c r="L195" s="190">
        <v>90425</v>
      </c>
      <c r="M195" s="190">
        <v>3180</v>
      </c>
      <c r="N195" s="190">
        <v>414335</v>
      </c>
    </row>
    <row r="196" spans="2:14">
      <c r="B196" s="190" t="s">
        <v>27</v>
      </c>
      <c r="C196" s="190">
        <v>2</v>
      </c>
      <c r="D196" s="190">
        <v>77</v>
      </c>
      <c r="E196" s="190">
        <v>1</v>
      </c>
      <c r="F196" s="190">
        <v>18</v>
      </c>
      <c r="G196" s="190">
        <v>86834</v>
      </c>
      <c r="H196" s="190">
        <v>1568492</v>
      </c>
      <c r="I196" s="190">
        <v>11265175</v>
      </c>
      <c r="J196" s="190">
        <v>16696</v>
      </c>
      <c r="K196" s="190">
        <v>0</v>
      </c>
      <c r="L196" s="190">
        <v>255234</v>
      </c>
      <c r="M196" s="190">
        <v>4727</v>
      </c>
      <c r="N196" s="190">
        <v>554599</v>
      </c>
    </row>
    <row r="197" spans="1:14">
      <c r="A197">
        <v>5237</v>
      </c>
      <c r="B197" s="190" t="s">
        <v>25</v>
      </c>
      <c r="C197" s="190">
        <v>4</v>
      </c>
      <c r="D197" s="190">
        <v>161</v>
      </c>
      <c r="E197" s="190">
        <v>6</v>
      </c>
      <c r="F197" s="190">
        <v>15</v>
      </c>
      <c r="G197" s="190">
        <v>115586</v>
      </c>
      <c r="H197" s="190">
        <v>2826646</v>
      </c>
      <c r="I197" s="190">
        <v>18773645</v>
      </c>
      <c r="J197" s="190">
        <v>117692</v>
      </c>
      <c r="K197" s="190">
        <v>0</v>
      </c>
      <c r="L197" s="190">
        <v>583510</v>
      </c>
      <c r="M197" s="190">
        <v>11114</v>
      </c>
      <c r="N197" s="190">
        <v>875866</v>
      </c>
    </row>
    <row r="198" spans="2:14">
      <c r="B198" s="190" t="s">
        <v>26</v>
      </c>
      <c r="C198" s="190">
        <v>3</v>
      </c>
      <c r="D198" s="190">
        <v>148</v>
      </c>
      <c r="E198" s="190">
        <v>2</v>
      </c>
      <c r="F198" s="190">
        <v>27</v>
      </c>
      <c r="G198" s="190">
        <v>135130</v>
      </c>
      <c r="H198" s="190">
        <v>2000367</v>
      </c>
      <c r="I198" s="190">
        <v>19251902</v>
      </c>
      <c r="J198" s="190">
        <v>37576</v>
      </c>
      <c r="K198" s="190">
        <v>0</v>
      </c>
      <c r="L198" s="190">
        <v>218689</v>
      </c>
      <c r="M198" s="190">
        <v>7617</v>
      </c>
      <c r="N198" s="190">
        <v>617852</v>
      </c>
    </row>
    <row r="199" spans="2:14">
      <c r="B199" s="190" t="s">
        <v>27</v>
      </c>
      <c r="C199" s="190">
        <v>2</v>
      </c>
      <c r="D199" s="190">
        <v>86</v>
      </c>
      <c r="E199" s="190">
        <v>2</v>
      </c>
      <c r="F199" s="190">
        <v>9</v>
      </c>
      <c r="G199" s="190">
        <v>46808</v>
      </c>
      <c r="H199" s="190">
        <v>1908228</v>
      </c>
      <c r="I199" s="190">
        <v>7361672</v>
      </c>
      <c r="J199" s="190">
        <v>15218</v>
      </c>
      <c r="K199" s="190">
        <v>0</v>
      </c>
      <c r="L199" s="190">
        <v>87890</v>
      </c>
      <c r="M199" s="190">
        <v>4438</v>
      </c>
      <c r="N199" s="190">
        <v>542219</v>
      </c>
    </row>
    <row r="200" spans="1:14">
      <c r="A200">
        <v>5238</v>
      </c>
      <c r="B200" s="190" t="s">
        <v>25</v>
      </c>
      <c r="C200" s="190">
        <v>3</v>
      </c>
      <c r="D200" s="190">
        <v>106</v>
      </c>
      <c r="E200" s="190">
        <v>3</v>
      </c>
      <c r="F200" s="190">
        <v>22</v>
      </c>
      <c r="G200" s="190">
        <v>98834</v>
      </c>
      <c r="H200" s="190">
        <v>1920144</v>
      </c>
      <c r="I200" s="190">
        <v>14953250</v>
      </c>
      <c r="J200" s="190">
        <v>22814</v>
      </c>
      <c r="K200" s="190">
        <v>0</v>
      </c>
      <c r="L200" s="190">
        <v>404502</v>
      </c>
      <c r="M200" s="190">
        <v>6156</v>
      </c>
      <c r="N200" s="190">
        <v>675100</v>
      </c>
    </row>
    <row r="201" spans="2:14">
      <c r="B201" s="190" t="s">
        <v>26</v>
      </c>
      <c r="C201" s="190">
        <v>3</v>
      </c>
      <c r="D201" s="190">
        <v>172</v>
      </c>
      <c r="E201" s="190">
        <v>4</v>
      </c>
      <c r="F201" s="190">
        <v>25</v>
      </c>
      <c r="G201" s="190">
        <v>116834</v>
      </c>
      <c r="H201" s="190">
        <v>2175971</v>
      </c>
      <c r="I201" s="190">
        <v>18404784</v>
      </c>
      <c r="J201" s="190">
        <v>46316</v>
      </c>
      <c r="K201" s="190">
        <v>0</v>
      </c>
      <c r="L201" s="190">
        <v>375417</v>
      </c>
      <c r="M201" s="190">
        <v>8197</v>
      </c>
      <c r="N201" s="190">
        <v>635740</v>
      </c>
    </row>
    <row r="202" spans="2:14">
      <c r="B202" s="190" t="s">
        <v>27</v>
      </c>
      <c r="C202" s="190">
        <v>3</v>
      </c>
      <c r="D202" s="190">
        <v>117</v>
      </c>
      <c r="E202" s="190">
        <v>3</v>
      </c>
      <c r="F202" s="190">
        <v>21</v>
      </c>
      <c r="G202" s="190">
        <v>97131</v>
      </c>
      <c r="H202" s="190">
        <v>2031378</v>
      </c>
      <c r="I202" s="190">
        <v>15052979</v>
      </c>
      <c r="J202" s="190">
        <v>24662</v>
      </c>
      <c r="K202" s="190">
        <v>0</v>
      </c>
      <c r="L202" s="190">
        <v>346702</v>
      </c>
      <c r="M202" s="190">
        <v>6405</v>
      </c>
      <c r="N202" s="190">
        <v>616618</v>
      </c>
    </row>
    <row r="203" spans="1:14">
      <c r="A203">
        <v>5239</v>
      </c>
      <c r="B203" s="190" t="s">
        <v>25</v>
      </c>
      <c r="C203" s="190">
        <v>3</v>
      </c>
      <c r="D203" s="190">
        <v>127</v>
      </c>
      <c r="E203" s="190">
        <v>4</v>
      </c>
      <c r="F203" s="190">
        <v>19</v>
      </c>
      <c r="G203" s="190">
        <v>111497</v>
      </c>
      <c r="H203" s="190">
        <v>2058283</v>
      </c>
      <c r="I203" s="190">
        <v>17340656</v>
      </c>
      <c r="J203" s="190">
        <v>44264</v>
      </c>
      <c r="K203" s="190">
        <v>0</v>
      </c>
      <c r="L203" s="190">
        <v>288670</v>
      </c>
      <c r="M203" s="190">
        <v>7392</v>
      </c>
      <c r="N203" s="190">
        <v>636733</v>
      </c>
    </row>
    <row r="204" spans="2:14">
      <c r="B204" s="190" t="s">
        <v>26</v>
      </c>
      <c r="C204" s="190">
        <v>2</v>
      </c>
      <c r="D204" s="190">
        <v>62</v>
      </c>
      <c r="E204" s="190">
        <v>0</v>
      </c>
      <c r="F204" s="190">
        <v>20</v>
      </c>
      <c r="G204" s="190">
        <v>68354</v>
      </c>
      <c r="H204" s="190">
        <v>987280</v>
      </c>
      <c r="I204" s="190">
        <v>11511677</v>
      </c>
      <c r="J204" s="190">
        <v>13008</v>
      </c>
      <c r="K204" s="190">
        <v>0</v>
      </c>
      <c r="L204" s="190">
        <v>61984</v>
      </c>
      <c r="M204" s="190">
        <v>3721</v>
      </c>
      <c r="N204" s="190">
        <v>318310</v>
      </c>
    </row>
    <row r="205" spans="2:14">
      <c r="B205" s="190" t="s">
        <v>27</v>
      </c>
      <c r="C205" s="190">
        <v>4</v>
      </c>
      <c r="D205" s="190">
        <v>206</v>
      </c>
      <c r="E205" s="190">
        <v>5</v>
      </c>
      <c r="F205" s="190">
        <v>27</v>
      </c>
      <c r="G205" s="190">
        <v>127003</v>
      </c>
      <c r="H205" s="190">
        <v>2630478</v>
      </c>
      <c r="I205" s="190">
        <v>24186652</v>
      </c>
      <c r="J205" s="190">
        <v>137781</v>
      </c>
      <c r="K205" s="190">
        <v>0</v>
      </c>
      <c r="L205" s="190">
        <v>516863</v>
      </c>
      <c r="M205" s="190">
        <v>12536</v>
      </c>
      <c r="N205" s="190">
        <v>854811</v>
      </c>
    </row>
    <row r="206" spans="1:14">
      <c r="A206">
        <v>5240</v>
      </c>
      <c r="B206" s="190" t="s">
        <v>25</v>
      </c>
      <c r="C206" s="190">
        <v>3</v>
      </c>
      <c r="D206" s="190">
        <v>103</v>
      </c>
      <c r="E206" s="190">
        <v>4</v>
      </c>
      <c r="F206" s="190">
        <v>23</v>
      </c>
      <c r="G206" s="190">
        <v>106733</v>
      </c>
      <c r="H206" s="190">
        <v>3029985</v>
      </c>
      <c r="I206" s="190">
        <v>17280554</v>
      </c>
      <c r="J206" s="190">
        <v>88300</v>
      </c>
      <c r="K206" s="190">
        <v>0</v>
      </c>
      <c r="L206" s="190">
        <v>630802</v>
      </c>
      <c r="M206" s="190">
        <v>9586</v>
      </c>
      <c r="N206" s="190">
        <v>921721</v>
      </c>
    </row>
    <row r="207" spans="2:14">
      <c r="B207" s="190" t="s">
        <v>26</v>
      </c>
      <c r="C207" s="190">
        <v>4</v>
      </c>
      <c r="D207" s="190">
        <v>195</v>
      </c>
      <c r="E207" s="190">
        <v>5</v>
      </c>
      <c r="F207" s="190">
        <v>22</v>
      </c>
      <c r="G207" s="190">
        <v>134803</v>
      </c>
      <c r="H207" s="190">
        <v>2774449</v>
      </c>
      <c r="I207" s="190">
        <v>19637470</v>
      </c>
      <c r="J207" s="190">
        <v>76384</v>
      </c>
      <c r="K207" s="190">
        <v>0</v>
      </c>
      <c r="L207" s="190">
        <v>492970</v>
      </c>
      <c r="M207" s="190">
        <v>10300</v>
      </c>
      <c r="N207" s="190">
        <v>951098</v>
      </c>
    </row>
    <row r="208" spans="2:14">
      <c r="B208" s="190" t="s">
        <v>27</v>
      </c>
      <c r="C208" s="190">
        <v>2</v>
      </c>
      <c r="D208" s="190">
        <v>97</v>
      </c>
      <c r="E208" s="190">
        <v>1</v>
      </c>
      <c r="F208" s="190">
        <v>14</v>
      </c>
      <c r="G208" s="190">
        <v>58526</v>
      </c>
      <c r="H208" s="190">
        <v>1699763</v>
      </c>
      <c r="I208" s="190">
        <v>8744535</v>
      </c>
      <c r="J208" s="190">
        <v>36044</v>
      </c>
      <c r="K208" s="190">
        <v>0</v>
      </c>
      <c r="L208" s="190">
        <v>90451</v>
      </c>
      <c r="M208" s="190">
        <v>5163</v>
      </c>
      <c r="N208" s="190">
        <v>597787</v>
      </c>
    </row>
    <row r="209" spans="1:14">
      <c r="A209">
        <v>5241</v>
      </c>
      <c r="B209" s="190" t="s">
        <v>25</v>
      </c>
      <c r="C209" s="190">
        <v>2</v>
      </c>
      <c r="D209" s="190">
        <v>85</v>
      </c>
      <c r="E209" s="190">
        <v>2</v>
      </c>
      <c r="F209" s="190">
        <v>18</v>
      </c>
      <c r="G209" s="190">
        <v>71853</v>
      </c>
      <c r="H209" s="190">
        <v>2056592</v>
      </c>
      <c r="I209" s="190">
        <v>11675979</v>
      </c>
      <c r="J209" s="190">
        <v>24630</v>
      </c>
      <c r="K209" s="190">
        <v>0</v>
      </c>
      <c r="L209" s="190">
        <v>287530</v>
      </c>
      <c r="M209" s="190">
        <v>5516</v>
      </c>
      <c r="N209" s="190">
        <v>739569</v>
      </c>
    </row>
    <row r="210" spans="2:14">
      <c r="B210" s="190" t="s">
        <v>26</v>
      </c>
      <c r="C210" s="190">
        <v>1</v>
      </c>
      <c r="D210" s="190">
        <v>76</v>
      </c>
      <c r="E210" s="190">
        <v>3</v>
      </c>
      <c r="F210" s="190">
        <v>15</v>
      </c>
      <c r="G210" s="190">
        <v>81275</v>
      </c>
      <c r="H210" s="190">
        <v>2769593</v>
      </c>
      <c r="I210" s="190">
        <v>13560580</v>
      </c>
      <c r="J210" s="190">
        <v>76466</v>
      </c>
      <c r="K210" s="190">
        <v>0</v>
      </c>
      <c r="L210" s="190">
        <v>326154</v>
      </c>
      <c r="M210" s="190">
        <v>7849</v>
      </c>
      <c r="N210" s="190">
        <v>939174</v>
      </c>
    </row>
    <row r="211" spans="2:14">
      <c r="B211" s="190" t="s">
        <v>27</v>
      </c>
      <c r="C211" s="190">
        <v>6</v>
      </c>
      <c r="D211" s="190">
        <v>234</v>
      </c>
      <c r="E211" s="190">
        <v>5</v>
      </c>
      <c r="F211" s="190">
        <v>23</v>
      </c>
      <c r="G211" s="190">
        <v>137114</v>
      </c>
      <c r="H211" s="190">
        <v>2877019</v>
      </c>
      <c r="I211" s="190">
        <v>21746574</v>
      </c>
      <c r="J211" s="190">
        <v>81963</v>
      </c>
      <c r="K211" s="190">
        <v>0</v>
      </c>
      <c r="L211" s="190">
        <v>596870</v>
      </c>
      <c r="M211" s="190">
        <v>11434</v>
      </c>
      <c r="N211" s="190">
        <v>846570</v>
      </c>
    </row>
    <row r="212" spans="1:14">
      <c r="A212">
        <v>5242</v>
      </c>
      <c r="B212" s="190" t="s">
        <v>25</v>
      </c>
      <c r="C212" s="190">
        <v>0</v>
      </c>
      <c r="D212" s="190">
        <v>30</v>
      </c>
      <c r="E212" s="190">
        <v>2</v>
      </c>
      <c r="F212" s="190">
        <v>9</v>
      </c>
      <c r="G212" s="190">
        <v>62621</v>
      </c>
      <c r="H212" s="190">
        <v>1334149</v>
      </c>
      <c r="I212" s="190">
        <v>6689104</v>
      </c>
      <c r="J212" s="190">
        <v>8118</v>
      </c>
      <c r="K212" s="190">
        <v>0</v>
      </c>
      <c r="L212" s="190">
        <v>89603</v>
      </c>
      <c r="M212" s="190">
        <v>2904</v>
      </c>
      <c r="N212" s="190">
        <v>493883</v>
      </c>
    </row>
    <row r="213" spans="2:14">
      <c r="B213" s="190" t="s">
        <v>26</v>
      </c>
      <c r="C213" s="190">
        <v>7</v>
      </c>
      <c r="D213" s="190">
        <v>293</v>
      </c>
      <c r="E213" s="190">
        <v>7</v>
      </c>
      <c r="F213" s="190">
        <v>31</v>
      </c>
      <c r="G213" s="190">
        <v>189226</v>
      </c>
      <c r="H213" s="190">
        <v>2269045</v>
      </c>
      <c r="I213" s="190">
        <v>22842793</v>
      </c>
      <c r="J213" s="190">
        <v>57676</v>
      </c>
      <c r="K213" s="190">
        <v>0</v>
      </c>
      <c r="L213" s="190">
        <v>486517</v>
      </c>
      <c r="M213" s="190">
        <v>11102</v>
      </c>
      <c r="N213" s="190">
        <v>672743</v>
      </c>
    </row>
    <row r="214" spans="2:14">
      <c r="B214" s="190" t="s">
        <v>27</v>
      </c>
      <c r="C214" s="190">
        <v>2</v>
      </c>
      <c r="D214" s="190">
        <v>72</v>
      </c>
      <c r="E214" s="190">
        <v>1</v>
      </c>
      <c r="F214" s="190">
        <v>18</v>
      </c>
      <c r="G214" s="190">
        <v>36762</v>
      </c>
      <c r="H214" s="190">
        <v>870605</v>
      </c>
      <c r="I214" s="190">
        <v>6047781</v>
      </c>
      <c r="J214" s="190">
        <v>3412</v>
      </c>
      <c r="K214" s="190">
        <v>0</v>
      </c>
      <c r="L214" s="190">
        <v>116839</v>
      </c>
      <c r="M214" s="190">
        <v>2739</v>
      </c>
      <c r="N214" s="190">
        <v>312476</v>
      </c>
    </row>
    <row r="215" spans="1:14">
      <c r="A215">
        <v>5243</v>
      </c>
      <c r="B215" s="190" t="s">
        <v>25</v>
      </c>
      <c r="C215" s="190">
        <v>0</v>
      </c>
      <c r="D215" s="190">
        <v>16</v>
      </c>
      <c r="E215" s="190">
        <v>1</v>
      </c>
      <c r="F215" s="190">
        <v>11</v>
      </c>
      <c r="G215" s="190">
        <v>34905</v>
      </c>
      <c r="H215" s="190">
        <v>1315785</v>
      </c>
      <c r="I215" s="190">
        <v>6904974</v>
      </c>
      <c r="J215" s="190">
        <v>36798</v>
      </c>
      <c r="K215" s="190">
        <v>0</v>
      </c>
      <c r="L215" s="190">
        <v>170898</v>
      </c>
      <c r="M215" s="190">
        <v>3530</v>
      </c>
      <c r="N215" s="190">
        <v>398498</v>
      </c>
    </row>
    <row r="216" spans="2:14">
      <c r="B216" s="190" t="s">
        <v>26</v>
      </c>
      <c r="C216" s="190">
        <v>0</v>
      </c>
      <c r="D216" s="190">
        <v>29</v>
      </c>
      <c r="E216" s="190">
        <v>1</v>
      </c>
      <c r="F216" s="190">
        <v>28</v>
      </c>
      <c r="G216" s="190">
        <v>84753</v>
      </c>
      <c r="H216" s="190">
        <v>1550519</v>
      </c>
      <c r="I216" s="190">
        <v>15779018</v>
      </c>
      <c r="J216" s="190">
        <v>29286</v>
      </c>
      <c r="K216" s="190">
        <v>0</v>
      </c>
      <c r="L216" s="190">
        <v>228646</v>
      </c>
      <c r="M216" s="190">
        <v>4835</v>
      </c>
      <c r="N216" s="190">
        <v>826651</v>
      </c>
    </row>
    <row r="217" spans="2:14">
      <c r="B217" s="190" t="s">
        <v>27</v>
      </c>
      <c r="C217" s="190">
        <v>9</v>
      </c>
      <c r="D217" s="190">
        <v>350</v>
      </c>
      <c r="E217" s="190">
        <v>7</v>
      </c>
      <c r="F217" s="190">
        <v>31</v>
      </c>
      <c r="G217" s="190">
        <v>186056</v>
      </c>
      <c r="H217" s="190">
        <v>3566089</v>
      </c>
      <c r="I217" s="190">
        <v>32109331</v>
      </c>
      <c r="J217" s="190">
        <v>229058</v>
      </c>
      <c r="K217" s="190">
        <v>0</v>
      </c>
      <c r="L217" s="190">
        <v>668839</v>
      </c>
      <c r="M217" s="190">
        <v>19313</v>
      </c>
      <c r="N217" s="190">
        <v>1266441</v>
      </c>
    </row>
    <row r="218" spans="1:14">
      <c r="A218">
        <v>5244</v>
      </c>
      <c r="B218" s="190" t="s">
        <v>25</v>
      </c>
      <c r="C218" s="190">
        <v>2</v>
      </c>
      <c r="D218" s="190">
        <v>58</v>
      </c>
      <c r="E218" s="190">
        <v>1</v>
      </c>
      <c r="F218" s="190">
        <v>14</v>
      </c>
      <c r="G218" s="190">
        <v>33175</v>
      </c>
      <c r="H218" s="190">
        <v>1186522</v>
      </c>
      <c r="I218" s="190">
        <v>8041256</v>
      </c>
      <c r="J218" s="190">
        <v>16178</v>
      </c>
      <c r="K218" s="190">
        <v>0</v>
      </c>
      <c r="L218" s="190">
        <v>160309</v>
      </c>
      <c r="M218" s="190">
        <v>3502</v>
      </c>
      <c r="N218" s="190">
        <v>383776</v>
      </c>
    </row>
    <row r="219" spans="2:14">
      <c r="B219" s="190" t="s">
        <v>26</v>
      </c>
      <c r="C219" s="190">
        <v>4</v>
      </c>
      <c r="D219" s="190">
        <v>215</v>
      </c>
      <c r="E219" s="190">
        <v>4</v>
      </c>
      <c r="F219" s="190">
        <v>35</v>
      </c>
      <c r="G219" s="190">
        <v>150875</v>
      </c>
      <c r="H219" s="190">
        <v>2553986</v>
      </c>
      <c r="I219" s="190">
        <v>29194546</v>
      </c>
      <c r="J219" s="190">
        <v>107710</v>
      </c>
      <c r="K219" s="190">
        <v>0</v>
      </c>
      <c r="L219" s="190">
        <v>509796</v>
      </c>
      <c r="M219" s="190">
        <v>12264</v>
      </c>
      <c r="N219" s="190">
        <v>793210</v>
      </c>
    </row>
    <row r="220" spans="2:14">
      <c r="B220" s="190" t="s">
        <v>27</v>
      </c>
      <c r="C220" s="190">
        <v>3</v>
      </c>
      <c r="D220" s="190">
        <v>122</v>
      </c>
      <c r="E220" s="190">
        <v>5</v>
      </c>
      <c r="F220" s="190">
        <v>27</v>
      </c>
      <c r="G220" s="190">
        <v>140421</v>
      </c>
      <c r="H220" s="190">
        <v>1932036</v>
      </c>
      <c r="I220" s="190">
        <v>24082881</v>
      </c>
      <c r="J220" s="190">
        <v>54602</v>
      </c>
      <c r="K220" s="190">
        <v>0</v>
      </c>
      <c r="L220" s="190">
        <v>332033</v>
      </c>
      <c r="M220" s="190">
        <v>8366</v>
      </c>
      <c r="N220" s="190">
        <v>506266</v>
      </c>
    </row>
    <row r="221" spans="1:14">
      <c r="A221">
        <v>5245</v>
      </c>
      <c r="B221" s="190" t="s">
        <v>25</v>
      </c>
      <c r="C221" s="190">
        <v>0</v>
      </c>
      <c r="D221" s="190">
        <v>36</v>
      </c>
      <c r="E221" s="190">
        <v>1</v>
      </c>
      <c r="F221" s="190">
        <v>10</v>
      </c>
      <c r="G221" s="190">
        <v>32669</v>
      </c>
      <c r="H221" s="190">
        <v>881272</v>
      </c>
      <c r="I221" s="190">
        <v>5245716</v>
      </c>
      <c r="J221" s="190">
        <v>9608</v>
      </c>
      <c r="K221" s="190">
        <v>0</v>
      </c>
      <c r="L221" s="190">
        <v>73491</v>
      </c>
      <c r="M221" s="190">
        <v>2254</v>
      </c>
      <c r="N221" s="190">
        <v>362771</v>
      </c>
    </row>
    <row r="222" spans="2:14">
      <c r="B222" s="190" t="s">
        <v>26</v>
      </c>
      <c r="C222" s="190">
        <v>7</v>
      </c>
      <c r="D222" s="190">
        <v>270</v>
      </c>
      <c r="E222" s="190">
        <v>6</v>
      </c>
      <c r="F222" s="190">
        <v>33</v>
      </c>
      <c r="G222" s="190">
        <v>181250</v>
      </c>
      <c r="H222" s="190">
        <v>2265356</v>
      </c>
      <c r="I222" s="190">
        <v>26707372</v>
      </c>
      <c r="J222" s="190">
        <v>104676</v>
      </c>
      <c r="K222" s="190">
        <v>0</v>
      </c>
      <c r="L222" s="190">
        <v>719425</v>
      </c>
      <c r="M222" s="190">
        <v>12742</v>
      </c>
      <c r="N222" s="190">
        <v>766047</v>
      </c>
    </row>
    <row r="223" spans="2:14">
      <c r="B223" s="190" t="s">
        <v>27</v>
      </c>
      <c r="C223" s="190">
        <v>2</v>
      </c>
      <c r="D223" s="190">
        <v>89</v>
      </c>
      <c r="E223" s="190">
        <v>3</v>
      </c>
      <c r="F223" s="190">
        <v>19</v>
      </c>
      <c r="G223" s="190">
        <v>97473</v>
      </c>
      <c r="H223" s="190">
        <v>1933984</v>
      </c>
      <c r="I223" s="190">
        <v>15316317</v>
      </c>
      <c r="J223" s="190">
        <v>74644</v>
      </c>
      <c r="K223" s="190">
        <v>0</v>
      </c>
      <c r="L223" s="190">
        <v>289284</v>
      </c>
      <c r="M223" s="190">
        <v>7426</v>
      </c>
      <c r="N223" s="190">
        <v>522881</v>
      </c>
    </row>
    <row r="224" spans="1:14">
      <c r="A224">
        <v>5246</v>
      </c>
      <c r="B224" s="190" t="s">
        <v>25</v>
      </c>
      <c r="C224" s="190">
        <v>6</v>
      </c>
      <c r="D224" s="190">
        <v>236</v>
      </c>
      <c r="E224" s="190">
        <v>7</v>
      </c>
      <c r="F224" s="190">
        <v>31</v>
      </c>
      <c r="G224" s="190">
        <v>165024</v>
      </c>
      <c r="H224" s="190">
        <v>1977072</v>
      </c>
      <c r="I224" s="190">
        <v>24982194</v>
      </c>
      <c r="J224" s="190">
        <v>52177</v>
      </c>
      <c r="K224" s="190">
        <v>0</v>
      </c>
      <c r="L224" s="190">
        <v>579399</v>
      </c>
      <c r="M224" s="190">
        <v>10115</v>
      </c>
      <c r="N224" s="190">
        <v>584747</v>
      </c>
    </row>
    <row r="225" spans="2:14">
      <c r="B225" s="190" t="s">
        <v>26</v>
      </c>
      <c r="C225" s="190">
        <v>1</v>
      </c>
      <c r="D225" s="190">
        <v>72</v>
      </c>
      <c r="E225" s="190">
        <v>0</v>
      </c>
      <c r="F225" s="190">
        <v>20</v>
      </c>
      <c r="G225" s="190">
        <v>65136</v>
      </c>
      <c r="H225" s="190">
        <v>1222193</v>
      </c>
      <c r="I225" s="190">
        <v>10394575</v>
      </c>
      <c r="J225" s="190">
        <v>11902</v>
      </c>
      <c r="K225" s="190">
        <v>0</v>
      </c>
      <c r="L225" s="190">
        <v>144557</v>
      </c>
      <c r="M225" s="190">
        <v>3836</v>
      </c>
      <c r="N225" s="190">
        <v>337260</v>
      </c>
    </row>
    <row r="226" spans="2:14">
      <c r="B226" s="190" t="s">
        <v>27</v>
      </c>
      <c r="C226" s="190">
        <v>2</v>
      </c>
      <c r="D226" s="190">
        <v>87</v>
      </c>
      <c r="E226" s="190">
        <v>1</v>
      </c>
      <c r="F226" s="190">
        <v>14</v>
      </c>
      <c r="G226" s="190">
        <v>50871</v>
      </c>
      <c r="H226" s="190">
        <v>1173998</v>
      </c>
      <c r="I226" s="190">
        <v>7955946</v>
      </c>
      <c r="J226" s="190">
        <v>8334</v>
      </c>
      <c r="K226" s="190">
        <v>0</v>
      </c>
      <c r="L226" s="190">
        <v>79188</v>
      </c>
      <c r="M226" s="190">
        <v>3583</v>
      </c>
      <c r="N226" s="190">
        <v>342288</v>
      </c>
    </row>
    <row r="227" spans="1:14">
      <c r="A227">
        <v>5247</v>
      </c>
      <c r="B227" s="190" t="s">
        <v>25</v>
      </c>
      <c r="C227" s="190">
        <v>5</v>
      </c>
      <c r="D227" s="190">
        <v>177</v>
      </c>
      <c r="E227" s="190">
        <v>5</v>
      </c>
      <c r="F227" s="190">
        <v>15</v>
      </c>
      <c r="G227" s="190">
        <v>119502</v>
      </c>
      <c r="H227" s="190">
        <v>2502982</v>
      </c>
      <c r="I227" s="190">
        <v>16824762</v>
      </c>
      <c r="J227" s="190">
        <v>32594</v>
      </c>
      <c r="K227" s="190">
        <v>37858</v>
      </c>
      <c r="L227" s="190">
        <v>363274</v>
      </c>
      <c r="M227" s="190">
        <v>8591</v>
      </c>
      <c r="N227" s="190">
        <v>714159</v>
      </c>
    </row>
    <row r="228" spans="2:14">
      <c r="B228" s="190" t="s">
        <v>26</v>
      </c>
      <c r="C228" s="190">
        <v>1</v>
      </c>
      <c r="D228" s="190">
        <v>82</v>
      </c>
      <c r="E228" s="190">
        <v>2</v>
      </c>
      <c r="F228" s="190">
        <v>19</v>
      </c>
      <c r="G228" s="190">
        <v>58505</v>
      </c>
      <c r="H228" s="190">
        <v>1310319</v>
      </c>
      <c r="I228" s="190">
        <v>10099035</v>
      </c>
      <c r="J228" s="190">
        <v>28616</v>
      </c>
      <c r="K228" s="190">
        <v>0</v>
      </c>
      <c r="L228" s="190">
        <v>266461</v>
      </c>
      <c r="M228" s="190">
        <v>4524</v>
      </c>
      <c r="N228" s="190">
        <v>411827</v>
      </c>
    </row>
    <row r="229" spans="2:14">
      <c r="B229" s="190" t="s">
        <v>27</v>
      </c>
      <c r="C229" s="190">
        <v>3</v>
      </c>
      <c r="D229" s="190">
        <v>136</v>
      </c>
      <c r="E229" s="190">
        <v>2</v>
      </c>
      <c r="F229" s="190">
        <v>18</v>
      </c>
      <c r="G229" s="190">
        <v>85173</v>
      </c>
      <c r="H229" s="190">
        <v>1901249</v>
      </c>
      <c r="I229" s="190">
        <v>12946554</v>
      </c>
      <c r="J229" s="190">
        <v>22328</v>
      </c>
      <c r="K229" s="190">
        <v>0</v>
      </c>
      <c r="L229" s="190">
        <v>370595</v>
      </c>
      <c r="M229" s="190">
        <v>6136</v>
      </c>
      <c r="N229" s="190">
        <v>630936</v>
      </c>
    </row>
    <row r="230" spans="1:14">
      <c r="A230">
        <v>5248</v>
      </c>
      <c r="B230" s="190" t="s">
        <v>25</v>
      </c>
      <c r="C230" s="190">
        <v>6</v>
      </c>
      <c r="D230" s="190">
        <v>260</v>
      </c>
      <c r="E230" s="190">
        <v>7</v>
      </c>
      <c r="F230" s="190">
        <v>30</v>
      </c>
      <c r="G230" s="190">
        <v>184490</v>
      </c>
      <c r="H230" s="190">
        <v>1933213</v>
      </c>
      <c r="I230" s="190">
        <v>23114385</v>
      </c>
      <c r="J230" s="190">
        <v>47392</v>
      </c>
      <c r="K230" s="190">
        <v>0</v>
      </c>
      <c r="L230" s="190">
        <v>336074</v>
      </c>
      <c r="M230" s="190">
        <v>9956</v>
      </c>
      <c r="N230" s="190">
        <v>572968</v>
      </c>
    </row>
    <row r="231" spans="2:14">
      <c r="B231" s="190" t="s">
        <v>26</v>
      </c>
      <c r="C231" s="190">
        <v>1</v>
      </c>
      <c r="D231" s="190">
        <v>60</v>
      </c>
      <c r="E231" s="190">
        <v>0</v>
      </c>
      <c r="F231" s="190">
        <v>14</v>
      </c>
      <c r="G231" s="190">
        <v>33892</v>
      </c>
      <c r="H231" s="190">
        <v>843583</v>
      </c>
      <c r="I231" s="190">
        <v>5269872</v>
      </c>
      <c r="J231" s="190">
        <v>5478</v>
      </c>
      <c r="K231" s="190">
        <v>0</v>
      </c>
      <c r="L231" s="190">
        <v>53537</v>
      </c>
      <c r="M231" s="190">
        <v>2431</v>
      </c>
      <c r="N231" s="190">
        <v>297019</v>
      </c>
    </row>
    <row r="232" spans="2:14">
      <c r="B232" s="190" t="s">
        <v>27</v>
      </c>
      <c r="C232" s="190">
        <v>2</v>
      </c>
      <c r="D232" s="190">
        <v>75</v>
      </c>
      <c r="E232" s="190">
        <v>2</v>
      </c>
      <c r="F232" s="190">
        <v>20</v>
      </c>
      <c r="G232" s="190">
        <v>74121</v>
      </c>
      <c r="H232" s="190">
        <v>1496542</v>
      </c>
      <c r="I232" s="190">
        <v>10195447</v>
      </c>
      <c r="J232" s="190">
        <v>6900</v>
      </c>
      <c r="K232" s="190">
        <v>0</v>
      </c>
      <c r="L232" s="190">
        <v>190426</v>
      </c>
      <c r="M232" s="190">
        <v>4138</v>
      </c>
      <c r="N232" s="190">
        <v>572082</v>
      </c>
    </row>
    <row r="233" spans="1:14">
      <c r="A233">
        <v>5249</v>
      </c>
      <c r="B233" s="190" t="s">
        <v>25</v>
      </c>
      <c r="C233" s="190">
        <v>3</v>
      </c>
      <c r="D233" s="190">
        <v>101</v>
      </c>
      <c r="E233" s="190">
        <v>2</v>
      </c>
      <c r="F233" s="190">
        <v>23</v>
      </c>
      <c r="G233" s="190">
        <v>103272</v>
      </c>
      <c r="H233" s="190">
        <v>2028441</v>
      </c>
      <c r="I233" s="190">
        <v>15957487</v>
      </c>
      <c r="J233" s="190">
        <v>36104</v>
      </c>
      <c r="K233" s="190">
        <v>0</v>
      </c>
      <c r="L233" s="190">
        <v>300884</v>
      </c>
      <c r="M233" s="190">
        <v>6684</v>
      </c>
      <c r="N233" s="190">
        <v>566662</v>
      </c>
    </row>
    <row r="234" spans="2:14">
      <c r="B234" s="190" t="s">
        <v>26</v>
      </c>
      <c r="C234" s="190">
        <v>3</v>
      </c>
      <c r="D234" s="190">
        <v>127</v>
      </c>
      <c r="E234" s="190">
        <v>5</v>
      </c>
      <c r="F234" s="190">
        <v>22</v>
      </c>
      <c r="G234" s="190">
        <v>112067</v>
      </c>
      <c r="H234" s="190">
        <v>1915093</v>
      </c>
      <c r="I234" s="190">
        <v>17011111</v>
      </c>
      <c r="J234" s="190">
        <v>28924</v>
      </c>
      <c r="K234" s="190">
        <v>24498</v>
      </c>
      <c r="L234" s="190">
        <v>272679</v>
      </c>
      <c r="M234" s="190">
        <v>6995</v>
      </c>
      <c r="N234" s="190">
        <v>571078</v>
      </c>
    </row>
    <row r="235" spans="2:14">
      <c r="B235" s="190" t="s">
        <v>27</v>
      </c>
      <c r="C235" s="190">
        <v>3</v>
      </c>
      <c r="D235" s="190">
        <v>167</v>
      </c>
      <c r="E235" s="190">
        <v>3</v>
      </c>
      <c r="F235" s="190">
        <v>23</v>
      </c>
      <c r="G235" s="190">
        <v>89809</v>
      </c>
      <c r="H235" s="190">
        <v>2412765</v>
      </c>
      <c r="I235" s="190">
        <v>15512973</v>
      </c>
      <c r="J235" s="190">
        <v>63640</v>
      </c>
      <c r="K235" s="190">
        <v>0</v>
      </c>
      <c r="L235" s="190">
        <v>165457</v>
      </c>
      <c r="M235" s="190">
        <v>8375</v>
      </c>
      <c r="N235" s="190">
        <v>646088</v>
      </c>
    </row>
    <row r="236" spans="1:14">
      <c r="A236">
        <v>5250</v>
      </c>
      <c r="B236" s="190" t="s">
        <v>25</v>
      </c>
      <c r="C236" s="190">
        <v>1</v>
      </c>
      <c r="D236" s="190">
        <v>63</v>
      </c>
      <c r="E236" s="190">
        <v>0</v>
      </c>
      <c r="F236" s="190">
        <v>12</v>
      </c>
      <c r="G236" s="190">
        <v>20615</v>
      </c>
      <c r="H236" s="190">
        <v>736119</v>
      </c>
      <c r="I236" s="190">
        <v>5196521</v>
      </c>
      <c r="J236" s="190">
        <v>4940</v>
      </c>
      <c r="K236" s="190">
        <v>0</v>
      </c>
      <c r="L236" s="190">
        <v>74149</v>
      </c>
      <c r="M236" s="190">
        <v>2274</v>
      </c>
      <c r="N236" s="190">
        <v>247279</v>
      </c>
    </row>
    <row r="237" spans="2:14">
      <c r="B237" s="190" t="s">
        <v>26</v>
      </c>
      <c r="C237" s="190">
        <v>3</v>
      </c>
      <c r="D237" s="190">
        <v>136</v>
      </c>
      <c r="E237" s="190">
        <v>5</v>
      </c>
      <c r="F237" s="190">
        <v>33</v>
      </c>
      <c r="G237" s="190">
        <v>150109</v>
      </c>
      <c r="H237" s="190">
        <v>2142850</v>
      </c>
      <c r="I237" s="190">
        <v>24819633</v>
      </c>
      <c r="J237" s="190">
        <v>62902</v>
      </c>
      <c r="K237" s="190">
        <v>0</v>
      </c>
      <c r="L237" s="190">
        <v>251860</v>
      </c>
      <c r="M237" s="190">
        <v>9048</v>
      </c>
      <c r="N237" s="190">
        <v>616181</v>
      </c>
    </row>
    <row r="238" spans="2:14">
      <c r="B238" s="190" t="s">
        <v>27</v>
      </c>
      <c r="C238" s="190">
        <v>5</v>
      </c>
      <c r="D238" s="190">
        <v>196</v>
      </c>
      <c r="E238" s="190">
        <v>5</v>
      </c>
      <c r="F238" s="190">
        <v>26</v>
      </c>
      <c r="G238" s="190">
        <v>137943</v>
      </c>
      <c r="H238" s="190">
        <v>2498039</v>
      </c>
      <c r="I238" s="190">
        <v>23087825</v>
      </c>
      <c r="J238" s="190">
        <v>80810</v>
      </c>
      <c r="K238" s="190">
        <v>0</v>
      </c>
      <c r="L238" s="190">
        <v>334493</v>
      </c>
      <c r="M238" s="190">
        <v>10548</v>
      </c>
      <c r="N238" s="190">
        <v>672227</v>
      </c>
    </row>
    <row r="239" spans="1:14">
      <c r="A239">
        <v>5251</v>
      </c>
      <c r="B239" s="190" t="s">
        <v>25</v>
      </c>
      <c r="C239" s="190">
        <v>2</v>
      </c>
      <c r="D239" s="190">
        <v>60</v>
      </c>
      <c r="E239" s="190">
        <v>2</v>
      </c>
      <c r="F239" s="190">
        <v>15</v>
      </c>
      <c r="G239" s="190">
        <v>70094</v>
      </c>
      <c r="H239" s="190">
        <v>2089739</v>
      </c>
      <c r="I239" s="190">
        <v>12146300</v>
      </c>
      <c r="J239" s="190">
        <v>50102</v>
      </c>
      <c r="K239" s="190">
        <v>0</v>
      </c>
      <c r="L239" s="190">
        <v>278638</v>
      </c>
      <c r="M239" s="190">
        <v>6097</v>
      </c>
      <c r="N239" s="190">
        <v>706595</v>
      </c>
    </row>
    <row r="240" spans="2:14">
      <c r="B240" s="190" t="s">
        <v>26</v>
      </c>
      <c r="C240" s="190">
        <v>4</v>
      </c>
      <c r="D240" s="190">
        <v>204</v>
      </c>
      <c r="E240" s="190">
        <v>5</v>
      </c>
      <c r="F240" s="190">
        <v>26</v>
      </c>
      <c r="G240" s="190">
        <v>122487</v>
      </c>
      <c r="H240" s="190">
        <v>2225112</v>
      </c>
      <c r="I240" s="190">
        <v>20458012</v>
      </c>
      <c r="J240" s="190">
        <v>47476</v>
      </c>
      <c r="K240" s="190">
        <v>0</v>
      </c>
      <c r="L240" s="190">
        <v>337291</v>
      </c>
      <c r="M240" s="190">
        <v>8916</v>
      </c>
      <c r="N240" s="190">
        <v>599677</v>
      </c>
    </row>
    <row r="241" spans="2:14">
      <c r="B241" s="190" t="s">
        <v>27</v>
      </c>
      <c r="C241" s="190">
        <v>3</v>
      </c>
      <c r="D241" s="190">
        <v>131</v>
      </c>
      <c r="E241" s="190">
        <v>3</v>
      </c>
      <c r="F241" s="190">
        <v>26</v>
      </c>
      <c r="G241" s="190">
        <v>116698</v>
      </c>
      <c r="H241" s="190">
        <v>1916502</v>
      </c>
      <c r="I241" s="190">
        <v>18889992</v>
      </c>
      <c r="J241" s="190">
        <v>55764</v>
      </c>
      <c r="K241" s="190">
        <v>0</v>
      </c>
      <c r="L241" s="190">
        <v>263219</v>
      </c>
      <c r="M241" s="190">
        <v>7803</v>
      </c>
      <c r="N241" s="190">
        <v>653377</v>
      </c>
    </row>
    <row r="242" spans="1:14">
      <c r="A242">
        <v>5252</v>
      </c>
      <c r="B242" s="190" t="s">
        <v>25</v>
      </c>
      <c r="C242" s="190">
        <v>3</v>
      </c>
      <c r="D242" s="190">
        <v>87</v>
      </c>
      <c r="E242" s="190">
        <v>4</v>
      </c>
      <c r="F242" s="190">
        <v>18</v>
      </c>
      <c r="G242" s="190">
        <v>99287</v>
      </c>
      <c r="H242" s="190">
        <v>2441468</v>
      </c>
      <c r="I242" s="190">
        <v>17244505</v>
      </c>
      <c r="J242" s="190">
        <v>69736</v>
      </c>
      <c r="K242" s="190">
        <v>0</v>
      </c>
      <c r="L242" s="190">
        <v>119032</v>
      </c>
      <c r="M242" s="190">
        <v>7983</v>
      </c>
      <c r="N242" s="190">
        <v>758131</v>
      </c>
    </row>
    <row r="243" spans="2:14">
      <c r="B243" s="190" t="s">
        <v>26</v>
      </c>
      <c r="C243" s="190">
        <v>4</v>
      </c>
      <c r="D243" s="190">
        <v>234</v>
      </c>
      <c r="E243" s="190">
        <v>4</v>
      </c>
      <c r="F243" s="190">
        <v>27</v>
      </c>
      <c r="G243" s="190">
        <v>121409</v>
      </c>
      <c r="H243" s="190">
        <v>2999766</v>
      </c>
      <c r="I243" s="190">
        <v>22910674</v>
      </c>
      <c r="J243" s="190">
        <v>102514</v>
      </c>
      <c r="K243" s="190">
        <v>0</v>
      </c>
      <c r="L243" s="190">
        <v>621866</v>
      </c>
      <c r="M243" s="190">
        <v>12024</v>
      </c>
      <c r="N243" s="190">
        <v>895906</v>
      </c>
    </row>
    <row r="244" spans="2:14">
      <c r="B244" s="190" t="s">
        <v>27</v>
      </c>
      <c r="C244" s="190">
        <v>2</v>
      </c>
      <c r="D244" s="190">
        <v>74</v>
      </c>
      <c r="E244" s="190">
        <v>2</v>
      </c>
      <c r="F244" s="190">
        <v>16</v>
      </c>
      <c r="G244" s="190">
        <v>69848</v>
      </c>
      <c r="H244" s="190">
        <v>2025462</v>
      </c>
      <c r="I244" s="190">
        <v>12510571</v>
      </c>
      <c r="J244" s="190">
        <v>33994</v>
      </c>
      <c r="K244" s="190">
        <v>0</v>
      </c>
      <c r="L244" s="190">
        <v>212957</v>
      </c>
      <c r="M244" s="190">
        <v>5692</v>
      </c>
      <c r="N244" s="190">
        <v>616026</v>
      </c>
    </row>
    <row r="245" spans="1:14">
      <c r="A245">
        <v>5253</v>
      </c>
      <c r="B245" s="190" t="s">
        <v>25</v>
      </c>
      <c r="C245" s="190">
        <v>7</v>
      </c>
      <c r="D245" s="190">
        <v>283</v>
      </c>
      <c r="E245" s="190">
        <v>7</v>
      </c>
      <c r="F245" s="190">
        <v>34</v>
      </c>
      <c r="G245" s="190">
        <v>192809</v>
      </c>
      <c r="H245" s="190">
        <v>2806913</v>
      </c>
      <c r="I245" s="190">
        <v>30843741</v>
      </c>
      <c r="J245" s="190">
        <v>118626</v>
      </c>
      <c r="K245" s="190">
        <v>0</v>
      </c>
      <c r="L245" s="190">
        <v>961487</v>
      </c>
      <c r="M245" s="190">
        <v>14424</v>
      </c>
      <c r="N245" s="190">
        <v>774845</v>
      </c>
    </row>
    <row r="246" spans="2:14">
      <c r="B246" s="190" t="s">
        <v>26</v>
      </c>
      <c r="C246" s="190">
        <v>0</v>
      </c>
      <c r="D246" s="190">
        <v>34</v>
      </c>
      <c r="E246" s="190">
        <v>0</v>
      </c>
      <c r="F246" s="190">
        <v>18</v>
      </c>
      <c r="G246" s="190">
        <v>22568</v>
      </c>
      <c r="H246" s="190">
        <v>566237</v>
      </c>
      <c r="I246" s="190">
        <v>6894312</v>
      </c>
      <c r="J246" s="190">
        <v>3540</v>
      </c>
      <c r="K246" s="190">
        <v>0</v>
      </c>
      <c r="L246" s="190">
        <v>90224</v>
      </c>
      <c r="M246" s="190">
        <v>1859</v>
      </c>
      <c r="N246" s="190">
        <v>202732</v>
      </c>
    </row>
    <row r="247" spans="2:14">
      <c r="B247" s="190" t="s">
        <v>27</v>
      </c>
      <c r="C247" s="190">
        <v>2</v>
      </c>
      <c r="D247" s="190">
        <v>78</v>
      </c>
      <c r="E247" s="190">
        <v>3</v>
      </c>
      <c r="F247" s="190">
        <v>25</v>
      </c>
      <c r="G247" s="190">
        <v>95374</v>
      </c>
      <c r="H247" s="190">
        <v>2317193</v>
      </c>
      <c r="I247" s="190">
        <v>16931035</v>
      </c>
      <c r="J247" s="190">
        <v>73636</v>
      </c>
      <c r="K247" s="190">
        <v>0</v>
      </c>
      <c r="L247" s="190">
        <v>180053</v>
      </c>
      <c r="M247" s="190">
        <v>7766</v>
      </c>
      <c r="N247" s="190">
        <v>721287</v>
      </c>
    </row>
    <row r="248" spans="1:14">
      <c r="A248">
        <v>5254</v>
      </c>
      <c r="B248" s="190" t="s">
        <v>25</v>
      </c>
      <c r="C248" s="190">
        <v>0</v>
      </c>
      <c r="D248" s="190">
        <v>26</v>
      </c>
      <c r="E248" s="190">
        <v>0</v>
      </c>
      <c r="F248" s="190">
        <v>10</v>
      </c>
      <c r="G248" s="190">
        <v>32816</v>
      </c>
      <c r="H248" s="190">
        <v>740136</v>
      </c>
      <c r="I248" s="190">
        <v>4550794</v>
      </c>
      <c r="J248" s="190">
        <v>3150</v>
      </c>
      <c r="K248" s="190">
        <v>0</v>
      </c>
      <c r="L248" s="190">
        <v>67869</v>
      </c>
      <c r="M248" s="190">
        <v>1747</v>
      </c>
      <c r="N248" s="190">
        <v>201624</v>
      </c>
    </row>
    <row r="249" spans="2:14">
      <c r="B249" s="190" t="s">
        <v>26</v>
      </c>
      <c r="C249" s="190">
        <v>9</v>
      </c>
      <c r="D249" s="190">
        <v>352</v>
      </c>
      <c r="E249" s="190">
        <v>9</v>
      </c>
      <c r="F249" s="190">
        <v>33</v>
      </c>
      <c r="G249" s="190">
        <v>226566</v>
      </c>
      <c r="H249" s="190">
        <v>2470106</v>
      </c>
      <c r="I249" s="190">
        <v>30153199</v>
      </c>
      <c r="J249" s="190">
        <v>88060</v>
      </c>
      <c r="K249" s="190">
        <v>0</v>
      </c>
      <c r="L249" s="190">
        <v>722666</v>
      </c>
      <c r="M249" s="190">
        <v>14041</v>
      </c>
      <c r="N249" s="190">
        <v>629872</v>
      </c>
    </row>
    <row r="250" spans="2:14">
      <c r="B250" s="190" t="s">
        <v>27</v>
      </c>
      <c r="C250" s="190">
        <v>0</v>
      </c>
      <c r="D250" s="190">
        <v>17</v>
      </c>
      <c r="E250" s="190">
        <v>1</v>
      </c>
      <c r="F250" s="190">
        <v>16</v>
      </c>
      <c r="G250" s="190">
        <v>46440</v>
      </c>
      <c r="H250" s="190">
        <v>1098972</v>
      </c>
      <c r="I250" s="190">
        <v>7126077</v>
      </c>
      <c r="J250" s="190">
        <v>16192</v>
      </c>
      <c r="K250" s="190">
        <v>0</v>
      </c>
      <c r="L250" s="190">
        <v>101223</v>
      </c>
      <c r="M250" s="190">
        <v>2750</v>
      </c>
      <c r="N250" s="190">
        <v>357835</v>
      </c>
    </row>
    <row r="251" spans="1:14">
      <c r="A251">
        <v>5255</v>
      </c>
      <c r="B251" s="190" t="s">
        <v>25</v>
      </c>
      <c r="C251" s="190">
        <v>2</v>
      </c>
      <c r="D251" s="190">
        <v>84</v>
      </c>
      <c r="E251" s="190">
        <v>3</v>
      </c>
      <c r="F251" s="190">
        <v>10</v>
      </c>
      <c r="G251" s="190">
        <v>63349</v>
      </c>
      <c r="H251" s="190">
        <v>1336436</v>
      </c>
      <c r="I251" s="190">
        <v>7686163</v>
      </c>
      <c r="J251" s="190">
        <v>10886</v>
      </c>
      <c r="K251" s="190">
        <v>0</v>
      </c>
      <c r="L251" s="190">
        <v>84947</v>
      </c>
      <c r="M251" s="190">
        <v>3830</v>
      </c>
      <c r="N251" s="190">
        <v>374413</v>
      </c>
    </row>
    <row r="252" spans="2:14">
      <c r="B252" s="190" t="s">
        <v>26</v>
      </c>
      <c r="C252" s="190">
        <v>5</v>
      </c>
      <c r="D252" s="190">
        <v>225</v>
      </c>
      <c r="E252" s="190">
        <v>5</v>
      </c>
      <c r="F252" s="190">
        <v>30</v>
      </c>
      <c r="G252" s="190">
        <v>163737</v>
      </c>
      <c r="H252" s="190">
        <v>2248679</v>
      </c>
      <c r="I252" s="190">
        <v>21819919</v>
      </c>
      <c r="J252" s="190">
        <v>42716</v>
      </c>
      <c r="K252" s="190">
        <v>0</v>
      </c>
      <c r="L252" s="190">
        <v>276713</v>
      </c>
      <c r="M252" s="190">
        <v>9419</v>
      </c>
      <c r="N252" s="190">
        <v>724707</v>
      </c>
    </row>
    <row r="253" spans="2:14">
      <c r="B253" s="190" t="s">
        <v>27</v>
      </c>
      <c r="C253" s="190">
        <v>2</v>
      </c>
      <c r="D253" s="190">
        <v>86</v>
      </c>
      <c r="E253" s="190">
        <v>2</v>
      </c>
      <c r="F253" s="190">
        <v>25</v>
      </c>
      <c r="G253" s="190">
        <v>84900</v>
      </c>
      <c r="H253" s="190">
        <v>1305599</v>
      </c>
      <c r="I253" s="190">
        <v>12257540</v>
      </c>
      <c r="J253" s="190">
        <v>17270</v>
      </c>
      <c r="K253" s="190">
        <v>0</v>
      </c>
      <c r="L253" s="190">
        <v>350069</v>
      </c>
      <c r="M253" s="190">
        <v>4708</v>
      </c>
      <c r="N253" s="190">
        <v>394175</v>
      </c>
    </row>
    <row r="254" spans="1:14">
      <c r="A254">
        <v>5256</v>
      </c>
      <c r="B254" s="190" t="s">
        <v>25</v>
      </c>
      <c r="C254" s="190">
        <v>0</v>
      </c>
      <c r="D254" s="190">
        <v>7</v>
      </c>
      <c r="E254" s="190">
        <v>1</v>
      </c>
      <c r="F254" s="190">
        <v>20</v>
      </c>
      <c r="G254" s="190">
        <v>59395</v>
      </c>
      <c r="H254" s="190">
        <v>1507053</v>
      </c>
      <c r="I254" s="190">
        <v>10017011</v>
      </c>
      <c r="J254" s="190">
        <v>43252</v>
      </c>
      <c r="K254" s="190">
        <v>0</v>
      </c>
      <c r="L254" s="190">
        <v>155783</v>
      </c>
      <c r="M254" s="190">
        <v>4251</v>
      </c>
      <c r="N254" s="190">
        <v>571010</v>
      </c>
    </row>
    <row r="255" spans="2:14">
      <c r="B255" s="190" t="s">
        <v>26</v>
      </c>
      <c r="C255" s="190">
        <v>7</v>
      </c>
      <c r="D255" s="190">
        <v>319</v>
      </c>
      <c r="E255" s="190">
        <v>7</v>
      </c>
      <c r="F255" s="190">
        <v>29</v>
      </c>
      <c r="G255" s="190">
        <v>150886</v>
      </c>
      <c r="H255" s="190">
        <v>3360011</v>
      </c>
      <c r="I255" s="190">
        <v>25743077</v>
      </c>
      <c r="J255" s="190">
        <v>145872</v>
      </c>
      <c r="K255" s="190">
        <v>0</v>
      </c>
      <c r="L255" s="190">
        <v>956692</v>
      </c>
      <c r="M255" s="190">
        <v>15433</v>
      </c>
      <c r="N255" s="190">
        <v>1022688</v>
      </c>
    </row>
    <row r="256" spans="2:14">
      <c r="B256" s="190" t="s">
        <v>27</v>
      </c>
      <c r="C256" s="190">
        <v>2</v>
      </c>
      <c r="D256" s="190">
        <v>69</v>
      </c>
      <c r="E256" s="190">
        <v>2</v>
      </c>
      <c r="F256" s="190">
        <v>25</v>
      </c>
      <c r="G256" s="190">
        <v>103478</v>
      </c>
      <c r="H256" s="190">
        <v>1815739</v>
      </c>
      <c r="I256" s="190">
        <v>15149130</v>
      </c>
      <c r="J256" s="190">
        <v>35614</v>
      </c>
      <c r="K256" s="190">
        <v>0</v>
      </c>
      <c r="L256" s="190">
        <v>152105</v>
      </c>
      <c r="M256" s="190">
        <v>5882</v>
      </c>
      <c r="N256" s="190">
        <v>589471</v>
      </c>
    </row>
    <row r="257" spans="1:14">
      <c r="A257">
        <v>5257</v>
      </c>
      <c r="B257" s="190" t="s">
        <v>25</v>
      </c>
      <c r="C257" s="190">
        <v>4</v>
      </c>
      <c r="D257" s="190">
        <v>187</v>
      </c>
      <c r="E257" s="190">
        <v>5</v>
      </c>
      <c r="F257" s="190">
        <v>31</v>
      </c>
      <c r="G257" s="190">
        <v>127329</v>
      </c>
      <c r="H257" s="190">
        <v>2395448</v>
      </c>
      <c r="I257" s="190">
        <v>26531426</v>
      </c>
      <c r="J257" s="190">
        <v>87602</v>
      </c>
      <c r="K257" s="190">
        <v>0</v>
      </c>
      <c r="L257" s="190">
        <v>502919</v>
      </c>
      <c r="M257" s="190">
        <v>10834</v>
      </c>
      <c r="N257" s="190">
        <v>676942</v>
      </c>
    </row>
    <row r="258" spans="2:14">
      <c r="B258" s="190" t="s">
        <v>26</v>
      </c>
      <c r="C258" s="190">
        <v>3</v>
      </c>
      <c r="D258" s="190">
        <v>131</v>
      </c>
      <c r="E258" s="190">
        <v>3</v>
      </c>
      <c r="F258" s="190">
        <v>23</v>
      </c>
      <c r="G258" s="190">
        <v>84510</v>
      </c>
      <c r="H258" s="190">
        <v>2270984</v>
      </c>
      <c r="I258" s="190">
        <v>18002710</v>
      </c>
      <c r="J258" s="190">
        <v>62012</v>
      </c>
      <c r="K258" s="190">
        <v>0</v>
      </c>
      <c r="L258" s="190">
        <v>114020</v>
      </c>
      <c r="M258" s="190">
        <v>8021</v>
      </c>
      <c r="N258" s="190">
        <v>690122</v>
      </c>
    </row>
    <row r="259" spans="2:14">
      <c r="B259" s="190" t="s">
        <v>27</v>
      </c>
      <c r="C259" s="190">
        <v>2</v>
      </c>
      <c r="D259" s="190">
        <v>77</v>
      </c>
      <c r="E259" s="190">
        <v>2</v>
      </c>
      <c r="F259" s="190">
        <v>24</v>
      </c>
      <c r="G259" s="190">
        <v>92888</v>
      </c>
      <c r="H259" s="190">
        <v>2378012</v>
      </c>
      <c r="I259" s="190">
        <v>18948033</v>
      </c>
      <c r="J259" s="190">
        <v>69678</v>
      </c>
      <c r="K259" s="190">
        <v>0</v>
      </c>
      <c r="L259" s="190">
        <v>232631</v>
      </c>
      <c r="M259" s="190">
        <v>7913</v>
      </c>
      <c r="N259" s="190">
        <v>687719</v>
      </c>
    </row>
  </sheetData>
  <conditionalFormatting sqref="O58">
    <cfRule type="dataBar" priority="2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{eaa29d69-8060-4dc7-8e0c-34c7dfa811ad}</x14:id>
        </ext>
      </extLst>
    </cfRule>
  </conditionalFormatting>
  <conditionalFormatting sqref="P58">
    <cfRule type="dataBar" priority="2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{a4282bbd-96ff-4c64-8969-cc95937c68cb}</x14:id>
        </ext>
      </extLst>
    </cfRule>
  </conditionalFormatting>
  <conditionalFormatting sqref="Q58">
    <cfRule type="cellIs" dxfId="38" priority="207" operator="equal">
      <formula>配置!$D$4</formula>
    </cfRule>
    <cfRule type="cellIs" dxfId="39" priority="208" operator="equal">
      <formula>配置!$D$3</formula>
    </cfRule>
    <cfRule type="cellIs" dxfId="37" priority="209" operator="equal">
      <formula>配置!$D$2</formula>
    </cfRule>
    <cfRule type="cellIs" dxfId="38" priority="212" operator="equal">
      <formula>配置!$D$4</formula>
    </cfRule>
    <cfRule type="cellIs" dxfId="37" priority="213" operator="equal">
      <formula>配置!$D$2</formula>
    </cfRule>
  </conditionalFormatting>
  <conditionalFormatting sqref="Q59">
    <cfRule type="cellIs" dxfId="38" priority="205" operator="equal">
      <formula>配置!$D$4</formula>
    </cfRule>
    <cfRule type="cellIs" dxfId="37" priority="206" operator="equal">
      <formula>配置!$D$2</formula>
    </cfRule>
  </conditionalFormatting>
  <conditionalFormatting sqref="O61">
    <cfRule type="dataBar" priority="19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{ccfb5b4c-f555-490a-a3ba-302229d37109}</x14:id>
        </ext>
      </extLst>
    </cfRule>
  </conditionalFormatting>
  <conditionalFormatting sqref="P61">
    <cfRule type="dataBar" priority="19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{920918fa-ed30-414c-8469-08168ed0067d}</x14:id>
        </ext>
      </extLst>
    </cfRule>
  </conditionalFormatting>
  <conditionalFormatting sqref="Q61">
    <cfRule type="cellIs" dxfId="38" priority="193" operator="equal">
      <formula>配置!$D$4</formula>
    </cfRule>
    <cfRule type="cellIs" dxfId="39" priority="194" operator="equal">
      <formula>配置!$D$3</formula>
    </cfRule>
    <cfRule type="cellIs" dxfId="37" priority="195" operator="equal">
      <formula>配置!$D$2</formula>
    </cfRule>
    <cfRule type="cellIs" dxfId="38" priority="198" operator="equal">
      <formula>配置!$D$4</formula>
    </cfRule>
    <cfRule type="cellIs" dxfId="37" priority="199" operator="equal">
      <formula>配置!$D$2</formula>
    </cfRule>
  </conditionalFormatting>
  <conditionalFormatting sqref="Q62">
    <cfRule type="cellIs" dxfId="38" priority="191" operator="equal">
      <formula>配置!$D$4</formula>
    </cfRule>
    <cfRule type="cellIs" dxfId="37" priority="192" operator="equal">
      <formula>配置!$D$2</formula>
    </cfRule>
  </conditionalFormatting>
  <conditionalFormatting sqref="O64">
    <cfRule type="dataBar" priority="1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{aa8e8687-d299-458c-8bf9-4402576891c8}</x14:id>
        </ext>
      </extLst>
    </cfRule>
  </conditionalFormatting>
  <conditionalFormatting sqref="P64">
    <cfRule type="dataBar" priority="1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{f2b48ef5-a60b-422d-bf42-38811b90c612}</x14:id>
        </ext>
      </extLst>
    </cfRule>
  </conditionalFormatting>
  <conditionalFormatting sqref="Q64">
    <cfRule type="cellIs" dxfId="38" priority="179" operator="equal">
      <formula>配置!$D$4</formula>
    </cfRule>
    <cfRule type="cellIs" dxfId="39" priority="180" operator="equal">
      <formula>配置!$D$3</formula>
    </cfRule>
    <cfRule type="cellIs" dxfId="37" priority="181" operator="equal">
      <formula>配置!$D$2</formula>
    </cfRule>
    <cfRule type="cellIs" dxfId="38" priority="184" operator="equal">
      <formula>配置!$D$4</formula>
    </cfRule>
    <cfRule type="cellIs" dxfId="37" priority="185" operator="equal">
      <formula>配置!$D$2</formula>
    </cfRule>
  </conditionalFormatting>
  <conditionalFormatting sqref="Q65">
    <cfRule type="cellIs" dxfId="38" priority="177" operator="equal">
      <formula>配置!$D$4</formula>
    </cfRule>
    <cfRule type="cellIs" dxfId="37" priority="178" operator="equal">
      <formula>配置!$D$2</formula>
    </cfRule>
  </conditionalFormatting>
  <conditionalFormatting sqref="O67">
    <cfRule type="dataBar" priority="1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{c5559cc4-d164-4bb4-942c-9da5f61ee96f}</x14:id>
        </ext>
      </extLst>
    </cfRule>
  </conditionalFormatting>
  <conditionalFormatting sqref="P67">
    <cfRule type="dataBar" priority="1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{2d2f6aaa-0db0-49d8-86a6-3decb2671483}</x14:id>
        </ext>
      </extLst>
    </cfRule>
  </conditionalFormatting>
  <conditionalFormatting sqref="Q67">
    <cfRule type="cellIs" dxfId="38" priority="165" operator="equal">
      <formula>配置!$D$4</formula>
    </cfRule>
    <cfRule type="cellIs" dxfId="39" priority="166" operator="equal">
      <formula>配置!$D$3</formula>
    </cfRule>
    <cfRule type="cellIs" dxfId="37" priority="167" operator="equal">
      <formula>配置!$D$2</formula>
    </cfRule>
    <cfRule type="cellIs" dxfId="38" priority="170" operator="equal">
      <formula>配置!$D$4</formula>
    </cfRule>
    <cfRule type="cellIs" dxfId="37" priority="171" operator="equal">
      <formula>配置!$D$2</formula>
    </cfRule>
  </conditionalFormatting>
  <conditionalFormatting sqref="Q68">
    <cfRule type="cellIs" dxfId="38" priority="163" operator="equal">
      <formula>配置!$D$4</formula>
    </cfRule>
    <cfRule type="cellIs" dxfId="37" priority="164" operator="equal">
      <formula>配置!$D$2</formula>
    </cfRule>
  </conditionalFormatting>
  <conditionalFormatting sqref="O70">
    <cfRule type="dataBar" priority="1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{7a93049e-5c52-4709-9002-07ffac96af88}</x14:id>
        </ext>
      </extLst>
    </cfRule>
  </conditionalFormatting>
  <conditionalFormatting sqref="P70">
    <cfRule type="dataBar" priority="1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{3e8b2242-0908-44a8-a70c-ea0c33079183}</x14:id>
        </ext>
      </extLst>
    </cfRule>
  </conditionalFormatting>
  <conditionalFormatting sqref="Q70">
    <cfRule type="cellIs" dxfId="38" priority="151" operator="equal">
      <formula>配置!$D$4</formula>
    </cfRule>
    <cfRule type="cellIs" dxfId="39" priority="152" operator="equal">
      <formula>配置!$D$3</formula>
    </cfRule>
    <cfRule type="cellIs" dxfId="37" priority="153" operator="equal">
      <formula>配置!$D$2</formula>
    </cfRule>
    <cfRule type="cellIs" dxfId="38" priority="156" operator="equal">
      <formula>配置!$D$4</formula>
    </cfRule>
    <cfRule type="cellIs" dxfId="37" priority="157" operator="equal">
      <formula>配置!$D$2</formula>
    </cfRule>
  </conditionalFormatting>
  <conditionalFormatting sqref="Q71">
    <cfRule type="cellIs" dxfId="38" priority="149" operator="equal">
      <formula>配置!$D$4</formula>
    </cfRule>
    <cfRule type="cellIs" dxfId="37" priority="150" operator="equal">
      <formula>配置!$D$2</formula>
    </cfRule>
  </conditionalFormatting>
  <conditionalFormatting sqref="O73">
    <cfRule type="dataBar" priority="1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{f68104d1-fa27-4ed2-a2fe-f56f30428b9a}</x14:id>
        </ext>
      </extLst>
    </cfRule>
  </conditionalFormatting>
  <conditionalFormatting sqref="P73">
    <cfRule type="dataBar" priority="1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{c8e5ece4-a106-41f4-98cb-a74a1b10246d}</x14:id>
        </ext>
      </extLst>
    </cfRule>
  </conditionalFormatting>
  <conditionalFormatting sqref="Q73">
    <cfRule type="cellIs" dxfId="38" priority="137" operator="equal">
      <formula>配置!$D$4</formula>
    </cfRule>
    <cfRule type="cellIs" dxfId="39" priority="138" operator="equal">
      <formula>配置!$D$3</formula>
    </cfRule>
    <cfRule type="cellIs" dxfId="37" priority="139" operator="equal">
      <formula>配置!$D$2</formula>
    </cfRule>
    <cfRule type="cellIs" dxfId="38" priority="142" operator="equal">
      <formula>配置!$D$4</formula>
    </cfRule>
    <cfRule type="cellIs" dxfId="37" priority="143" operator="equal">
      <formula>配置!$D$2</formula>
    </cfRule>
  </conditionalFormatting>
  <conditionalFormatting sqref="Q74">
    <cfRule type="cellIs" dxfId="38" priority="135" operator="equal">
      <formula>配置!$D$4</formula>
    </cfRule>
    <cfRule type="cellIs" dxfId="37" priority="136" operator="equal">
      <formula>配置!$D$2</formula>
    </cfRule>
  </conditionalFormatting>
  <conditionalFormatting sqref="O76">
    <cfRule type="dataBar" priority="1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{6ba0efdd-d690-4647-a19f-f8d4f9ded267}</x14:id>
        </ext>
      </extLst>
    </cfRule>
  </conditionalFormatting>
  <conditionalFormatting sqref="P76">
    <cfRule type="dataBar" priority="1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{58336240-c142-47c7-8702-71f506cfd68a}</x14:id>
        </ext>
      </extLst>
    </cfRule>
  </conditionalFormatting>
  <conditionalFormatting sqref="Q76">
    <cfRule type="cellIs" dxfId="38" priority="123" operator="equal">
      <formula>配置!$D$4</formula>
    </cfRule>
    <cfRule type="cellIs" dxfId="39" priority="124" operator="equal">
      <formula>配置!$D$3</formula>
    </cfRule>
    <cfRule type="cellIs" dxfId="37" priority="125" operator="equal">
      <formula>配置!$D$2</formula>
    </cfRule>
    <cfRule type="cellIs" dxfId="38" priority="128" operator="equal">
      <formula>配置!$D$4</formula>
    </cfRule>
    <cfRule type="cellIs" dxfId="37" priority="129" operator="equal">
      <formula>配置!$D$2</formula>
    </cfRule>
  </conditionalFormatting>
  <conditionalFormatting sqref="Q77">
    <cfRule type="cellIs" dxfId="38" priority="121" operator="equal">
      <formula>配置!$D$4</formula>
    </cfRule>
    <cfRule type="cellIs" dxfId="37" priority="122" operator="equal">
      <formula>配置!$D$2</formula>
    </cfRule>
  </conditionalFormatting>
  <conditionalFormatting sqref="O79">
    <cfRule type="dataBar" priority="1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{e5883284-5b8e-49f7-9173-872955d217cc}</x14:id>
        </ext>
      </extLst>
    </cfRule>
  </conditionalFormatting>
  <conditionalFormatting sqref="P79">
    <cfRule type="dataBar" priority="1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{81c0bd2c-4aac-41ea-887b-f7b44f8f99a2}</x14:id>
        </ext>
      </extLst>
    </cfRule>
  </conditionalFormatting>
  <conditionalFormatting sqref="Q79">
    <cfRule type="cellIs" dxfId="38" priority="109" operator="equal">
      <formula>配置!$D$4</formula>
    </cfRule>
    <cfRule type="cellIs" dxfId="39" priority="110" operator="equal">
      <formula>配置!$D$3</formula>
    </cfRule>
    <cfRule type="cellIs" dxfId="37" priority="111" operator="equal">
      <formula>配置!$D$2</formula>
    </cfRule>
    <cfRule type="cellIs" dxfId="38" priority="114" operator="equal">
      <formula>配置!$D$4</formula>
    </cfRule>
    <cfRule type="cellIs" dxfId="37" priority="115" operator="equal">
      <formula>配置!$D$2</formula>
    </cfRule>
  </conditionalFormatting>
  <conditionalFormatting sqref="Q80">
    <cfRule type="cellIs" dxfId="38" priority="107" operator="equal">
      <formula>配置!$D$4</formula>
    </cfRule>
    <cfRule type="cellIs" dxfId="37" priority="108" operator="equal">
      <formula>配置!$D$2</formula>
    </cfRule>
  </conditionalFormatting>
  <conditionalFormatting sqref="O82">
    <cfRule type="dataBar" priority="9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{46c6950c-0c41-4b7e-805d-f619762e1f20}</x14:id>
        </ext>
      </extLst>
    </cfRule>
  </conditionalFormatting>
  <conditionalFormatting sqref="P82">
    <cfRule type="dataBar" priority="9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{22c44813-ea62-4b0c-b047-79af980f59cf}</x14:id>
        </ext>
      </extLst>
    </cfRule>
  </conditionalFormatting>
  <conditionalFormatting sqref="Q82">
    <cfRule type="cellIs" dxfId="38" priority="95" operator="equal">
      <formula>配置!$D$4</formula>
    </cfRule>
    <cfRule type="cellIs" dxfId="39" priority="96" operator="equal">
      <formula>配置!$D$3</formula>
    </cfRule>
    <cfRule type="cellIs" dxfId="37" priority="97" operator="equal">
      <formula>配置!$D$2</formula>
    </cfRule>
    <cfRule type="cellIs" dxfId="38" priority="100" operator="equal">
      <formula>配置!$D$4</formula>
    </cfRule>
    <cfRule type="cellIs" dxfId="37" priority="101" operator="equal">
      <formula>配置!$D$2</formula>
    </cfRule>
  </conditionalFormatting>
  <conditionalFormatting sqref="Q83">
    <cfRule type="cellIs" dxfId="38" priority="93" operator="equal">
      <formula>配置!$D$4</formula>
    </cfRule>
    <cfRule type="cellIs" dxfId="37" priority="94" operator="equal">
      <formula>配置!$D$2</formula>
    </cfRule>
  </conditionalFormatting>
  <conditionalFormatting sqref="O85">
    <cfRule type="dataBar" priority="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{4132899a-9b1f-4794-b235-c752a45112be}</x14:id>
        </ext>
      </extLst>
    </cfRule>
  </conditionalFormatting>
  <conditionalFormatting sqref="P85">
    <cfRule type="dataBar" priority="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{c3e694e2-3104-441b-8b11-ce8c464cbddc}</x14:id>
        </ext>
      </extLst>
    </cfRule>
  </conditionalFormatting>
  <conditionalFormatting sqref="Q85">
    <cfRule type="cellIs" dxfId="38" priority="81" operator="equal">
      <formula>配置!$D$4</formula>
    </cfRule>
    <cfRule type="cellIs" dxfId="39" priority="82" operator="equal">
      <formula>配置!$D$3</formula>
    </cfRule>
    <cfRule type="cellIs" dxfId="37" priority="83" operator="equal">
      <formula>配置!$D$2</formula>
    </cfRule>
    <cfRule type="cellIs" dxfId="38" priority="86" operator="equal">
      <formula>配置!$D$4</formula>
    </cfRule>
    <cfRule type="cellIs" dxfId="37" priority="87" operator="equal">
      <formula>配置!$D$2</formula>
    </cfRule>
  </conditionalFormatting>
  <conditionalFormatting sqref="Q86">
    <cfRule type="cellIs" dxfId="38" priority="79" operator="equal">
      <formula>配置!$D$4</formula>
    </cfRule>
    <cfRule type="cellIs" dxfId="37" priority="80" operator="equal">
      <formula>配置!$D$2</formula>
    </cfRule>
  </conditionalFormatting>
  <conditionalFormatting sqref="O88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{46000709-9e06-4720-89d0-8a3e62d8fd44}</x14:id>
        </ext>
      </extLst>
    </cfRule>
  </conditionalFormatting>
  <conditionalFormatting sqref="P88">
    <cfRule type="dataBar" priority="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{1130ca59-10ba-492c-a092-0bd921019016}</x14:id>
        </ext>
      </extLst>
    </cfRule>
  </conditionalFormatting>
  <conditionalFormatting sqref="Q88">
    <cfRule type="cellIs" dxfId="38" priority="67" operator="equal">
      <formula>配置!$D$4</formula>
    </cfRule>
    <cfRule type="cellIs" dxfId="39" priority="68" operator="equal">
      <formula>配置!$D$3</formula>
    </cfRule>
    <cfRule type="cellIs" dxfId="37" priority="69" operator="equal">
      <formula>配置!$D$2</formula>
    </cfRule>
    <cfRule type="cellIs" dxfId="38" priority="72" operator="equal">
      <formula>配置!$D$4</formula>
    </cfRule>
    <cfRule type="cellIs" dxfId="37" priority="73" operator="equal">
      <formula>配置!$D$2</formula>
    </cfRule>
  </conditionalFormatting>
  <conditionalFormatting sqref="Q89">
    <cfRule type="cellIs" dxfId="38" priority="65" operator="equal">
      <formula>配置!$D$4</formula>
    </cfRule>
    <cfRule type="cellIs" dxfId="37" priority="66" operator="equal">
      <formula>配置!$D$2</formula>
    </cfRule>
  </conditionalFormatting>
  <conditionalFormatting sqref="O91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{5b44555f-5d9a-4e74-872e-01b415c8821f}</x14:id>
        </ext>
      </extLst>
    </cfRule>
  </conditionalFormatting>
  <conditionalFormatting sqref="P91"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{69306741-2e78-4de8-8569-3f32dd16bd05}</x14:id>
        </ext>
      </extLst>
    </cfRule>
  </conditionalFormatting>
  <conditionalFormatting sqref="Q91">
    <cfRule type="cellIs" dxfId="38" priority="53" operator="equal">
      <formula>配置!$D$4</formula>
    </cfRule>
    <cfRule type="cellIs" dxfId="39" priority="54" operator="equal">
      <formula>配置!$D$3</formula>
    </cfRule>
    <cfRule type="cellIs" dxfId="37" priority="55" operator="equal">
      <formula>配置!$D$2</formula>
    </cfRule>
    <cfRule type="cellIs" dxfId="38" priority="58" operator="equal">
      <formula>配置!$D$4</formula>
    </cfRule>
    <cfRule type="cellIs" dxfId="37" priority="59" operator="equal">
      <formula>配置!$D$2</formula>
    </cfRule>
  </conditionalFormatting>
  <conditionalFormatting sqref="Q92">
    <cfRule type="cellIs" dxfId="38" priority="51" operator="equal">
      <formula>配置!$D$4</formula>
    </cfRule>
    <cfRule type="cellIs" dxfId="37" priority="52" operator="equal">
      <formula>配置!$D$2</formula>
    </cfRule>
  </conditionalFormatting>
  <conditionalFormatting sqref="O94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{65401470-f6d7-44b7-b48a-377c6951ab90}</x14:id>
        </ext>
      </extLst>
    </cfRule>
  </conditionalFormatting>
  <conditionalFormatting sqref="P94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{44066b9c-e453-4a17-a790-eb76f21f0fef}</x14:id>
        </ext>
      </extLst>
    </cfRule>
  </conditionalFormatting>
  <conditionalFormatting sqref="Q94">
    <cfRule type="cellIs" dxfId="38" priority="39" operator="equal">
      <formula>配置!$D$4</formula>
    </cfRule>
    <cfRule type="cellIs" dxfId="39" priority="40" operator="equal">
      <formula>配置!$D$3</formula>
    </cfRule>
    <cfRule type="cellIs" dxfId="37" priority="41" operator="equal">
      <formula>配置!$D$2</formula>
    </cfRule>
    <cfRule type="cellIs" dxfId="38" priority="44" operator="equal">
      <formula>配置!$D$4</formula>
    </cfRule>
    <cfRule type="cellIs" dxfId="37" priority="45" operator="equal">
      <formula>配置!$D$2</formula>
    </cfRule>
  </conditionalFormatting>
  <conditionalFormatting sqref="Q95">
    <cfRule type="cellIs" dxfId="38" priority="37" operator="equal">
      <formula>配置!$D$4</formula>
    </cfRule>
    <cfRule type="cellIs" dxfId="37" priority="38" operator="equal">
      <formula>配置!$D$2</formula>
    </cfRule>
  </conditionalFormatting>
  <conditionalFormatting sqref="P113">
    <cfRule type="cellIs" dxfId="37" priority="1" operator="equal">
      <formula>$S$125</formula>
    </cfRule>
  </conditionalFormatting>
  <conditionalFormatting sqref="F113:F115">
    <cfRule type="dataBar" priority="3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{9321efc4-f24f-4438-b08f-e02dc3ff528c}</x14:id>
        </ext>
      </extLst>
    </cfRule>
  </conditionalFormatting>
  <conditionalFormatting sqref="F116:F118">
    <cfRule type="dataBar" priority="33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{9eaaa223-c4df-4823-b57c-cd191711e30e}</x14:id>
        </ext>
      </extLst>
    </cfRule>
  </conditionalFormatting>
  <conditionalFormatting sqref="F119:F121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{19044746-f32d-46ad-af70-587dea1ec7cf}</x14:id>
        </ext>
      </extLst>
    </cfRule>
  </conditionalFormatting>
  <conditionalFormatting sqref="F122:F124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{7ac4c91a-81d2-4eb6-a9b0-352b838e9942}</x14:id>
        </ext>
      </extLst>
    </cfRule>
  </conditionalFormatting>
  <conditionalFormatting sqref="F125:F127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{0b32bab8-066d-497b-bb16-d3c3f670efca}</x14:id>
        </ext>
      </extLst>
    </cfRule>
  </conditionalFormatting>
  <conditionalFormatting sqref="F128:F13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{e43a4f3b-94c0-445c-b20c-59184a437e15}</x14:id>
        </ext>
      </extLst>
    </cfRule>
  </conditionalFormatting>
  <conditionalFormatting sqref="F131:F13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{a7832898-96cc-45e9-8e59-3e4fec682d20}</x14:id>
        </ext>
      </extLst>
    </cfRule>
  </conditionalFormatting>
  <conditionalFormatting sqref="F134:F136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{55ca2c39-6e29-4579-afda-f198778b016d}</x14:id>
        </ext>
      </extLst>
    </cfRule>
  </conditionalFormatting>
  <conditionalFormatting sqref="F137:F139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{2167e2b2-2480-43d5-bdeb-b5bb2205438b}</x14:id>
        </ext>
      </extLst>
    </cfRule>
  </conditionalFormatting>
  <conditionalFormatting sqref="F140:F142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{83280902-09ea-494e-91c9-f903553771cf}</x14:id>
        </ext>
      </extLst>
    </cfRule>
  </conditionalFormatting>
  <conditionalFormatting sqref="F143:F145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{8f1627ea-97b9-4b9d-b81d-1fa743e36063}</x14:id>
        </ext>
      </extLst>
    </cfRule>
  </conditionalFormatting>
  <conditionalFormatting sqref="F146:F148">
    <cfRule type="dataBar" priority="3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{f92f8f3a-7e1b-4e97-9166-012489cda47c}</x14:id>
        </ext>
      </extLst>
    </cfRule>
  </conditionalFormatting>
  <conditionalFormatting sqref="G113:G115">
    <cfRule type="dataBar" priority="3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{0866490d-f2fd-42c4-af08-a07f5b1a2666}</x14:id>
        </ext>
      </extLst>
    </cfRule>
  </conditionalFormatting>
  <conditionalFormatting sqref="G116:G118">
    <cfRule type="dataBar" priority="33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{d0c45e06-dcff-4775-9eb5-7ab4b5372ad2}</x14:id>
        </ext>
      </extLst>
    </cfRule>
  </conditionalFormatting>
  <conditionalFormatting sqref="G119:G121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{c61671f4-9ae7-4ff6-a97d-05c7c7cb803f}</x14:id>
        </ext>
      </extLst>
    </cfRule>
  </conditionalFormatting>
  <conditionalFormatting sqref="G122:G124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{c5e9002e-301a-4f9c-9622-54f1c5bb75b1}</x14:id>
        </ext>
      </extLst>
    </cfRule>
  </conditionalFormatting>
  <conditionalFormatting sqref="G125:G127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{9abf7f98-2dea-4fa7-a040-c0a14eeb0ab3}</x14:id>
        </ext>
      </extLst>
    </cfRule>
  </conditionalFormatting>
  <conditionalFormatting sqref="G128:G130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{1f1bab33-46de-4c44-891a-4a5c73440d11}</x14:id>
        </ext>
      </extLst>
    </cfRule>
  </conditionalFormatting>
  <conditionalFormatting sqref="G131:G133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{d5a1bf41-3a3c-40fe-aee1-c01ecad45742}</x14:id>
        </ext>
      </extLst>
    </cfRule>
  </conditionalFormatting>
  <conditionalFormatting sqref="G134:G136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{013c1cd0-c8bf-4d1d-b849-9d8feaacf1f1}</x14:id>
        </ext>
      </extLst>
    </cfRule>
  </conditionalFormatting>
  <conditionalFormatting sqref="G137:G139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{19410027-1ed3-496a-a694-bd8e51c850af}</x14:id>
        </ext>
      </extLst>
    </cfRule>
  </conditionalFormatting>
  <conditionalFormatting sqref="G140:G142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{80bc697c-3da9-4325-8a6c-dd1af66598de}</x14:id>
        </ext>
      </extLst>
    </cfRule>
  </conditionalFormatting>
  <conditionalFormatting sqref="G143:G145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{eeae7587-5079-4fe1-9c04-99a611ab0b61}</x14:id>
        </ext>
      </extLst>
    </cfRule>
  </conditionalFormatting>
  <conditionalFormatting sqref="G146:G148">
    <cfRule type="dataBar" priority="33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{9f252bc6-f10e-470b-92ac-79ae3ce17d9a}</x14:id>
        </ext>
      </extLst>
    </cfRule>
  </conditionalFormatting>
  <conditionalFormatting sqref="N119:N121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{e881a3b8-920d-488f-b2b1-fade0c9469c0}</x14:id>
        </ext>
      </extLst>
    </cfRule>
  </conditionalFormatting>
  <conditionalFormatting sqref="N122:N124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{5ed6c90d-1045-44af-a0f2-cc8716021b5e}</x14:id>
        </ext>
      </extLst>
    </cfRule>
  </conditionalFormatting>
  <conditionalFormatting sqref="N125:N12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{df55fd70-d8c0-4c2f-976f-6d4309e5f652}</x14:id>
        </ext>
      </extLst>
    </cfRule>
  </conditionalFormatting>
  <conditionalFormatting sqref="N128:N130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{8704ecfb-bf2c-4234-9fe9-18dcf4481b9e}</x14:id>
        </ext>
      </extLst>
    </cfRule>
  </conditionalFormatting>
  <conditionalFormatting sqref="N131:N133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{f943f270-66d8-4d29-9014-4953a687a5f0}</x14:id>
        </ext>
      </extLst>
    </cfRule>
  </conditionalFormatting>
  <conditionalFormatting sqref="N134:N136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{84168dc2-7462-443e-a7bf-9850c7a93be8}</x14:id>
        </ext>
      </extLst>
    </cfRule>
  </conditionalFormatting>
  <conditionalFormatting sqref="N137:N139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{0e220de8-176e-4f16-9343-58364f525718}</x14:id>
        </ext>
      </extLst>
    </cfRule>
  </conditionalFormatting>
  <conditionalFormatting sqref="N140:N14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{aad002ce-f73f-450c-846e-eab06a45bff4}</x14:id>
        </ext>
      </extLst>
    </cfRule>
  </conditionalFormatting>
  <conditionalFormatting sqref="N143:N145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{1ceafaaa-c990-4892-9b2c-e8660df31c20}</x14:id>
        </ext>
      </extLst>
    </cfRule>
  </conditionalFormatting>
  <conditionalFormatting sqref="O14:O16">
    <cfRule type="dataBar" priority="3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{74e1f18f-e30e-40bb-9d5c-fa0bc587e148}</x14:id>
        </ext>
      </extLst>
    </cfRule>
  </conditionalFormatting>
  <conditionalFormatting sqref="O17:O19">
    <cfRule type="dataBar" priority="3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{ea3eb58b-5f89-4a3b-9f28-d0f6f2879207}</x14:id>
        </ext>
      </extLst>
    </cfRule>
  </conditionalFormatting>
  <conditionalFormatting sqref="O20:O22">
    <cfRule type="dataBar" priority="30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{9fc945a5-5a97-400e-bfd6-d86995d93cad}</x14:id>
        </ext>
      </extLst>
    </cfRule>
  </conditionalFormatting>
  <conditionalFormatting sqref="O23:O25">
    <cfRule type="dataBar" priority="3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{2472e5a3-21ab-43d0-a2a8-0157df266e3d}</x14:id>
        </ext>
      </extLst>
    </cfRule>
  </conditionalFormatting>
  <conditionalFormatting sqref="O26:O28">
    <cfRule type="dataBar" priority="29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{a717bd2f-34a0-4ac7-8475-b4173ca5ecda}</x14:id>
        </ext>
      </extLst>
    </cfRule>
  </conditionalFormatting>
  <conditionalFormatting sqref="O29:O31">
    <cfRule type="dataBar" priority="28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{6cd51511-402c-4ba4-b3e9-f4778e9ab6f9}</x14:id>
        </ext>
      </extLst>
    </cfRule>
  </conditionalFormatting>
  <conditionalFormatting sqref="O32:O34">
    <cfRule type="dataBar" priority="2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{3f753287-d268-4831-8977-37a4fcdd81e1}</x14:id>
        </ext>
      </extLst>
    </cfRule>
  </conditionalFormatting>
  <conditionalFormatting sqref="O35:O37">
    <cfRule type="dataBar" priority="2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{7a33472f-c08f-4060-b69f-8298f1ed51f8}</x14:id>
        </ext>
      </extLst>
    </cfRule>
  </conditionalFormatting>
  <conditionalFormatting sqref="O38:O40">
    <cfRule type="dataBar" priority="2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{7310a3c2-f133-45e0-9ee7-92678c07bd47}</x14:id>
        </ext>
      </extLst>
    </cfRule>
  </conditionalFormatting>
  <conditionalFormatting sqref="O41:O43">
    <cfRule type="dataBar" priority="2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{e4448faa-57ad-4c43-b520-d282bbef5d8a}</x14:id>
        </ext>
      </extLst>
    </cfRule>
  </conditionalFormatting>
  <conditionalFormatting sqref="O44:O46">
    <cfRule type="dataBar" priority="2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{fedfea0b-bed6-4192-b5bc-282d09953099}</x14:id>
        </ext>
      </extLst>
    </cfRule>
  </conditionalFormatting>
  <conditionalFormatting sqref="O47:O49">
    <cfRule type="dataBar" priority="2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{a9600607-5576-4970-a3f3-de4b524968a4}</x14:id>
        </ext>
      </extLst>
    </cfRule>
  </conditionalFormatting>
  <conditionalFormatting sqref="O50:O52">
    <cfRule type="dataBar" priority="2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{e076bff1-f3ec-496b-abaf-eeab44f80e18}</x14:id>
        </ext>
      </extLst>
    </cfRule>
  </conditionalFormatting>
  <conditionalFormatting sqref="O53:O55">
    <cfRule type="dataBar" priority="2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{bd89df15-b8f2-4cfa-8e03-1ad8b6fb8139}</x14:id>
        </ext>
      </extLst>
    </cfRule>
  </conditionalFormatting>
  <conditionalFormatting sqref="O59:O60">
    <cfRule type="dataBar" priority="20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{fed60def-f70f-4c7e-ba35-1895bd8cd0ad}</x14:id>
        </ext>
      </extLst>
    </cfRule>
  </conditionalFormatting>
  <conditionalFormatting sqref="O62:O63">
    <cfRule type="dataBar" priority="1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{f1aca696-39e1-435c-b213-3c1edb808364}</x14:id>
        </ext>
      </extLst>
    </cfRule>
  </conditionalFormatting>
  <conditionalFormatting sqref="O65:O66">
    <cfRule type="dataBar" priority="17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{2e222211-c992-4330-9559-58fa32238dc4}</x14:id>
        </ext>
      </extLst>
    </cfRule>
  </conditionalFormatting>
  <conditionalFormatting sqref="O68:O69">
    <cfRule type="dataBar" priority="1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{b661ff72-50a0-4c80-b2f2-70076ab8e351}</x14:id>
        </ext>
      </extLst>
    </cfRule>
  </conditionalFormatting>
  <conditionalFormatting sqref="O71:O72">
    <cfRule type="dataBar" priority="1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{1bcdce92-a2be-4e7a-a870-ce9e8db46758}</x14:id>
        </ext>
      </extLst>
    </cfRule>
  </conditionalFormatting>
  <conditionalFormatting sqref="O74:O75">
    <cfRule type="dataBar" priority="1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{54258dfb-2f4b-4b79-a4b6-f64941632b8f}</x14:id>
        </ext>
      </extLst>
    </cfRule>
  </conditionalFormatting>
  <conditionalFormatting sqref="O77:O78">
    <cfRule type="dataBar" priority="1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{d2625904-9328-447c-aee5-2d9e75ca2034}</x14:id>
        </ext>
      </extLst>
    </cfRule>
  </conditionalFormatting>
  <conditionalFormatting sqref="O80:O81">
    <cfRule type="dataBar" priority="10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{a4f786a3-d8d1-4766-9d4f-378b8c1e5c0b}</x14:id>
        </ext>
      </extLst>
    </cfRule>
  </conditionalFormatting>
  <conditionalFormatting sqref="O83:O84">
    <cfRule type="dataBar" priority="9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{12b7bc2f-4d12-4420-9578-7eeacd8517b3}</x14:id>
        </ext>
      </extLst>
    </cfRule>
  </conditionalFormatting>
  <conditionalFormatting sqref="O86:O87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{0c89a766-2b55-4dd7-ab12-c6b04fcbf103}</x14:id>
        </ext>
      </extLst>
    </cfRule>
  </conditionalFormatting>
  <conditionalFormatting sqref="O89:O90">
    <cfRule type="dataBar" priority="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{cbff0001-8e7e-4a72-80fd-2a305dbb7e37}</x14:id>
        </ext>
      </extLst>
    </cfRule>
  </conditionalFormatting>
  <conditionalFormatting sqref="O92:O93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{65b02723-bcf5-46f6-8a3d-acfdf2ff01b4}</x14:id>
        </ext>
      </extLst>
    </cfRule>
  </conditionalFormatting>
  <conditionalFormatting sqref="O95:O96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{4fa58abf-2518-4252-a9cb-8a54ec3a3605}</x14:id>
        </ext>
      </extLst>
    </cfRule>
  </conditionalFormatting>
  <conditionalFormatting sqref="O98:O100">
    <cfRule type="dataBar" priority="2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{92181610-82ad-4650-bc7f-db045e17e7a0}</x14:id>
        </ext>
      </extLst>
    </cfRule>
  </conditionalFormatting>
  <conditionalFormatting sqref="O107:O109">
    <cfRule type="dataBar" priority="3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{1a102ffc-4851-4950-99fc-67eaa4546612}</x14:id>
        </ext>
      </extLst>
    </cfRule>
  </conditionalFormatting>
  <conditionalFormatting sqref="P14:P16">
    <cfRule type="dataBar" priority="3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{465fae1b-ff9d-4666-8eee-0e1403f92ed1}</x14:id>
        </ext>
      </extLst>
    </cfRule>
  </conditionalFormatting>
  <conditionalFormatting sqref="P17:P19">
    <cfRule type="dataBar" priority="3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{1adf9203-3fa7-4bb0-94a9-3980797bfa53}</x14:id>
        </ext>
      </extLst>
    </cfRule>
  </conditionalFormatting>
  <conditionalFormatting sqref="P20:P22">
    <cfRule type="dataBar" priority="30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{0b0e7e3f-b867-4c27-9a6a-c41e91f0ffe2}</x14:id>
        </ext>
      </extLst>
    </cfRule>
  </conditionalFormatting>
  <conditionalFormatting sqref="P23:P25">
    <cfRule type="dataBar" priority="3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{71fd4394-f3d5-4606-9ee2-379e35324cb5}</x14:id>
        </ext>
      </extLst>
    </cfRule>
  </conditionalFormatting>
  <conditionalFormatting sqref="P26:P28">
    <cfRule type="dataBar" priority="29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{f4d34c9f-d84e-40aa-8aee-3903f5a51ca7}</x14:id>
        </ext>
      </extLst>
    </cfRule>
  </conditionalFormatting>
  <conditionalFormatting sqref="P29:P31">
    <cfRule type="dataBar" priority="2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{573098ae-6dd8-4008-b06c-cc93857ff718}</x14:id>
        </ext>
      </extLst>
    </cfRule>
  </conditionalFormatting>
  <conditionalFormatting sqref="P32:P34">
    <cfRule type="dataBar" priority="2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{96e09e0f-1e1c-40a9-b6e6-5042abffea92}</x14:id>
        </ext>
      </extLst>
    </cfRule>
  </conditionalFormatting>
  <conditionalFormatting sqref="P35:P37">
    <cfRule type="dataBar" priority="2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{17a8ca09-cfc6-4957-b28a-8f46b1eef62d}</x14:id>
        </ext>
      </extLst>
    </cfRule>
  </conditionalFormatting>
  <conditionalFormatting sqref="P38:P40">
    <cfRule type="dataBar" priority="2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{e28fe916-9f2b-4815-b819-855e43d1e084}</x14:id>
        </ext>
      </extLst>
    </cfRule>
  </conditionalFormatting>
  <conditionalFormatting sqref="P41:P43">
    <cfRule type="dataBar" priority="2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{86f7adb4-e013-4538-9326-9be0865d0070}</x14:id>
        </ext>
      </extLst>
    </cfRule>
  </conditionalFormatting>
  <conditionalFormatting sqref="P44:P46">
    <cfRule type="dataBar" priority="2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{ca9c683a-a833-4b2a-a8c9-5b8aab702293}</x14:id>
        </ext>
      </extLst>
    </cfRule>
  </conditionalFormatting>
  <conditionalFormatting sqref="P47:P49">
    <cfRule type="dataBar" priority="2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{d6e90c21-d87d-4379-8912-c509a149eadd}</x14:id>
        </ext>
      </extLst>
    </cfRule>
  </conditionalFormatting>
  <conditionalFormatting sqref="P50:P52">
    <cfRule type="dataBar" priority="2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{ac0f3f8c-c43c-48b9-948d-5f190458bfb9}</x14:id>
        </ext>
      </extLst>
    </cfRule>
  </conditionalFormatting>
  <conditionalFormatting sqref="P53:P55">
    <cfRule type="dataBar" priority="2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{4561b7a2-676b-407f-949c-d835d38cb890}</x14:id>
        </ext>
      </extLst>
    </cfRule>
  </conditionalFormatting>
  <conditionalFormatting sqref="P59:P60">
    <cfRule type="dataBar" priority="20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{0e15c27f-4f2b-4fbc-8827-f454a26759f9}</x14:id>
        </ext>
      </extLst>
    </cfRule>
  </conditionalFormatting>
  <conditionalFormatting sqref="P62:P63">
    <cfRule type="dataBar" priority="1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{05454ceb-8972-437f-a18b-ecf52432d926}</x14:id>
        </ext>
      </extLst>
    </cfRule>
  </conditionalFormatting>
  <conditionalFormatting sqref="P65:P66">
    <cfRule type="dataBar" priority="1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{a01b14c4-331c-4232-994b-868870f01f7d}</x14:id>
        </ext>
      </extLst>
    </cfRule>
  </conditionalFormatting>
  <conditionalFormatting sqref="P68:P69">
    <cfRule type="dataBar" priority="1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{4377b286-ee8a-4512-8405-24f729053040}</x14:id>
        </ext>
      </extLst>
    </cfRule>
  </conditionalFormatting>
  <conditionalFormatting sqref="P71:P72">
    <cfRule type="dataBar" priority="1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{f83a2616-948a-4779-81da-74b382a3839a}</x14:id>
        </ext>
      </extLst>
    </cfRule>
  </conditionalFormatting>
  <conditionalFormatting sqref="P74:P75">
    <cfRule type="dataBar" priority="1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{a1af5de0-8403-4a92-b374-cda8f3e5d143}</x14:id>
        </ext>
      </extLst>
    </cfRule>
  </conditionalFormatting>
  <conditionalFormatting sqref="P77:P78">
    <cfRule type="dataBar" priority="1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{f845038c-fa09-4245-9852-59163a5137da}</x14:id>
        </ext>
      </extLst>
    </cfRule>
  </conditionalFormatting>
  <conditionalFormatting sqref="P80:P81">
    <cfRule type="dataBar" priority="10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{05be3cb6-0ac0-424a-947a-4f8c2e012145}</x14:id>
        </ext>
      </extLst>
    </cfRule>
  </conditionalFormatting>
  <conditionalFormatting sqref="P83:P84">
    <cfRule type="dataBar" priority="9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{e4a1b2ee-177f-4ee7-a54a-bb081f62c7b6}</x14:id>
        </ext>
      </extLst>
    </cfRule>
  </conditionalFormatting>
  <conditionalFormatting sqref="P86:P87">
    <cfRule type="dataBar" priority="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{080a3fcb-7baf-49d2-a2a2-710c33cdb60a}</x14:id>
        </ext>
      </extLst>
    </cfRule>
  </conditionalFormatting>
  <conditionalFormatting sqref="P89:P90">
    <cfRule type="dataBar" priority="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{5e5981d4-c198-477e-b31f-1d52e4fc8142}</x14:id>
        </ext>
      </extLst>
    </cfRule>
  </conditionalFormatting>
  <conditionalFormatting sqref="P92:P93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{d291a1a1-783f-4eea-b578-d69f7527512f}</x14:id>
        </ext>
      </extLst>
    </cfRule>
  </conditionalFormatting>
  <conditionalFormatting sqref="P95:P96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{2f7beeb1-589d-4efd-b394-0aebf0f9b025}</x14:id>
        </ext>
      </extLst>
    </cfRule>
  </conditionalFormatting>
  <conditionalFormatting sqref="P98:P100">
    <cfRule type="dataBar" priority="2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{1939126d-abb7-469f-96d9-752c3faed0dc}</x14:id>
        </ext>
      </extLst>
    </cfRule>
  </conditionalFormatting>
  <conditionalFormatting sqref="P107:P109">
    <cfRule type="dataBar" priority="3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{262b12f1-674c-41da-a831-137c0cbf32c7}</x14:id>
        </ext>
      </extLst>
    </cfRule>
  </conditionalFormatting>
  <conditionalFormatting sqref="P114:P148">
    <cfRule type="cellIs" dxfId="37" priority="3" operator="equal">
      <formula>$S$125</formula>
    </cfRule>
  </conditionalFormatting>
  <conditionalFormatting sqref="Q14:Q16">
    <cfRule type="cellIs" dxfId="38" priority="319" operator="equal">
      <formula>配置!$D$4</formula>
    </cfRule>
    <cfRule type="cellIs" dxfId="39" priority="320" operator="equal">
      <formula>配置!$D$3</formula>
    </cfRule>
    <cfRule type="cellIs" dxfId="37" priority="321" operator="equal">
      <formula>配置!$D$2</formula>
    </cfRule>
  </conditionalFormatting>
  <conditionalFormatting sqref="Q17:Q19">
    <cfRule type="cellIs" dxfId="38" priority="312" operator="equal">
      <formula>配置!$D$4</formula>
    </cfRule>
    <cfRule type="cellIs" dxfId="39" priority="313" operator="equal">
      <formula>配置!$D$3</formula>
    </cfRule>
    <cfRule type="cellIs" dxfId="37" priority="314" operator="equal">
      <formula>配置!$D$2</formula>
    </cfRule>
  </conditionalFormatting>
  <conditionalFormatting sqref="Q20:Q22">
    <cfRule type="cellIs" dxfId="38" priority="305" operator="equal">
      <formula>配置!$D$4</formula>
    </cfRule>
    <cfRule type="cellIs" dxfId="39" priority="306" operator="equal">
      <formula>配置!$D$3</formula>
    </cfRule>
    <cfRule type="cellIs" dxfId="37" priority="307" operator="equal">
      <formula>配置!$D$2</formula>
    </cfRule>
  </conditionalFormatting>
  <conditionalFormatting sqref="Q23:Q25">
    <cfRule type="cellIs" dxfId="38" priority="298" operator="equal">
      <formula>配置!$D$4</formula>
    </cfRule>
    <cfRule type="cellIs" dxfId="39" priority="299" operator="equal">
      <formula>配置!$D$3</formula>
    </cfRule>
    <cfRule type="cellIs" dxfId="37" priority="300" operator="equal">
      <formula>配置!$D$2</formula>
    </cfRule>
  </conditionalFormatting>
  <conditionalFormatting sqref="Q26:Q28">
    <cfRule type="cellIs" dxfId="38" priority="291" operator="equal">
      <formula>配置!$D$4</formula>
    </cfRule>
    <cfRule type="cellIs" dxfId="39" priority="292" operator="equal">
      <formula>配置!$D$3</formula>
    </cfRule>
    <cfRule type="cellIs" dxfId="37" priority="293" operator="equal">
      <formula>配置!$D$2</formula>
    </cfRule>
  </conditionalFormatting>
  <conditionalFormatting sqref="Q29:Q31">
    <cfRule type="cellIs" dxfId="38" priority="284" operator="equal">
      <formula>配置!$D$4</formula>
    </cfRule>
    <cfRule type="cellIs" dxfId="39" priority="285" operator="equal">
      <formula>配置!$D$3</formula>
    </cfRule>
    <cfRule type="cellIs" dxfId="37" priority="286" operator="equal">
      <formula>配置!$D$2</formula>
    </cfRule>
  </conditionalFormatting>
  <conditionalFormatting sqref="Q32:Q34">
    <cfRule type="cellIs" dxfId="38" priority="277" operator="equal">
      <formula>配置!$D$4</formula>
    </cfRule>
    <cfRule type="cellIs" dxfId="39" priority="278" operator="equal">
      <formula>配置!$D$3</formula>
    </cfRule>
    <cfRule type="cellIs" dxfId="37" priority="279" operator="equal">
      <formula>配置!$D$2</formula>
    </cfRule>
  </conditionalFormatting>
  <conditionalFormatting sqref="Q35:Q37">
    <cfRule type="cellIs" dxfId="38" priority="270" operator="equal">
      <formula>配置!$D$4</formula>
    </cfRule>
    <cfRule type="cellIs" dxfId="39" priority="271" operator="equal">
      <formula>配置!$D$3</formula>
    </cfRule>
    <cfRule type="cellIs" dxfId="37" priority="272" operator="equal">
      <formula>配置!$D$2</formula>
    </cfRule>
  </conditionalFormatting>
  <conditionalFormatting sqref="Q38:Q40">
    <cfRule type="cellIs" dxfId="38" priority="263" operator="equal">
      <formula>配置!$D$4</formula>
    </cfRule>
    <cfRule type="cellIs" dxfId="39" priority="264" operator="equal">
      <formula>配置!$D$3</formula>
    </cfRule>
    <cfRule type="cellIs" dxfId="37" priority="265" operator="equal">
      <formula>配置!$D$2</formula>
    </cfRule>
  </conditionalFormatting>
  <conditionalFormatting sqref="Q41:Q43">
    <cfRule type="cellIs" dxfId="38" priority="256" operator="equal">
      <formula>配置!$D$4</formula>
    </cfRule>
    <cfRule type="cellIs" dxfId="39" priority="257" operator="equal">
      <formula>配置!$D$3</formula>
    </cfRule>
    <cfRule type="cellIs" dxfId="37" priority="258" operator="equal">
      <formula>配置!$D$2</formula>
    </cfRule>
  </conditionalFormatting>
  <conditionalFormatting sqref="Q44:Q46">
    <cfRule type="cellIs" dxfId="38" priority="249" operator="equal">
      <formula>配置!$D$4</formula>
    </cfRule>
    <cfRule type="cellIs" dxfId="39" priority="250" operator="equal">
      <formula>配置!$D$3</formula>
    </cfRule>
    <cfRule type="cellIs" dxfId="37" priority="251" operator="equal">
      <formula>配置!$D$2</formula>
    </cfRule>
  </conditionalFormatting>
  <conditionalFormatting sqref="Q47:Q49">
    <cfRule type="cellIs" dxfId="38" priority="242" operator="equal">
      <formula>配置!$D$4</formula>
    </cfRule>
    <cfRule type="cellIs" dxfId="39" priority="243" operator="equal">
      <formula>配置!$D$3</formula>
    </cfRule>
    <cfRule type="cellIs" dxfId="37" priority="244" operator="equal">
      <formula>配置!$D$2</formula>
    </cfRule>
  </conditionalFormatting>
  <conditionalFormatting sqref="Q50:Q52">
    <cfRule type="cellIs" dxfId="38" priority="235" operator="equal">
      <formula>配置!$D$4</formula>
    </cfRule>
    <cfRule type="cellIs" dxfId="39" priority="236" operator="equal">
      <formula>配置!$D$3</formula>
    </cfRule>
    <cfRule type="cellIs" dxfId="37" priority="237" operator="equal">
      <formula>配置!$D$2</formula>
    </cfRule>
  </conditionalFormatting>
  <conditionalFormatting sqref="Q53:Q55">
    <cfRule type="cellIs" dxfId="38" priority="228" operator="equal">
      <formula>配置!$D$4</formula>
    </cfRule>
    <cfRule type="cellIs" dxfId="39" priority="229" operator="equal">
      <formula>配置!$D$3</formula>
    </cfRule>
    <cfRule type="cellIs" dxfId="37" priority="230" operator="equal">
      <formula>配置!$D$2</formula>
    </cfRule>
  </conditionalFormatting>
  <conditionalFormatting sqref="Q59:Q60">
    <cfRule type="cellIs" dxfId="38" priority="200" operator="equal">
      <formula>配置!$D$4</formula>
    </cfRule>
    <cfRule type="cellIs" dxfId="39" priority="201" operator="equal">
      <formula>配置!$D$3</formula>
    </cfRule>
    <cfRule type="cellIs" dxfId="37" priority="202" operator="equal">
      <formula>配置!$D$2</formula>
    </cfRule>
  </conditionalFormatting>
  <conditionalFormatting sqref="Q62:Q63">
    <cfRule type="cellIs" dxfId="38" priority="186" operator="equal">
      <formula>配置!$D$4</formula>
    </cfRule>
    <cfRule type="cellIs" dxfId="39" priority="187" operator="equal">
      <formula>配置!$D$3</formula>
    </cfRule>
    <cfRule type="cellIs" dxfId="37" priority="188" operator="equal">
      <formula>配置!$D$2</formula>
    </cfRule>
  </conditionalFormatting>
  <conditionalFormatting sqref="Q65:Q66">
    <cfRule type="cellIs" dxfId="38" priority="172" operator="equal">
      <formula>配置!$D$4</formula>
    </cfRule>
    <cfRule type="cellIs" dxfId="39" priority="173" operator="equal">
      <formula>配置!$D$3</formula>
    </cfRule>
    <cfRule type="cellIs" dxfId="37" priority="174" operator="equal">
      <formula>配置!$D$2</formula>
    </cfRule>
  </conditionalFormatting>
  <conditionalFormatting sqref="Q68:Q69">
    <cfRule type="cellIs" dxfId="38" priority="158" operator="equal">
      <formula>配置!$D$4</formula>
    </cfRule>
    <cfRule type="cellIs" dxfId="39" priority="159" operator="equal">
      <formula>配置!$D$3</formula>
    </cfRule>
    <cfRule type="cellIs" dxfId="37" priority="160" operator="equal">
      <formula>配置!$D$2</formula>
    </cfRule>
  </conditionalFormatting>
  <conditionalFormatting sqref="Q71:Q72">
    <cfRule type="cellIs" dxfId="38" priority="144" operator="equal">
      <formula>配置!$D$4</formula>
    </cfRule>
    <cfRule type="cellIs" dxfId="39" priority="145" operator="equal">
      <formula>配置!$D$3</formula>
    </cfRule>
    <cfRule type="cellIs" dxfId="37" priority="146" operator="equal">
      <formula>配置!$D$2</formula>
    </cfRule>
  </conditionalFormatting>
  <conditionalFormatting sqref="Q74:Q75">
    <cfRule type="cellIs" dxfId="38" priority="130" operator="equal">
      <formula>配置!$D$4</formula>
    </cfRule>
    <cfRule type="cellIs" dxfId="39" priority="131" operator="equal">
      <formula>配置!$D$3</formula>
    </cfRule>
    <cfRule type="cellIs" dxfId="37" priority="132" operator="equal">
      <formula>配置!$D$2</formula>
    </cfRule>
  </conditionalFormatting>
  <conditionalFormatting sqref="Q77:Q78">
    <cfRule type="cellIs" dxfId="38" priority="116" operator="equal">
      <formula>配置!$D$4</formula>
    </cfRule>
    <cfRule type="cellIs" dxfId="39" priority="117" operator="equal">
      <formula>配置!$D$3</formula>
    </cfRule>
    <cfRule type="cellIs" dxfId="37" priority="118" operator="equal">
      <formula>配置!$D$2</formula>
    </cfRule>
  </conditionalFormatting>
  <conditionalFormatting sqref="Q80:Q81">
    <cfRule type="cellIs" dxfId="38" priority="102" operator="equal">
      <formula>配置!$D$4</formula>
    </cfRule>
    <cfRule type="cellIs" dxfId="39" priority="103" operator="equal">
      <formula>配置!$D$3</formula>
    </cfRule>
    <cfRule type="cellIs" dxfId="37" priority="104" operator="equal">
      <formula>配置!$D$2</formula>
    </cfRule>
  </conditionalFormatting>
  <conditionalFormatting sqref="Q83:Q84">
    <cfRule type="cellIs" dxfId="38" priority="88" operator="equal">
      <formula>配置!$D$4</formula>
    </cfRule>
    <cfRule type="cellIs" dxfId="39" priority="89" operator="equal">
      <formula>配置!$D$3</formula>
    </cfRule>
    <cfRule type="cellIs" dxfId="37" priority="90" operator="equal">
      <formula>配置!$D$2</formula>
    </cfRule>
  </conditionalFormatting>
  <conditionalFormatting sqref="Q86:Q87">
    <cfRule type="cellIs" dxfId="38" priority="74" operator="equal">
      <formula>配置!$D$4</formula>
    </cfRule>
    <cfRule type="cellIs" dxfId="39" priority="75" operator="equal">
      <formula>配置!$D$3</formula>
    </cfRule>
    <cfRule type="cellIs" dxfId="37" priority="76" operator="equal">
      <formula>配置!$D$2</formula>
    </cfRule>
  </conditionalFormatting>
  <conditionalFormatting sqref="Q89:Q90">
    <cfRule type="cellIs" dxfId="38" priority="60" operator="equal">
      <formula>配置!$D$4</formula>
    </cfRule>
    <cfRule type="cellIs" dxfId="39" priority="61" operator="equal">
      <formula>配置!$D$3</formula>
    </cfRule>
    <cfRule type="cellIs" dxfId="37" priority="62" operator="equal">
      <formula>配置!$D$2</formula>
    </cfRule>
  </conditionalFormatting>
  <conditionalFormatting sqref="Q92:Q93">
    <cfRule type="cellIs" dxfId="38" priority="46" operator="equal">
      <formula>配置!$D$4</formula>
    </cfRule>
    <cfRule type="cellIs" dxfId="39" priority="47" operator="equal">
      <formula>配置!$D$3</formula>
    </cfRule>
    <cfRule type="cellIs" dxfId="37" priority="48" operator="equal">
      <formula>配置!$D$2</formula>
    </cfRule>
  </conditionalFormatting>
  <conditionalFormatting sqref="Q95:Q96">
    <cfRule type="cellIs" dxfId="38" priority="32" operator="equal">
      <formula>配置!$D$4</formula>
    </cfRule>
    <cfRule type="cellIs" dxfId="39" priority="33" operator="equal">
      <formula>配置!$D$3</formula>
    </cfRule>
    <cfRule type="cellIs" dxfId="37" priority="34" operator="equal">
      <formula>配置!$D$2</formula>
    </cfRule>
  </conditionalFormatting>
  <conditionalFormatting sqref="Q98:Q100">
    <cfRule type="cellIs" dxfId="38" priority="214" operator="equal">
      <formula>配置!$D$4</formula>
    </cfRule>
    <cfRule type="cellIs" dxfId="39" priority="215" operator="equal">
      <formula>配置!$D$3</formula>
    </cfRule>
    <cfRule type="cellIs" dxfId="37" priority="216" operator="equal">
      <formula>配置!$D$2</formula>
    </cfRule>
  </conditionalFormatting>
  <conditionalFormatting sqref="Q143:Q145">
    <cfRule type="cellIs" dxfId="37" priority="2" operator="equal">
      <formula>$S$125</formula>
    </cfRule>
  </conditionalFormatting>
  <conditionalFormatting sqref="R113:R124">
    <cfRule type="cellIs" dxfId="37" priority="4" operator="equal">
      <formula>$S$125</formula>
    </cfRule>
  </conditionalFormatting>
  <conditionalFormatting sqref="O110:O111 Q1:R1 Q2 Q4:Q5 Q7:Q8 Q10:Q11 Q13 Q101 Q103:Q104 Q106:Q107 Q109">
    <cfRule type="cellIs" dxfId="37" priority="343" operator="equal">
      <formula>配置!$D$2</formula>
    </cfRule>
  </conditionalFormatting>
  <conditionalFormatting sqref="O2:O13 O101:O106">
    <cfRule type="dataBar" priority="3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{4b3ef79c-50a8-4173-ba9b-074aa7e6a566}</x14:id>
        </ext>
      </extLst>
    </cfRule>
  </conditionalFormatting>
  <conditionalFormatting sqref="P2:P13 P101:P106">
    <cfRule type="dataBar" priority="3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{70d37f46-9538-4565-b6d8-7001754615b6}</x14:id>
        </ext>
      </extLst>
    </cfRule>
  </conditionalFormatting>
  <conditionalFormatting sqref="Q2:Q13 Q101:Q109">
    <cfRule type="cellIs" dxfId="38" priority="333" operator="equal">
      <formula>配置!$D$4</formula>
    </cfRule>
    <cfRule type="cellIs" dxfId="39" priority="334" operator="equal">
      <formula>配置!$D$3</formula>
    </cfRule>
    <cfRule type="cellIs" dxfId="37" priority="335" operator="equal">
      <formula>配置!$D$2</formula>
    </cfRule>
  </conditionalFormatting>
  <conditionalFormatting sqref="Q2 Q4:Q5 Q7:Q8 Q10:Q11 Q13 Q101 Q103:Q104 Q106:Q107 Q109">
    <cfRule type="cellIs" dxfId="38" priority="342" operator="equal">
      <formula>配置!$D$4</formula>
    </cfRule>
  </conditionalFormatting>
  <conditionalFormatting sqref="Q14 Q16">
    <cfRule type="cellIs" dxfId="38" priority="324" operator="equal">
      <formula>配置!$D$4</formula>
    </cfRule>
    <cfRule type="cellIs" dxfId="37" priority="325" operator="equal">
      <formula>配置!$D$2</formula>
    </cfRule>
  </conditionalFormatting>
  <conditionalFormatting sqref="Q17 Q19">
    <cfRule type="cellIs" dxfId="38" priority="317" operator="equal">
      <formula>配置!$D$4</formula>
    </cfRule>
    <cfRule type="cellIs" dxfId="37" priority="318" operator="equal">
      <formula>配置!$D$2</formula>
    </cfRule>
  </conditionalFormatting>
  <conditionalFormatting sqref="Q20 Q22">
    <cfRule type="cellIs" dxfId="38" priority="310" operator="equal">
      <formula>配置!$D$4</formula>
    </cfRule>
    <cfRule type="cellIs" dxfId="37" priority="311" operator="equal">
      <formula>配置!$D$2</formula>
    </cfRule>
  </conditionalFormatting>
  <conditionalFormatting sqref="Q23 Q25">
    <cfRule type="cellIs" dxfId="38" priority="303" operator="equal">
      <formula>配置!$D$4</formula>
    </cfRule>
    <cfRule type="cellIs" dxfId="37" priority="304" operator="equal">
      <formula>配置!$D$2</formula>
    </cfRule>
  </conditionalFormatting>
  <conditionalFormatting sqref="Q26 Q28">
    <cfRule type="cellIs" dxfId="38" priority="296" operator="equal">
      <formula>配置!$D$4</formula>
    </cfRule>
    <cfRule type="cellIs" dxfId="37" priority="297" operator="equal">
      <formula>配置!$D$2</formula>
    </cfRule>
  </conditionalFormatting>
  <conditionalFormatting sqref="Q29 Q31">
    <cfRule type="cellIs" dxfId="38" priority="289" operator="equal">
      <formula>配置!$D$4</formula>
    </cfRule>
    <cfRule type="cellIs" dxfId="37" priority="290" operator="equal">
      <formula>配置!$D$2</formula>
    </cfRule>
  </conditionalFormatting>
  <conditionalFormatting sqref="Q32 Q34">
    <cfRule type="cellIs" dxfId="38" priority="282" operator="equal">
      <formula>配置!$D$4</formula>
    </cfRule>
    <cfRule type="cellIs" dxfId="37" priority="283" operator="equal">
      <formula>配置!$D$2</formula>
    </cfRule>
  </conditionalFormatting>
  <conditionalFormatting sqref="Q35 Q37">
    <cfRule type="cellIs" dxfId="38" priority="275" operator="equal">
      <formula>配置!$D$4</formula>
    </cfRule>
    <cfRule type="cellIs" dxfId="37" priority="276" operator="equal">
      <formula>配置!$D$2</formula>
    </cfRule>
  </conditionalFormatting>
  <conditionalFormatting sqref="Q38 Q40">
    <cfRule type="cellIs" dxfId="38" priority="268" operator="equal">
      <formula>配置!$D$4</formula>
    </cfRule>
    <cfRule type="cellIs" dxfId="37" priority="269" operator="equal">
      <formula>配置!$D$2</formula>
    </cfRule>
  </conditionalFormatting>
  <conditionalFormatting sqref="Q41 Q43">
    <cfRule type="cellIs" dxfId="38" priority="261" operator="equal">
      <formula>配置!$D$4</formula>
    </cfRule>
    <cfRule type="cellIs" dxfId="37" priority="262" operator="equal">
      <formula>配置!$D$2</formula>
    </cfRule>
  </conditionalFormatting>
  <conditionalFormatting sqref="Q44 Q46">
    <cfRule type="cellIs" dxfId="38" priority="254" operator="equal">
      <formula>配置!$D$4</formula>
    </cfRule>
    <cfRule type="cellIs" dxfId="37" priority="255" operator="equal">
      <formula>配置!$D$2</formula>
    </cfRule>
  </conditionalFormatting>
  <conditionalFormatting sqref="Q47 Q49">
    <cfRule type="cellIs" dxfId="38" priority="247" operator="equal">
      <formula>配置!$D$4</formula>
    </cfRule>
    <cfRule type="cellIs" dxfId="37" priority="248" operator="equal">
      <formula>配置!$D$2</formula>
    </cfRule>
  </conditionalFormatting>
  <conditionalFormatting sqref="Q50 Q52">
    <cfRule type="cellIs" dxfId="38" priority="240" operator="equal">
      <formula>配置!$D$4</formula>
    </cfRule>
    <cfRule type="cellIs" dxfId="37" priority="241" operator="equal">
      <formula>配置!$D$2</formula>
    </cfRule>
  </conditionalFormatting>
  <conditionalFormatting sqref="Q53 Q55">
    <cfRule type="cellIs" dxfId="38" priority="233" operator="equal">
      <formula>配置!$D$4</formula>
    </cfRule>
    <cfRule type="cellIs" dxfId="37" priority="234" operator="equal">
      <formula>配置!$D$2</formula>
    </cfRule>
  </conditionalFormatting>
  <conditionalFormatting sqref="O56:O57 O97">
    <cfRule type="dataBar" priority="2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{ce896a05-ee53-4596-8d57-2e6a280b5f48}</x14:id>
        </ext>
      </extLst>
    </cfRule>
  </conditionalFormatting>
  <conditionalFormatting sqref="P56:P57 P97">
    <cfRule type="dataBar" priority="2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{5f47b9b6-0481-4cec-be95-ff094e2d2763}</x14:id>
        </ext>
      </extLst>
    </cfRule>
  </conditionalFormatting>
  <conditionalFormatting sqref="Q56 Q97">
    <cfRule type="cellIs" dxfId="38" priority="226" operator="equal">
      <formula>配置!$D$4</formula>
    </cfRule>
    <cfRule type="cellIs" dxfId="37" priority="227" operator="equal">
      <formula>配置!$D$2</formula>
    </cfRule>
  </conditionalFormatting>
  <conditionalFormatting sqref="Q56:Q57 Q97">
    <cfRule type="cellIs" dxfId="38" priority="221" operator="equal">
      <formula>配置!$D$4</formula>
    </cfRule>
    <cfRule type="cellIs" dxfId="39" priority="222" operator="equal">
      <formula>配置!$D$3</formula>
    </cfRule>
    <cfRule type="cellIs" dxfId="37" priority="223" operator="equal">
      <formula>配置!$D$2</formula>
    </cfRule>
  </conditionalFormatting>
  <conditionalFormatting sqref="Q98 Q100">
    <cfRule type="cellIs" dxfId="38" priority="219" operator="equal">
      <formula>配置!$D$4</formula>
    </cfRule>
    <cfRule type="cellIs" dxfId="37" priority="220" operator="equal">
      <formula>配置!$D$2</formula>
    </cfRule>
  </conditionalFormatting>
  <conditionalFormatting sqref="N113:N118 N146:N148">
    <cfRule type="dataBar" priority="3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{1f9ea792-0ac0-477f-b1ac-6426667c4385}</x14:id>
        </ext>
      </extLst>
    </cfRule>
  </conditionalFormatting>
  <dataValidations count="1">
    <dataValidation type="list" allowBlank="1" showInputMessage="1" showErrorMessage="1" sqref="Q58 Q61 Q64 Q67 Q70 Q73 Q76 Q79 Q82 Q85 Q88 Q91 Q94 Q97 Q2:Q13 Q14:Q16 Q17:Q19 Q20:Q22 Q23:Q25 Q26:Q28 Q29:Q31 Q32:Q34 Q35:Q37 Q38:Q40 Q41:Q43 Q44:Q46 Q47:Q49 Q50:Q52 Q53:Q55 Q56:Q57 Q59:Q60 Q62:Q63 Q65:Q66 Q68:Q69 Q71:Q72 Q74:Q75 Q77:Q78 Q80:Q81 Q83:Q84 Q86:Q87 Q89:Q90 Q92:Q93 Q95:Q96 Q98:Q100 Q101:Q109">
      <formula1>配置!$D$2:$D$4</formula1>
    </dataValidation>
  </dataValidations>
  <pageMargins left="0.7" right="0.7" top="0.75" bottom="0.75" header="0.3" footer="0.3"/>
  <pageSetup paperSize="9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aa29d69-8060-4dc7-8e0c-34c7dfa811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O58</xm:sqref>
        </x14:conditionalFormatting>
        <x14:conditionalFormatting xmlns:xm="http://schemas.microsoft.com/office/excel/2006/main">
          <x14:cfRule type="dataBar" id="{a4282bbd-96ff-4c64-8969-cc95937c68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P58</xm:sqref>
        </x14:conditionalFormatting>
        <x14:conditionalFormatting xmlns:xm="http://schemas.microsoft.com/office/excel/2006/main">
          <x14:cfRule type="dataBar" id="{ccfb5b4c-f555-490a-a3ba-302229d371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O61</xm:sqref>
        </x14:conditionalFormatting>
        <x14:conditionalFormatting xmlns:xm="http://schemas.microsoft.com/office/excel/2006/main">
          <x14:cfRule type="dataBar" id="{920918fa-ed30-414c-8469-08168ed006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P61</xm:sqref>
        </x14:conditionalFormatting>
        <x14:conditionalFormatting xmlns:xm="http://schemas.microsoft.com/office/excel/2006/main">
          <x14:cfRule type="dataBar" id="{aa8e8687-d299-458c-8bf9-4402576891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O64</xm:sqref>
        </x14:conditionalFormatting>
        <x14:conditionalFormatting xmlns:xm="http://schemas.microsoft.com/office/excel/2006/main">
          <x14:cfRule type="dataBar" id="{f2b48ef5-a60b-422d-bf42-38811b90c6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P64</xm:sqref>
        </x14:conditionalFormatting>
        <x14:conditionalFormatting xmlns:xm="http://schemas.microsoft.com/office/excel/2006/main">
          <x14:cfRule type="dataBar" id="{c5559cc4-d164-4bb4-942c-9da5f61ee9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O67</xm:sqref>
        </x14:conditionalFormatting>
        <x14:conditionalFormatting xmlns:xm="http://schemas.microsoft.com/office/excel/2006/main">
          <x14:cfRule type="dataBar" id="{2d2f6aaa-0db0-49d8-86a6-3decb26714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P67</xm:sqref>
        </x14:conditionalFormatting>
        <x14:conditionalFormatting xmlns:xm="http://schemas.microsoft.com/office/excel/2006/main">
          <x14:cfRule type="dataBar" id="{7a93049e-5c52-4709-9002-07ffac96af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O70</xm:sqref>
        </x14:conditionalFormatting>
        <x14:conditionalFormatting xmlns:xm="http://schemas.microsoft.com/office/excel/2006/main">
          <x14:cfRule type="dataBar" id="{3e8b2242-0908-44a8-a70c-ea0c330791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P70</xm:sqref>
        </x14:conditionalFormatting>
        <x14:conditionalFormatting xmlns:xm="http://schemas.microsoft.com/office/excel/2006/main">
          <x14:cfRule type="dataBar" id="{f68104d1-fa27-4ed2-a2fe-f56f30428b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O73</xm:sqref>
        </x14:conditionalFormatting>
        <x14:conditionalFormatting xmlns:xm="http://schemas.microsoft.com/office/excel/2006/main">
          <x14:cfRule type="dataBar" id="{c8e5ece4-a106-41f4-98cb-a74a1b1024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P73</xm:sqref>
        </x14:conditionalFormatting>
        <x14:conditionalFormatting xmlns:xm="http://schemas.microsoft.com/office/excel/2006/main">
          <x14:cfRule type="dataBar" id="{6ba0efdd-d690-4647-a19f-f8d4f9ded2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O76</xm:sqref>
        </x14:conditionalFormatting>
        <x14:conditionalFormatting xmlns:xm="http://schemas.microsoft.com/office/excel/2006/main">
          <x14:cfRule type="dataBar" id="{58336240-c142-47c7-8702-71f506cfd6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P76</xm:sqref>
        </x14:conditionalFormatting>
        <x14:conditionalFormatting xmlns:xm="http://schemas.microsoft.com/office/excel/2006/main">
          <x14:cfRule type="dataBar" id="{e5883284-5b8e-49f7-9173-872955d217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O79</xm:sqref>
        </x14:conditionalFormatting>
        <x14:conditionalFormatting xmlns:xm="http://schemas.microsoft.com/office/excel/2006/main">
          <x14:cfRule type="dataBar" id="{81c0bd2c-4aac-41ea-887b-f7b44f8f99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P79</xm:sqref>
        </x14:conditionalFormatting>
        <x14:conditionalFormatting xmlns:xm="http://schemas.microsoft.com/office/excel/2006/main">
          <x14:cfRule type="dataBar" id="{46c6950c-0c41-4b7e-805d-f619762e1f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O82</xm:sqref>
        </x14:conditionalFormatting>
        <x14:conditionalFormatting xmlns:xm="http://schemas.microsoft.com/office/excel/2006/main">
          <x14:cfRule type="dataBar" id="{22c44813-ea62-4b0c-b047-79af980f59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P82</xm:sqref>
        </x14:conditionalFormatting>
        <x14:conditionalFormatting xmlns:xm="http://schemas.microsoft.com/office/excel/2006/main">
          <x14:cfRule type="dataBar" id="{4132899a-9b1f-4794-b235-c752a45112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O85</xm:sqref>
        </x14:conditionalFormatting>
        <x14:conditionalFormatting xmlns:xm="http://schemas.microsoft.com/office/excel/2006/main">
          <x14:cfRule type="dataBar" id="{c3e694e2-3104-441b-8b11-ce8c464cbd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P85</xm:sqref>
        </x14:conditionalFormatting>
        <x14:conditionalFormatting xmlns:xm="http://schemas.microsoft.com/office/excel/2006/main">
          <x14:cfRule type="dataBar" id="{46000709-9e06-4720-89d0-8a3e62d8fd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O88</xm:sqref>
        </x14:conditionalFormatting>
        <x14:conditionalFormatting xmlns:xm="http://schemas.microsoft.com/office/excel/2006/main">
          <x14:cfRule type="dataBar" id="{1130ca59-10ba-492c-a092-0bd9210190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P88</xm:sqref>
        </x14:conditionalFormatting>
        <x14:conditionalFormatting xmlns:xm="http://schemas.microsoft.com/office/excel/2006/main">
          <x14:cfRule type="dataBar" id="{5b44555f-5d9a-4e74-872e-01b415c882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O91</xm:sqref>
        </x14:conditionalFormatting>
        <x14:conditionalFormatting xmlns:xm="http://schemas.microsoft.com/office/excel/2006/main">
          <x14:cfRule type="dataBar" id="{69306741-2e78-4de8-8569-3f32dd16bd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P91</xm:sqref>
        </x14:conditionalFormatting>
        <x14:conditionalFormatting xmlns:xm="http://schemas.microsoft.com/office/excel/2006/main">
          <x14:cfRule type="dataBar" id="{65401470-f6d7-44b7-b48a-377c6951ab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O94</xm:sqref>
        </x14:conditionalFormatting>
        <x14:conditionalFormatting xmlns:xm="http://schemas.microsoft.com/office/excel/2006/main">
          <x14:cfRule type="dataBar" id="{44066b9c-e453-4a17-a790-eb76f21f0f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P94</xm:sqref>
        </x14:conditionalFormatting>
        <x14:conditionalFormatting xmlns:xm="http://schemas.microsoft.com/office/excel/2006/main">
          <x14:cfRule type="dataBar" id="{9321efc4-f24f-4438-b08f-e02dc3ff52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F113:F115</xm:sqref>
        </x14:conditionalFormatting>
        <x14:conditionalFormatting xmlns:xm="http://schemas.microsoft.com/office/excel/2006/main">
          <x14:cfRule type="dataBar" id="{9eaaa223-c4df-4823-b57c-cd191711e3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F116:F118</xm:sqref>
        </x14:conditionalFormatting>
        <x14:conditionalFormatting xmlns:xm="http://schemas.microsoft.com/office/excel/2006/main">
          <x14:cfRule type="dataBar" id="{19044746-f32d-46ad-af70-587dea1ec7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F119:F121</xm:sqref>
        </x14:conditionalFormatting>
        <x14:conditionalFormatting xmlns:xm="http://schemas.microsoft.com/office/excel/2006/main">
          <x14:cfRule type="dataBar" id="{7ac4c91a-81d2-4eb6-a9b0-352b838e99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F122:F124</xm:sqref>
        </x14:conditionalFormatting>
        <x14:conditionalFormatting xmlns:xm="http://schemas.microsoft.com/office/excel/2006/main">
          <x14:cfRule type="dataBar" id="{0b32bab8-066d-497b-bb16-d3c3f670ef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F125:F127</xm:sqref>
        </x14:conditionalFormatting>
        <x14:conditionalFormatting xmlns:xm="http://schemas.microsoft.com/office/excel/2006/main">
          <x14:cfRule type="dataBar" id="{e43a4f3b-94c0-445c-b20c-59184a437e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F128:F130</xm:sqref>
        </x14:conditionalFormatting>
        <x14:conditionalFormatting xmlns:xm="http://schemas.microsoft.com/office/excel/2006/main">
          <x14:cfRule type="dataBar" id="{a7832898-96cc-45e9-8e59-3e4fec682d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F131:F133</xm:sqref>
        </x14:conditionalFormatting>
        <x14:conditionalFormatting xmlns:xm="http://schemas.microsoft.com/office/excel/2006/main">
          <x14:cfRule type="dataBar" id="{55ca2c39-6e29-4579-afda-f198778b01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F134:F136</xm:sqref>
        </x14:conditionalFormatting>
        <x14:conditionalFormatting xmlns:xm="http://schemas.microsoft.com/office/excel/2006/main">
          <x14:cfRule type="dataBar" id="{2167e2b2-2480-43d5-bdeb-b5bb220543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F137:F139</xm:sqref>
        </x14:conditionalFormatting>
        <x14:conditionalFormatting xmlns:xm="http://schemas.microsoft.com/office/excel/2006/main">
          <x14:cfRule type="dataBar" id="{83280902-09ea-494e-91c9-f903553771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F140:F142</xm:sqref>
        </x14:conditionalFormatting>
        <x14:conditionalFormatting xmlns:xm="http://schemas.microsoft.com/office/excel/2006/main">
          <x14:cfRule type="dataBar" id="{8f1627ea-97b9-4b9d-b81d-1fa743e360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F143:F145</xm:sqref>
        </x14:conditionalFormatting>
        <x14:conditionalFormatting xmlns:xm="http://schemas.microsoft.com/office/excel/2006/main">
          <x14:cfRule type="dataBar" id="{f92f8f3a-7e1b-4e97-9166-012489cda4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F146:F148</xm:sqref>
        </x14:conditionalFormatting>
        <x14:conditionalFormatting xmlns:xm="http://schemas.microsoft.com/office/excel/2006/main">
          <x14:cfRule type="dataBar" id="{0866490d-f2fd-42c4-af08-a07f5b1a26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G113:G115</xm:sqref>
        </x14:conditionalFormatting>
        <x14:conditionalFormatting xmlns:xm="http://schemas.microsoft.com/office/excel/2006/main">
          <x14:cfRule type="dataBar" id="{d0c45e06-dcff-4775-9eb5-7ab4b5372a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G116:G118</xm:sqref>
        </x14:conditionalFormatting>
        <x14:conditionalFormatting xmlns:xm="http://schemas.microsoft.com/office/excel/2006/main">
          <x14:cfRule type="dataBar" id="{c61671f4-9ae7-4ff6-a97d-05c7c7cb80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G119:G121</xm:sqref>
        </x14:conditionalFormatting>
        <x14:conditionalFormatting xmlns:xm="http://schemas.microsoft.com/office/excel/2006/main">
          <x14:cfRule type="dataBar" id="{c5e9002e-301a-4f9c-9622-54f1c5bb75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G122:G124</xm:sqref>
        </x14:conditionalFormatting>
        <x14:conditionalFormatting xmlns:xm="http://schemas.microsoft.com/office/excel/2006/main">
          <x14:cfRule type="dataBar" id="{9abf7f98-2dea-4fa7-a040-c0a14eeb0a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G125:G127</xm:sqref>
        </x14:conditionalFormatting>
        <x14:conditionalFormatting xmlns:xm="http://schemas.microsoft.com/office/excel/2006/main">
          <x14:cfRule type="dataBar" id="{1f1bab33-46de-4c44-891a-4a5c73440d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G128:G130</xm:sqref>
        </x14:conditionalFormatting>
        <x14:conditionalFormatting xmlns:xm="http://schemas.microsoft.com/office/excel/2006/main">
          <x14:cfRule type="dataBar" id="{d5a1bf41-3a3c-40fe-aee1-c01ecad457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G131:G133</xm:sqref>
        </x14:conditionalFormatting>
        <x14:conditionalFormatting xmlns:xm="http://schemas.microsoft.com/office/excel/2006/main">
          <x14:cfRule type="dataBar" id="{013c1cd0-c8bf-4d1d-b849-9d8feaacf1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G134:G136</xm:sqref>
        </x14:conditionalFormatting>
        <x14:conditionalFormatting xmlns:xm="http://schemas.microsoft.com/office/excel/2006/main">
          <x14:cfRule type="dataBar" id="{19410027-1ed3-496a-a694-bd8e51c850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G137:G139</xm:sqref>
        </x14:conditionalFormatting>
        <x14:conditionalFormatting xmlns:xm="http://schemas.microsoft.com/office/excel/2006/main">
          <x14:cfRule type="dataBar" id="{80bc697c-3da9-4325-8a6c-dd1af66598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G140:G142</xm:sqref>
        </x14:conditionalFormatting>
        <x14:conditionalFormatting xmlns:xm="http://schemas.microsoft.com/office/excel/2006/main">
          <x14:cfRule type="dataBar" id="{eeae7587-5079-4fe1-9c04-99a611ab0b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G143:G145</xm:sqref>
        </x14:conditionalFormatting>
        <x14:conditionalFormatting xmlns:xm="http://schemas.microsoft.com/office/excel/2006/main">
          <x14:cfRule type="dataBar" id="{9f252bc6-f10e-470b-92ac-79ae3ce17d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G146:G148</xm:sqref>
        </x14:conditionalFormatting>
        <x14:conditionalFormatting xmlns:xm="http://schemas.microsoft.com/office/excel/2006/main">
          <x14:cfRule type="dataBar" id="{e881a3b8-920d-488f-b2b1-fade0c9469c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N119:N121</xm:sqref>
        </x14:conditionalFormatting>
        <x14:conditionalFormatting xmlns:xm="http://schemas.microsoft.com/office/excel/2006/main">
          <x14:cfRule type="dataBar" id="{5ed6c90d-1045-44af-a0f2-cc8716021b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N122:N124</xm:sqref>
        </x14:conditionalFormatting>
        <x14:conditionalFormatting xmlns:xm="http://schemas.microsoft.com/office/excel/2006/main">
          <x14:cfRule type="dataBar" id="{df55fd70-d8c0-4c2f-976f-6d4309e5f6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N125:N127</xm:sqref>
        </x14:conditionalFormatting>
        <x14:conditionalFormatting xmlns:xm="http://schemas.microsoft.com/office/excel/2006/main">
          <x14:cfRule type="dataBar" id="{8704ecfb-bf2c-4234-9fe9-18dcf4481b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N128:N130</xm:sqref>
        </x14:conditionalFormatting>
        <x14:conditionalFormatting xmlns:xm="http://schemas.microsoft.com/office/excel/2006/main">
          <x14:cfRule type="dataBar" id="{f943f270-66d8-4d29-9014-4953a687a5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N131:N133</xm:sqref>
        </x14:conditionalFormatting>
        <x14:conditionalFormatting xmlns:xm="http://schemas.microsoft.com/office/excel/2006/main">
          <x14:cfRule type="dataBar" id="{84168dc2-7462-443e-a7bf-9850c7a93b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N134:N136</xm:sqref>
        </x14:conditionalFormatting>
        <x14:conditionalFormatting xmlns:xm="http://schemas.microsoft.com/office/excel/2006/main">
          <x14:cfRule type="dataBar" id="{0e220de8-176e-4f16-9343-58364f5257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N137:N139</xm:sqref>
        </x14:conditionalFormatting>
        <x14:conditionalFormatting xmlns:xm="http://schemas.microsoft.com/office/excel/2006/main">
          <x14:cfRule type="dataBar" id="{aad002ce-f73f-450c-846e-eab06a45bf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N140:N142</xm:sqref>
        </x14:conditionalFormatting>
        <x14:conditionalFormatting xmlns:xm="http://schemas.microsoft.com/office/excel/2006/main">
          <x14:cfRule type="dataBar" id="{1ceafaaa-c990-4892-9b2c-e8660df31c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N143:N145</xm:sqref>
        </x14:conditionalFormatting>
        <x14:conditionalFormatting xmlns:xm="http://schemas.microsoft.com/office/excel/2006/main">
          <x14:cfRule type="dataBar" id="{74e1f18f-e30e-40bb-9d5c-fa0bc587e1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O14:O16</xm:sqref>
        </x14:conditionalFormatting>
        <x14:conditionalFormatting xmlns:xm="http://schemas.microsoft.com/office/excel/2006/main">
          <x14:cfRule type="dataBar" id="{ea3eb58b-5f89-4a3b-9f28-d0f6f28792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O17:O19</xm:sqref>
        </x14:conditionalFormatting>
        <x14:conditionalFormatting xmlns:xm="http://schemas.microsoft.com/office/excel/2006/main">
          <x14:cfRule type="dataBar" id="{9fc945a5-5a97-400e-bfd6-d86995d93c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2472e5a3-21ab-43d0-a2a8-0157df266e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O23:O25</xm:sqref>
        </x14:conditionalFormatting>
        <x14:conditionalFormatting xmlns:xm="http://schemas.microsoft.com/office/excel/2006/main">
          <x14:cfRule type="dataBar" id="{a717bd2f-34a0-4ac7-8475-b4173ca5ec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O26:O28</xm:sqref>
        </x14:conditionalFormatting>
        <x14:conditionalFormatting xmlns:xm="http://schemas.microsoft.com/office/excel/2006/main">
          <x14:cfRule type="dataBar" id="{6cd51511-402c-4ba4-b3e9-f4778e9ab6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O29:O31</xm:sqref>
        </x14:conditionalFormatting>
        <x14:conditionalFormatting xmlns:xm="http://schemas.microsoft.com/office/excel/2006/main">
          <x14:cfRule type="dataBar" id="{3f753287-d268-4831-8977-37a4fcdd81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O32:O34</xm:sqref>
        </x14:conditionalFormatting>
        <x14:conditionalFormatting xmlns:xm="http://schemas.microsoft.com/office/excel/2006/main">
          <x14:cfRule type="dataBar" id="{7a33472f-c08f-4060-b69f-8298f1ed51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O35:O37</xm:sqref>
        </x14:conditionalFormatting>
        <x14:conditionalFormatting xmlns:xm="http://schemas.microsoft.com/office/excel/2006/main">
          <x14:cfRule type="dataBar" id="{7310a3c2-f133-45e0-9ee7-92678c07bd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O38:O40</xm:sqref>
        </x14:conditionalFormatting>
        <x14:conditionalFormatting xmlns:xm="http://schemas.microsoft.com/office/excel/2006/main">
          <x14:cfRule type="dataBar" id="{e4448faa-57ad-4c43-b520-d282bbef5d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O41:O43</xm:sqref>
        </x14:conditionalFormatting>
        <x14:conditionalFormatting xmlns:xm="http://schemas.microsoft.com/office/excel/2006/main">
          <x14:cfRule type="dataBar" id="{fedfea0b-bed6-4192-b5bc-282d099530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O44:O46</xm:sqref>
        </x14:conditionalFormatting>
        <x14:conditionalFormatting xmlns:xm="http://schemas.microsoft.com/office/excel/2006/main">
          <x14:cfRule type="dataBar" id="{a9600607-5576-4970-a3f3-de4b524968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O47:O49</xm:sqref>
        </x14:conditionalFormatting>
        <x14:conditionalFormatting xmlns:xm="http://schemas.microsoft.com/office/excel/2006/main">
          <x14:cfRule type="dataBar" id="{e076bff1-f3ec-496b-abaf-eeab44f80e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O50:O52</xm:sqref>
        </x14:conditionalFormatting>
        <x14:conditionalFormatting xmlns:xm="http://schemas.microsoft.com/office/excel/2006/main">
          <x14:cfRule type="dataBar" id="{bd89df15-b8f2-4cfa-8e03-1ad8b6fb81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O53:O55</xm:sqref>
        </x14:conditionalFormatting>
        <x14:conditionalFormatting xmlns:xm="http://schemas.microsoft.com/office/excel/2006/main">
          <x14:cfRule type="dataBar" id="{fed60def-f70f-4c7e-ba35-1895bd8cd0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O59:O60</xm:sqref>
        </x14:conditionalFormatting>
        <x14:conditionalFormatting xmlns:xm="http://schemas.microsoft.com/office/excel/2006/main">
          <x14:cfRule type="dataBar" id="{f1aca696-39e1-435c-b213-3c1edb8083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O62:O63</xm:sqref>
        </x14:conditionalFormatting>
        <x14:conditionalFormatting xmlns:xm="http://schemas.microsoft.com/office/excel/2006/main">
          <x14:cfRule type="dataBar" id="{2e222211-c992-4330-9559-58fa32238d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O65:O66</xm:sqref>
        </x14:conditionalFormatting>
        <x14:conditionalFormatting xmlns:xm="http://schemas.microsoft.com/office/excel/2006/main">
          <x14:cfRule type="dataBar" id="{b661ff72-50a0-4c80-b2f2-70076ab8e3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O68:O69</xm:sqref>
        </x14:conditionalFormatting>
        <x14:conditionalFormatting xmlns:xm="http://schemas.microsoft.com/office/excel/2006/main">
          <x14:cfRule type="dataBar" id="{1bcdce92-a2be-4e7a-a870-ce9e8db467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O71:O72</xm:sqref>
        </x14:conditionalFormatting>
        <x14:conditionalFormatting xmlns:xm="http://schemas.microsoft.com/office/excel/2006/main">
          <x14:cfRule type="dataBar" id="{54258dfb-2f4b-4b79-a4b6-f64941632b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O74:O75</xm:sqref>
        </x14:conditionalFormatting>
        <x14:conditionalFormatting xmlns:xm="http://schemas.microsoft.com/office/excel/2006/main">
          <x14:cfRule type="dataBar" id="{d2625904-9328-447c-aee5-2d9e75ca20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O77:O78</xm:sqref>
        </x14:conditionalFormatting>
        <x14:conditionalFormatting xmlns:xm="http://schemas.microsoft.com/office/excel/2006/main">
          <x14:cfRule type="dataBar" id="{a4f786a3-d8d1-4766-9d4f-378b8c1e5c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O80:O81</xm:sqref>
        </x14:conditionalFormatting>
        <x14:conditionalFormatting xmlns:xm="http://schemas.microsoft.com/office/excel/2006/main">
          <x14:cfRule type="dataBar" id="{12b7bc2f-4d12-4420-9578-7eeacd8517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O83:O84</xm:sqref>
        </x14:conditionalFormatting>
        <x14:conditionalFormatting xmlns:xm="http://schemas.microsoft.com/office/excel/2006/main">
          <x14:cfRule type="dataBar" id="{0c89a766-2b55-4dd7-ab12-c6b04fcbf1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O86:O87</xm:sqref>
        </x14:conditionalFormatting>
        <x14:conditionalFormatting xmlns:xm="http://schemas.microsoft.com/office/excel/2006/main">
          <x14:cfRule type="dataBar" id="{cbff0001-8e7e-4a72-80fd-2a305dbb7e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O89:O90</xm:sqref>
        </x14:conditionalFormatting>
        <x14:conditionalFormatting xmlns:xm="http://schemas.microsoft.com/office/excel/2006/main">
          <x14:cfRule type="dataBar" id="{65b02723-bcf5-46f6-8a3d-acfdf2ff01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O92:O93</xm:sqref>
        </x14:conditionalFormatting>
        <x14:conditionalFormatting xmlns:xm="http://schemas.microsoft.com/office/excel/2006/main">
          <x14:cfRule type="dataBar" id="{4fa58abf-2518-4252-a9cb-8a54ec3a36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O95:O96</xm:sqref>
        </x14:conditionalFormatting>
        <x14:conditionalFormatting xmlns:xm="http://schemas.microsoft.com/office/excel/2006/main">
          <x14:cfRule type="dataBar" id="{92181610-82ad-4650-bc7f-db045e17e7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O98:O100</xm:sqref>
        </x14:conditionalFormatting>
        <x14:conditionalFormatting xmlns:xm="http://schemas.microsoft.com/office/excel/2006/main">
          <x14:cfRule type="dataBar" id="{1a102ffc-4851-4950-99fc-67eaa45466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O107:O109</xm:sqref>
        </x14:conditionalFormatting>
        <x14:conditionalFormatting xmlns:xm="http://schemas.microsoft.com/office/excel/2006/main">
          <x14:cfRule type="dataBar" id="{465fae1b-ff9d-4666-8eee-0e1403f92e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P14:P16</xm:sqref>
        </x14:conditionalFormatting>
        <x14:conditionalFormatting xmlns:xm="http://schemas.microsoft.com/office/excel/2006/main">
          <x14:cfRule type="dataBar" id="{1adf9203-3fa7-4bb0-94a9-3980797bfa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P17:P19</xm:sqref>
        </x14:conditionalFormatting>
        <x14:conditionalFormatting xmlns:xm="http://schemas.microsoft.com/office/excel/2006/main">
          <x14:cfRule type="dataBar" id="{0b0e7e3f-b867-4c27-9a6a-c41e91f0ff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  <x14:conditionalFormatting xmlns:xm="http://schemas.microsoft.com/office/excel/2006/main">
          <x14:cfRule type="dataBar" id="{71fd4394-f3d5-4606-9ee2-379e35324c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P23:P25</xm:sqref>
        </x14:conditionalFormatting>
        <x14:conditionalFormatting xmlns:xm="http://schemas.microsoft.com/office/excel/2006/main">
          <x14:cfRule type="dataBar" id="{f4d34c9f-d84e-40aa-8aee-3903f5a51c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P26:P28</xm:sqref>
        </x14:conditionalFormatting>
        <x14:conditionalFormatting xmlns:xm="http://schemas.microsoft.com/office/excel/2006/main">
          <x14:cfRule type="dataBar" id="{573098ae-6dd8-4008-b06c-cc93857ff7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P29:P31</xm:sqref>
        </x14:conditionalFormatting>
        <x14:conditionalFormatting xmlns:xm="http://schemas.microsoft.com/office/excel/2006/main">
          <x14:cfRule type="dataBar" id="{96e09e0f-1e1c-40a9-b6e6-5042abffea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P32:P34</xm:sqref>
        </x14:conditionalFormatting>
        <x14:conditionalFormatting xmlns:xm="http://schemas.microsoft.com/office/excel/2006/main">
          <x14:cfRule type="dataBar" id="{17a8ca09-cfc6-4957-b28a-8f46b1eef6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P35:P37</xm:sqref>
        </x14:conditionalFormatting>
        <x14:conditionalFormatting xmlns:xm="http://schemas.microsoft.com/office/excel/2006/main">
          <x14:cfRule type="dataBar" id="{e28fe916-9f2b-4815-b819-855e43d1e0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P38:P40</xm:sqref>
        </x14:conditionalFormatting>
        <x14:conditionalFormatting xmlns:xm="http://schemas.microsoft.com/office/excel/2006/main">
          <x14:cfRule type="dataBar" id="{86f7adb4-e013-4538-9326-9be0865d00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P41:P43</xm:sqref>
        </x14:conditionalFormatting>
        <x14:conditionalFormatting xmlns:xm="http://schemas.microsoft.com/office/excel/2006/main">
          <x14:cfRule type="dataBar" id="{ca9c683a-a833-4b2a-a8c9-5b8aab7022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P44:P46</xm:sqref>
        </x14:conditionalFormatting>
        <x14:conditionalFormatting xmlns:xm="http://schemas.microsoft.com/office/excel/2006/main">
          <x14:cfRule type="dataBar" id="{d6e90c21-d87d-4379-8912-c509a149ea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P47:P49</xm:sqref>
        </x14:conditionalFormatting>
        <x14:conditionalFormatting xmlns:xm="http://schemas.microsoft.com/office/excel/2006/main">
          <x14:cfRule type="dataBar" id="{ac0f3f8c-c43c-48b9-948d-5f190458bf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P50:P52</xm:sqref>
        </x14:conditionalFormatting>
        <x14:conditionalFormatting xmlns:xm="http://schemas.microsoft.com/office/excel/2006/main">
          <x14:cfRule type="dataBar" id="{4561b7a2-676b-407f-949c-d835d38cb8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P53:P55</xm:sqref>
        </x14:conditionalFormatting>
        <x14:conditionalFormatting xmlns:xm="http://schemas.microsoft.com/office/excel/2006/main">
          <x14:cfRule type="dataBar" id="{0e15c27f-4f2b-4fbc-8827-f454a26759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P59:P60</xm:sqref>
        </x14:conditionalFormatting>
        <x14:conditionalFormatting xmlns:xm="http://schemas.microsoft.com/office/excel/2006/main">
          <x14:cfRule type="dataBar" id="{05454ceb-8972-437f-a18b-ecf52432d9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P62:P63</xm:sqref>
        </x14:conditionalFormatting>
        <x14:conditionalFormatting xmlns:xm="http://schemas.microsoft.com/office/excel/2006/main">
          <x14:cfRule type="dataBar" id="{a01b14c4-331c-4232-994b-868870f01f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P65:P66</xm:sqref>
        </x14:conditionalFormatting>
        <x14:conditionalFormatting xmlns:xm="http://schemas.microsoft.com/office/excel/2006/main">
          <x14:cfRule type="dataBar" id="{4377b286-ee8a-4512-8405-24f7290530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P68:P69</xm:sqref>
        </x14:conditionalFormatting>
        <x14:conditionalFormatting xmlns:xm="http://schemas.microsoft.com/office/excel/2006/main">
          <x14:cfRule type="dataBar" id="{f83a2616-948a-4779-81da-74b382a383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P71:P72</xm:sqref>
        </x14:conditionalFormatting>
        <x14:conditionalFormatting xmlns:xm="http://schemas.microsoft.com/office/excel/2006/main">
          <x14:cfRule type="dataBar" id="{a1af5de0-8403-4a92-b374-cda8f3e5d1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P74:P75</xm:sqref>
        </x14:conditionalFormatting>
        <x14:conditionalFormatting xmlns:xm="http://schemas.microsoft.com/office/excel/2006/main">
          <x14:cfRule type="dataBar" id="{f845038c-fa09-4245-9852-59163a5137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P77:P78</xm:sqref>
        </x14:conditionalFormatting>
        <x14:conditionalFormatting xmlns:xm="http://schemas.microsoft.com/office/excel/2006/main">
          <x14:cfRule type="dataBar" id="{05be3cb6-0ac0-424a-947a-4f8c2e0121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P80:P81</xm:sqref>
        </x14:conditionalFormatting>
        <x14:conditionalFormatting xmlns:xm="http://schemas.microsoft.com/office/excel/2006/main">
          <x14:cfRule type="dataBar" id="{e4a1b2ee-177f-4ee7-a54a-bb081f62c7b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P83:P84</xm:sqref>
        </x14:conditionalFormatting>
        <x14:conditionalFormatting xmlns:xm="http://schemas.microsoft.com/office/excel/2006/main">
          <x14:cfRule type="dataBar" id="{080a3fcb-7baf-49d2-a2a2-710c33cdb6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P86:P87</xm:sqref>
        </x14:conditionalFormatting>
        <x14:conditionalFormatting xmlns:xm="http://schemas.microsoft.com/office/excel/2006/main">
          <x14:cfRule type="dataBar" id="{5e5981d4-c198-477e-b31f-1d52e4fc81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P89:P90</xm:sqref>
        </x14:conditionalFormatting>
        <x14:conditionalFormatting xmlns:xm="http://schemas.microsoft.com/office/excel/2006/main">
          <x14:cfRule type="dataBar" id="{d291a1a1-783f-4eea-b578-d69f752751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P92:P93</xm:sqref>
        </x14:conditionalFormatting>
        <x14:conditionalFormatting xmlns:xm="http://schemas.microsoft.com/office/excel/2006/main">
          <x14:cfRule type="dataBar" id="{2f7beeb1-589d-4efd-b394-0aebf0f9b0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P95:P96</xm:sqref>
        </x14:conditionalFormatting>
        <x14:conditionalFormatting xmlns:xm="http://schemas.microsoft.com/office/excel/2006/main">
          <x14:cfRule type="dataBar" id="{1939126d-abb7-469f-96d9-752c3faed0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P98:P100</xm:sqref>
        </x14:conditionalFormatting>
        <x14:conditionalFormatting xmlns:xm="http://schemas.microsoft.com/office/excel/2006/main">
          <x14:cfRule type="dataBar" id="{262b12f1-674c-41da-a831-137c0cbf32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P107:P109</xm:sqref>
        </x14:conditionalFormatting>
        <x14:conditionalFormatting xmlns:xm="http://schemas.microsoft.com/office/excel/2006/main">
          <x14:cfRule type="dataBar" id="{4b3ef79c-50a8-4173-ba9b-074aa7e6a5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O2:O13 O101:O106</xm:sqref>
        </x14:conditionalFormatting>
        <x14:conditionalFormatting xmlns:xm="http://schemas.microsoft.com/office/excel/2006/main">
          <x14:cfRule type="dataBar" id="{70d37f46-9538-4565-b6d8-7001754615b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P2:P13 P101:P106</xm:sqref>
        </x14:conditionalFormatting>
        <x14:conditionalFormatting xmlns:xm="http://schemas.microsoft.com/office/excel/2006/main">
          <x14:cfRule type="dataBar" id="{ce896a05-ee53-4596-8d57-2e6a280b5f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O56:O57 O97</xm:sqref>
        </x14:conditionalFormatting>
        <x14:conditionalFormatting xmlns:xm="http://schemas.microsoft.com/office/excel/2006/main">
          <x14:cfRule type="dataBar" id="{5f47b9b6-0481-4cec-be95-ff094e2d27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P56:P57 P97</xm:sqref>
        </x14:conditionalFormatting>
        <x14:conditionalFormatting xmlns:xm="http://schemas.microsoft.com/office/excel/2006/main">
          <x14:cfRule type="dataBar" id="{1f9ea792-0ac0-477f-b1ac-6426667c43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N113:N118 N146:N148</xm:sqref>
        </x14:conditionalFormatting>
      </x14:conditionalFormatting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3"/>
  <sheetViews>
    <sheetView topLeftCell="A13" workbookViewId="0">
      <selection activeCell="F43" sqref="F43"/>
    </sheetView>
  </sheetViews>
  <sheetFormatPr defaultColWidth="9" defaultRowHeight="13.5"/>
  <cols>
    <col min="16" max="16" width="10.375" customWidth="1"/>
  </cols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54" customFormat="1" ht="14.25" customHeight="1" spans="1:25">
      <c r="A2" s="86">
        <v>7041</v>
      </c>
      <c r="B2" s="86">
        <f>VLOOKUP(表1_86121822242672108[[#This Row],[区服]],$P$32:$Q$40,2,FALSE)</f>
        <v>42</v>
      </c>
      <c r="C2" s="87" t="s">
        <v>261</v>
      </c>
      <c r="D2" s="315" t="str">
        <f>表1_86121822242672108[[#This Row],[目标国家]]</f>
        <v>魏</v>
      </c>
      <c r="E2" s="89">
        <f>(VLOOKUP(表1_86121822242672108[[#This Row],[目标区服]],$R$32:$S$35,2,FALSE)-表1_86121822242672108[[#This Row],[开服天数]])*配置!$B$1</f>
        <v>1000</v>
      </c>
      <c r="F2" s="89">
        <f>表1_86121822242672108[[#This Row],[补偿Coin]]*(表1_86121822242672108[[#This Row],[活跃高战玩家数]]+表1_86121822242672108[[#This Row],[活跃中坚玩家数]])</f>
        <v>14000</v>
      </c>
      <c r="G2" s="89">
        <f>(VLOOKUP(表1_86121822242672108[[#This Row],[目标区服]],$R$32:$S$35,2,FALSE)-表1_86121822242672108[[#This Row],[开服天数]])*配置!$B$2</f>
        <v>10</v>
      </c>
      <c r="H2" s="88" t="s">
        <v>25</v>
      </c>
      <c r="I2" s="88">
        <f>IF(表1_86121822242672108[[#This Row],[原国家]]="魏",0,IF(表1_86121822242672108[[#This Row],[原国家]]="蜀",1,2))</f>
        <v>0</v>
      </c>
      <c r="J2" s="90">
        <v>2</v>
      </c>
      <c r="K2" s="90">
        <v>75</v>
      </c>
      <c r="L2" s="90">
        <v>1</v>
      </c>
      <c r="M2" s="90">
        <v>13</v>
      </c>
      <c r="N2" s="90">
        <v>43481</v>
      </c>
      <c r="O2" s="90">
        <v>1275338</v>
      </c>
      <c r="P2" s="330">
        <v>6511751</v>
      </c>
      <c r="Q2" s="132" t="s">
        <v>25</v>
      </c>
      <c r="R2" s="88">
        <f>IF(表1_86121822242672108[[#This Row],[目标国家]]="魏",0,IF(表1_86121822242672108[[#This Row],[目标国家]]="蜀",1,2))</f>
        <v>0</v>
      </c>
      <c r="S2" s="90">
        <v>11172</v>
      </c>
      <c r="T2" s="90">
        <v>0</v>
      </c>
      <c r="U2" s="90">
        <v>111990</v>
      </c>
      <c r="V2" s="90">
        <v>3485</v>
      </c>
      <c r="W2" s="89">
        <v>474314</v>
      </c>
      <c r="X2" s="134" t="str">
        <f>"{"&amp;"'coin':"&amp;表1_86121822242672108[[#This Row],[补偿Coin]]&amp;",'"&amp;配置!$A$2&amp;"':"&amp;表1_86121822242672108[[#This Row],[补偿辎重]]&amp;"},"</f>
        <v>{'coin':1000,'item036':10},</v>
      </c>
      <c r="Y2" s="136" t="str">
        <f>"      '"&amp;表1_86121822242672108[[#This Row],[区服]]&amp;"':{"</f>
        <v>      '7041':{</v>
      </c>
    </row>
    <row r="3" s="354" customFormat="1" ht="14.25" customHeight="1" spans="1:25">
      <c r="A3" s="355">
        <v>7041</v>
      </c>
      <c r="B3" s="86">
        <f>VLOOKUP(表1_86121822242672108[[#This Row],[区服]],$P$32:$Q$40,2,FALSE)</f>
        <v>42</v>
      </c>
      <c r="C3" s="87" t="s">
        <v>261</v>
      </c>
      <c r="D3" s="88" t="str">
        <f>表1_86121822242672108[[#This Row],[目标国家]]</f>
        <v>蜀</v>
      </c>
      <c r="E3" s="90">
        <f>(VLOOKUP(表1_86121822242672108[[#This Row],[目标区服]],$R$32:$S$35,2,FALSE)-表1_86121822242672108[[#This Row],[开服天数]])*配置!$B$1</f>
        <v>1000</v>
      </c>
      <c r="F3" s="90">
        <f>表1_86121822242672108[[#This Row],[补偿Coin]]*(表1_86121822242672108[[#This Row],[活跃高战玩家数]]+表1_86121822242672108[[#This Row],[活跃中坚玩家数]])</f>
        <v>20000</v>
      </c>
      <c r="G3" s="90">
        <f>(VLOOKUP(表1_86121822242672108[[#This Row],[目标区服]],$R$32:$S$35,2,FALSE)-表1_86121822242672108[[#This Row],[开服天数]])*配置!$B$2</f>
        <v>10</v>
      </c>
      <c r="H3" s="88" t="s">
        <v>26</v>
      </c>
      <c r="I3" s="88">
        <f>IF(表1_86121822242672108[[#This Row],[原国家]]="魏",0,IF(表1_86121822242672108[[#This Row],[原国家]]="蜀",1,2))</f>
        <v>1</v>
      </c>
      <c r="J3" s="90">
        <v>3</v>
      </c>
      <c r="K3" s="90">
        <v>125</v>
      </c>
      <c r="L3" s="90">
        <v>3</v>
      </c>
      <c r="M3" s="90">
        <v>17</v>
      </c>
      <c r="N3" s="90">
        <v>98454</v>
      </c>
      <c r="O3" s="90">
        <v>2077571</v>
      </c>
      <c r="P3" s="330">
        <v>13883175</v>
      </c>
      <c r="Q3" s="132" t="s">
        <v>26</v>
      </c>
      <c r="R3" s="88">
        <f>IF(表1_86121822242672108[[#This Row],[目标国家]]="魏",0,IF(表1_86121822242672108[[#This Row],[目标国家]]="蜀",1,2))</f>
        <v>1</v>
      </c>
      <c r="S3" s="360">
        <v>102938</v>
      </c>
      <c r="T3" s="90">
        <v>0</v>
      </c>
      <c r="U3" s="90">
        <v>387509</v>
      </c>
      <c r="V3" s="90">
        <v>8790</v>
      </c>
      <c r="W3" s="89">
        <v>710435</v>
      </c>
      <c r="X3" s="134" t="str">
        <f>"{"&amp;"'coin':"&amp;表1_86121822242672108[[#This Row],[补偿Coin]]&amp;",'"&amp;配置!$A$2&amp;"':"&amp;表1_86121822242672108[[#This Row],[补偿辎重]]&amp;"},"</f>
        <v>{'coin':1000,'item036':10},</v>
      </c>
      <c r="Y3" s="136" t="str">
        <f>"            'to_zone':'"&amp;表1_86121822242672108[[#This Row],[目标区服]]&amp;"',
            'reward':"&amp;表1_86121822242672108[[#This Row],[辅助导出]]&amp;"
            'country':["&amp;R2&amp;","&amp;R3&amp;","&amp;R4&amp;"],"</f>
        <v>            'to_zone':'h1_719',
            'reward':{'coin':1000,'item036':10},
            'country':[0,1,2],</v>
      </c>
    </row>
    <row r="4" s="354" customFormat="1" ht="14.25" customHeight="1" spans="1:25">
      <c r="A4" s="355">
        <v>7041</v>
      </c>
      <c r="B4" s="86">
        <f>VLOOKUP(表1_86121822242672108[[#This Row],[区服]],$P$32:$Q$40,2,FALSE)</f>
        <v>42</v>
      </c>
      <c r="C4" s="87" t="s">
        <v>261</v>
      </c>
      <c r="D4" s="88" t="str">
        <f>表1_86121822242672108[[#This Row],[目标国家]]</f>
        <v>吴</v>
      </c>
      <c r="E4" s="90">
        <f>(VLOOKUP(表1_86121822242672108[[#This Row],[目标区服]],$R$32:$S$35,2,FALSE)-表1_86121822242672108[[#This Row],[开服天数]])*配置!$B$1</f>
        <v>1000</v>
      </c>
      <c r="F4" s="90">
        <f>表1_86121822242672108[[#This Row],[补偿Coin]]*(表1_86121822242672108[[#This Row],[活跃高战玩家数]]+表1_86121822242672108[[#This Row],[活跃中坚玩家数]])</f>
        <v>20000</v>
      </c>
      <c r="G4" s="90">
        <f>(VLOOKUP(表1_86121822242672108[[#This Row],[目标区服]],$R$32:$S$35,2,FALSE)-表1_86121822242672108[[#This Row],[开服天数]])*配置!$B$2</f>
        <v>10</v>
      </c>
      <c r="H4" s="88" t="s">
        <v>27</v>
      </c>
      <c r="I4" s="88">
        <f>IF(表1_86121822242672108[[#This Row],[原国家]]="魏",0,IF(表1_86121822242672108[[#This Row],[原国家]]="蜀",1,2))</f>
        <v>2</v>
      </c>
      <c r="J4" s="90">
        <v>4</v>
      </c>
      <c r="K4" s="90">
        <v>195</v>
      </c>
      <c r="L4" s="90">
        <v>6</v>
      </c>
      <c r="M4" s="90">
        <v>14</v>
      </c>
      <c r="N4" s="90">
        <v>108044</v>
      </c>
      <c r="O4" s="90">
        <v>2795719</v>
      </c>
      <c r="P4" s="330">
        <v>17655468</v>
      </c>
      <c r="Q4" s="132" t="s">
        <v>27</v>
      </c>
      <c r="R4" s="88">
        <f>IF(表1_86121822242672108[[#This Row],[目标国家]]="魏",0,IF(表1_86121822242672108[[#This Row],[目标国家]]="蜀",1,2))</f>
        <v>2</v>
      </c>
      <c r="S4" s="360">
        <v>139096</v>
      </c>
      <c r="T4" s="90">
        <v>0</v>
      </c>
      <c r="U4" s="90">
        <v>468224</v>
      </c>
      <c r="V4" s="90">
        <v>11858</v>
      </c>
      <c r="W4" s="361">
        <v>885144</v>
      </c>
      <c r="X4" s="134" t="str">
        <f>"{"&amp;"'coin':"&amp;表1_86121822242672108[[#This Row],[补偿Coin]]&amp;",'"&amp;配置!$A$2&amp;"':"&amp;表1_86121822242672108[[#This Row],[补偿辎重]]&amp;"},"</f>
        <v>{'coin':1000,'item036':10},</v>
      </c>
      <c r="Y4" s="136" t="str">
        <f>"      },"</f>
        <v>      },</v>
      </c>
    </row>
    <row r="5" s="354" customFormat="1" ht="14.25" customHeight="1" spans="1:25">
      <c r="A5" s="355">
        <v>7042</v>
      </c>
      <c r="B5" s="86">
        <f>VLOOKUP(表1_86121822242672108[[#This Row],[区服]],$P$32:$Q$40,2,FALSE)</f>
        <v>41</v>
      </c>
      <c r="C5" s="87" t="s">
        <v>261</v>
      </c>
      <c r="D5" s="88" t="str">
        <f>表1_86121822242672108[[#This Row],[目标国家]]</f>
        <v>魏</v>
      </c>
      <c r="E5" s="90">
        <f>(VLOOKUP(表1_86121822242672108[[#This Row],[目标区服]],$R$32:$S$35,2,FALSE)-表1_86121822242672108[[#This Row],[开服天数]])*配置!$B$1</f>
        <v>1500</v>
      </c>
      <c r="F5" s="90">
        <f>表1_86121822242672108[[#This Row],[补偿Coin]]*(表1_86121822242672108[[#This Row],[活跃高战玩家数]]+表1_86121822242672108[[#This Row],[活跃中坚玩家数]])</f>
        <v>48000</v>
      </c>
      <c r="G5" s="90">
        <f>(VLOOKUP(表1_86121822242672108[[#This Row],[目标区服]],$R$32:$S$35,2,FALSE)-表1_86121822242672108[[#This Row],[开服天数]])*配置!$B$2</f>
        <v>15</v>
      </c>
      <c r="H5" s="88" t="s">
        <v>25</v>
      </c>
      <c r="I5" s="88">
        <f>IF(表1_86121822242672108[[#This Row],[原国家]]="魏",0,IF(表1_86121822242672108[[#This Row],[原国家]]="蜀",1,2))</f>
        <v>0</v>
      </c>
      <c r="J5" s="90">
        <v>5</v>
      </c>
      <c r="K5" s="90">
        <v>200</v>
      </c>
      <c r="L5" s="90">
        <v>4</v>
      </c>
      <c r="M5" s="90">
        <v>28</v>
      </c>
      <c r="N5" s="90">
        <v>135391</v>
      </c>
      <c r="O5" s="90">
        <v>2259562</v>
      </c>
      <c r="P5" s="330">
        <v>21878160</v>
      </c>
      <c r="Q5" s="132" t="s">
        <v>25</v>
      </c>
      <c r="R5" s="88">
        <f>IF(表1_86121822242672108[[#This Row],[目标国家]]="魏",0,IF(表1_86121822242672108[[#This Row],[目标国家]]="蜀",1,2))</f>
        <v>0</v>
      </c>
      <c r="S5" s="90">
        <v>82208</v>
      </c>
      <c r="T5" s="90">
        <v>0</v>
      </c>
      <c r="U5" s="90">
        <v>461613</v>
      </c>
      <c r="V5" s="90">
        <v>10321</v>
      </c>
      <c r="W5" s="89">
        <v>620986</v>
      </c>
      <c r="X5" s="134" t="str">
        <f>"{"&amp;"'coin':"&amp;表1_86121822242672108[[#This Row],[补偿Coin]]&amp;",'"&amp;配置!$A$2&amp;"':"&amp;表1_86121822242672108[[#This Row],[补偿辎重]]&amp;"},"</f>
        <v>{'coin':1500,'item036':15},</v>
      </c>
      <c r="Y5" s="136" t="str">
        <f>"      '"&amp;表1_86121822242672108[[#This Row],[区服]]&amp;"':{"</f>
        <v>      '7042':{</v>
      </c>
    </row>
    <row r="6" s="354" customFormat="1" ht="14.25" customHeight="1" spans="1:25">
      <c r="A6" s="86">
        <v>7042</v>
      </c>
      <c r="B6" s="86">
        <f>VLOOKUP(表1_86121822242672108[[#This Row],[区服]],$P$32:$Q$40,2,FALSE)</f>
        <v>41</v>
      </c>
      <c r="C6" s="87" t="s">
        <v>261</v>
      </c>
      <c r="D6" s="88" t="str">
        <f>表1_86121822242672108[[#This Row],[目标国家]]</f>
        <v>吴</v>
      </c>
      <c r="E6" s="90">
        <f>(VLOOKUP(表1_86121822242672108[[#This Row],[目标区服]],$R$32:$S$35,2,FALSE)-表1_86121822242672108[[#This Row],[开服天数]])*配置!$B$1</f>
        <v>1500</v>
      </c>
      <c r="F6" s="90">
        <f>表1_86121822242672108[[#This Row],[补偿Coin]]*(表1_86121822242672108[[#This Row],[活跃高战玩家数]]+表1_86121822242672108[[#This Row],[活跃中坚玩家数]])</f>
        <v>24000</v>
      </c>
      <c r="G6" s="90">
        <f>(VLOOKUP(表1_86121822242672108[[#This Row],[目标区服]],$R$32:$S$35,2,FALSE)-表1_86121822242672108[[#This Row],[开服天数]])*配置!$B$2</f>
        <v>15</v>
      </c>
      <c r="H6" s="88" t="s">
        <v>26</v>
      </c>
      <c r="I6" s="88">
        <f>IF(表1_86121822242672108[[#This Row],[原国家]]="魏",0,IF(表1_86121822242672108[[#This Row],[原国家]]="蜀",1,2))</f>
        <v>1</v>
      </c>
      <c r="J6" s="90">
        <v>1</v>
      </c>
      <c r="K6" s="90">
        <v>77</v>
      </c>
      <c r="L6" s="90">
        <v>2</v>
      </c>
      <c r="M6" s="90">
        <v>14</v>
      </c>
      <c r="N6" s="90">
        <v>57193</v>
      </c>
      <c r="O6" s="90">
        <v>1280636</v>
      </c>
      <c r="P6" s="330">
        <v>9172483</v>
      </c>
      <c r="Q6" s="132" t="s">
        <v>27</v>
      </c>
      <c r="R6" s="88">
        <f>IF(表1_86121822242672108[[#This Row],[目标国家]]="魏",0,IF(表1_86121822242672108[[#This Row],[目标国家]]="蜀",1,2))</f>
        <v>2</v>
      </c>
      <c r="S6" s="90">
        <v>10240</v>
      </c>
      <c r="T6" s="90">
        <v>0</v>
      </c>
      <c r="U6" s="90">
        <v>55626</v>
      </c>
      <c r="V6" s="90">
        <v>3688</v>
      </c>
      <c r="W6" s="89">
        <v>427342</v>
      </c>
      <c r="X6" s="134" t="str">
        <f>"{"&amp;"'coin':"&amp;表1_86121822242672108[[#This Row],[补偿Coin]]&amp;",'"&amp;配置!$A$2&amp;"':"&amp;表1_86121822242672108[[#This Row],[补偿辎重]]&amp;"},"</f>
        <v>{'coin':1500,'item036':15},</v>
      </c>
      <c r="Y6" s="136" t="str">
        <f>"            'to_zone':'"&amp;表1_86121822242672108[[#This Row],[目标区服]]&amp;"',
            'reward':"&amp;表1_86121822242672108[[#This Row],[辅助导出]]&amp;"
            'country':["&amp;R5&amp;","&amp;R6&amp;","&amp;R7&amp;"],"</f>
        <v>            'to_zone':'h1_719',
            'reward':{'coin':1500,'item036':15},
            'country':[0,2,2],</v>
      </c>
    </row>
    <row r="7" s="354" customFormat="1" ht="14.25" customHeight="1" spans="1:25">
      <c r="A7" s="86">
        <v>7042</v>
      </c>
      <c r="B7" s="86">
        <f>VLOOKUP(表1_86121822242672108[[#This Row],[区服]],$P$32:$Q$40,2,FALSE)</f>
        <v>41</v>
      </c>
      <c r="C7" s="87" t="s">
        <v>261</v>
      </c>
      <c r="D7" s="88" t="str">
        <f>表1_86121822242672108[[#This Row],[目标国家]]</f>
        <v>吴</v>
      </c>
      <c r="E7" s="90">
        <f>(VLOOKUP(表1_86121822242672108[[#This Row],[目标区服]],$R$32:$S$35,2,FALSE)-表1_86121822242672108[[#This Row],[开服天数]])*配置!$B$1</f>
        <v>1500</v>
      </c>
      <c r="F7" s="90">
        <f>表1_86121822242672108[[#This Row],[补偿Coin]]*(表1_86121822242672108[[#This Row],[活跃高战玩家数]]+表1_86121822242672108[[#This Row],[活跃中坚玩家数]])</f>
        <v>34500</v>
      </c>
      <c r="G7" s="90">
        <f>(VLOOKUP(表1_86121822242672108[[#This Row],[目标区服]],$R$32:$S$35,2,FALSE)-表1_86121822242672108[[#This Row],[开服天数]])*配置!$B$2</f>
        <v>15</v>
      </c>
      <c r="H7" s="88" t="s">
        <v>27</v>
      </c>
      <c r="I7" s="88">
        <f>IF(表1_86121822242672108[[#This Row],[原国家]]="魏",0,IF(表1_86121822242672108[[#This Row],[原国家]]="蜀",1,2))</f>
        <v>2</v>
      </c>
      <c r="J7" s="90">
        <v>3</v>
      </c>
      <c r="K7" s="90">
        <v>118</v>
      </c>
      <c r="L7" s="90">
        <v>2</v>
      </c>
      <c r="M7" s="90">
        <v>21</v>
      </c>
      <c r="N7" s="90">
        <v>88662</v>
      </c>
      <c r="O7" s="90">
        <v>1768346</v>
      </c>
      <c r="P7" s="330">
        <v>14256280</v>
      </c>
      <c r="Q7" s="132" t="s">
        <v>27</v>
      </c>
      <c r="R7" s="88">
        <f>IF(表1_86121822242672108[[#This Row],[目标国家]]="魏",0,IF(表1_86121822242672108[[#This Row],[目标国家]]="蜀",1,2))</f>
        <v>2</v>
      </c>
      <c r="S7" s="90">
        <v>32496</v>
      </c>
      <c r="T7" s="90">
        <v>0</v>
      </c>
      <c r="U7" s="90">
        <v>238362</v>
      </c>
      <c r="V7" s="90">
        <v>6211</v>
      </c>
      <c r="W7" s="89">
        <v>561609</v>
      </c>
      <c r="X7" s="134" t="str">
        <f>"{"&amp;"'coin':"&amp;表1_86121822242672108[[#This Row],[补偿Coin]]&amp;",'"&amp;配置!$A$2&amp;"':"&amp;表1_86121822242672108[[#This Row],[补偿辎重]]&amp;"},"</f>
        <v>{'coin':1500,'item036':15},</v>
      </c>
      <c r="Y7" s="136" t="str">
        <f>"      },"</f>
        <v>      },</v>
      </c>
    </row>
    <row r="8" s="354" customFormat="1" ht="14.25" customHeight="1" spans="1:25">
      <c r="A8" s="355">
        <v>7043</v>
      </c>
      <c r="B8" s="86">
        <f>VLOOKUP(表1_86121822242672108[[#This Row],[区服]],$P$32:$Q$40,2,FALSE)</f>
        <v>41</v>
      </c>
      <c r="C8" s="87" t="s">
        <v>261</v>
      </c>
      <c r="D8" s="88" t="str">
        <f>表1_86121822242672108[[#This Row],[目标国家]]</f>
        <v>魏</v>
      </c>
      <c r="E8" s="90">
        <f>(VLOOKUP(表1_86121822242672108[[#This Row],[目标区服]],$R$32:$S$35,2,FALSE)-表1_86121822242672108[[#This Row],[开服天数]])*配置!$B$1</f>
        <v>1500</v>
      </c>
      <c r="F8" s="90">
        <f>表1_86121822242672108[[#This Row],[补偿Coin]]*(表1_86121822242672108[[#This Row],[活跃高战玩家数]]+表1_86121822242672108[[#This Row],[活跃中坚玩家数]])</f>
        <v>43500</v>
      </c>
      <c r="G8" s="356">
        <f>(VLOOKUP(表1_86121822242672108[[#This Row],[目标区服]],$R$32:$S$35,2,FALSE)-表1_86121822242672108[[#This Row],[开服天数]])*配置!$B$2</f>
        <v>15</v>
      </c>
      <c r="H8" s="88" t="s">
        <v>25</v>
      </c>
      <c r="I8" s="357">
        <f>IF(表1_86121822242672108[[#This Row],[原国家]]="魏",0,IF(表1_86121822242672108[[#This Row],[原国家]]="蜀",1,2))</f>
        <v>0</v>
      </c>
      <c r="J8" s="90">
        <v>4</v>
      </c>
      <c r="K8" s="90">
        <v>176</v>
      </c>
      <c r="L8" s="90">
        <v>4</v>
      </c>
      <c r="M8" s="90">
        <v>25</v>
      </c>
      <c r="N8" s="90">
        <v>103615</v>
      </c>
      <c r="O8" s="358">
        <v>2550940</v>
      </c>
      <c r="P8" s="330">
        <v>18821203</v>
      </c>
      <c r="Q8" s="132" t="s">
        <v>25</v>
      </c>
      <c r="R8" s="88">
        <f>IF(表1_86121822242672108[[#This Row],[目标国家]]="魏",0,IF(表1_86121822242672108[[#This Row],[目标国家]]="蜀",1,2))</f>
        <v>0</v>
      </c>
      <c r="S8" s="90">
        <v>43712</v>
      </c>
      <c r="T8" s="90">
        <v>0</v>
      </c>
      <c r="U8" s="90">
        <v>464941</v>
      </c>
      <c r="V8" s="90">
        <v>8654</v>
      </c>
      <c r="W8" s="360">
        <v>828749</v>
      </c>
      <c r="X8" s="362" t="str">
        <f>"{"&amp;"'coin':"&amp;表1_86121822242672108[[#This Row],[补偿Coin]]&amp;",'"&amp;配置!$A$2&amp;"':"&amp;表1_86121822242672108[[#This Row],[补偿辎重]]&amp;"},"</f>
        <v>{'coin':1500,'item036':15},</v>
      </c>
      <c r="Y8" s="362" t="str">
        <f>"      '"&amp;表1_86121822242672108[[#This Row],[区服]]&amp;"':{"</f>
        <v>      '7043':{</v>
      </c>
    </row>
    <row r="9" s="354" customFormat="1" ht="14.25" customHeight="1" spans="1:25">
      <c r="A9" s="355">
        <v>7043</v>
      </c>
      <c r="B9" s="86">
        <f>VLOOKUP(表1_86121822242672108[[#This Row],[区服]],$P$32:$Q$40,2,FALSE)</f>
        <v>41</v>
      </c>
      <c r="C9" s="87" t="s">
        <v>261</v>
      </c>
      <c r="D9" s="88" t="str">
        <f>表1_86121822242672108[[#This Row],[目标国家]]</f>
        <v>蜀</v>
      </c>
      <c r="E9" s="90">
        <f>(VLOOKUP(表1_86121822242672108[[#This Row],[目标区服]],$R$32:$S$35,2,FALSE)-表1_86121822242672108[[#This Row],[开服天数]])*配置!$B$1</f>
        <v>1500</v>
      </c>
      <c r="F9" s="90">
        <f>表1_86121822242672108[[#This Row],[补偿Coin]]*(表1_86121822242672108[[#This Row],[活跃高战玩家数]]+表1_86121822242672108[[#This Row],[活跃中坚玩家数]])</f>
        <v>39000</v>
      </c>
      <c r="G9" s="356">
        <f>(VLOOKUP(表1_86121822242672108[[#This Row],[目标区服]],$R$32:$S$35,2,FALSE)-表1_86121822242672108[[#This Row],[开服天数]])*配置!$B$2</f>
        <v>15</v>
      </c>
      <c r="H9" s="88" t="s">
        <v>26</v>
      </c>
      <c r="I9" s="357">
        <f>IF(表1_86121822242672108[[#This Row],[原国家]]="魏",0,IF(表1_86121822242672108[[#This Row],[原国家]]="蜀",1,2))</f>
        <v>1</v>
      </c>
      <c r="J9" s="90">
        <v>3</v>
      </c>
      <c r="K9" s="90">
        <v>127</v>
      </c>
      <c r="L9" s="90">
        <v>4</v>
      </c>
      <c r="M9" s="90">
        <v>22</v>
      </c>
      <c r="N9" s="90">
        <v>97099</v>
      </c>
      <c r="O9" s="358">
        <v>2403440</v>
      </c>
      <c r="P9" s="330">
        <v>17184060</v>
      </c>
      <c r="Q9" s="132" t="s">
        <v>26</v>
      </c>
      <c r="R9" s="88">
        <f>IF(表1_86121822242672108[[#This Row],[目标国家]]="魏",0,IF(表1_86121822242672108[[#This Row],[目标国家]]="蜀",1,2))</f>
        <v>1</v>
      </c>
      <c r="S9" s="90">
        <v>41162</v>
      </c>
      <c r="T9" s="90">
        <v>0</v>
      </c>
      <c r="U9" s="90">
        <v>346512</v>
      </c>
      <c r="V9" s="90">
        <v>7585</v>
      </c>
      <c r="W9" s="360">
        <v>811260</v>
      </c>
      <c r="X9" s="362" t="str">
        <f>"{"&amp;"'coin':"&amp;表1_86121822242672108[[#This Row],[补偿Coin]]&amp;",'"&amp;配置!$A$2&amp;"':"&amp;表1_86121822242672108[[#This Row],[补偿辎重]]&amp;"},"</f>
        <v>{'coin':1500,'item036':15},</v>
      </c>
      <c r="Y9" s="362" t="str">
        <f>"            'to_zone':'"&amp;表1_86121822242672108[[#This Row],[目标区服]]&amp;"',
            'reward':"&amp;表1_86121822242672108[[#This Row],[辅助导出]]&amp;"
            'country':["&amp;R8&amp;","&amp;R9&amp;","&amp;R10&amp;"],"</f>
        <v>            'to_zone':'h1_719',
            'reward':{'coin':1500,'item036':15},
            'country':[0,1,1],</v>
      </c>
    </row>
    <row r="10" s="354" customFormat="1" ht="14.25" customHeight="1" spans="1:25">
      <c r="A10" s="355">
        <v>7043</v>
      </c>
      <c r="B10" s="86">
        <f>VLOOKUP(表1_86121822242672108[[#This Row],[区服]],$P$32:$Q$40,2,FALSE)</f>
        <v>41</v>
      </c>
      <c r="C10" s="87" t="s">
        <v>261</v>
      </c>
      <c r="D10" s="88" t="str">
        <f>表1_86121822242672108[[#This Row],[目标国家]]</f>
        <v>蜀</v>
      </c>
      <c r="E10" s="90">
        <f>(VLOOKUP(表1_86121822242672108[[#This Row],[目标区服]],$R$32:$S$35,2,FALSE)-表1_86121822242672108[[#This Row],[开服天数]])*配置!$B$1</f>
        <v>1500</v>
      </c>
      <c r="F10" s="90">
        <f>表1_86121822242672108[[#This Row],[补偿Coin]]*(表1_86121822242672108[[#This Row],[活跃高战玩家数]]+表1_86121822242672108[[#This Row],[活跃中坚玩家数]])</f>
        <v>33000</v>
      </c>
      <c r="G10" s="356">
        <f>(VLOOKUP(表1_86121822242672108[[#This Row],[目标区服]],$R$32:$S$35,2,FALSE)-表1_86121822242672108[[#This Row],[开服天数]])*配置!$B$2</f>
        <v>15</v>
      </c>
      <c r="H10" s="88" t="s">
        <v>27</v>
      </c>
      <c r="I10" s="357">
        <f>IF(表1_86121822242672108[[#This Row],[原国家]]="魏",0,IF(表1_86121822242672108[[#This Row],[原国家]]="蜀",1,2))</f>
        <v>2</v>
      </c>
      <c r="J10" s="90">
        <v>2</v>
      </c>
      <c r="K10" s="90">
        <v>92</v>
      </c>
      <c r="L10" s="90">
        <v>2</v>
      </c>
      <c r="M10" s="90">
        <v>20</v>
      </c>
      <c r="N10" s="90">
        <v>97529</v>
      </c>
      <c r="O10" s="358">
        <v>1670127</v>
      </c>
      <c r="P10" s="330">
        <v>14230432</v>
      </c>
      <c r="Q10" s="132" t="s">
        <v>26</v>
      </c>
      <c r="R10" s="88">
        <f>IF(表1_86121822242672108[[#This Row],[目标国家]]="魏",0,IF(表1_86121822242672108[[#This Row],[目标国家]]="蜀",1,2))</f>
        <v>1</v>
      </c>
      <c r="S10" s="90">
        <v>15770</v>
      </c>
      <c r="T10" s="90">
        <v>0</v>
      </c>
      <c r="U10" s="90">
        <v>190733</v>
      </c>
      <c r="V10" s="90">
        <v>5269</v>
      </c>
      <c r="W10" s="90">
        <v>595980</v>
      </c>
      <c r="X10" s="362" t="str">
        <f>"{"&amp;"'coin':"&amp;表1_86121822242672108[[#This Row],[补偿Coin]]&amp;",'"&amp;配置!$A$2&amp;"':"&amp;表1_86121822242672108[[#This Row],[补偿辎重]]&amp;"},"</f>
        <v>{'coin':1500,'item036':15},</v>
      </c>
      <c r="Y10" s="362" t="str">
        <f>"      },"</f>
        <v>      },</v>
      </c>
    </row>
    <row r="11" s="354" customFormat="1" ht="14.25" customHeight="1" spans="1:25">
      <c r="A11" s="257">
        <v>7044</v>
      </c>
      <c r="B11" s="150">
        <f>VLOOKUP(表1_86121822242672108[[#This Row],[区服]],$P$32:$Q$40,2,FALSE)</f>
        <v>40</v>
      </c>
      <c r="C11" s="151" t="s">
        <v>262</v>
      </c>
      <c r="D11" s="152" t="str">
        <f>表1_86121822242672108[[#This Row],[目标国家]]</f>
        <v>魏</v>
      </c>
      <c r="E11" s="154">
        <f>(VLOOKUP(表1_86121822242672108[[#This Row],[目标区服]],$R$32:$S$35,2,FALSE)-表1_86121822242672108[[#This Row],[开服天数]])*配置!$B$1</f>
        <v>1000</v>
      </c>
      <c r="F11" s="154">
        <f>表1_86121822242672108[[#This Row],[补偿Coin]]*(表1_86121822242672108[[#This Row],[活跃高战玩家数]]+表1_86121822242672108[[#This Row],[活跃中坚玩家数]])</f>
        <v>9000</v>
      </c>
      <c r="G11" s="258">
        <f>(VLOOKUP(表1_86121822242672108[[#This Row],[目标区服]],$R$32:$S$35,2,FALSE)-表1_86121822242672108[[#This Row],[开服天数]])*配置!$B$2</f>
        <v>10</v>
      </c>
      <c r="H11" s="152" t="s">
        <v>25</v>
      </c>
      <c r="I11" s="267">
        <f>IF(表1_86121822242672108[[#This Row],[原国家]]="魏",0,IF(表1_86121822242672108[[#This Row],[原国家]]="蜀",1,2))</f>
        <v>0</v>
      </c>
      <c r="J11" s="154">
        <v>0</v>
      </c>
      <c r="K11" s="154">
        <v>52</v>
      </c>
      <c r="L11" s="154">
        <v>1</v>
      </c>
      <c r="M11" s="154">
        <v>8</v>
      </c>
      <c r="N11" s="154">
        <v>35929</v>
      </c>
      <c r="O11" s="359">
        <v>1252021</v>
      </c>
      <c r="P11" s="328">
        <v>5191075</v>
      </c>
      <c r="Q11" s="193" t="s">
        <v>25</v>
      </c>
      <c r="R11" s="152">
        <f>IF(表1_86121822242672108[[#This Row],[目标国家]]="魏",0,IF(表1_86121822242672108[[#This Row],[目标国家]]="蜀",1,2))</f>
        <v>0</v>
      </c>
      <c r="S11" s="154">
        <v>9778</v>
      </c>
      <c r="T11" s="154">
        <v>0</v>
      </c>
      <c r="U11" s="154">
        <v>15062</v>
      </c>
      <c r="V11" s="154">
        <v>2771</v>
      </c>
      <c r="W11" s="154">
        <v>494889</v>
      </c>
      <c r="X11" s="277" t="str">
        <f>"{"&amp;"'coin':"&amp;表1_86121822242672108[[#This Row],[补偿Coin]]&amp;",'"&amp;配置!$A$2&amp;"':"&amp;表1_86121822242672108[[#This Row],[补偿辎重]]&amp;"},"</f>
        <v>{'coin':1000,'item036':10},</v>
      </c>
      <c r="Y11" s="277" t="str">
        <f>"      '"&amp;表1_86121822242672108[[#This Row],[区服]]&amp;"':{"</f>
        <v>      '7044':{</v>
      </c>
    </row>
    <row r="12" s="354" customFormat="1" ht="14.25" customHeight="1" spans="1:25">
      <c r="A12" s="257">
        <v>7044</v>
      </c>
      <c r="B12" s="150">
        <f>VLOOKUP(表1_86121822242672108[[#This Row],[区服]],$P$32:$Q$40,2,FALSE)</f>
        <v>40</v>
      </c>
      <c r="C12" s="151" t="s">
        <v>262</v>
      </c>
      <c r="D12" s="152" t="str">
        <f>表1_86121822242672108[[#This Row],[目标国家]]</f>
        <v>蜀</v>
      </c>
      <c r="E12" s="154">
        <f>(VLOOKUP(表1_86121822242672108[[#This Row],[目标区服]],$R$32:$S$35,2,FALSE)-表1_86121822242672108[[#This Row],[开服天数]])*配置!$B$1</f>
        <v>1000</v>
      </c>
      <c r="F12" s="154">
        <f>表1_86121822242672108[[#This Row],[补偿Coin]]*(表1_86121822242672108[[#This Row],[活跃高战玩家数]]+表1_86121822242672108[[#This Row],[活跃中坚玩家数]])</f>
        <v>19000</v>
      </c>
      <c r="G12" s="258">
        <f>(VLOOKUP(表1_86121822242672108[[#This Row],[目标区服]],$R$32:$S$35,2,FALSE)-表1_86121822242672108[[#This Row],[开服天数]])*配置!$B$2</f>
        <v>10</v>
      </c>
      <c r="H12" s="152" t="s">
        <v>26</v>
      </c>
      <c r="I12" s="267">
        <f>IF(表1_86121822242672108[[#This Row],[原国家]]="魏",0,IF(表1_86121822242672108[[#This Row],[原国家]]="蜀",1,2))</f>
        <v>1</v>
      </c>
      <c r="J12" s="154">
        <v>0</v>
      </c>
      <c r="K12" s="154">
        <v>76</v>
      </c>
      <c r="L12" s="154">
        <v>2</v>
      </c>
      <c r="M12" s="154">
        <v>17</v>
      </c>
      <c r="N12" s="154">
        <v>70433</v>
      </c>
      <c r="O12" s="359">
        <v>1735364</v>
      </c>
      <c r="P12" s="328">
        <v>10707154</v>
      </c>
      <c r="Q12" s="193" t="s">
        <v>26</v>
      </c>
      <c r="R12" s="152">
        <f>IF(表1_86121822242672108[[#This Row],[目标国家]]="魏",0,IF(表1_86121822242672108[[#This Row],[目标国家]]="蜀",1,2))</f>
        <v>1</v>
      </c>
      <c r="S12" s="154">
        <v>30447</v>
      </c>
      <c r="T12" s="154">
        <v>0</v>
      </c>
      <c r="U12" s="154">
        <v>217738</v>
      </c>
      <c r="V12" s="154">
        <v>4940</v>
      </c>
      <c r="W12" s="154">
        <v>486750</v>
      </c>
      <c r="X12" s="277" t="str">
        <f>"{"&amp;"'coin':"&amp;表1_86121822242672108[[#This Row],[补偿Coin]]&amp;",'"&amp;配置!$A$2&amp;"':"&amp;表1_86121822242672108[[#This Row],[补偿辎重]]&amp;"},"</f>
        <v>{'coin':1000,'item036':10},</v>
      </c>
      <c r="Y12" s="277" t="str">
        <f>"            'to_zone':'"&amp;表1_86121822242672108[[#This Row],[目标区服]]&amp;"',
            'reward':"&amp;表1_86121822242672108[[#This Row],[辅助导出]]&amp;"
            'country':["&amp;R11&amp;","&amp;R12&amp;","&amp;R13&amp;"],"</f>
        <v>            'to_zone':'h1_720',
            'reward':{'coin':1000,'item036':10},
            'country':[0,1,2],</v>
      </c>
    </row>
    <row r="13" s="354" customFormat="1" ht="14.25" customHeight="1" spans="1:25">
      <c r="A13" s="257">
        <v>7044</v>
      </c>
      <c r="B13" s="150">
        <f>VLOOKUP(表1_86121822242672108[[#This Row],[区服]],$P$32:$Q$40,2,FALSE)</f>
        <v>40</v>
      </c>
      <c r="C13" s="151" t="s">
        <v>262</v>
      </c>
      <c r="D13" s="152" t="str">
        <f>表1_86121822242672108[[#This Row],[目标国家]]</f>
        <v>吴</v>
      </c>
      <c r="E13" s="154">
        <f>(VLOOKUP(表1_86121822242672108[[#This Row],[目标区服]],$R$32:$S$35,2,FALSE)-表1_86121822242672108[[#This Row],[开服天数]])*配置!$B$1</f>
        <v>1000</v>
      </c>
      <c r="F13" s="154">
        <f>表1_86121822242672108[[#This Row],[补偿Coin]]*(表1_86121822242672108[[#This Row],[活跃高战玩家数]]+表1_86121822242672108[[#This Row],[活跃中坚玩家数]])</f>
        <v>37000</v>
      </c>
      <c r="G13" s="258">
        <f>(VLOOKUP(表1_86121822242672108[[#This Row],[目标区服]],$R$32:$S$35,2,FALSE)-表1_86121822242672108[[#This Row],[开服天数]])*配置!$B$2</f>
        <v>10</v>
      </c>
      <c r="H13" s="152" t="s">
        <v>27</v>
      </c>
      <c r="I13" s="267">
        <f>IF(表1_86121822242672108[[#This Row],[原国家]]="魏",0,IF(表1_86121822242672108[[#This Row],[原国家]]="蜀",1,2))</f>
        <v>2</v>
      </c>
      <c r="J13" s="154">
        <v>9</v>
      </c>
      <c r="K13" s="154">
        <v>267</v>
      </c>
      <c r="L13" s="154">
        <v>6</v>
      </c>
      <c r="M13" s="154">
        <v>31</v>
      </c>
      <c r="N13" s="154">
        <v>182323</v>
      </c>
      <c r="O13" s="359">
        <v>2946242</v>
      </c>
      <c r="P13" s="328">
        <v>28290194</v>
      </c>
      <c r="Q13" s="193" t="s">
        <v>27</v>
      </c>
      <c r="R13" s="152">
        <f>IF(表1_86121822242672108[[#This Row],[目标国家]]="魏",0,IF(表1_86121822242672108[[#This Row],[目标国家]]="蜀",1,2))</f>
        <v>2</v>
      </c>
      <c r="S13" s="363">
        <v>102710</v>
      </c>
      <c r="T13" s="154">
        <v>0</v>
      </c>
      <c r="U13" s="154">
        <v>555846</v>
      </c>
      <c r="V13" s="154">
        <v>13616</v>
      </c>
      <c r="W13" s="363">
        <v>963904</v>
      </c>
      <c r="X13" s="277" t="str">
        <f>"{"&amp;"'coin':"&amp;表1_86121822242672108[[#This Row],[补偿Coin]]&amp;",'"&amp;配置!$A$2&amp;"':"&amp;表1_86121822242672108[[#This Row],[补偿辎重]]&amp;"},"</f>
        <v>{'coin':1000,'item036':10},</v>
      </c>
      <c r="Y13" s="277" t="str">
        <f>"      },"</f>
        <v>      },</v>
      </c>
    </row>
    <row r="14" ht="14.25" customHeight="1" spans="1:25">
      <c r="A14" s="150">
        <v>7045</v>
      </c>
      <c r="B14" s="150">
        <f>VLOOKUP(表1_86121822242672108[[#This Row],[区服]],$P$32:$Q$40,2,FALSE)</f>
        <v>40</v>
      </c>
      <c r="C14" s="151" t="s">
        <v>262</v>
      </c>
      <c r="D14" s="152" t="str">
        <f>表1_86121822242672108[[#This Row],[目标国家]]</f>
        <v>蜀</v>
      </c>
      <c r="E14" s="154">
        <f>(VLOOKUP(表1_86121822242672108[[#This Row],[目标区服]],$R$32:$S$35,2,FALSE)-表1_86121822242672108[[#This Row],[开服天数]])*配置!$B$1</f>
        <v>1000</v>
      </c>
      <c r="F14" s="154">
        <f>表1_86121822242672108[[#This Row],[补偿Coin]]*(表1_86121822242672108[[#This Row],[活跃高战玩家数]]+表1_86121822242672108[[#This Row],[活跃中坚玩家数]])</f>
        <v>18000</v>
      </c>
      <c r="G14" s="154">
        <f>(VLOOKUP(表1_86121822242672108[[#This Row],[目标区服]],$R$32:$S$35,2,FALSE)-表1_86121822242672108[[#This Row],[开服天数]])*配置!$B$2</f>
        <v>10</v>
      </c>
      <c r="H14" s="152" t="s">
        <v>25</v>
      </c>
      <c r="I14" s="152">
        <f>IF(表1_86121822242672108[[#This Row],[原国家]]="魏",0,IF(表1_86121822242672108[[#This Row],[原国家]]="蜀",1,2))</f>
        <v>0</v>
      </c>
      <c r="J14" s="154">
        <v>3</v>
      </c>
      <c r="K14" s="154">
        <v>107</v>
      </c>
      <c r="L14" s="154">
        <v>2</v>
      </c>
      <c r="M14" s="154">
        <v>16</v>
      </c>
      <c r="N14" s="154">
        <v>76280</v>
      </c>
      <c r="O14" s="154">
        <v>1463442</v>
      </c>
      <c r="P14" s="328">
        <v>10250876</v>
      </c>
      <c r="Q14" s="193" t="s">
        <v>26</v>
      </c>
      <c r="R14" s="152">
        <f>IF(表1_86121822242672108[[#This Row],[目标国家]]="魏",0,IF(表1_86121822242672108[[#This Row],[目标国家]]="蜀",1,2))</f>
        <v>1</v>
      </c>
      <c r="S14" s="154">
        <v>7780</v>
      </c>
      <c r="T14" s="154">
        <v>0</v>
      </c>
      <c r="U14" s="154">
        <v>194558</v>
      </c>
      <c r="V14" s="154">
        <v>4570</v>
      </c>
      <c r="W14" s="153">
        <v>383769</v>
      </c>
      <c r="X14" s="196" t="str">
        <f>"{"&amp;"'coin':"&amp;表1_86121822242672108[[#This Row],[补偿Coin]]&amp;",'"&amp;配置!$A$2&amp;"':"&amp;表1_86121822242672108[[#This Row],[补偿辎重]]&amp;"},"</f>
        <v>{'coin':1000,'item036':10},</v>
      </c>
      <c r="Y14" s="194" t="str">
        <f>"      '"&amp;表1_86121822242672108[[#This Row],[区服]]&amp;"':{"</f>
        <v>      '7045':{</v>
      </c>
    </row>
    <row r="15" ht="14.25" customHeight="1" spans="1:25">
      <c r="A15" s="150">
        <v>7045</v>
      </c>
      <c r="B15" s="150">
        <f>VLOOKUP(表1_86121822242672108[[#This Row],[区服]],$P$32:$Q$40,2,FALSE)</f>
        <v>40</v>
      </c>
      <c r="C15" s="151" t="s">
        <v>262</v>
      </c>
      <c r="D15" s="152" t="str">
        <f>表1_86121822242672108[[#This Row],[目标国家]]</f>
        <v>吴</v>
      </c>
      <c r="E15" s="154">
        <f>(VLOOKUP(表1_86121822242672108[[#This Row],[目标区服]],$R$32:$S$35,2,FALSE)-表1_86121822242672108[[#This Row],[开服天数]])*配置!$B$1</f>
        <v>1000</v>
      </c>
      <c r="F15" s="154">
        <f>表1_86121822242672108[[#This Row],[补偿Coin]]*(表1_86121822242672108[[#This Row],[活跃高战玩家数]]+表1_86121822242672108[[#This Row],[活跃中坚玩家数]])</f>
        <v>25000</v>
      </c>
      <c r="G15" s="154">
        <f>(VLOOKUP(表1_86121822242672108[[#This Row],[目标区服]],$R$32:$S$35,2,FALSE)-表1_86121822242672108[[#This Row],[开服天数]])*配置!$B$2</f>
        <v>10</v>
      </c>
      <c r="H15" s="152" t="s">
        <v>26</v>
      </c>
      <c r="I15" s="152">
        <f>IF(表1_86121822242672108[[#This Row],[原国家]]="魏",0,IF(表1_86121822242672108[[#This Row],[原国家]]="蜀",1,2))</f>
        <v>1</v>
      </c>
      <c r="J15" s="154">
        <v>3</v>
      </c>
      <c r="K15" s="154">
        <v>118</v>
      </c>
      <c r="L15" s="154">
        <v>6</v>
      </c>
      <c r="M15" s="154">
        <v>19</v>
      </c>
      <c r="N15" s="154">
        <v>119857</v>
      </c>
      <c r="O15" s="154">
        <v>1956010</v>
      </c>
      <c r="P15" s="328">
        <v>16310496</v>
      </c>
      <c r="Q15" s="193" t="s">
        <v>27</v>
      </c>
      <c r="R15" s="152">
        <f>IF(表1_86121822242672108[[#This Row],[目标国家]]="魏",0,IF(表1_86121822242672108[[#This Row],[目标国家]]="蜀",1,2))</f>
        <v>2</v>
      </c>
      <c r="S15" s="154">
        <v>32300</v>
      </c>
      <c r="T15" s="154">
        <v>0</v>
      </c>
      <c r="U15" s="154">
        <v>449502</v>
      </c>
      <c r="V15" s="154">
        <v>6860</v>
      </c>
      <c r="W15" s="153">
        <v>526268</v>
      </c>
      <c r="X15" s="196" t="str">
        <f>"{"&amp;"'coin':"&amp;表1_86121822242672108[[#This Row],[补偿Coin]]&amp;",'"&amp;配置!$A$2&amp;"':"&amp;表1_86121822242672108[[#This Row],[补偿辎重]]&amp;"},"</f>
        <v>{'coin':1000,'item036':10},</v>
      </c>
      <c r="Y15" s="194" t="str">
        <f>"            'to_zone':'"&amp;表1_86121822242672108[[#This Row],[目标区服]]&amp;"',
            'reward':"&amp;表1_86121822242672108[[#This Row],[辅助导出]]&amp;"
            'country':["&amp;R14&amp;","&amp;R15&amp;","&amp;R16&amp;"],"</f>
        <v>            'to_zone':'h1_720',
            'reward':{'coin':1000,'item036':10},
            'country':[1,2,1],</v>
      </c>
    </row>
    <row r="16" ht="14.25" customHeight="1" spans="1:25">
      <c r="A16" s="150">
        <v>7045</v>
      </c>
      <c r="B16" s="150">
        <f>VLOOKUP(表1_86121822242672108[[#This Row],[区服]],$P$32:$Q$40,2,FALSE)</f>
        <v>40</v>
      </c>
      <c r="C16" s="151" t="s">
        <v>262</v>
      </c>
      <c r="D16" s="152" t="str">
        <f>表1_86121822242672108[[#This Row],[目标国家]]</f>
        <v>蜀</v>
      </c>
      <c r="E16" s="154">
        <f>(VLOOKUP(表1_86121822242672108[[#This Row],[目标区服]],$R$32:$S$35,2,FALSE)-表1_86121822242672108[[#This Row],[开服天数]])*配置!$B$1</f>
        <v>1000</v>
      </c>
      <c r="F16" s="154">
        <f>表1_86121822242672108[[#This Row],[补偿Coin]]*(表1_86121822242672108[[#This Row],[活跃高战玩家数]]+表1_86121822242672108[[#This Row],[活跃中坚玩家数]])</f>
        <v>24000</v>
      </c>
      <c r="G16" s="154">
        <f>(VLOOKUP(表1_86121822242672108[[#This Row],[目标区服]],$R$32:$S$35,2,FALSE)-表1_86121822242672108[[#This Row],[开服天数]])*配置!$B$2</f>
        <v>10</v>
      </c>
      <c r="H16" s="152" t="s">
        <v>27</v>
      </c>
      <c r="I16" s="152">
        <f>IF(表1_86121822242672108[[#This Row],[原国家]]="魏",0,IF(表1_86121822242672108[[#This Row],[原国家]]="蜀",1,2))</f>
        <v>2</v>
      </c>
      <c r="J16" s="154">
        <v>3</v>
      </c>
      <c r="K16" s="154">
        <v>170</v>
      </c>
      <c r="L16" s="154">
        <v>2</v>
      </c>
      <c r="M16" s="154">
        <v>22</v>
      </c>
      <c r="N16" s="154">
        <v>92103</v>
      </c>
      <c r="O16" s="154">
        <v>1848405</v>
      </c>
      <c r="P16" s="328">
        <v>12632861</v>
      </c>
      <c r="Q16" s="193" t="s">
        <v>26</v>
      </c>
      <c r="R16" s="152">
        <f>IF(表1_86121822242672108[[#This Row],[目标国家]]="魏",0,IF(表1_86121822242672108[[#This Row],[目标国家]]="蜀",1,2))</f>
        <v>1</v>
      </c>
      <c r="S16" s="154">
        <v>21818</v>
      </c>
      <c r="T16" s="154">
        <v>0</v>
      </c>
      <c r="U16" s="154">
        <v>239952</v>
      </c>
      <c r="V16" s="154">
        <v>6346</v>
      </c>
      <c r="W16" s="153">
        <v>635437</v>
      </c>
      <c r="X16" s="196" t="str">
        <f>"{"&amp;"'coin':"&amp;表1_86121822242672108[[#This Row],[补偿Coin]]&amp;",'"&amp;配置!$A$2&amp;"':"&amp;表1_86121822242672108[[#This Row],[补偿辎重]]&amp;"},"</f>
        <v>{'coin':1000,'item036':10},</v>
      </c>
      <c r="Y16" s="194" t="str">
        <f>"      },"</f>
        <v>      },</v>
      </c>
    </row>
    <row r="17" ht="14.25" customHeight="1" spans="1:25">
      <c r="A17" s="150">
        <v>7046</v>
      </c>
      <c r="B17" s="150">
        <f>VLOOKUP(表1_86121822242672108[[#This Row],[区服]],$P$32:$Q$40,2,FALSE)</f>
        <v>39</v>
      </c>
      <c r="C17" s="151" t="s">
        <v>262</v>
      </c>
      <c r="D17" s="152" t="str">
        <f>表1_86121822242672108[[#This Row],[目标国家]]</f>
        <v>魏</v>
      </c>
      <c r="E17" s="154">
        <f>(VLOOKUP(表1_86121822242672108[[#This Row],[目标区服]],$R$32:$S$35,2,FALSE)-表1_86121822242672108[[#This Row],[开服天数]])*配置!$B$1</f>
        <v>1500</v>
      </c>
      <c r="F17" s="154">
        <f>表1_86121822242672108[[#This Row],[补偿Coin]]*(表1_86121822242672108[[#This Row],[活跃高战玩家数]]+表1_86121822242672108[[#This Row],[活跃中坚玩家数]])</f>
        <v>40500</v>
      </c>
      <c r="G17" s="154">
        <f>(VLOOKUP(表1_86121822242672108[[#This Row],[目标区服]],$R$32:$S$35,2,FALSE)-表1_86121822242672108[[#This Row],[开服天数]])*配置!$B$2</f>
        <v>15</v>
      </c>
      <c r="H17" s="152" t="s">
        <v>25</v>
      </c>
      <c r="I17" s="152">
        <f>IF(表1_86121822242672108[[#This Row],[原国家]]="魏",0,IF(表1_86121822242672108[[#This Row],[原国家]]="蜀",1,2))</f>
        <v>0</v>
      </c>
      <c r="J17" s="154">
        <v>4</v>
      </c>
      <c r="K17" s="154">
        <v>173</v>
      </c>
      <c r="L17" s="154">
        <v>1</v>
      </c>
      <c r="M17" s="154">
        <v>26</v>
      </c>
      <c r="N17" s="154">
        <v>91998</v>
      </c>
      <c r="O17" s="154">
        <v>2375605</v>
      </c>
      <c r="P17" s="328">
        <v>19006020</v>
      </c>
      <c r="Q17" s="193" t="s">
        <v>25</v>
      </c>
      <c r="R17" s="152">
        <f>IF(表1_86121822242672108[[#This Row],[目标国家]]="魏",0,IF(表1_86121822242672108[[#This Row],[目标国家]]="蜀",1,2))</f>
        <v>0</v>
      </c>
      <c r="S17" s="154">
        <v>55202</v>
      </c>
      <c r="T17" s="154">
        <v>0</v>
      </c>
      <c r="U17" s="154">
        <v>279722</v>
      </c>
      <c r="V17" s="154">
        <v>8662</v>
      </c>
      <c r="W17" s="364">
        <v>836522</v>
      </c>
      <c r="X17" s="196" t="str">
        <f>"{"&amp;"'coin':"&amp;表1_86121822242672108[[#This Row],[补偿Coin]]&amp;",'"&amp;配置!$A$2&amp;"':"&amp;表1_86121822242672108[[#This Row],[补偿辎重]]&amp;"},"</f>
        <v>{'coin':1500,'item036':15},</v>
      </c>
      <c r="Y17" s="194" t="str">
        <f>"      '"&amp;表1_86121822242672108[[#This Row],[区服]]&amp;"':{"</f>
        <v>      '7046':{</v>
      </c>
    </row>
    <row r="18" ht="14.25" customHeight="1" spans="1:25">
      <c r="A18" s="150">
        <v>7046</v>
      </c>
      <c r="B18" s="150">
        <f>VLOOKUP(表1_86121822242672108[[#This Row],[区服]],$P$32:$Q$40,2,FALSE)</f>
        <v>39</v>
      </c>
      <c r="C18" s="151" t="s">
        <v>262</v>
      </c>
      <c r="D18" s="152" t="str">
        <f>表1_86121822242672108[[#This Row],[目标国家]]</f>
        <v>蜀</v>
      </c>
      <c r="E18" s="154">
        <f>(VLOOKUP(表1_86121822242672108[[#This Row],[目标区服]],$R$32:$S$35,2,FALSE)-表1_86121822242672108[[#This Row],[开服天数]])*配置!$B$1</f>
        <v>1500</v>
      </c>
      <c r="F18" s="154">
        <f>表1_86121822242672108[[#This Row],[补偿Coin]]*(表1_86121822242672108[[#This Row],[活跃高战玩家数]]+表1_86121822242672108[[#This Row],[活跃中坚玩家数]])</f>
        <v>39000</v>
      </c>
      <c r="G18" s="154">
        <f>(VLOOKUP(表1_86121822242672108[[#This Row],[目标区服]],$R$32:$S$35,2,FALSE)-表1_86121822242672108[[#This Row],[开服天数]])*配置!$B$2</f>
        <v>15</v>
      </c>
      <c r="H18" s="152" t="s">
        <v>26</v>
      </c>
      <c r="I18" s="152">
        <f>IF(表1_86121822242672108[[#This Row],[原国家]]="魏",0,IF(表1_86121822242672108[[#This Row],[原国家]]="蜀",1,2))</f>
        <v>1</v>
      </c>
      <c r="J18" s="154">
        <v>0</v>
      </c>
      <c r="K18" s="154">
        <v>15</v>
      </c>
      <c r="L18" s="154">
        <v>2</v>
      </c>
      <c r="M18" s="154">
        <v>24</v>
      </c>
      <c r="N18" s="154">
        <v>99700</v>
      </c>
      <c r="O18" s="154">
        <v>2016878</v>
      </c>
      <c r="P18" s="328">
        <v>18733554</v>
      </c>
      <c r="Q18" s="193" t="s">
        <v>26</v>
      </c>
      <c r="R18" s="152">
        <f>IF(表1_86121822242672108[[#This Row],[目标国家]]="魏",0,IF(表1_86121822242672108[[#This Row],[目标国家]]="蜀",1,2))</f>
        <v>1</v>
      </c>
      <c r="S18" s="154">
        <v>54592</v>
      </c>
      <c r="T18" s="154">
        <v>0</v>
      </c>
      <c r="U18" s="154">
        <v>144251</v>
      </c>
      <c r="V18" s="154">
        <v>6248</v>
      </c>
      <c r="W18" s="153">
        <v>704657</v>
      </c>
      <c r="X18" s="196" t="str">
        <f>"{"&amp;"'coin':"&amp;表1_86121822242672108[[#This Row],[补偿Coin]]&amp;",'"&amp;配置!$A$2&amp;"':"&amp;表1_86121822242672108[[#This Row],[补偿辎重]]&amp;"},"</f>
        <v>{'coin':1500,'item036':15},</v>
      </c>
      <c r="Y18" s="194" t="str">
        <f>"            'to_zone':'"&amp;表1_86121822242672108[[#This Row],[目标区服]]&amp;"',
            'reward':"&amp;表1_86121822242672108[[#This Row],[辅助导出]]&amp;"
            'country':["&amp;R17&amp;","&amp;R18&amp;","&amp;R19&amp;"],"</f>
        <v>            'to_zone':'h1_720',
            'reward':{'coin':1500,'item036':15},
            'country':[0,1,0],</v>
      </c>
    </row>
    <row r="19" ht="14.25" customHeight="1" spans="1:25">
      <c r="A19" s="150">
        <v>7046</v>
      </c>
      <c r="B19" s="150">
        <f>VLOOKUP(表1_86121822242672108[[#This Row],[区服]],$P$32:$Q$40,2,FALSE)</f>
        <v>39</v>
      </c>
      <c r="C19" s="151" t="s">
        <v>262</v>
      </c>
      <c r="D19" s="152" t="str">
        <f>表1_86121822242672108[[#This Row],[目标国家]]</f>
        <v>魏</v>
      </c>
      <c r="E19" s="154">
        <f>(VLOOKUP(表1_86121822242672108[[#This Row],[目标区服]],$R$32:$S$35,2,FALSE)-表1_86121822242672108[[#This Row],[开服天数]])*配置!$B$1</f>
        <v>1500</v>
      </c>
      <c r="F19" s="154">
        <f>表1_86121822242672108[[#This Row],[补偿Coin]]*(表1_86121822242672108[[#This Row],[活跃高战玩家数]]+表1_86121822242672108[[#This Row],[活跃中坚玩家数]])</f>
        <v>45000</v>
      </c>
      <c r="G19" s="154">
        <f>(VLOOKUP(表1_86121822242672108[[#This Row],[目标区服]],$R$32:$S$35,2,FALSE)-表1_86121822242672108[[#This Row],[开服天数]])*配置!$B$2</f>
        <v>15</v>
      </c>
      <c r="H19" s="152" t="s">
        <v>27</v>
      </c>
      <c r="I19" s="152">
        <f>IF(表1_86121822242672108[[#This Row],[原国家]]="魏",0,IF(表1_86121822242672108[[#This Row],[原国家]]="蜀",1,2))</f>
        <v>2</v>
      </c>
      <c r="J19" s="154">
        <v>5</v>
      </c>
      <c r="K19" s="154">
        <v>207</v>
      </c>
      <c r="L19" s="154">
        <v>7</v>
      </c>
      <c r="M19" s="154">
        <v>23</v>
      </c>
      <c r="N19" s="154">
        <v>128105</v>
      </c>
      <c r="O19" s="154">
        <v>2429243</v>
      </c>
      <c r="P19" s="328">
        <v>23825710</v>
      </c>
      <c r="Q19" s="193" t="s">
        <v>25</v>
      </c>
      <c r="R19" s="152">
        <f>IF(表1_86121822242672108[[#This Row],[目标国家]]="魏",0,IF(表1_86121822242672108[[#This Row],[目标国家]]="蜀",1,2))</f>
        <v>0</v>
      </c>
      <c r="S19" s="154">
        <v>69372</v>
      </c>
      <c r="T19" s="154">
        <v>0</v>
      </c>
      <c r="U19" s="154">
        <v>374864</v>
      </c>
      <c r="V19" s="154">
        <v>10290</v>
      </c>
      <c r="W19" s="364">
        <v>844411</v>
      </c>
      <c r="X19" s="196" t="str">
        <f>"{"&amp;"'coin':"&amp;表1_86121822242672108[[#This Row],[补偿Coin]]&amp;",'"&amp;配置!$A$2&amp;"':"&amp;表1_86121822242672108[[#This Row],[补偿辎重]]&amp;"},"</f>
        <v>{'coin':1500,'item036':15},</v>
      </c>
      <c r="Y19" s="194" t="str">
        <f>"      },"</f>
        <v>      },</v>
      </c>
    </row>
    <row r="20" ht="14.25" customHeight="1" spans="1:25">
      <c r="A20" s="91">
        <v>7047</v>
      </c>
      <c r="B20" s="91">
        <f>VLOOKUP(表1_86121822242672108[[#This Row],[区服]],$P$32:$Q$40,2,FALSE)</f>
        <v>39</v>
      </c>
      <c r="C20" s="92" t="s">
        <v>263</v>
      </c>
      <c r="D20" s="93" t="str">
        <f>表1_86121822242672108[[#This Row],[目标国家]]</f>
        <v>魏</v>
      </c>
      <c r="E20" s="95">
        <f>(VLOOKUP(表1_86121822242672108[[#This Row],[目标区服]],$R$32:$S$35,2,FALSE)-表1_86121822242672108[[#This Row],[开服天数]])*配置!$B$1</f>
        <v>1000</v>
      </c>
      <c r="F20" s="95">
        <f>表1_86121822242672108[[#This Row],[补偿Coin]]*(表1_86121822242672108[[#This Row],[活跃高战玩家数]]+表1_86121822242672108[[#This Row],[活跃中坚玩家数]])</f>
        <v>29000</v>
      </c>
      <c r="G20" s="95">
        <f>(VLOOKUP(表1_86121822242672108[[#This Row],[目标区服]],$R$32:$S$35,2,FALSE)-表1_86121822242672108[[#This Row],[开服天数]])*配置!$B$2</f>
        <v>10</v>
      </c>
      <c r="H20" s="93" t="s">
        <v>25</v>
      </c>
      <c r="I20" s="93">
        <f>IF(表1_86121822242672108[[#This Row],[原国家]]="魏",0,IF(表1_86121822242672108[[#This Row],[原国家]]="蜀",1,2))</f>
        <v>0</v>
      </c>
      <c r="J20" s="95">
        <v>3</v>
      </c>
      <c r="K20" s="95">
        <v>135</v>
      </c>
      <c r="L20" s="95">
        <v>3</v>
      </c>
      <c r="M20" s="95">
        <v>26</v>
      </c>
      <c r="N20" s="95">
        <v>109433</v>
      </c>
      <c r="O20" s="95">
        <v>1979822</v>
      </c>
      <c r="P20" s="326">
        <v>16489203</v>
      </c>
      <c r="Q20" s="137" t="s">
        <v>25</v>
      </c>
      <c r="R20" s="93">
        <f>IF(表1_86121822242672108[[#This Row],[目标国家]]="魏",0,IF(表1_86121822242672108[[#This Row],[目标国家]]="蜀",1,2))</f>
        <v>0</v>
      </c>
      <c r="S20" s="95">
        <v>48818</v>
      </c>
      <c r="T20" s="95">
        <v>0</v>
      </c>
      <c r="U20" s="95">
        <v>191319</v>
      </c>
      <c r="V20" s="95">
        <v>7386</v>
      </c>
      <c r="W20" s="365">
        <v>705166</v>
      </c>
      <c r="X20" s="140" t="str">
        <f>"{"&amp;"'coin':"&amp;表1_86121822242672108[[#This Row],[补偿Coin]]&amp;",'"&amp;配置!$A$2&amp;"':"&amp;表1_86121822242672108[[#This Row],[补偿辎重]]&amp;"},"</f>
        <v>{'coin':1000,'item036':10},</v>
      </c>
      <c r="Y20" s="138" t="str">
        <f>"      '"&amp;表1_86121822242672108[[#This Row],[区服]]&amp;"':{"</f>
        <v>      '7047':{</v>
      </c>
    </row>
    <row r="21" ht="14.25" customHeight="1" spans="1:25">
      <c r="A21" s="91">
        <v>7047</v>
      </c>
      <c r="B21" s="91">
        <f>VLOOKUP(表1_86121822242672108[[#This Row],[区服]],$P$32:$Q$40,2,FALSE)</f>
        <v>39</v>
      </c>
      <c r="C21" s="92" t="s">
        <v>263</v>
      </c>
      <c r="D21" s="93" t="str">
        <f>表1_86121822242672108[[#This Row],[目标国家]]</f>
        <v>魏</v>
      </c>
      <c r="E21" s="95">
        <f>(VLOOKUP(表1_86121822242672108[[#This Row],[目标区服]],$R$32:$S$35,2,FALSE)-表1_86121822242672108[[#This Row],[开服天数]])*配置!$B$1</f>
        <v>1000</v>
      </c>
      <c r="F21" s="95">
        <f>表1_86121822242672108[[#This Row],[补偿Coin]]*(表1_86121822242672108[[#This Row],[活跃高战玩家数]]+表1_86121822242672108[[#This Row],[活跃中坚玩家数]])</f>
        <v>12000</v>
      </c>
      <c r="G21" s="95">
        <f>(VLOOKUP(表1_86121822242672108[[#This Row],[目标区服]],$R$32:$S$35,2,FALSE)-表1_86121822242672108[[#This Row],[开服天数]])*配置!$B$2</f>
        <v>10</v>
      </c>
      <c r="H21" s="93" t="s">
        <v>26</v>
      </c>
      <c r="I21" s="93">
        <f>IF(表1_86121822242672108[[#This Row],[原国家]]="魏",0,IF(表1_86121822242672108[[#This Row],[原国家]]="蜀",1,2))</f>
        <v>1</v>
      </c>
      <c r="J21" s="95">
        <v>2</v>
      </c>
      <c r="K21" s="95">
        <v>62</v>
      </c>
      <c r="L21" s="95">
        <v>1</v>
      </c>
      <c r="M21" s="95">
        <v>11</v>
      </c>
      <c r="N21" s="95">
        <v>30060</v>
      </c>
      <c r="O21" s="95">
        <v>859165</v>
      </c>
      <c r="P21" s="326">
        <v>5060954</v>
      </c>
      <c r="Q21" s="137" t="s">
        <v>25</v>
      </c>
      <c r="R21" s="93">
        <f>IF(表1_86121822242672108[[#This Row],[目标国家]]="魏",0,IF(表1_86121822242672108[[#This Row],[目标国家]]="蜀",1,2))</f>
        <v>0</v>
      </c>
      <c r="S21" s="95">
        <v>11660</v>
      </c>
      <c r="T21" s="95">
        <v>0</v>
      </c>
      <c r="U21" s="95">
        <v>84761</v>
      </c>
      <c r="V21" s="95">
        <v>2727</v>
      </c>
      <c r="W21" s="94">
        <v>245916</v>
      </c>
      <c r="X21" s="140" t="str">
        <f>"{"&amp;"'coin':"&amp;表1_86121822242672108[[#This Row],[补偿Coin]]&amp;",'"&amp;配置!$A$2&amp;"':"&amp;表1_86121822242672108[[#This Row],[补偿辎重]]&amp;"},"</f>
        <v>{'coin':1000,'item036':10},</v>
      </c>
      <c r="Y21" s="138" t="str">
        <f>"            'to_zone':'"&amp;表1_86121822242672108[[#This Row],[目标区服]]&amp;"',
            'reward':"&amp;表1_86121822242672108[[#This Row],[辅助导出]]&amp;"
            'country':["&amp;R20&amp;","&amp;R21&amp;","&amp;R22&amp;"],"</f>
        <v>            'to_zone':'h1_721',
            'reward':{'coin':1000,'item036':10},
            'country':[0,0,2],</v>
      </c>
    </row>
    <row r="22" ht="14.25" customHeight="1" spans="1:25">
      <c r="A22" s="91">
        <v>7047</v>
      </c>
      <c r="B22" s="91">
        <f>VLOOKUP(表1_86121822242672108[[#This Row],[区服]],$P$32:$Q$40,2,FALSE)</f>
        <v>39</v>
      </c>
      <c r="C22" s="92" t="s">
        <v>263</v>
      </c>
      <c r="D22" s="93" t="str">
        <f>表1_86121822242672108[[#This Row],[目标国家]]</f>
        <v>吴</v>
      </c>
      <c r="E22" s="95">
        <f>(VLOOKUP(表1_86121822242672108[[#This Row],[目标区服]],$R$32:$S$35,2,FALSE)-表1_86121822242672108[[#This Row],[开服天数]])*配置!$B$1</f>
        <v>1000</v>
      </c>
      <c r="F22" s="95">
        <f>表1_86121822242672108[[#This Row],[补偿Coin]]*(表1_86121822242672108[[#This Row],[活跃高战玩家数]]+表1_86121822242672108[[#This Row],[活跃中坚玩家数]])</f>
        <v>33000</v>
      </c>
      <c r="G22" s="95">
        <f>(VLOOKUP(表1_86121822242672108[[#This Row],[目标区服]],$R$32:$S$35,2,FALSE)-表1_86121822242672108[[#This Row],[开服天数]])*配置!$B$2</f>
        <v>10</v>
      </c>
      <c r="H22" s="93" t="s">
        <v>27</v>
      </c>
      <c r="I22" s="93">
        <f>IF(表1_86121822242672108[[#This Row],[原国家]]="魏",0,IF(表1_86121822242672108[[#This Row],[原国家]]="蜀",1,2))</f>
        <v>2</v>
      </c>
      <c r="J22" s="95">
        <v>4</v>
      </c>
      <c r="K22" s="95">
        <v>198</v>
      </c>
      <c r="L22" s="95">
        <v>6</v>
      </c>
      <c r="M22" s="95">
        <v>27</v>
      </c>
      <c r="N22" s="95">
        <v>148845</v>
      </c>
      <c r="O22" s="95">
        <v>2033320</v>
      </c>
      <c r="P22" s="326">
        <v>21083014</v>
      </c>
      <c r="Q22" s="137" t="s">
        <v>27</v>
      </c>
      <c r="R22" s="93">
        <f>IF(表1_86121822242672108[[#This Row],[目标国家]]="魏",0,IF(表1_86121822242672108[[#This Row],[目标国家]]="蜀",1,2))</f>
        <v>2</v>
      </c>
      <c r="S22" s="366">
        <v>65882</v>
      </c>
      <c r="T22" s="95">
        <v>0</v>
      </c>
      <c r="U22" s="95">
        <v>293008</v>
      </c>
      <c r="V22" s="95">
        <v>9388</v>
      </c>
      <c r="W22" s="365">
        <v>659106</v>
      </c>
      <c r="X22" s="140" t="str">
        <f>"{"&amp;"'coin':"&amp;表1_86121822242672108[[#This Row],[补偿Coin]]&amp;",'"&amp;配置!$A$2&amp;"':"&amp;表1_86121822242672108[[#This Row],[补偿辎重]]&amp;"},"</f>
        <v>{'coin':1000,'item036':10},</v>
      </c>
      <c r="Y22" s="138" t="str">
        <f>"      },"</f>
        <v>      },</v>
      </c>
    </row>
    <row r="23" ht="14.25" customHeight="1" spans="1:25">
      <c r="A23" s="91">
        <v>7048</v>
      </c>
      <c r="B23" s="91">
        <f>VLOOKUP(表1_86121822242672108[[#This Row],[区服]],$P$32:$Q$40,2,FALSE)</f>
        <v>38</v>
      </c>
      <c r="C23" s="92" t="s">
        <v>263</v>
      </c>
      <c r="D23" s="93" t="str">
        <f>表1_86121822242672108[[#This Row],[目标国家]]</f>
        <v>吴</v>
      </c>
      <c r="E23" s="95">
        <f>(VLOOKUP(表1_86121822242672108[[#This Row],[目标区服]],$R$32:$S$35,2,FALSE)-表1_86121822242672108[[#This Row],[开服天数]])*配置!$B$1</f>
        <v>1500</v>
      </c>
      <c r="F23" s="95">
        <f>表1_86121822242672108[[#This Row],[补偿Coin]]*(表1_86121822242672108[[#This Row],[活跃高战玩家数]]+表1_86121822242672108[[#This Row],[活跃中坚玩家数]])</f>
        <v>42000</v>
      </c>
      <c r="G23" s="95">
        <f>(VLOOKUP(表1_86121822242672108[[#This Row],[目标区服]],$R$32:$S$35,2,FALSE)-表1_86121822242672108[[#This Row],[开服天数]])*配置!$B$2</f>
        <v>15</v>
      </c>
      <c r="H23" s="93" t="s">
        <v>25</v>
      </c>
      <c r="I23" s="93">
        <f>IF(表1_86121822242672108[[#This Row],[原国家]]="魏",0,IF(表1_86121822242672108[[#This Row],[原国家]]="蜀",1,2))</f>
        <v>0</v>
      </c>
      <c r="J23" s="95">
        <v>8</v>
      </c>
      <c r="K23" s="95">
        <v>283</v>
      </c>
      <c r="L23" s="95">
        <v>8</v>
      </c>
      <c r="M23" s="95">
        <v>20</v>
      </c>
      <c r="N23" s="95">
        <v>161051</v>
      </c>
      <c r="O23" s="95">
        <v>1827721</v>
      </c>
      <c r="P23" s="326">
        <v>16960861</v>
      </c>
      <c r="Q23" s="137" t="s">
        <v>27</v>
      </c>
      <c r="R23" s="93">
        <f>IF(表1_86121822242672108[[#This Row],[目标国家]]="魏",0,IF(表1_86121822242672108[[#This Row],[目标国家]]="蜀",1,2))</f>
        <v>2</v>
      </c>
      <c r="S23" s="95">
        <v>24510</v>
      </c>
      <c r="T23" s="95">
        <v>0</v>
      </c>
      <c r="U23" s="95">
        <v>360423</v>
      </c>
      <c r="V23" s="95">
        <v>8874</v>
      </c>
      <c r="W23" s="94">
        <v>518177</v>
      </c>
      <c r="X23" s="140" t="str">
        <f>"{"&amp;"'coin':"&amp;表1_86121822242672108[[#This Row],[补偿Coin]]&amp;",'"&amp;配置!$A$2&amp;"':"&amp;表1_86121822242672108[[#This Row],[补偿辎重]]&amp;"},"</f>
        <v>{'coin':1500,'item036':15},</v>
      </c>
      <c r="Y23" s="138" t="str">
        <f>"      '"&amp;表1_86121822242672108[[#This Row],[区服]]&amp;"':{"</f>
        <v>      '7048':{</v>
      </c>
    </row>
    <row r="24" ht="14.25" customHeight="1" spans="1:25">
      <c r="A24" s="91">
        <v>7048</v>
      </c>
      <c r="B24" s="91">
        <f>VLOOKUP(表1_86121822242672108[[#This Row],[区服]],$P$32:$Q$40,2,FALSE)</f>
        <v>38</v>
      </c>
      <c r="C24" s="92" t="s">
        <v>263</v>
      </c>
      <c r="D24" s="93" t="str">
        <f>表1_86121822242672108[[#This Row],[目标国家]]</f>
        <v>蜀</v>
      </c>
      <c r="E24" s="95">
        <f>(VLOOKUP(表1_86121822242672108[[#This Row],[目标区服]],$R$32:$S$35,2,FALSE)-表1_86121822242672108[[#This Row],[开服天数]])*配置!$B$1</f>
        <v>1500</v>
      </c>
      <c r="F24" s="95">
        <f>表1_86121822242672108[[#This Row],[补偿Coin]]*(表1_86121822242672108[[#This Row],[活跃高战玩家数]]+表1_86121822242672108[[#This Row],[活跃中坚玩家数]])</f>
        <v>18000</v>
      </c>
      <c r="G24" s="95">
        <f>(VLOOKUP(表1_86121822242672108[[#This Row],[目标区服]],$R$32:$S$35,2,FALSE)-表1_86121822242672108[[#This Row],[开服天数]])*配置!$B$2</f>
        <v>15</v>
      </c>
      <c r="H24" s="93" t="s">
        <v>26</v>
      </c>
      <c r="I24" s="93">
        <f>IF(表1_86121822242672108[[#This Row],[原国家]]="魏",0,IF(表1_86121822242672108[[#This Row],[原国家]]="蜀",1,2))</f>
        <v>1</v>
      </c>
      <c r="J24" s="95">
        <v>1</v>
      </c>
      <c r="K24" s="95">
        <v>68</v>
      </c>
      <c r="L24" s="95">
        <v>1</v>
      </c>
      <c r="M24" s="95">
        <v>11</v>
      </c>
      <c r="N24" s="95">
        <v>43390</v>
      </c>
      <c r="O24" s="95">
        <v>883141</v>
      </c>
      <c r="P24" s="326">
        <v>4674651</v>
      </c>
      <c r="Q24" s="137" t="s">
        <v>26</v>
      </c>
      <c r="R24" s="93">
        <f>IF(表1_86121822242672108[[#This Row],[目标国家]]="魏",0,IF(表1_86121822242672108[[#This Row],[目标国家]]="蜀",1,2))</f>
        <v>1</v>
      </c>
      <c r="S24" s="95">
        <v>2648</v>
      </c>
      <c r="T24" s="95">
        <v>0</v>
      </c>
      <c r="U24" s="95">
        <v>107157</v>
      </c>
      <c r="V24" s="95">
        <v>2480</v>
      </c>
      <c r="W24" s="94">
        <v>377503</v>
      </c>
      <c r="X24" s="140" t="str">
        <f>"{"&amp;"'coin':"&amp;表1_86121822242672108[[#This Row],[补偿Coin]]&amp;",'"&amp;配置!$A$2&amp;"':"&amp;表1_86121822242672108[[#This Row],[补偿辎重]]&amp;"},"</f>
        <v>{'coin':1500,'item036':15},</v>
      </c>
      <c r="Y24" s="138" t="str">
        <f>"            'to_zone':'"&amp;表1_86121822242672108[[#This Row],[目标区服]]&amp;"',
            'reward':"&amp;表1_86121822242672108[[#This Row],[辅助导出]]&amp;"
            'country':["&amp;R23&amp;","&amp;R24&amp;","&amp;R25&amp;"],"</f>
        <v>            'to_zone':'h1_721',
            'reward':{'coin':1500,'item036':15},
            'country':[2,1,1],</v>
      </c>
    </row>
    <row r="25" ht="14.25" customHeight="1" spans="1:25">
      <c r="A25" s="91">
        <v>7048</v>
      </c>
      <c r="B25" s="91">
        <f>VLOOKUP(表1_86121822242672108[[#This Row],[区服]],$P$32:$Q$40,2,FALSE)</f>
        <v>38</v>
      </c>
      <c r="C25" s="92" t="s">
        <v>263</v>
      </c>
      <c r="D25" s="93" t="str">
        <f>表1_86121822242672108[[#This Row],[目标国家]]</f>
        <v>蜀</v>
      </c>
      <c r="E25" s="95">
        <f>(VLOOKUP(表1_86121822242672108[[#This Row],[目标区服]],$R$32:$S$35,2,FALSE)-表1_86121822242672108[[#This Row],[开服天数]])*配置!$B$1</f>
        <v>1500</v>
      </c>
      <c r="F25" s="95">
        <f>表1_86121822242672108[[#This Row],[补偿Coin]]*(表1_86121822242672108[[#This Row],[活跃高战玩家数]]+表1_86121822242672108[[#This Row],[活跃中坚玩家数]])</f>
        <v>21000</v>
      </c>
      <c r="G25" s="95">
        <f>(VLOOKUP(表1_86121822242672108[[#This Row],[目标区服]],$R$32:$S$35,2,FALSE)-表1_86121822242672108[[#This Row],[开服天数]])*配置!$B$2</f>
        <v>15</v>
      </c>
      <c r="H25" s="93" t="s">
        <v>27</v>
      </c>
      <c r="I25" s="93">
        <f>IF(表1_86121822242672108[[#This Row],[原国家]]="魏",0,IF(表1_86121822242672108[[#This Row],[原国家]]="蜀",1,2))</f>
        <v>2</v>
      </c>
      <c r="J25" s="95">
        <v>0</v>
      </c>
      <c r="K25" s="95">
        <v>44</v>
      </c>
      <c r="L25" s="95">
        <v>0</v>
      </c>
      <c r="M25" s="95">
        <v>14</v>
      </c>
      <c r="N25" s="95">
        <v>57445</v>
      </c>
      <c r="O25" s="95">
        <v>810790</v>
      </c>
      <c r="P25" s="326">
        <v>5603896</v>
      </c>
      <c r="Q25" s="137" t="s">
        <v>26</v>
      </c>
      <c r="R25" s="93">
        <f>IF(表1_86121822242672108[[#This Row],[目标国家]]="魏",0,IF(表1_86121822242672108[[#This Row],[目标国家]]="蜀",1,2))</f>
        <v>1</v>
      </c>
      <c r="S25" s="95">
        <v>2018</v>
      </c>
      <c r="T25" s="95">
        <v>0</v>
      </c>
      <c r="U25" s="95">
        <v>87454</v>
      </c>
      <c r="V25" s="95">
        <v>2202</v>
      </c>
      <c r="W25" s="94">
        <v>233048</v>
      </c>
      <c r="X25" s="140" t="str">
        <f>"{"&amp;"'coin':"&amp;表1_86121822242672108[[#This Row],[补偿Coin]]&amp;",'"&amp;配置!$A$2&amp;"':"&amp;表1_86121822242672108[[#This Row],[补偿辎重]]&amp;"},"</f>
        <v>{'coin':1500,'item036':15},</v>
      </c>
      <c r="Y25" s="138" t="str">
        <f>"      },"</f>
        <v>      },</v>
      </c>
    </row>
    <row r="26" ht="14.25" customHeight="1" spans="1:25">
      <c r="A26" s="91">
        <v>7049</v>
      </c>
      <c r="B26" s="91">
        <f>VLOOKUP(表1_86121822242672108[[#This Row],[区服]],$P$32:$Q$40,2,FALSE)</f>
        <v>38</v>
      </c>
      <c r="C26" s="92" t="s">
        <v>263</v>
      </c>
      <c r="D26" s="93" t="str">
        <f>表1_86121822242672108[[#This Row],[目标国家]]</f>
        <v>魏</v>
      </c>
      <c r="E26" s="95">
        <f>(VLOOKUP(表1_86121822242672108[[#This Row],[目标区服]],$R$32:$S$35,2,FALSE)-表1_86121822242672108[[#This Row],[开服天数]])*配置!$B$1</f>
        <v>1500</v>
      </c>
      <c r="F26" s="95">
        <f>表1_86121822242672108[[#This Row],[补偿Coin]]*(表1_86121822242672108[[#This Row],[活跃高战玩家数]]+表1_86121822242672108[[#This Row],[活跃中坚玩家数]])</f>
        <v>31500</v>
      </c>
      <c r="G26" s="95">
        <f>(VLOOKUP(表1_86121822242672108[[#This Row],[目标区服]],$R$32:$S$35,2,FALSE)-表1_86121822242672108[[#This Row],[开服天数]])*配置!$B$2</f>
        <v>15</v>
      </c>
      <c r="H26" s="93" t="s">
        <v>25</v>
      </c>
      <c r="I26" s="93">
        <f>IF(表1_86121822242672108[[#This Row],[原国家]]="魏",0,IF(表1_86121822242672108[[#This Row],[原国家]]="蜀",1,2))</f>
        <v>0</v>
      </c>
      <c r="J26" s="95">
        <v>2</v>
      </c>
      <c r="K26" s="95">
        <v>92</v>
      </c>
      <c r="L26" s="95">
        <v>4</v>
      </c>
      <c r="M26" s="95">
        <v>17</v>
      </c>
      <c r="N26" s="95">
        <v>86286</v>
      </c>
      <c r="O26" s="95">
        <v>1796523</v>
      </c>
      <c r="P26" s="326">
        <v>12726417</v>
      </c>
      <c r="Q26" s="137" t="s">
        <v>25</v>
      </c>
      <c r="R26" s="93">
        <f>IF(表1_86121822242672108[[#This Row],[目标国家]]="魏",0,IF(表1_86121822242672108[[#This Row],[目标国家]]="蜀",1,2))</f>
        <v>0</v>
      </c>
      <c r="S26" s="95">
        <v>25324</v>
      </c>
      <c r="T26" s="95">
        <v>0</v>
      </c>
      <c r="U26" s="95">
        <v>245437</v>
      </c>
      <c r="V26" s="95">
        <v>5503</v>
      </c>
      <c r="W26" s="94">
        <v>552179</v>
      </c>
      <c r="X26" s="140" t="str">
        <f>"{"&amp;"'coin':"&amp;表1_86121822242672108[[#This Row],[补偿Coin]]&amp;",'"&amp;配置!$A$2&amp;"':"&amp;表1_86121822242672108[[#This Row],[补偿辎重]]&amp;"},"</f>
        <v>{'coin':1500,'item036':15},</v>
      </c>
      <c r="Y26" s="138" t="str">
        <f>"      '"&amp;表1_86121822242672108[[#This Row],[区服]]&amp;"':{"</f>
        <v>      '7049':{</v>
      </c>
    </row>
    <row r="27" ht="14.25" customHeight="1" spans="1:25">
      <c r="A27" s="91">
        <v>7049</v>
      </c>
      <c r="B27" s="91">
        <f>VLOOKUP(表1_86121822242672108[[#This Row],[区服]],$P$32:$Q$40,2,FALSE)</f>
        <v>38</v>
      </c>
      <c r="C27" s="92" t="s">
        <v>263</v>
      </c>
      <c r="D27" s="93" t="str">
        <f>表1_86121822242672108[[#This Row],[目标国家]]</f>
        <v>蜀</v>
      </c>
      <c r="E27" s="95">
        <f>(VLOOKUP(表1_86121822242672108[[#This Row],[目标区服]],$R$32:$S$35,2,FALSE)-表1_86121822242672108[[#This Row],[开服天数]])*配置!$B$1</f>
        <v>1500</v>
      </c>
      <c r="F27" s="95">
        <f>表1_86121822242672108[[#This Row],[补偿Coin]]*(表1_86121822242672108[[#This Row],[活跃高战玩家数]]+表1_86121822242672108[[#This Row],[活跃中坚玩家数]])</f>
        <v>55500</v>
      </c>
      <c r="G27" s="95">
        <f>(VLOOKUP(表1_86121822242672108[[#This Row],[目标区服]],$R$32:$S$35,2,FALSE)-表1_86121822242672108[[#This Row],[开服天数]])*配置!$B$2</f>
        <v>15</v>
      </c>
      <c r="H27" s="93" t="s">
        <v>26</v>
      </c>
      <c r="I27" s="93">
        <f>IF(表1_86121822242672108[[#This Row],[原国家]]="魏",0,IF(表1_86121822242672108[[#This Row],[原国家]]="蜀",1,2))</f>
        <v>1</v>
      </c>
      <c r="J27" s="95">
        <v>5</v>
      </c>
      <c r="K27" s="95">
        <v>213</v>
      </c>
      <c r="L27" s="95">
        <v>5</v>
      </c>
      <c r="M27" s="95">
        <v>32</v>
      </c>
      <c r="N27" s="95">
        <v>165776</v>
      </c>
      <c r="O27" s="95">
        <v>2490963</v>
      </c>
      <c r="P27" s="326">
        <v>24995863</v>
      </c>
      <c r="Q27" s="137" t="s">
        <v>26</v>
      </c>
      <c r="R27" s="93">
        <f>IF(表1_86121822242672108[[#This Row],[目标国家]]="魏",0,IF(表1_86121822242672108[[#This Row],[目标国家]]="蜀",1,2))</f>
        <v>1</v>
      </c>
      <c r="S27" s="366">
        <v>126872</v>
      </c>
      <c r="T27" s="95">
        <v>0</v>
      </c>
      <c r="U27" s="95">
        <v>358499</v>
      </c>
      <c r="V27" s="95">
        <v>12434</v>
      </c>
      <c r="W27" s="365">
        <v>784360</v>
      </c>
      <c r="X27" s="140" t="str">
        <f>"{"&amp;"'coin':"&amp;表1_86121822242672108[[#This Row],[补偿Coin]]&amp;",'"&amp;配置!$A$2&amp;"':"&amp;表1_86121822242672108[[#This Row],[补偿辎重]]&amp;"},"</f>
        <v>{'coin':1500,'item036':15},</v>
      </c>
      <c r="Y27" s="138" t="str">
        <f>"            'to_zone':'"&amp;表1_86121822242672108[[#This Row],[目标区服]]&amp;"',
            'reward':"&amp;表1_86121822242672108[[#This Row],[辅助导出]]&amp;"
            'country':["&amp;R26&amp;","&amp;R27&amp;","&amp;R28&amp;"],"</f>
        <v>            'to_zone':'h1_721',
            'reward':{'coin':1500,'item036':15},
            'country':[0,1,0],</v>
      </c>
    </row>
    <row r="28" ht="14.25" customHeight="1" spans="1:25">
      <c r="A28" s="91">
        <v>7049</v>
      </c>
      <c r="B28" s="91">
        <f>VLOOKUP(表1_86121822242672108[[#This Row],[区服]],$P$32:$Q$40,2,FALSE)</f>
        <v>38</v>
      </c>
      <c r="C28" s="92" t="s">
        <v>263</v>
      </c>
      <c r="D28" s="93" t="str">
        <f>表1_86121822242672108[[#This Row],[目标国家]]</f>
        <v>魏</v>
      </c>
      <c r="E28" s="95">
        <f>(VLOOKUP(表1_86121822242672108[[#This Row],[目标区服]],$R$32:$S$35,2,FALSE)-表1_86121822242672108[[#This Row],[开服天数]])*配置!$B$1</f>
        <v>1500</v>
      </c>
      <c r="F28" s="95">
        <f>表1_86121822242672108[[#This Row],[补偿Coin]]*(表1_86121822242672108[[#This Row],[活跃高战玩家数]]+表1_86121822242672108[[#This Row],[活跃中坚玩家数]])</f>
        <v>19500</v>
      </c>
      <c r="G28" s="95">
        <f>(VLOOKUP(表1_86121822242672108[[#This Row],[目标区服]],$R$32:$S$35,2,FALSE)-表1_86121822242672108[[#This Row],[开服天数]])*配置!$B$2</f>
        <v>15</v>
      </c>
      <c r="H28" s="93" t="s">
        <v>27</v>
      </c>
      <c r="I28" s="93">
        <f>IF(表1_86121822242672108[[#This Row],[原国家]]="魏",0,IF(表1_86121822242672108[[#This Row],[原国家]]="蜀",1,2))</f>
        <v>2</v>
      </c>
      <c r="J28" s="95">
        <v>2</v>
      </c>
      <c r="K28" s="95">
        <v>90</v>
      </c>
      <c r="L28" s="95">
        <v>1</v>
      </c>
      <c r="M28" s="95">
        <v>12</v>
      </c>
      <c r="N28" s="95">
        <v>46283</v>
      </c>
      <c r="O28" s="95">
        <v>947610</v>
      </c>
      <c r="P28" s="326">
        <v>6586761</v>
      </c>
      <c r="Q28" s="137" t="s">
        <v>25</v>
      </c>
      <c r="R28" s="93">
        <f>IF(表1_86121822242672108[[#This Row],[目标国家]]="魏",0,IF(表1_86121822242672108[[#This Row],[目标国家]]="蜀",1,2))</f>
        <v>0</v>
      </c>
      <c r="S28" s="95">
        <v>16136</v>
      </c>
      <c r="T28" s="95">
        <v>0</v>
      </c>
      <c r="U28" s="95">
        <v>138535</v>
      </c>
      <c r="V28" s="95">
        <v>3491</v>
      </c>
      <c r="W28" s="94">
        <v>245098</v>
      </c>
      <c r="X28" s="140" t="str">
        <f>"{"&amp;"'coin':"&amp;表1_86121822242672108[[#This Row],[补偿Coin]]&amp;",'"&amp;配置!$A$2&amp;"':"&amp;表1_86121822242672108[[#This Row],[补偿辎重]]&amp;"},"</f>
        <v>{'coin':1500,'item036':15},</v>
      </c>
      <c r="Y28" s="138" t="str">
        <f>"      },"</f>
        <v>      },</v>
      </c>
    </row>
    <row r="31" ht="37.5" customHeight="1" spans="1:19">
      <c r="A31" s="36" t="s">
        <v>28</v>
      </c>
      <c r="B31" s="37" t="s">
        <v>29</v>
      </c>
      <c r="C31" s="38" t="s">
        <v>30</v>
      </c>
      <c r="D31" s="38" t="s">
        <v>31</v>
      </c>
      <c r="E31" s="38" t="s">
        <v>32</v>
      </c>
      <c r="F31" s="38" t="s">
        <v>33</v>
      </c>
      <c r="G31" s="38" t="s">
        <v>15</v>
      </c>
      <c r="H31" s="37" t="s">
        <v>18</v>
      </c>
      <c r="I31" s="37" t="s">
        <v>19</v>
      </c>
      <c r="J31" s="37" t="s">
        <v>34</v>
      </c>
      <c r="K31" s="38" t="s">
        <v>35</v>
      </c>
      <c r="L31" s="38" t="s">
        <v>36</v>
      </c>
      <c r="M31" s="38" t="s">
        <v>37</v>
      </c>
      <c r="N31" s="38" t="s">
        <v>88</v>
      </c>
      <c r="P31" s="51" t="s">
        <v>0</v>
      </c>
      <c r="Q31" s="51" t="s">
        <v>1</v>
      </c>
      <c r="R31" s="51"/>
      <c r="S31" s="51" t="s">
        <v>38</v>
      </c>
    </row>
    <row r="32" ht="15.75" customHeight="1" spans="1:19">
      <c r="A32" s="39" t="s">
        <v>261</v>
      </c>
      <c r="B32" s="39" t="s">
        <v>25</v>
      </c>
      <c r="C32" s="39">
        <f>COUNTIFS(表1_86121822242672108[目标区服],表2_97131923252773109[[#This Row],[合区区服]],表1_86121822242672108[目标国家（映射）],表2_97131923252773109[[#This Row],[国家]])</f>
        <v>3</v>
      </c>
      <c r="D32" s="39">
        <f>SUMIFS(表1_86121822242672108[活跃高战玩家数],表1_86121822242672108[目标区服],表2_97131923252773109[[#This Row],[合区区服]],表1_86121822242672108[目标国家（映射）],表2_97131923252773109[[#This Row],[国家]])</f>
        <v>9</v>
      </c>
      <c r="E32" s="39">
        <f>SUMIFS(表1_86121822242672108[活跃中坚玩家数],表1_86121822242672108[目标区服],表2_97131923252773109[[#This Row],[合区区服]],表1_86121822242672108[目标国家（映射）],表2_97131923252773109[[#This Row],[国家]])</f>
        <v>66</v>
      </c>
      <c r="F32" s="39">
        <f t="array" ref="F32">MAX((表1_86121822242672108[目标区服]=表2_97131923252773109[[#This Row],[合区区服]])*(表1_86121822242672108[目标国家（映射）]=表2_97131923252773109[[#This Row],[国家]])*表1_86121822242672108[活跃尖端战力])</f>
        <v>2550940</v>
      </c>
      <c r="G32" s="40">
        <f>SUMIFS(表1_86121822242672108[活跃总战力],表1_86121822242672108[目标区服],表2_97131923252773109[[#This Row],[合区区服]],表1_86121822242672108[目标国家（映射）],表2_97131923252773109[[#This Row],[国家]])</f>
        <v>47211114</v>
      </c>
      <c r="H32" s="39">
        <f>SUMIFS(表1_86121822242672108[活跃实际充值],表1_86121822242672108[目标区服],表2_97131923252773109[[#This Row],[合区区服]],表1_86121822242672108[目标国家（映射）],表2_97131923252773109[[#This Row],[国家]])</f>
        <v>137092</v>
      </c>
      <c r="I32" s="39">
        <f>SUMIFS(表1_86121822242672108[活跃虚拟充值],表1_86121822242672108[目标区服],表2_97131923252773109[[#This Row],[合区区服]],表1_86121822242672108[目标国家（映射）],表2_97131923252773109[[#This Row],[国家]])</f>
        <v>0</v>
      </c>
      <c r="J32" s="39">
        <f>SUMIFS(表1_86121822242672108[活跃Coin],表1_86121822242672108[目标区服],表2_97131923252773109[[#This Row],[合区区服]],表1_86121822242672108[目标国家（映射）],表2_97131923252773109[[#This Row],[国家]])</f>
        <v>1038544</v>
      </c>
      <c r="K32" s="39">
        <f>SUMIFS(表1_86121822242672108[共计补偿Coin],表1_86121822242672108[目标区服],表2_97131923252773109[[#This Row],[合区区服]],表1_86121822242672108[目标国家（映射）],表2_97131923252773109[[#This Row],[国家]])</f>
        <v>105500</v>
      </c>
      <c r="L32" s="39">
        <f>表2_97131923252773109[[#This Row],[活跃Coin]]+表2_97131923252773109[[#This Row],[共计补偿Coin]]</f>
        <v>1144044</v>
      </c>
      <c r="M32" s="39">
        <f>SUMIFS(表1_86121822242672108[综合国力],表1_86121822242672108[目标区服],表2_97131923252773109[[#This Row],[合区区服]],表1_86121822242672108[目标国家（映射）],表2_97131923252773109[[#This Row],[国家]])</f>
        <v>22460</v>
      </c>
      <c r="N32" s="39">
        <f t="array" ref="N32">MAX((表1_86121822242672108[目标区服]=表2_97131923252773109[[#This Row],[合区区服]])*(表1_86121822242672108[目标国家（映射）]=表2_97131923252773109[[#This Row],[国家]])*表1_86121822242672108[单将最高战力])</f>
        <v>828749</v>
      </c>
      <c r="P32" s="51">
        <v>7041</v>
      </c>
      <c r="Q32" s="51">
        <v>42</v>
      </c>
      <c r="R32" s="51" t="s">
        <v>261</v>
      </c>
      <c r="S32" s="51">
        <v>44</v>
      </c>
    </row>
    <row r="33" ht="15" spans="1:19">
      <c r="A33" s="39" t="s">
        <v>261</v>
      </c>
      <c r="B33" s="39" t="s">
        <v>26</v>
      </c>
      <c r="C33" s="39">
        <f>COUNTIFS(表1_86121822242672108[目标区服],表2_97131923252773109[[#This Row],[合区区服]],表1_86121822242672108[目标国家（映射）],表2_97131923252773109[[#This Row],[国家]])</f>
        <v>3</v>
      </c>
      <c r="D33" s="39">
        <f>SUMIFS(表1_86121822242672108[活跃高战玩家数],表1_86121822242672108[目标区服],表2_97131923252773109[[#This Row],[合区区服]],表1_86121822242672108[目标国家（映射）],表2_97131923252773109[[#This Row],[国家]])</f>
        <v>9</v>
      </c>
      <c r="E33" s="39">
        <f>SUMIFS(表1_86121822242672108[活跃中坚玩家数],表1_86121822242672108[目标区服],表2_97131923252773109[[#This Row],[合区区服]],表1_86121822242672108[目标国家（映射）],表2_97131923252773109[[#This Row],[国家]])</f>
        <v>59</v>
      </c>
      <c r="F33" s="39">
        <f t="array" ref="F33">MAX((表1_86121822242672108[目标区服]=表2_97131923252773109[[#This Row],[合区区服]])*(表1_86121822242672108[目标国家（映射）]=表2_97131923252773109[[#This Row],[国家]])*表1_86121822242672108[活跃尖端战力])</f>
        <v>2403440</v>
      </c>
      <c r="G33" s="40">
        <f>SUMIFS(表1_86121822242672108[活跃总战力],表1_86121822242672108[目标区服],表2_97131923252773109[[#This Row],[合区区服]],表1_86121822242672108[目标国家（映射）],表2_97131923252773109[[#This Row],[国家]])</f>
        <v>45297667</v>
      </c>
      <c r="H33" s="39">
        <f>SUMIFS(表1_86121822242672108[活跃实际充值],表1_86121822242672108[目标区服],表2_97131923252773109[[#This Row],[合区区服]],表1_86121822242672108[目标国家（映射）],表2_97131923252773109[[#This Row],[国家]])</f>
        <v>159870</v>
      </c>
      <c r="I33" s="39">
        <f>SUMIFS(表1_86121822242672108[活跃虚拟充值],表1_86121822242672108[目标区服],表2_97131923252773109[[#This Row],[合区区服]],表1_86121822242672108[目标国家（映射）],表2_97131923252773109[[#This Row],[国家]])</f>
        <v>0</v>
      </c>
      <c r="J33" s="39">
        <f>SUMIFS(表1_86121822242672108[活跃Coin],表1_86121822242672108[目标区服],表2_97131923252773109[[#This Row],[合区区服]],表1_86121822242672108[目标国家（映射）],表2_97131923252773109[[#This Row],[国家]])</f>
        <v>924754</v>
      </c>
      <c r="K33" s="39">
        <f>SUMIFS(表1_86121822242672108[共计补偿Coin],表1_86121822242672108[目标区服],表2_97131923252773109[[#This Row],[合区区服]],表1_86121822242672108[目标国家（映射）],表2_97131923252773109[[#This Row],[国家]])</f>
        <v>92000</v>
      </c>
      <c r="L33" s="39">
        <f>表2_97131923252773109[[#This Row],[活跃Coin]]+表2_97131923252773109[[#This Row],[共计补偿Coin]]</f>
        <v>1016754</v>
      </c>
      <c r="M33" s="39">
        <f>SUMIFS(表1_86121822242672108[综合国力],表1_86121822242672108[目标区服],表2_97131923252773109[[#This Row],[合区区服]],表1_86121822242672108[目标国家（映射）],表2_97131923252773109[[#This Row],[国家]])</f>
        <v>21644</v>
      </c>
      <c r="N33" s="39">
        <f t="array" ref="N33">MAX((表1_86121822242672108[目标区服]=表2_97131923252773109[[#This Row],[合区区服]])*(表1_86121822242672108[目标国家（映射）]=表2_97131923252773109[[#This Row],[国家]])*表1_86121822242672108[单将最高战力])</f>
        <v>811260</v>
      </c>
      <c r="P33" s="51">
        <v>7042</v>
      </c>
      <c r="Q33" s="51">
        <v>41</v>
      </c>
      <c r="R33" s="51" t="s">
        <v>262</v>
      </c>
      <c r="S33" s="51">
        <v>42</v>
      </c>
    </row>
    <row r="34" ht="15" spans="1:19">
      <c r="A34" s="39" t="s">
        <v>261</v>
      </c>
      <c r="B34" s="39" t="s">
        <v>27</v>
      </c>
      <c r="C34" s="39">
        <f>COUNTIFS(表1_86121822242672108[目标区服],表2_97131923252773109[[#This Row],[合区区服]],表1_86121822242672108[目标国家（映射）],表2_97131923252773109[[#This Row],[国家]])</f>
        <v>3</v>
      </c>
      <c r="D34" s="39">
        <f>SUMIFS(表1_86121822242672108[活跃高战玩家数],表1_86121822242672108[目标区服],表2_97131923252773109[[#This Row],[合区区服]],表1_86121822242672108[目标国家（映射）],表2_97131923252773109[[#This Row],[国家]])</f>
        <v>10</v>
      </c>
      <c r="E34" s="39">
        <f>SUMIFS(表1_86121822242672108[活跃中坚玩家数],表1_86121822242672108[目标区服],表2_97131923252773109[[#This Row],[合区区服]],表1_86121822242672108[目标国家（映射）],表2_97131923252773109[[#This Row],[国家]])</f>
        <v>49</v>
      </c>
      <c r="F34" s="39">
        <f t="array" ref="F34">MAX((表1_86121822242672108[目标区服]=表2_97131923252773109[[#This Row],[合区区服]])*(表1_86121822242672108[目标国家（映射）]=表2_97131923252773109[[#This Row],[国家]])*表1_86121822242672108[活跃尖端战力])</f>
        <v>2795719</v>
      </c>
      <c r="G34" s="40">
        <f>SUMIFS(表1_86121822242672108[活跃总战力],表1_86121822242672108[目标区服],表2_97131923252773109[[#This Row],[合区区服]],表1_86121822242672108[目标国家（映射）],表2_97131923252773109[[#This Row],[国家]])</f>
        <v>41084231</v>
      </c>
      <c r="H34" s="39">
        <f>SUMIFS(表1_86121822242672108[活跃实际充值],表1_86121822242672108[目标区服],表2_97131923252773109[[#This Row],[合区区服]],表1_86121822242672108[目标国家（映射）],表2_97131923252773109[[#This Row],[国家]])</f>
        <v>181832</v>
      </c>
      <c r="I34" s="39">
        <f>SUMIFS(表1_86121822242672108[活跃虚拟充值],表1_86121822242672108[目标区服],表2_97131923252773109[[#This Row],[合区区服]],表1_86121822242672108[目标国家（映射）],表2_97131923252773109[[#This Row],[国家]])</f>
        <v>0</v>
      </c>
      <c r="J34" s="39">
        <f>SUMIFS(表1_86121822242672108[活跃Coin],表1_86121822242672108[目标区服],表2_97131923252773109[[#This Row],[合区区服]],表1_86121822242672108[目标国家（映射）],表2_97131923252773109[[#This Row],[国家]])</f>
        <v>762212</v>
      </c>
      <c r="K34" s="39">
        <f>SUMIFS(表1_86121822242672108[共计补偿Coin],表1_86121822242672108[目标区服],表2_97131923252773109[[#This Row],[合区区服]],表1_86121822242672108[目标国家（映射）],表2_97131923252773109[[#This Row],[国家]])</f>
        <v>78500</v>
      </c>
      <c r="L34" s="39">
        <f>表2_97131923252773109[[#This Row],[活跃Coin]]+表2_97131923252773109[[#This Row],[共计补偿Coin]]</f>
        <v>840712</v>
      </c>
      <c r="M34" s="39">
        <f>SUMIFS(表1_86121822242672108[综合国力],表1_86121822242672108[目标区服],表2_97131923252773109[[#This Row],[合区区服]],表1_86121822242672108[目标国家（映射）],表2_97131923252773109[[#This Row],[国家]])</f>
        <v>21757</v>
      </c>
      <c r="N34" s="39">
        <f t="array" ref="N34">MAX((表1_86121822242672108[目标区服]=表2_97131923252773109[[#This Row],[合区区服]])*(表1_86121822242672108[目标国家（映射）]=表2_97131923252773109[[#This Row],[国家]])*表1_86121822242672108[单将最高战力])</f>
        <v>885144</v>
      </c>
      <c r="P34" s="51">
        <v>7043</v>
      </c>
      <c r="Q34" s="51">
        <v>41</v>
      </c>
      <c r="R34" s="51" t="s">
        <v>263</v>
      </c>
      <c r="S34" s="51">
        <v>41</v>
      </c>
    </row>
    <row r="35" ht="15" spans="1:17">
      <c r="A35" s="186" t="s">
        <v>262</v>
      </c>
      <c r="B35" s="186" t="s">
        <v>25</v>
      </c>
      <c r="C35" s="186">
        <f>COUNTIFS(表1_86121822242672108[目标区服],表2_97131923252773109[[#This Row],[合区区服]],表1_86121822242672108[目标国家（映射）],表2_97131923252773109[[#This Row],[国家]])</f>
        <v>3</v>
      </c>
      <c r="D35" s="186">
        <f>SUMIFS(表1_86121822242672108[活跃高战玩家数],表1_86121822242672108[目标区服],表2_97131923252773109[[#This Row],[合区区服]],表1_86121822242672108[目标国家（映射）],表2_97131923252773109[[#This Row],[国家]])</f>
        <v>9</v>
      </c>
      <c r="E35" s="186">
        <f>SUMIFS(表1_86121822242672108[活跃中坚玩家数],表1_86121822242672108[目标区服],表2_97131923252773109[[#This Row],[合区区服]],表1_86121822242672108[目标国家（映射）],表2_97131923252773109[[#This Row],[国家]])</f>
        <v>57</v>
      </c>
      <c r="F35" s="186">
        <f t="array" ref="F35">MAX((表1_86121822242672108[目标区服]=表2_97131923252773109[[#This Row],[合区区服]])*(表1_86121822242672108[目标国家（映射）]=表2_97131923252773109[[#This Row],[国家]])*表1_86121822242672108[活跃尖端战力])</f>
        <v>2429243</v>
      </c>
      <c r="G35" s="187">
        <f>SUMIFS(表1_86121822242672108[活跃总战力],表1_86121822242672108[目标区服],表2_97131923252773109[[#This Row],[合区区服]],表1_86121822242672108[目标国家（映射）],表2_97131923252773109[[#This Row],[国家]])</f>
        <v>48022805</v>
      </c>
      <c r="H35" s="186">
        <f>SUMIFS(表1_86121822242672108[活跃实际充值],表1_86121822242672108[目标区服],表2_97131923252773109[[#This Row],[合区区服]],表1_86121822242672108[目标国家（映射）],表2_97131923252773109[[#This Row],[国家]])</f>
        <v>134352</v>
      </c>
      <c r="I35" s="186">
        <f>SUMIFS(表1_86121822242672108[活跃虚拟充值],表1_86121822242672108[目标区服],表2_97131923252773109[[#This Row],[合区区服]],表1_86121822242672108[目标国家（映射）],表2_97131923252773109[[#This Row],[国家]])</f>
        <v>0</v>
      </c>
      <c r="J35" s="186">
        <f>SUMIFS(表1_86121822242672108[活跃Coin],表1_86121822242672108[目标区服],表2_97131923252773109[[#This Row],[合区区服]],表1_86121822242672108[目标国家（映射）],表2_97131923252773109[[#This Row],[国家]])</f>
        <v>669648</v>
      </c>
      <c r="K35" s="186">
        <f>SUMIFS(表1_86121822242672108[共计补偿Coin],表1_86121822242672108[目标区服],表2_97131923252773109[[#This Row],[合区区服]],表1_86121822242672108[目标国家（映射）],表2_97131923252773109[[#This Row],[国家]])</f>
        <v>94500</v>
      </c>
      <c r="L35" s="186">
        <f>表2_97131923252773109[[#This Row],[活跃Coin]]+表2_97131923252773109[[#This Row],[共计补偿Coin]]</f>
        <v>764148</v>
      </c>
      <c r="M35" s="186">
        <f>SUMIFS(表1_86121822242672108[综合国力],表1_86121822242672108[目标区服],表2_97131923252773109[[#This Row],[合区区服]],表1_86121822242672108[目标国家（映射）],表2_97131923252773109[[#This Row],[国家]])</f>
        <v>21723</v>
      </c>
      <c r="N35" s="186">
        <f t="array" ref="N35">MAX((表1_86121822242672108[目标区服]=表2_97131923252773109[[#This Row],[合区区服]])*(表1_86121822242672108[目标国家（映射）]=表2_97131923252773109[[#This Row],[国家]])*表1_86121822242672108[单将最高战力])</f>
        <v>844411</v>
      </c>
      <c r="P35" s="51">
        <v>7044</v>
      </c>
      <c r="Q35" s="51">
        <v>40</v>
      </c>
    </row>
    <row r="36" ht="15" spans="1:17">
      <c r="A36" s="186" t="s">
        <v>262</v>
      </c>
      <c r="B36" s="186" t="s">
        <v>26</v>
      </c>
      <c r="C36" s="186">
        <f>COUNTIFS(表1_86121822242672108[目标区服],表2_97131923252773109[[#This Row],[合区区服]],表1_86121822242672108[目标国家（映射）],表2_97131923252773109[[#This Row],[国家]])</f>
        <v>4</v>
      </c>
      <c r="D36" s="186">
        <f>SUMIFS(表1_86121822242672108[活跃高战玩家数],表1_86121822242672108[目标区服],表2_97131923252773109[[#This Row],[合区区服]],表1_86121822242672108[目标国家（映射）],表2_97131923252773109[[#This Row],[国家]])</f>
        <v>8</v>
      </c>
      <c r="E36" s="186">
        <f>SUMIFS(表1_86121822242672108[活跃中坚玩家数],表1_86121822242672108[目标区服],表2_97131923252773109[[#This Row],[合区区服]],表1_86121822242672108[目标国家（映射）],表2_97131923252773109[[#This Row],[国家]])</f>
        <v>79</v>
      </c>
      <c r="F36" s="186">
        <f t="array" ref="F36">MAX((表1_86121822242672108[目标区服]=表2_97131923252773109[[#This Row],[合区区服]])*(表1_86121822242672108[目标国家（映射）]=表2_97131923252773109[[#This Row],[国家]])*表1_86121822242672108[活跃尖端战力])</f>
        <v>2016878</v>
      </c>
      <c r="G36" s="187">
        <f>SUMIFS(表1_86121822242672108[活跃总战力],表1_86121822242672108[目标区服],表2_97131923252773109[[#This Row],[合区区服]],表1_86121822242672108[目标国家（映射）],表2_97131923252773109[[#This Row],[国家]])</f>
        <v>52324445</v>
      </c>
      <c r="H36" s="186">
        <f>SUMIFS(表1_86121822242672108[活跃实际充值],表1_86121822242672108[目标区服],表2_97131923252773109[[#This Row],[合区区服]],表1_86121822242672108[目标国家（映射）],表2_97131923252773109[[#This Row],[国家]])</f>
        <v>114637</v>
      </c>
      <c r="I36" s="186">
        <f>SUMIFS(表1_86121822242672108[活跃虚拟充值],表1_86121822242672108[目标区服],表2_97131923252773109[[#This Row],[合区区服]],表1_86121822242672108[目标国家（映射）],表2_97131923252773109[[#This Row],[国家]])</f>
        <v>0</v>
      </c>
      <c r="J36" s="186">
        <f>SUMIFS(表1_86121822242672108[活跃Coin],表1_86121822242672108[目标区服],表2_97131923252773109[[#This Row],[合区区服]],表1_86121822242672108[目标国家（映射）],表2_97131923252773109[[#This Row],[国家]])</f>
        <v>796499</v>
      </c>
      <c r="K36" s="186">
        <f>SUMIFS(表1_86121822242672108[共计补偿Coin],表1_86121822242672108[目标区服],表2_97131923252773109[[#This Row],[合区区服]],表1_86121822242672108[目标国家（映射）],表2_97131923252773109[[#This Row],[国家]])</f>
        <v>100000</v>
      </c>
      <c r="L36" s="186">
        <f>表2_97131923252773109[[#This Row],[活跃Coin]]+表2_97131923252773109[[#This Row],[共计补偿Coin]]</f>
        <v>896499</v>
      </c>
      <c r="M36" s="186">
        <f>SUMIFS(表1_86121822242672108[综合国力],表1_86121822242672108[目标区服],表2_97131923252773109[[#This Row],[合区区服]],表1_86121822242672108[目标国家（映射）],表2_97131923252773109[[#This Row],[国家]])</f>
        <v>22104</v>
      </c>
      <c r="N36" s="186">
        <f t="array" ref="N36">MAX((表1_86121822242672108[目标区服]=表2_97131923252773109[[#This Row],[合区区服]])*(表1_86121822242672108[目标国家（映射）]=表2_97131923252773109[[#This Row],[国家]])*表1_86121822242672108[单将最高战力])</f>
        <v>704657</v>
      </c>
      <c r="P36" s="51">
        <v>7045</v>
      </c>
      <c r="Q36" s="51">
        <v>40</v>
      </c>
    </row>
    <row r="37" ht="15" spans="1:17">
      <c r="A37" s="186" t="s">
        <v>262</v>
      </c>
      <c r="B37" s="188" t="s">
        <v>27</v>
      </c>
      <c r="C37" s="188">
        <f>COUNTIFS(表1_86121822242672108[目标区服],表2_97131923252773109[[#This Row],[合区区服]],表1_86121822242672108[目标国家（映射）],表2_97131923252773109[[#This Row],[国家]])</f>
        <v>2</v>
      </c>
      <c r="D37" s="188">
        <f>SUMIFS(表1_86121822242672108[活跃高战玩家数],表1_86121822242672108[目标区服],表2_97131923252773109[[#This Row],[合区区服]],表1_86121822242672108[目标国家（映射）],表2_97131923252773109[[#This Row],[国家]])</f>
        <v>12</v>
      </c>
      <c r="E37" s="188">
        <f>SUMIFS(表1_86121822242672108[活跃中坚玩家数],表1_86121822242672108[目标区服],表2_97131923252773109[[#This Row],[合区区服]],表1_86121822242672108[目标国家（映射）],表2_97131923252773109[[#This Row],[国家]])</f>
        <v>50</v>
      </c>
      <c r="F37" s="188">
        <f t="array" ref="F37">MAX((表1_86121822242672108[目标区服]=表2_97131923252773109[[#This Row],[合区区服]])*(表1_86121822242672108[目标国家（映射）]=表2_97131923252773109[[#This Row],[国家]])*表1_86121822242672108[活跃尖端战力])</f>
        <v>2946242</v>
      </c>
      <c r="G37" s="309">
        <f>SUMIFS(表1_86121822242672108[活跃总战力],表1_86121822242672108[目标区服],表2_97131923252773109[[#This Row],[合区区服]],表1_86121822242672108[目标国家（映射）],表2_97131923252773109[[#This Row],[国家]])</f>
        <v>44600690</v>
      </c>
      <c r="H37" s="188">
        <f>SUMIFS(表1_86121822242672108[活跃实际充值],表1_86121822242672108[目标区服],表2_97131923252773109[[#This Row],[合区区服]],表1_86121822242672108[目标国家（映射）],表2_97131923252773109[[#This Row],[国家]])</f>
        <v>135010</v>
      </c>
      <c r="I37" s="188">
        <f>SUMIFS(表1_86121822242672108[活跃虚拟充值],表1_86121822242672108[目标区服],表2_97131923252773109[[#This Row],[合区区服]],表1_86121822242672108[目标国家（映射）],表2_97131923252773109[[#This Row],[国家]])</f>
        <v>0</v>
      </c>
      <c r="J37" s="188">
        <f>SUMIFS(表1_86121822242672108[活跃Coin],表1_86121822242672108[目标区服],表2_97131923252773109[[#This Row],[合区区服]],表1_86121822242672108[目标国家（映射）],表2_97131923252773109[[#This Row],[国家]])</f>
        <v>1005348</v>
      </c>
      <c r="K37" s="188">
        <f>SUMIFS(表1_86121822242672108[共计补偿Coin],表1_86121822242672108[目标区服],表2_97131923252773109[[#This Row],[合区区服]],表1_86121822242672108[目标国家（映射）],表2_97131923252773109[[#This Row],[国家]])</f>
        <v>62000</v>
      </c>
      <c r="L37" s="188">
        <f>表2_97131923252773109[[#This Row],[活跃Coin]]+表2_97131923252773109[[#This Row],[共计补偿Coin]]</f>
        <v>1067348</v>
      </c>
      <c r="M37" s="188">
        <f>SUMIFS(表1_86121822242672108[综合国力],表1_86121822242672108[目标区服],表2_97131923252773109[[#This Row],[合区区服]],表1_86121822242672108[目标国家（映射）],表2_97131923252773109[[#This Row],[国家]])</f>
        <v>20476</v>
      </c>
      <c r="N37" s="186">
        <f t="array" ref="N37">MAX((表1_86121822242672108[目标区服]=表2_97131923252773109[[#This Row],[合区区服]])*(表1_86121822242672108[目标国家（映射）]=表2_97131923252773109[[#This Row],[国家]])*表1_86121822242672108[单将最高战力])</f>
        <v>963904</v>
      </c>
      <c r="P37" s="51">
        <v>7046</v>
      </c>
      <c r="Q37" s="51">
        <v>39</v>
      </c>
    </row>
    <row r="38" ht="15" spans="1:17">
      <c r="A38" s="177" t="s">
        <v>263</v>
      </c>
      <c r="B38" s="178" t="s">
        <v>25</v>
      </c>
      <c r="C38" s="178">
        <f>COUNTIFS(表1_86121822242672108[目标区服],表2_97131923252773109[[#This Row],[合区区服]],表1_86121822242672108[目标国家（映射）],表2_97131923252773109[[#This Row],[国家]])</f>
        <v>4</v>
      </c>
      <c r="D38" s="178">
        <f>SUMIFS(表1_86121822242672108[活跃高战玩家数],表1_86121822242672108[目标区服],表2_97131923252773109[[#This Row],[合区区服]],表1_86121822242672108[目标国家（映射）],表2_97131923252773109[[#This Row],[国家]])</f>
        <v>9</v>
      </c>
      <c r="E38" s="178">
        <f>SUMIFS(表1_86121822242672108[活跃中坚玩家数],表1_86121822242672108[目标区服],表2_97131923252773109[[#This Row],[合区区服]],表1_86121822242672108[目标国家（映射）],表2_97131923252773109[[#This Row],[国家]])</f>
        <v>66</v>
      </c>
      <c r="F38" s="178">
        <f t="array" ref="F38">MAX((表1_86121822242672108[目标区服]=表2_97131923252773109[[#This Row],[合区区服]])*(表1_86121822242672108[目标国家（映射）]=表2_97131923252773109[[#This Row],[国家]])*表1_86121822242672108[活跃尖端战力])</f>
        <v>1979822</v>
      </c>
      <c r="G38" s="179">
        <f>SUMIFS(表1_86121822242672108[活跃总战力],表1_86121822242672108[目标区服],表2_97131923252773109[[#This Row],[合区区服]],表1_86121822242672108[目标国家（映射）],表2_97131923252773109[[#This Row],[国家]])</f>
        <v>40863335</v>
      </c>
      <c r="H38" s="178">
        <f>SUMIFS(表1_86121822242672108[活跃实际充值],表1_86121822242672108[目标区服],表2_97131923252773109[[#This Row],[合区区服]],表1_86121822242672108[目标国家（映射）],表2_97131923252773109[[#This Row],[国家]])</f>
        <v>101938</v>
      </c>
      <c r="I38" s="178">
        <f>SUMIFS(表1_86121822242672108[活跃虚拟充值],表1_86121822242672108[目标区服],表2_97131923252773109[[#This Row],[合区区服]],表1_86121822242672108[目标国家（映射）],表2_97131923252773109[[#This Row],[国家]])</f>
        <v>0</v>
      </c>
      <c r="J38" s="178">
        <f>SUMIFS(表1_86121822242672108[活跃Coin],表1_86121822242672108[目标区服],表2_97131923252773109[[#This Row],[合区区服]],表1_86121822242672108[目标国家（映射）],表2_97131923252773109[[#This Row],[国家]])</f>
        <v>660052</v>
      </c>
      <c r="K38" s="178">
        <f>SUMIFS(表1_86121822242672108[共计补偿Coin],表1_86121822242672108[目标区服],表2_97131923252773109[[#This Row],[合区区服]],表1_86121822242672108[目标国家（映射）],表2_97131923252773109[[#This Row],[国家]])</f>
        <v>92000</v>
      </c>
      <c r="L38" s="178">
        <f>表2_97131923252773109[[#This Row],[活跃Coin]]+表2_97131923252773109[[#This Row],[共计补偿Coin]]</f>
        <v>752052</v>
      </c>
      <c r="M38" s="178">
        <f>SUMIFS(表1_86121822242672108[综合国力],表1_86121822242672108[目标区服],表2_97131923252773109[[#This Row],[合区区服]],表1_86121822242672108[目标国家（映射）],表2_97131923252773109[[#This Row],[国家]])</f>
        <v>19107</v>
      </c>
      <c r="N38" s="178">
        <f t="array" ref="N38">MAX((表1_86121822242672108[目标区服]=表2_97131923252773109[[#This Row],[合区区服]])*(表1_86121822242672108[目标国家（映射）]=表2_97131923252773109[[#This Row],[国家]])*表1_86121822242672108[单将最高战力])</f>
        <v>705166</v>
      </c>
      <c r="P38" s="51">
        <v>7047</v>
      </c>
      <c r="Q38" s="51">
        <v>39</v>
      </c>
    </row>
    <row r="39" ht="15" spans="1:17">
      <c r="A39" s="177" t="s">
        <v>263</v>
      </c>
      <c r="B39" s="178" t="s">
        <v>26</v>
      </c>
      <c r="C39" s="178">
        <f>COUNTIFS(表1_86121822242672108[目标区服],表2_97131923252773109[[#This Row],[合区区服]],表1_86121822242672108[目标国家（映射）],表2_97131923252773109[[#This Row],[国家]])</f>
        <v>3</v>
      </c>
      <c r="D39" s="178">
        <f>SUMIFS(表1_86121822242672108[活跃高战玩家数],表1_86121822242672108[目标区服],表2_97131923252773109[[#This Row],[合区区服]],表1_86121822242672108[目标国家（映射）],表2_97131923252773109[[#This Row],[国家]])</f>
        <v>6</v>
      </c>
      <c r="E39" s="178">
        <f>SUMIFS(表1_86121822242672108[活跃中坚玩家数],表1_86121822242672108[目标区服],表2_97131923252773109[[#This Row],[合区区服]],表1_86121822242672108[目标国家（映射）],表2_97131923252773109[[#This Row],[国家]])</f>
        <v>57</v>
      </c>
      <c r="F39" s="178">
        <f t="array" ref="F39">MAX((表1_86121822242672108[目标区服]=表2_97131923252773109[[#This Row],[合区区服]])*(表1_86121822242672108[目标国家（映射）]=表2_97131923252773109[[#This Row],[国家]])*表1_86121822242672108[活跃尖端战力])</f>
        <v>2490963</v>
      </c>
      <c r="G39" s="179">
        <f>SUMIFS(表1_86121822242672108[活跃总战力],表1_86121822242672108[目标区服],表2_97131923252773109[[#This Row],[合区区服]],表1_86121822242672108[目标国家（映射）],表2_97131923252773109[[#This Row],[国家]])</f>
        <v>35274410</v>
      </c>
      <c r="H39" s="178">
        <f>SUMIFS(表1_86121822242672108[活跃实际充值],表1_86121822242672108[目标区服],表2_97131923252773109[[#This Row],[合区区服]],表1_86121822242672108[目标国家（映射）],表2_97131923252773109[[#This Row],[国家]])</f>
        <v>131538</v>
      </c>
      <c r="I39" s="178">
        <f>SUMIFS(表1_86121822242672108[活跃虚拟充值],表1_86121822242672108[目标区服],表2_97131923252773109[[#This Row],[合区区服]],表1_86121822242672108[目标国家（映射）],表2_97131923252773109[[#This Row],[国家]])</f>
        <v>0</v>
      </c>
      <c r="J39" s="178">
        <f>SUMIFS(表1_86121822242672108[活跃Coin],表1_86121822242672108[目标区服],表2_97131923252773109[[#This Row],[合区区服]],表1_86121822242672108[目标国家（映射）],表2_97131923252773109[[#This Row],[国家]])</f>
        <v>553110</v>
      </c>
      <c r="K39" s="178">
        <f>SUMIFS(表1_86121822242672108[共计补偿Coin],表1_86121822242672108[目标区服],表2_97131923252773109[[#This Row],[合区区服]],表1_86121822242672108[目标国家（映射）],表2_97131923252773109[[#This Row],[国家]])</f>
        <v>94500</v>
      </c>
      <c r="L39" s="178">
        <f>表2_97131923252773109[[#This Row],[活跃Coin]]+表2_97131923252773109[[#This Row],[共计补偿Coin]]</f>
        <v>647610</v>
      </c>
      <c r="M39" s="178">
        <f>SUMIFS(表1_86121822242672108[综合国力],表1_86121822242672108[目标区服],表2_97131923252773109[[#This Row],[合区区服]],表1_86121822242672108[目标国家（映射）],表2_97131923252773109[[#This Row],[国家]])</f>
        <v>17116</v>
      </c>
      <c r="N39" s="178">
        <f t="array" ref="N39">MAX((表1_86121822242672108[目标区服]=表2_97131923252773109[[#This Row],[合区区服]])*(表1_86121822242672108[目标国家（映射）]=表2_97131923252773109[[#This Row],[国家]])*表1_86121822242672108[单将最高战力])</f>
        <v>784360</v>
      </c>
      <c r="P39" s="51">
        <v>7048</v>
      </c>
      <c r="Q39" s="51">
        <v>38</v>
      </c>
    </row>
    <row r="40" ht="15" spans="1:17">
      <c r="A40" s="177" t="s">
        <v>263</v>
      </c>
      <c r="B40" s="180" t="s">
        <v>27</v>
      </c>
      <c r="C40" s="180">
        <f>COUNTIFS(表1_86121822242672108[目标区服],表2_97131923252773109[[#This Row],[合区区服]],表1_86121822242672108[目标国家（映射）],表2_97131923252773109[[#This Row],[国家]])</f>
        <v>2</v>
      </c>
      <c r="D40" s="180">
        <f>SUMIFS(表1_86121822242672108[活跃高战玩家数],表1_86121822242672108[目标区服],表2_97131923252773109[[#This Row],[合区区服]],表1_86121822242672108[目标国家（映射）],表2_97131923252773109[[#This Row],[国家]])</f>
        <v>14</v>
      </c>
      <c r="E40" s="180">
        <f>SUMIFS(表1_86121822242672108[活跃中坚玩家数],表1_86121822242672108[目标区服],表2_97131923252773109[[#This Row],[合区区服]],表1_86121822242672108[目标国家（映射）],表2_97131923252773109[[#This Row],[国家]])</f>
        <v>47</v>
      </c>
      <c r="F40" s="180">
        <f t="array" ref="F40">MAX((表1_86121822242672108[目标区服]=表2_97131923252773109[[#This Row],[合区区服]])*(表1_86121822242672108[目标国家（映射）]=表2_97131923252773109[[#This Row],[国家]])*表1_86121822242672108[活跃尖端战力])</f>
        <v>2033320</v>
      </c>
      <c r="G40" s="262">
        <f>SUMIFS(表1_86121822242672108[活跃总战力],表1_86121822242672108[目标区服],表2_97131923252773109[[#This Row],[合区区服]],表1_86121822242672108[目标国家（映射）],表2_97131923252773109[[#This Row],[国家]])</f>
        <v>38043875</v>
      </c>
      <c r="H40" s="180">
        <f>SUMIFS(表1_86121822242672108[活跃实际充值],表1_86121822242672108[目标区服],表2_97131923252773109[[#This Row],[合区区服]],表1_86121822242672108[目标国家（映射）],表2_97131923252773109[[#This Row],[国家]])</f>
        <v>90392</v>
      </c>
      <c r="I40" s="180">
        <f>SUMIFS(表1_86121822242672108[活跃虚拟充值],表1_86121822242672108[目标区服],表2_97131923252773109[[#This Row],[合区区服]],表1_86121822242672108[目标国家（映射）],表2_97131923252773109[[#This Row],[国家]])</f>
        <v>0</v>
      </c>
      <c r="J40" s="180">
        <f>SUMIFS(表1_86121822242672108[活跃Coin],表1_86121822242672108[目标区服],表2_97131923252773109[[#This Row],[合区区服]],表1_86121822242672108[目标国家（映射）],表2_97131923252773109[[#This Row],[国家]])</f>
        <v>653431</v>
      </c>
      <c r="K40" s="180">
        <f>SUMIFS(表1_86121822242672108[共计补偿Coin],表1_86121822242672108[目标区服],表2_97131923252773109[[#This Row],[合区区服]],表1_86121822242672108[目标国家（映射）],表2_97131923252773109[[#This Row],[国家]])</f>
        <v>75000</v>
      </c>
      <c r="L40" s="180">
        <f>表2_97131923252773109[[#This Row],[活跃Coin]]+表2_97131923252773109[[#This Row],[共计补偿Coin]]</f>
        <v>728431</v>
      </c>
      <c r="M40" s="180">
        <f>SUMIFS(表1_86121822242672108[综合国力],表1_86121822242672108[目标区服],表2_97131923252773109[[#This Row],[合区区服]],表1_86121822242672108[目标国家（映射）],表2_97131923252773109[[#This Row],[国家]])</f>
        <v>18262</v>
      </c>
      <c r="N40" s="178">
        <f t="array" ref="N40">MAX((表1_86121822242672108[目标区服]=表2_97131923252773109[[#This Row],[合区区服]])*(表1_86121822242672108[目标国家（映射）]=表2_97131923252773109[[#This Row],[国家]])*表1_86121822242672108[单将最高战力])</f>
        <v>659106</v>
      </c>
      <c r="P40" s="51">
        <v>7049</v>
      </c>
      <c r="Q40" s="51">
        <v>38</v>
      </c>
    </row>
    <row r="46" ht="27" spans="2:14">
      <c r="B46" s="49"/>
      <c r="C46" s="50" t="s">
        <v>9</v>
      </c>
      <c r="D46" s="50" t="s">
        <v>10</v>
      </c>
      <c r="E46" s="50" t="s">
        <v>11</v>
      </c>
      <c r="F46" s="50" t="s">
        <v>12</v>
      </c>
      <c r="G46" s="50" t="s">
        <v>13</v>
      </c>
      <c r="H46" s="50" t="s">
        <v>14</v>
      </c>
      <c r="I46" s="50" t="s">
        <v>15</v>
      </c>
      <c r="J46" s="50" t="s">
        <v>18</v>
      </c>
      <c r="K46" s="50" t="s">
        <v>19</v>
      </c>
      <c r="L46" s="50" t="s">
        <v>20</v>
      </c>
      <c r="M46" s="50" t="s">
        <v>21</v>
      </c>
      <c r="N46" s="50" t="s">
        <v>82</v>
      </c>
    </row>
    <row r="47" spans="1:14">
      <c r="A47">
        <v>7041</v>
      </c>
      <c r="B47" s="190" t="s">
        <v>25</v>
      </c>
      <c r="C47" s="190">
        <v>2</v>
      </c>
      <c r="D47" s="190">
        <v>75</v>
      </c>
      <c r="E47" s="190">
        <v>1</v>
      </c>
      <c r="F47" s="190">
        <v>13</v>
      </c>
      <c r="G47" s="190">
        <v>43481</v>
      </c>
      <c r="H47" s="190">
        <v>1275338</v>
      </c>
      <c r="I47" s="190">
        <v>6511751</v>
      </c>
      <c r="J47" s="190">
        <v>11172</v>
      </c>
      <c r="K47" s="190">
        <v>0</v>
      </c>
      <c r="L47" s="190">
        <v>111990</v>
      </c>
      <c r="M47" s="190">
        <v>3485</v>
      </c>
      <c r="N47" s="190">
        <v>474314</v>
      </c>
    </row>
    <row r="48" spans="2:14">
      <c r="B48" s="190" t="s">
        <v>26</v>
      </c>
      <c r="C48" s="190">
        <v>3</v>
      </c>
      <c r="D48" s="190">
        <v>125</v>
      </c>
      <c r="E48" s="190">
        <v>3</v>
      </c>
      <c r="F48" s="190">
        <v>17</v>
      </c>
      <c r="G48" s="190">
        <v>98454</v>
      </c>
      <c r="H48" s="190">
        <v>2077571</v>
      </c>
      <c r="I48" s="190">
        <v>13883175</v>
      </c>
      <c r="J48" s="190">
        <v>102938</v>
      </c>
      <c r="K48" s="190">
        <v>0</v>
      </c>
      <c r="L48" s="190">
        <v>387509</v>
      </c>
      <c r="M48" s="190">
        <v>8790</v>
      </c>
      <c r="N48" s="190">
        <v>710435</v>
      </c>
    </row>
    <row r="49" spans="2:14">
      <c r="B49" s="190" t="s">
        <v>27</v>
      </c>
      <c r="C49" s="190">
        <v>4</v>
      </c>
      <c r="D49" s="190">
        <v>195</v>
      </c>
      <c r="E49" s="190">
        <v>6</v>
      </c>
      <c r="F49" s="190">
        <v>14</v>
      </c>
      <c r="G49" s="190">
        <v>108044</v>
      </c>
      <c r="H49" s="190">
        <v>2795719</v>
      </c>
      <c r="I49" s="190">
        <v>17655468</v>
      </c>
      <c r="J49" s="190">
        <v>139096</v>
      </c>
      <c r="K49" s="190">
        <v>0</v>
      </c>
      <c r="L49" s="190">
        <v>468224</v>
      </c>
      <c r="M49" s="190">
        <v>11858</v>
      </c>
      <c r="N49" s="190">
        <v>885144</v>
      </c>
    </row>
    <row r="50" spans="1:14">
      <c r="A50">
        <v>7042</v>
      </c>
      <c r="B50" s="190" t="s">
        <v>25</v>
      </c>
      <c r="C50" s="190">
        <v>5</v>
      </c>
      <c r="D50" s="190">
        <v>200</v>
      </c>
      <c r="E50" s="190">
        <v>4</v>
      </c>
      <c r="F50" s="190">
        <v>28</v>
      </c>
      <c r="G50" s="190">
        <v>135391</v>
      </c>
      <c r="H50" s="190">
        <v>2259562</v>
      </c>
      <c r="I50" s="190">
        <v>21878160</v>
      </c>
      <c r="J50" s="190">
        <v>82208</v>
      </c>
      <c r="K50" s="190">
        <v>0</v>
      </c>
      <c r="L50" s="190">
        <v>461613</v>
      </c>
      <c r="M50" s="190">
        <v>10321</v>
      </c>
      <c r="N50" s="190">
        <v>620986</v>
      </c>
    </row>
    <row r="51" spans="2:14">
      <c r="B51" s="190" t="s">
        <v>26</v>
      </c>
      <c r="C51" s="190">
        <v>1</v>
      </c>
      <c r="D51" s="190">
        <v>77</v>
      </c>
      <c r="E51" s="190">
        <v>2</v>
      </c>
      <c r="F51" s="190">
        <v>14</v>
      </c>
      <c r="G51" s="190">
        <v>57193</v>
      </c>
      <c r="H51" s="190">
        <v>1280636</v>
      </c>
      <c r="I51" s="190">
        <v>9172483</v>
      </c>
      <c r="J51" s="190">
        <v>10240</v>
      </c>
      <c r="K51" s="190">
        <v>0</v>
      </c>
      <c r="L51" s="190">
        <v>55626</v>
      </c>
      <c r="M51" s="190">
        <v>3688</v>
      </c>
      <c r="N51" s="190">
        <v>427342</v>
      </c>
    </row>
    <row r="52" spans="2:14">
      <c r="B52" s="190" t="s">
        <v>27</v>
      </c>
      <c r="C52" s="190">
        <v>3</v>
      </c>
      <c r="D52" s="190">
        <v>118</v>
      </c>
      <c r="E52" s="190">
        <v>2</v>
      </c>
      <c r="F52" s="190">
        <v>21</v>
      </c>
      <c r="G52" s="190">
        <v>88662</v>
      </c>
      <c r="H52" s="190">
        <v>1768346</v>
      </c>
      <c r="I52" s="190">
        <v>14256280</v>
      </c>
      <c r="J52" s="190">
        <v>32496</v>
      </c>
      <c r="K52" s="190">
        <v>0</v>
      </c>
      <c r="L52" s="190">
        <v>238362</v>
      </c>
      <c r="M52" s="190">
        <v>6211</v>
      </c>
      <c r="N52" s="190">
        <v>561609</v>
      </c>
    </row>
    <row r="53" spans="1:14">
      <c r="A53">
        <v>7043</v>
      </c>
      <c r="B53" s="190" t="s">
        <v>25</v>
      </c>
      <c r="C53" s="190">
        <v>4</v>
      </c>
      <c r="D53" s="190">
        <v>176</v>
      </c>
      <c r="E53" s="190">
        <v>4</v>
      </c>
      <c r="F53" s="190">
        <v>25</v>
      </c>
      <c r="G53" s="190">
        <v>103615</v>
      </c>
      <c r="H53" s="190">
        <v>2550940</v>
      </c>
      <c r="I53" s="190">
        <v>18821203</v>
      </c>
      <c r="J53" s="190">
        <v>43712</v>
      </c>
      <c r="K53" s="190">
        <v>0</v>
      </c>
      <c r="L53" s="190">
        <v>464941</v>
      </c>
      <c r="M53" s="190">
        <v>8654</v>
      </c>
      <c r="N53" s="190">
        <v>828749</v>
      </c>
    </row>
    <row r="54" spans="2:14">
      <c r="B54" s="190" t="s">
        <v>26</v>
      </c>
      <c r="C54" s="190">
        <v>3</v>
      </c>
      <c r="D54" s="190">
        <v>127</v>
      </c>
      <c r="E54" s="190">
        <v>4</v>
      </c>
      <c r="F54" s="190">
        <v>22</v>
      </c>
      <c r="G54" s="190">
        <v>97099</v>
      </c>
      <c r="H54" s="190">
        <v>2403440</v>
      </c>
      <c r="I54" s="190">
        <v>17184060</v>
      </c>
      <c r="J54" s="190">
        <v>41162</v>
      </c>
      <c r="K54" s="190">
        <v>0</v>
      </c>
      <c r="L54" s="190">
        <v>346512</v>
      </c>
      <c r="M54" s="190">
        <v>7585</v>
      </c>
      <c r="N54" s="190">
        <v>811260</v>
      </c>
    </row>
    <row r="55" spans="2:14">
      <c r="B55" s="190" t="s">
        <v>27</v>
      </c>
      <c r="C55" s="190">
        <v>2</v>
      </c>
      <c r="D55" s="190">
        <v>92</v>
      </c>
      <c r="E55" s="190">
        <v>2</v>
      </c>
      <c r="F55" s="190">
        <v>20</v>
      </c>
      <c r="G55" s="190">
        <v>97529</v>
      </c>
      <c r="H55" s="190">
        <v>1670127</v>
      </c>
      <c r="I55" s="190">
        <v>14230432</v>
      </c>
      <c r="J55" s="190">
        <v>15770</v>
      </c>
      <c r="K55" s="190">
        <v>0</v>
      </c>
      <c r="L55" s="190">
        <v>190733</v>
      </c>
      <c r="M55" s="190">
        <v>5269</v>
      </c>
      <c r="N55" s="190">
        <v>595980</v>
      </c>
    </row>
    <row r="56" spans="1:14">
      <c r="A56">
        <v>7044</v>
      </c>
      <c r="B56" s="190" t="s">
        <v>25</v>
      </c>
      <c r="C56" s="190">
        <v>0</v>
      </c>
      <c r="D56" s="190">
        <v>52</v>
      </c>
      <c r="E56" s="190">
        <v>1</v>
      </c>
      <c r="F56" s="190">
        <v>8</v>
      </c>
      <c r="G56" s="190">
        <v>35929</v>
      </c>
      <c r="H56" s="190">
        <v>1252021</v>
      </c>
      <c r="I56" s="190">
        <v>5191075</v>
      </c>
      <c r="J56" s="190">
        <v>9778</v>
      </c>
      <c r="K56" s="190">
        <v>0</v>
      </c>
      <c r="L56" s="190">
        <v>15062</v>
      </c>
      <c r="M56" s="190">
        <v>2771</v>
      </c>
      <c r="N56" s="190">
        <v>494889</v>
      </c>
    </row>
    <row r="57" spans="2:14">
      <c r="B57" s="190" t="s">
        <v>26</v>
      </c>
      <c r="C57" s="190">
        <v>0</v>
      </c>
      <c r="D57" s="190">
        <v>76</v>
      </c>
      <c r="E57" s="190">
        <v>2</v>
      </c>
      <c r="F57" s="190">
        <v>17</v>
      </c>
      <c r="G57" s="190">
        <v>70433</v>
      </c>
      <c r="H57" s="190">
        <v>1735364</v>
      </c>
      <c r="I57" s="190">
        <v>10707154</v>
      </c>
      <c r="J57" s="190">
        <v>30447</v>
      </c>
      <c r="K57" s="190">
        <v>0</v>
      </c>
      <c r="L57" s="190">
        <v>217738</v>
      </c>
      <c r="M57" s="190">
        <v>4940</v>
      </c>
      <c r="N57" s="190">
        <v>486750</v>
      </c>
    </row>
    <row r="58" spans="2:14">
      <c r="B58" s="190" t="s">
        <v>27</v>
      </c>
      <c r="C58" s="190">
        <v>9</v>
      </c>
      <c r="D58" s="190">
        <v>267</v>
      </c>
      <c r="E58" s="190">
        <v>6</v>
      </c>
      <c r="F58" s="190">
        <v>31</v>
      </c>
      <c r="G58" s="190">
        <v>182323</v>
      </c>
      <c r="H58" s="190">
        <v>2946242</v>
      </c>
      <c r="I58" s="190">
        <v>28290194</v>
      </c>
      <c r="J58" s="190">
        <v>102710</v>
      </c>
      <c r="K58" s="190">
        <v>0</v>
      </c>
      <c r="L58" s="190">
        <v>555846</v>
      </c>
      <c r="M58" s="190">
        <v>13616</v>
      </c>
      <c r="N58" s="190">
        <v>963904</v>
      </c>
    </row>
    <row r="59" spans="1:14">
      <c r="A59">
        <v>7045</v>
      </c>
      <c r="B59" s="190" t="s">
        <v>25</v>
      </c>
      <c r="C59" s="190">
        <v>3</v>
      </c>
      <c r="D59" s="190">
        <v>107</v>
      </c>
      <c r="E59" s="190">
        <v>2</v>
      </c>
      <c r="F59" s="190">
        <v>16</v>
      </c>
      <c r="G59" s="190">
        <v>76280</v>
      </c>
      <c r="H59" s="190">
        <v>1463442</v>
      </c>
      <c r="I59" s="190">
        <v>10250876</v>
      </c>
      <c r="J59" s="190">
        <v>7780</v>
      </c>
      <c r="K59" s="190">
        <v>0</v>
      </c>
      <c r="L59" s="190">
        <v>194558</v>
      </c>
      <c r="M59" s="190">
        <v>4570</v>
      </c>
      <c r="N59" s="190">
        <v>383769</v>
      </c>
    </row>
    <row r="60" spans="2:14">
      <c r="B60" s="190" t="s">
        <v>26</v>
      </c>
      <c r="C60" s="190">
        <v>3</v>
      </c>
      <c r="D60" s="190">
        <v>118</v>
      </c>
      <c r="E60" s="190">
        <v>6</v>
      </c>
      <c r="F60" s="190">
        <v>19</v>
      </c>
      <c r="G60" s="190">
        <v>119857</v>
      </c>
      <c r="H60" s="190">
        <v>1956010</v>
      </c>
      <c r="I60" s="190">
        <v>16310496</v>
      </c>
      <c r="J60" s="190">
        <v>32300</v>
      </c>
      <c r="K60" s="190">
        <v>0</v>
      </c>
      <c r="L60" s="190">
        <v>449502</v>
      </c>
      <c r="M60" s="190">
        <v>6860</v>
      </c>
      <c r="N60" s="190">
        <v>526268</v>
      </c>
    </row>
    <row r="61" spans="2:14">
      <c r="B61" s="190" t="s">
        <v>27</v>
      </c>
      <c r="C61" s="190">
        <v>3</v>
      </c>
      <c r="D61" s="190">
        <v>170</v>
      </c>
      <c r="E61" s="190">
        <v>2</v>
      </c>
      <c r="F61" s="190">
        <v>22</v>
      </c>
      <c r="G61" s="190">
        <v>92103</v>
      </c>
      <c r="H61" s="190">
        <v>1848405</v>
      </c>
      <c r="I61" s="190">
        <v>12632861</v>
      </c>
      <c r="J61" s="190">
        <v>21818</v>
      </c>
      <c r="K61" s="190">
        <v>0</v>
      </c>
      <c r="L61" s="190">
        <v>239952</v>
      </c>
      <c r="M61" s="190">
        <v>6346</v>
      </c>
      <c r="N61" s="190">
        <v>635437</v>
      </c>
    </row>
    <row r="62" spans="1:14">
      <c r="A62">
        <v>7046</v>
      </c>
      <c r="B62" s="190" t="s">
        <v>25</v>
      </c>
      <c r="C62" s="190">
        <v>4</v>
      </c>
      <c r="D62" s="190">
        <v>173</v>
      </c>
      <c r="E62" s="190">
        <v>1</v>
      </c>
      <c r="F62" s="190">
        <v>26</v>
      </c>
      <c r="G62" s="190">
        <v>91998</v>
      </c>
      <c r="H62" s="190">
        <v>2375605</v>
      </c>
      <c r="I62" s="190">
        <v>19006020</v>
      </c>
      <c r="J62" s="190">
        <v>55202</v>
      </c>
      <c r="K62" s="190">
        <v>0</v>
      </c>
      <c r="L62" s="190">
        <v>279722</v>
      </c>
      <c r="M62" s="190">
        <v>8662</v>
      </c>
      <c r="N62" s="190">
        <v>836522</v>
      </c>
    </row>
    <row r="63" spans="2:14">
      <c r="B63" s="190" t="s">
        <v>26</v>
      </c>
      <c r="C63" s="190">
        <v>0</v>
      </c>
      <c r="D63" s="190">
        <v>15</v>
      </c>
      <c r="E63" s="190">
        <v>2</v>
      </c>
      <c r="F63" s="190">
        <v>24</v>
      </c>
      <c r="G63" s="190">
        <v>99700</v>
      </c>
      <c r="H63" s="190">
        <v>2016878</v>
      </c>
      <c r="I63" s="190">
        <v>18733554</v>
      </c>
      <c r="J63" s="190">
        <v>54592</v>
      </c>
      <c r="K63" s="190">
        <v>0</v>
      </c>
      <c r="L63" s="190">
        <v>144251</v>
      </c>
      <c r="M63" s="190">
        <v>6248</v>
      </c>
      <c r="N63" s="190">
        <v>704657</v>
      </c>
    </row>
    <row r="64" spans="2:14">
      <c r="B64" s="190" t="s">
        <v>27</v>
      </c>
      <c r="C64" s="190">
        <v>5</v>
      </c>
      <c r="D64" s="190">
        <v>207</v>
      </c>
      <c r="E64" s="190">
        <v>7</v>
      </c>
      <c r="F64" s="190">
        <v>23</v>
      </c>
      <c r="G64" s="190">
        <v>128105</v>
      </c>
      <c r="H64" s="190">
        <v>2429243</v>
      </c>
      <c r="I64" s="190">
        <v>23825710</v>
      </c>
      <c r="J64" s="190">
        <v>69372</v>
      </c>
      <c r="K64" s="190">
        <v>0</v>
      </c>
      <c r="L64" s="190">
        <v>374864</v>
      </c>
      <c r="M64" s="190">
        <v>10290</v>
      </c>
      <c r="N64" s="190">
        <v>844411</v>
      </c>
    </row>
    <row r="65" spans="1:14">
      <c r="A65">
        <v>7047</v>
      </c>
      <c r="B65" s="190" t="s">
        <v>25</v>
      </c>
      <c r="C65" s="190">
        <v>3</v>
      </c>
      <c r="D65" s="190">
        <v>135</v>
      </c>
      <c r="E65" s="190">
        <v>3</v>
      </c>
      <c r="F65" s="190">
        <v>26</v>
      </c>
      <c r="G65" s="190">
        <v>109433</v>
      </c>
      <c r="H65" s="190">
        <v>1979822</v>
      </c>
      <c r="I65" s="190">
        <v>16489203</v>
      </c>
      <c r="J65" s="190">
        <v>48818</v>
      </c>
      <c r="K65" s="190">
        <v>0</v>
      </c>
      <c r="L65" s="190">
        <v>191319</v>
      </c>
      <c r="M65" s="190">
        <v>7386</v>
      </c>
      <c r="N65" s="190">
        <v>705166</v>
      </c>
    </row>
    <row r="66" spans="2:14">
      <c r="B66" s="190" t="s">
        <v>26</v>
      </c>
      <c r="C66" s="190">
        <v>2</v>
      </c>
      <c r="D66" s="190">
        <v>62</v>
      </c>
      <c r="E66" s="190">
        <v>1</v>
      </c>
      <c r="F66" s="190">
        <v>11</v>
      </c>
      <c r="G66" s="190">
        <v>30060</v>
      </c>
      <c r="H66" s="190">
        <v>859165</v>
      </c>
      <c r="I66" s="190">
        <v>5060954</v>
      </c>
      <c r="J66" s="190">
        <v>11660</v>
      </c>
      <c r="K66" s="190">
        <v>0</v>
      </c>
      <c r="L66" s="190">
        <v>84761</v>
      </c>
      <c r="M66" s="190">
        <v>2727</v>
      </c>
      <c r="N66" s="190">
        <v>245916</v>
      </c>
    </row>
    <row r="67" spans="2:14">
      <c r="B67" s="190" t="s">
        <v>27</v>
      </c>
      <c r="C67" s="190">
        <v>4</v>
      </c>
      <c r="D67" s="190">
        <v>198</v>
      </c>
      <c r="E67" s="190">
        <v>6</v>
      </c>
      <c r="F67" s="190">
        <v>27</v>
      </c>
      <c r="G67" s="190">
        <v>148845</v>
      </c>
      <c r="H67" s="190">
        <v>2033320</v>
      </c>
      <c r="I67" s="190">
        <v>21083014</v>
      </c>
      <c r="J67" s="190">
        <v>65882</v>
      </c>
      <c r="K67" s="190">
        <v>0</v>
      </c>
      <c r="L67" s="190">
        <v>293008</v>
      </c>
      <c r="M67" s="190">
        <v>9388</v>
      </c>
      <c r="N67" s="190">
        <v>659106</v>
      </c>
    </row>
    <row r="68" spans="1:14">
      <c r="A68">
        <v>7048</v>
      </c>
      <c r="B68" s="190" t="s">
        <v>25</v>
      </c>
      <c r="C68" s="190">
        <v>8</v>
      </c>
      <c r="D68" s="190">
        <v>283</v>
      </c>
      <c r="E68" s="190">
        <v>8</v>
      </c>
      <c r="F68" s="190">
        <v>20</v>
      </c>
      <c r="G68" s="190">
        <v>161051</v>
      </c>
      <c r="H68" s="190">
        <v>1827721</v>
      </c>
      <c r="I68" s="190">
        <v>16960861</v>
      </c>
      <c r="J68" s="190">
        <v>24510</v>
      </c>
      <c r="K68" s="190">
        <v>0</v>
      </c>
      <c r="L68" s="190">
        <v>360423</v>
      </c>
      <c r="M68" s="190">
        <v>8874</v>
      </c>
      <c r="N68" s="190">
        <v>518177</v>
      </c>
    </row>
    <row r="69" spans="2:14">
      <c r="B69" s="190" t="s">
        <v>26</v>
      </c>
      <c r="C69" s="190">
        <v>1</v>
      </c>
      <c r="D69" s="190">
        <v>68</v>
      </c>
      <c r="E69" s="190">
        <v>1</v>
      </c>
      <c r="F69" s="190">
        <v>11</v>
      </c>
      <c r="G69" s="190">
        <v>43390</v>
      </c>
      <c r="H69" s="190">
        <v>883141</v>
      </c>
      <c r="I69" s="190">
        <v>4674651</v>
      </c>
      <c r="J69" s="190">
        <v>2648</v>
      </c>
      <c r="K69" s="190">
        <v>0</v>
      </c>
      <c r="L69" s="190">
        <v>107157</v>
      </c>
      <c r="M69" s="190">
        <v>2480</v>
      </c>
      <c r="N69" s="190">
        <v>377503</v>
      </c>
    </row>
    <row r="70" spans="2:14">
      <c r="B70" s="190" t="s">
        <v>27</v>
      </c>
      <c r="C70" s="190">
        <v>0</v>
      </c>
      <c r="D70" s="190">
        <v>44</v>
      </c>
      <c r="E70" s="190">
        <v>0</v>
      </c>
      <c r="F70" s="190">
        <v>14</v>
      </c>
      <c r="G70" s="190">
        <v>57445</v>
      </c>
      <c r="H70" s="190">
        <v>810790</v>
      </c>
      <c r="I70" s="190">
        <v>5603896</v>
      </c>
      <c r="J70" s="190">
        <v>2018</v>
      </c>
      <c r="K70" s="190">
        <v>0</v>
      </c>
      <c r="L70" s="190">
        <v>87454</v>
      </c>
      <c r="M70" s="190">
        <v>2202</v>
      </c>
      <c r="N70" s="190">
        <v>233048</v>
      </c>
    </row>
    <row r="71" spans="1:14">
      <c r="A71">
        <v>7049</v>
      </c>
      <c r="B71" s="190" t="s">
        <v>25</v>
      </c>
      <c r="C71" s="190">
        <v>2</v>
      </c>
      <c r="D71" s="190">
        <v>92</v>
      </c>
      <c r="E71" s="190">
        <v>4</v>
      </c>
      <c r="F71" s="190">
        <v>17</v>
      </c>
      <c r="G71" s="190">
        <v>86286</v>
      </c>
      <c r="H71" s="190">
        <v>1796523</v>
      </c>
      <c r="I71" s="190">
        <v>12726417</v>
      </c>
      <c r="J71" s="190">
        <v>25324</v>
      </c>
      <c r="K71" s="190">
        <v>0</v>
      </c>
      <c r="L71" s="190">
        <v>245437</v>
      </c>
      <c r="M71" s="190">
        <v>5503</v>
      </c>
      <c r="N71" s="190">
        <v>552179</v>
      </c>
    </row>
    <row r="72" spans="2:14">
      <c r="B72" s="190" t="s">
        <v>26</v>
      </c>
      <c r="C72" s="190">
        <v>5</v>
      </c>
      <c r="D72" s="190">
        <v>213</v>
      </c>
      <c r="E72" s="190">
        <v>5</v>
      </c>
      <c r="F72" s="190">
        <v>32</v>
      </c>
      <c r="G72" s="190">
        <v>165776</v>
      </c>
      <c r="H72" s="190">
        <v>2490963</v>
      </c>
      <c r="I72" s="190">
        <v>24995863</v>
      </c>
      <c r="J72" s="190">
        <v>126872</v>
      </c>
      <c r="K72" s="190">
        <v>0</v>
      </c>
      <c r="L72" s="190">
        <v>358499</v>
      </c>
      <c r="M72" s="190">
        <v>12434</v>
      </c>
      <c r="N72" s="190">
        <v>784360</v>
      </c>
    </row>
    <row r="73" spans="2:14">
      <c r="B73" s="190" t="s">
        <v>27</v>
      </c>
      <c r="C73" s="190">
        <v>2</v>
      </c>
      <c r="D73" s="190">
        <v>90</v>
      </c>
      <c r="E73" s="190">
        <v>1</v>
      </c>
      <c r="F73" s="190">
        <v>12</v>
      </c>
      <c r="G73" s="190">
        <v>46283</v>
      </c>
      <c r="H73" s="190">
        <v>947610</v>
      </c>
      <c r="I73" s="190">
        <v>6586761</v>
      </c>
      <c r="J73" s="190">
        <v>16136</v>
      </c>
      <c r="K73" s="190">
        <v>0</v>
      </c>
      <c r="L73" s="190">
        <v>138535</v>
      </c>
      <c r="M73" s="190">
        <v>3491</v>
      </c>
      <c r="N73" s="190">
        <v>245098</v>
      </c>
    </row>
  </sheetData>
  <conditionalFormatting sqref="P40">
    <cfRule type="cellIs" dxfId="37" priority="1" operator="equal">
      <formula>$S$31</formula>
    </cfRule>
  </conditionalFormatting>
  <conditionalFormatting sqref="F32:F34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{1310acf2-243f-4ea0-a846-f499bdb7eb75}</x14:id>
        </ext>
      </extLst>
    </cfRule>
  </conditionalFormatting>
  <conditionalFormatting sqref="F35:F37">
    <cfRule type="dataBar" priority="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{d65912ad-ef47-4abd-b082-3870091ce877}</x14:id>
        </ext>
      </extLst>
    </cfRule>
  </conditionalFormatting>
  <conditionalFormatting sqref="F38:F40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{1c7af88b-fb45-4dcc-9029-b275ac8e7584}</x14:id>
        </ext>
      </extLst>
    </cfRule>
  </conditionalFormatting>
  <conditionalFormatting sqref="G32:G34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{db56667f-aef0-4ea0-9973-8ae27ee1f862}</x14:id>
        </ext>
      </extLst>
    </cfRule>
  </conditionalFormatting>
  <conditionalFormatting sqref="G35:G37">
    <cfRule type="dataBar" priority="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{2a6037d2-588a-46c8-970e-e72b003a71a7}</x14:id>
        </ext>
      </extLst>
    </cfRule>
  </conditionalFormatting>
  <conditionalFormatting sqref="G38:G40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{606446bf-14b5-4cac-8dea-eb261e3de3b5}</x14:id>
        </ext>
      </extLst>
    </cfRule>
  </conditionalFormatting>
  <conditionalFormatting sqref="N32:N40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{1acd5541-3bbc-4b66-a6db-947826a33569}</x14:id>
        </ext>
      </extLst>
    </cfRule>
  </conditionalFormatting>
  <conditionalFormatting sqref="O2:O19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{4b835b84-edb2-4acc-a01e-86df35c14fae}</x14:id>
        </ext>
      </extLst>
    </cfRule>
  </conditionalFormatting>
  <conditionalFormatting sqref="O20:O22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{3545068e-2ed9-432d-af09-743ce54736d2}</x14:id>
        </ext>
      </extLst>
    </cfRule>
  </conditionalFormatting>
  <conditionalFormatting sqref="O23:O25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{f71b8798-3dcd-4f31-94f7-0c749c2d97d4}</x14:id>
        </ext>
      </extLst>
    </cfRule>
  </conditionalFormatting>
  <conditionalFormatting sqref="O26:O2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{c5a9bade-5485-49f4-9a75-167be17e64cb}</x14:id>
        </ext>
      </extLst>
    </cfRule>
  </conditionalFormatting>
  <conditionalFormatting sqref="P2:P19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{247713a1-9d9b-42cd-a556-21ae4e70ae0f}</x14:id>
        </ext>
      </extLst>
    </cfRule>
  </conditionalFormatting>
  <conditionalFormatting sqref="P20:P2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{6cb9e47e-dba7-4275-8d40-9fa202da602a}</x14:id>
        </ext>
      </extLst>
    </cfRule>
  </conditionalFormatting>
  <conditionalFormatting sqref="P23:P2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{c7b104ab-4304-4bfd-b375-7c1229d53733}</x14:id>
        </ext>
      </extLst>
    </cfRule>
  </conditionalFormatting>
  <conditionalFormatting sqref="P26:P28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{b0527e46-49d5-4779-9f8d-8593e45d3608}</x14:id>
        </ext>
      </extLst>
    </cfRule>
  </conditionalFormatting>
  <conditionalFormatting sqref="P32:P39">
    <cfRule type="cellIs" dxfId="37" priority="2" operator="equal">
      <formula>$S$31</formula>
    </cfRule>
  </conditionalFormatting>
  <conditionalFormatting sqref="Q2:Q22">
    <cfRule type="cellIs" dxfId="38" priority="25" operator="equal">
      <formula>配置!$D$4</formula>
    </cfRule>
    <cfRule type="cellIs" dxfId="39" priority="26" operator="equal">
      <formula>配置!$D$3</formula>
    </cfRule>
    <cfRule type="cellIs" dxfId="37" priority="27" operator="equal">
      <formula>配置!$D$2</formula>
    </cfRule>
  </conditionalFormatting>
  <conditionalFormatting sqref="Q23:Q25">
    <cfRule type="cellIs" dxfId="38" priority="11" operator="equal">
      <formula>配置!$D$4</formula>
    </cfRule>
    <cfRule type="cellIs" dxfId="39" priority="12" operator="equal">
      <formula>配置!$D$3</formula>
    </cfRule>
    <cfRule type="cellIs" dxfId="37" priority="13" operator="equal">
      <formula>配置!$D$2</formula>
    </cfRule>
  </conditionalFormatting>
  <conditionalFormatting sqref="Q26:Q28">
    <cfRule type="cellIs" dxfId="38" priority="4" operator="equal">
      <formula>配置!$D$4</formula>
    </cfRule>
    <cfRule type="cellIs" dxfId="39" priority="5" operator="equal">
      <formula>配置!$D$3</formula>
    </cfRule>
    <cfRule type="cellIs" dxfId="37" priority="6" operator="equal">
      <formula>配置!$D$2</formula>
    </cfRule>
  </conditionalFormatting>
  <conditionalFormatting sqref="R32:R34">
    <cfRule type="cellIs" dxfId="37" priority="3" operator="equal">
      <formula>$S$31</formula>
    </cfRule>
  </conditionalFormatting>
  <conditionalFormatting sqref="O29:O30 Q1:R1 Q2 Q4:Q5 Q7:Q8 Q10:Q11 Q13:Q14 Q16:Q17 Q19:Q20 Q22">
    <cfRule type="cellIs" dxfId="37" priority="35" operator="equal">
      <formula>配置!$D$2</formula>
    </cfRule>
  </conditionalFormatting>
  <conditionalFormatting sqref="Q2 Q4:Q5 Q7:Q8 Q10:Q11 Q13:Q14 Q16:Q17 Q19:Q20 Q22">
    <cfRule type="cellIs" dxfId="38" priority="34" operator="equal">
      <formula>配置!$D$4</formula>
    </cfRule>
  </conditionalFormatting>
  <conditionalFormatting sqref="Q23 Q25">
    <cfRule type="cellIs" dxfId="38" priority="16" operator="equal">
      <formula>配置!$D$4</formula>
    </cfRule>
    <cfRule type="cellIs" dxfId="37" priority="17" operator="equal">
      <formula>配置!$D$2</formula>
    </cfRule>
  </conditionalFormatting>
  <conditionalFormatting sqref="Q26 Q28">
    <cfRule type="cellIs" dxfId="38" priority="9" operator="equal">
      <formula>配置!$D$4</formula>
    </cfRule>
    <cfRule type="cellIs" dxfId="37" priority="10" operator="equal">
      <formula>配置!$D$2</formula>
    </cfRule>
  </conditionalFormatting>
  <dataValidations count="1">
    <dataValidation type="list" allowBlank="1" showInputMessage="1" showErrorMessage="1" sqref="Q2:Q14 Q15:Q22 Q23:Q25 Q26:Q28">
      <formula1>配置!$D$2:$D$4</formula1>
    </dataValidation>
  </dataValidations>
  <pageMargins left="0.7" right="0.7" top="0.75" bottom="0.75" header="0.3" footer="0.3"/>
  <pageSetup paperSize="9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310acf2-243f-4ea0-a846-f499bdb7eb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d65912ad-ef47-4abd-b082-3870091ce8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F35:F37</xm:sqref>
        </x14:conditionalFormatting>
        <x14:conditionalFormatting xmlns:xm="http://schemas.microsoft.com/office/excel/2006/main">
          <x14:cfRule type="dataBar" id="{1c7af88b-fb45-4dcc-9029-b275ac8e75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F38:F40</xm:sqref>
        </x14:conditionalFormatting>
        <x14:conditionalFormatting xmlns:xm="http://schemas.microsoft.com/office/excel/2006/main">
          <x14:cfRule type="dataBar" id="{db56667f-aef0-4ea0-9973-8ae27ee1f8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2a6037d2-588a-46c8-970e-e72b003a71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G35:G37</xm:sqref>
        </x14:conditionalFormatting>
        <x14:conditionalFormatting xmlns:xm="http://schemas.microsoft.com/office/excel/2006/main">
          <x14:cfRule type="dataBar" id="{606446bf-14b5-4cac-8dea-eb261e3de3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G38:G40</xm:sqref>
        </x14:conditionalFormatting>
        <x14:conditionalFormatting xmlns:xm="http://schemas.microsoft.com/office/excel/2006/main">
          <x14:cfRule type="dataBar" id="{1acd5541-3bbc-4b66-a6db-947826a335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N32:N40</xm:sqref>
        </x14:conditionalFormatting>
        <x14:conditionalFormatting xmlns:xm="http://schemas.microsoft.com/office/excel/2006/main">
          <x14:cfRule type="dataBar" id="{4b835b84-edb2-4acc-a01e-86df35c14f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O2:O19</xm:sqref>
        </x14:conditionalFormatting>
        <x14:conditionalFormatting xmlns:xm="http://schemas.microsoft.com/office/excel/2006/main">
          <x14:cfRule type="dataBar" id="{3545068e-2ed9-432d-af09-743ce54736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f71b8798-3dcd-4f31-94f7-0c749c2d97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O23:O25</xm:sqref>
        </x14:conditionalFormatting>
        <x14:conditionalFormatting xmlns:xm="http://schemas.microsoft.com/office/excel/2006/main">
          <x14:cfRule type="dataBar" id="{c5a9bade-5485-49f4-9a75-167be17e64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O26:O28</xm:sqref>
        </x14:conditionalFormatting>
        <x14:conditionalFormatting xmlns:xm="http://schemas.microsoft.com/office/excel/2006/main">
          <x14:cfRule type="dataBar" id="{247713a1-9d9b-42cd-a556-21ae4e70ae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P2:P19</xm:sqref>
        </x14:conditionalFormatting>
        <x14:conditionalFormatting xmlns:xm="http://schemas.microsoft.com/office/excel/2006/main">
          <x14:cfRule type="dataBar" id="{6cb9e47e-dba7-4275-8d40-9fa202da60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  <x14:conditionalFormatting xmlns:xm="http://schemas.microsoft.com/office/excel/2006/main">
          <x14:cfRule type="dataBar" id="{c7b104ab-4304-4bfd-b375-7c1229d537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P23:P25</xm:sqref>
        </x14:conditionalFormatting>
        <x14:conditionalFormatting xmlns:xm="http://schemas.microsoft.com/office/excel/2006/main">
          <x14:cfRule type="dataBar" id="{b0527e46-49d5-4779-9f8d-8593e45d36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P26:P28</xm:sqref>
        </x14:conditionalFormatting>
      </x14:conditionalFormatting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42"/>
  <sheetViews>
    <sheetView topLeftCell="A31" workbookViewId="0">
      <selection activeCell="M50" sqref="M50:S58"/>
    </sheetView>
  </sheetViews>
  <sheetFormatPr defaultColWidth="9" defaultRowHeight="13.5"/>
  <cols>
    <col min="7" max="7" width="10.625" customWidth="1"/>
    <col min="9" max="9" width="9.375"/>
    <col min="14" max="14" width="9.375"/>
    <col min="16" max="16" width="10.375" customWidth="1"/>
  </cols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12" customFormat="1" ht="14.25" customHeight="1" spans="1:25">
      <c r="A2" s="91">
        <v>5258</v>
      </c>
      <c r="B2" s="91">
        <f>VLOOKUP(表1_86121822242672112110[[#This Row],[区服]],$P$62:$Q$80,2,FALSE)</f>
        <v>41</v>
      </c>
      <c r="C2" s="92" t="s">
        <v>264</v>
      </c>
      <c r="D2" s="313" t="str">
        <f>表1_86121822242672112110[[#This Row],[目标国家]]</f>
        <v>魏</v>
      </c>
      <c r="E2" s="94">
        <f>(VLOOKUP(表1_86121822242672112110[[#This Row],[目标区服]],$R$62:$S$65,2,FALSE)-表1_86121822242672112110[[#This Row],[开服天数]])*配置!$B$1</f>
        <v>1000</v>
      </c>
      <c r="F2" s="94">
        <f>表1_86121822242672112110[[#This Row],[补偿Coin]]*(表1_86121822242672112110[[#This Row],[活跃高战玩家数]]+表1_86121822242672112110[[#This Row],[活跃中坚玩家数]])</f>
        <v>30000</v>
      </c>
      <c r="G2" s="94">
        <f>(VLOOKUP(表1_86121822242672112110[[#This Row],[目标区服]],$R$62:$S$65,2,FALSE)-表1_86121822242672112110[[#This Row],[开服天数]])*配置!$B$2</f>
        <v>10</v>
      </c>
      <c r="H2" s="93" t="s">
        <v>25</v>
      </c>
      <c r="I2" s="93">
        <f>IF(表1_86121822242672112110[[#This Row],[原国家]]="魏",0,IF(表1_86121822242672112110[[#This Row],[原国家]]="蜀",1,2))</f>
        <v>0</v>
      </c>
      <c r="J2" s="325">
        <v>5</v>
      </c>
      <c r="K2" s="325">
        <v>147</v>
      </c>
      <c r="L2" s="325">
        <v>5</v>
      </c>
      <c r="M2" s="325">
        <v>25</v>
      </c>
      <c r="N2" s="325">
        <v>124229</v>
      </c>
      <c r="O2" s="326">
        <v>3262599</v>
      </c>
      <c r="P2" s="326">
        <v>26698025</v>
      </c>
      <c r="Q2" s="137" t="s">
        <v>25</v>
      </c>
      <c r="R2" s="93">
        <f>IF(表1_86121822242672112110[[#This Row],[目标国家]]="魏",0,IF(表1_86121822242672112110[[#This Row],[目标国家]]="蜀",1,2))</f>
        <v>0</v>
      </c>
      <c r="S2" s="348">
        <v>115334</v>
      </c>
      <c r="T2" s="348">
        <v>0</v>
      </c>
      <c r="U2" s="348">
        <v>863710</v>
      </c>
      <c r="V2" s="348">
        <v>12415</v>
      </c>
      <c r="W2" s="336">
        <v>1163606</v>
      </c>
      <c r="X2" s="140" t="str">
        <f>"{"&amp;"'coin':"&amp;表1_86121822242672112110[[#This Row],[补偿Coin]]&amp;",'"&amp;配置!$A$2&amp;"':"&amp;表1_86121822242672112110[[#This Row],[补偿辎重]]&amp;"},"</f>
        <v>{'coin':1000,'item036':10},</v>
      </c>
      <c r="Y2" s="138" t="str">
        <f>"      '"&amp;表1_86121822242672112110[[#This Row],[区服]]&amp;"':{"</f>
        <v>      '5258':{</v>
      </c>
    </row>
    <row r="3" s="312" customFormat="1" ht="14.25" customHeight="1" spans="1:25">
      <c r="A3" s="91">
        <v>5258</v>
      </c>
      <c r="B3" s="91">
        <f>VLOOKUP(表1_86121822242672112110[[#This Row],[区服]],$P$62:$Q$80,2,FALSE)</f>
        <v>41</v>
      </c>
      <c r="C3" s="92" t="s">
        <v>264</v>
      </c>
      <c r="D3" s="93" t="str">
        <f>表1_86121822242672112110[[#This Row],[目标国家]]</f>
        <v>蜀</v>
      </c>
      <c r="E3" s="95">
        <f>(VLOOKUP(表1_86121822242672112110[[#This Row],[目标区服]],$R$62:$S$65,2,FALSE)-表1_86121822242672112110[[#This Row],[开服天数]])*配置!$B$1</f>
        <v>1000</v>
      </c>
      <c r="F3" s="95">
        <f>表1_86121822242672112110[[#This Row],[补偿Coin]]*(表1_86121822242672112110[[#This Row],[活跃高战玩家数]]+表1_86121822242672112110[[#This Row],[活跃中坚玩家数]])</f>
        <v>29000</v>
      </c>
      <c r="G3" s="95">
        <f>(VLOOKUP(表1_86121822242672112110[[#This Row],[目标区服]],$R$62:$S$65,2,FALSE)-表1_86121822242672112110[[#This Row],[开服天数]])*配置!$B$2</f>
        <v>10</v>
      </c>
      <c r="H3" s="93" t="s">
        <v>26</v>
      </c>
      <c r="I3" s="93">
        <f>IF(表1_86121822242672112110[[#This Row],[原国家]]="魏",0,IF(表1_86121822242672112110[[#This Row],[原国家]]="蜀",1,2))</f>
        <v>1</v>
      </c>
      <c r="J3" s="325">
        <v>4</v>
      </c>
      <c r="K3" s="325">
        <v>201</v>
      </c>
      <c r="L3" s="325">
        <v>4</v>
      </c>
      <c r="M3" s="325">
        <v>25</v>
      </c>
      <c r="N3" s="325">
        <v>120148</v>
      </c>
      <c r="O3" s="326">
        <v>3436340</v>
      </c>
      <c r="P3" s="326">
        <v>26511875</v>
      </c>
      <c r="Q3" s="137" t="s">
        <v>26</v>
      </c>
      <c r="R3" s="93">
        <f>IF(表1_86121822242672112110[[#This Row],[目标国家]]="魏",0,IF(表1_86121822242672112110[[#This Row],[目标国家]]="蜀",1,2))</f>
        <v>1</v>
      </c>
      <c r="S3" s="325">
        <v>125350</v>
      </c>
      <c r="T3" s="325">
        <v>0</v>
      </c>
      <c r="U3" s="325">
        <v>569835</v>
      </c>
      <c r="V3" s="325">
        <v>13143</v>
      </c>
      <c r="W3" s="336">
        <v>1233264</v>
      </c>
      <c r="X3" s="140" t="str">
        <f>"{"&amp;"'coin':"&amp;表1_86121822242672112110[[#This Row],[补偿Coin]]&amp;",'"&amp;配置!$A$2&amp;"':"&amp;表1_86121822242672112110[[#This Row],[补偿辎重]]&amp;"},"</f>
        <v>{'coin':1000,'item036':10},</v>
      </c>
      <c r="Y3" s="138" t="str">
        <f>"            'to_zone':'"&amp;表1_86121822242672112110[[#This Row],[目标区服]]&amp;"',
            'reward':"&amp;表1_86121822242672112110[[#This Row],[辅助导出]]&amp;"
            'country':["&amp;R2&amp;","&amp;R3&amp;","&amp;R4&amp;"],"</f>
        <v>            'to_zone':'h1_607',
            'reward':{'coin':1000,'item036':10},
            'country':[0,1,2],</v>
      </c>
    </row>
    <row r="4" s="312" customFormat="1" ht="14.25" customHeight="1" spans="1:25">
      <c r="A4" s="91">
        <v>5258</v>
      </c>
      <c r="B4" s="91">
        <f>VLOOKUP(表1_86121822242672112110[[#This Row],[区服]],$P$62:$Q$80,2,FALSE)</f>
        <v>41</v>
      </c>
      <c r="C4" s="92" t="s">
        <v>264</v>
      </c>
      <c r="D4" s="93" t="str">
        <f>表1_86121822242672112110[[#This Row],[目标国家]]</f>
        <v>吴</v>
      </c>
      <c r="E4" s="95">
        <f>(VLOOKUP(表1_86121822242672112110[[#This Row],[目标区服]],$R$62:$S$65,2,FALSE)-表1_86121822242672112110[[#This Row],[开服天数]])*配置!$B$1</f>
        <v>1000</v>
      </c>
      <c r="F4" s="95">
        <f>表1_86121822242672112110[[#This Row],[补偿Coin]]*(表1_86121822242672112110[[#This Row],[活跃高战玩家数]]+表1_86121822242672112110[[#This Row],[活跃中坚玩家数]])</f>
        <v>16000</v>
      </c>
      <c r="G4" s="95">
        <f>(VLOOKUP(表1_86121822242672112110[[#This Row],[目标区服]],$R$62:$S$65,2,FALSE)-表1_86121822242672112110[[#This Row],[开服天数]])*配置!$B$2</f>
        <v>10</v>
      </c>
      <c r="H4" s="93" t="s">
        <v>27</v>
      </c>
      <c r="I4" s="93">
        <f>IF(表1_86121822242672112110[[#This Row],[原国家]]="魏",0,IF(表1_86121822242672112110[[#This Row],[原国家]]="蜀",1,2))</f>
        <v>2</v>
      </c>
      <c r="J4" s="325">
        <v>0</v>
      </c>
      <c r="K4" s="325">
        <v>47</v>
      </c>
      <c r="L4" s="325">
        <v>1</v>
      </c>
      <c r="M4" s="325">
        <v>15</v>
      </c>
      <c r="N4" s="325">
        <v>58756</v>
      </c>
      <c r="O4" s="326">
        <v>1817949</v>
      </c>
      <c r="P4" s="326">
        <v>11814069</v>
      </c>
      <c r="Q4" s="137" t="s">
        <v>27</v>
      </c>
      <c r="R4" s="93">
        <f>IF(表1_86121822242672112110[[#This Row],[目标国家]]="魏",0,IF(表1_86121822242672112110[[#This Row],[目标国家]]="蜀",1,2))</f>
        <v>2</v>
      </c>
      <c r="S4" s="325">
        <v>25032</v>
      </c>
      <c r="T4" s="325">
        <v>0</v>
      </c>
      <c r="U4" s="325">
        <v>167739</v>
      </c>
      <c r="V4" s="325">
        <v>4597</v>
      </c>
      <c r="W4" s="325">
        <v>510254</v>
      </c>
      <c r="X4" s="140" t="str">
        <f>"{"&amp;"'coin':"&amp;表1_86121822242672112110[[#This Row],[补偿Coin]]&amp;",'"&amp;配置!$A$2&amp;"':"&amp;表1_86121822242672112110[[#This Row],[补偿辎重]]&amp;"},"</f>
        <v>{'coin':1000,'item036':10},</v>
      </c>
      <c r="Y4" s="138" t="str">
        <f>"      },"</f>
        <v>      },</v>
      </c>
    </row>
    <row r="5" s="312" customFormat="1" ht="14.25" customHeight="1" spans="1:25">
      <c r="A5" s="314">
        <v>5259</v>
      </c>
      <c r="B5" s="91">
        <f>VLOOKUP(表1_86121822242672112110[[#This Row],[区服]],$P$62:$Q$80,2,FALSE)</f>
        <v>41</v>
      </c>
      <c r="C5" s="92" t="s">
        <v>264</v>
      </c>
      <c r="D5" s="93" t="str">
        <f>表1_86121822242672112110[[#This Row],[目标国家]]</f>
        <v>蜀</v>
      </c>
      <c r="E5" s="95">
        <f>(VLOOKUP(表1_86121822242672112110[[#This Row],[目标区服]],$R$62:$S$65,2,FALSE)-表1_86121822242672112110[[#This Row],[开服天数]])*配置!$B$1</f>
        <v>1000</v>
      </c>
      <c r="F5" s="95">
        <f>表1_86121822242672112110[[#This Row],[补偿Coin]]*(表1_86121822242672112110[[#This Row],[活跃高战玩家数]]+表1_86121822242672112110[[#This Row],[活跃中坚玩家数]])</f>
        <v>14000</v>
      </c>
      <c r="G5" s="95">
        <f>(VLOOKUP(表1_86121822242672112110[[#This Row],[目标区服]],$R$62:$S$65,2,FALSE)-表1_86121822242672112110[[#This Row],[开服天数]])*配置!$B$2</f>
        <v>10</v>
      </c>
      <c r="H5" s="93" t="s">
        <v>25</v>
      </c>
      <c r="I5" s="93">
        <f>IF(表1_86121822242672112110[[#This Row],[原国家]]="魏",0,IF(表1_86121822242672112110[[#This Row],[原国家]]="蜀",1,2))</f>
        <v>0</v>
      </c>
      <c r="J5" s="325">
        <v>0</v>
      </c>
      <c r="K5" s="325">
        <v>40</v>
      </c>
      <c r="L5" s="325">
        <v>1</v>
      </c>
      <c r="M5" s="325">
        <v>13</v>
      </c>
      <c r="N5" s="325">
        <v>56046</v>
      </c>
      <c r="O5" s="326">
        <v>1298765</v>
      </c>
      <c r="P5" s="326">
        <v>7709037</v>
      </c>
      <c r="Q5" s="137" t="s">
        <v>26</v>
      </c>
      <c r="R5" s="93">
        <f>IF(表1_86121822242672112110[[#This Row],[目标国家]]="魏",0,IF(表1_86121822242672112110[[#This Row],[目标国家]]="蜀",1,2))</f>
        <v>1</v>
      </c>
      <c r="S5" s="325">
        <v>3110</v>
      </c>
      <c r="T5" s="325">
        <v>0</v>
      </c>
      <c r="U5" s="325">
        <v>115635</v>
      </c>
      <c r="V5" s="325">
        <v>2901</v>
      </c>
      <c r="W5" s="325">
        <v>354253</v>
      </c>
      <c r="X5" s="140" t="str">
        <f>"{"&amp;"'coin':"&amp;表1_86121822242672112110[[#This Row],[补偿Coin]]&amp;",'"&amp;配置!$A$2&amp;"':"&amp;表1_86121822242672112110[[#This Row],[补偿辎重]]&amp;"},"</f>
        <v>{'coin':1000,'item036':10},</v>
      </c>
      <c r="Y5" s="138" t="str">
        <f>"      '"&amp;表1_86121822242672112110[[#This Row],[区服]]&amp;"':{"</f>
        <v>      '5259':{</v>
      </c>
    </row>
    <row r="6" s="312" customFormat="1" ht="14.25" customHeight="1" spans="1:25">
      <c r="A6" s="314">
        <v>5259</v>
      </c>
      <c r="B6" s="91">
        <f>VLOOKUP(表1_86121822242672112110[[#This Row],[区服]],$P$62:$Q$80,2,FALSE)</f>
        <v>41</v>
      </c>
      <c r="C6" s="92" t="s">
        <v>264</v>
      </c>
      <c r="D6" s="93" t="str">
        <f>表1_86121822242672112110[[#This Row],[目标国家]]</f>
        <v>魏</v>
      </c>
      <c r="E6" s="95">
        <f>(VLOOKUP(表1_86121822242672112110[[#This Row],[目标区服]],$R$62:$S$65,2,FALSE)-表1_86121822242672112110[[#This Row],[开服天数]])*配置!$B$1</f>
        <v>1000</v>
      </c>
      <c r="F6" s="95">
        <f>表1_86121822242672112110[[#This Row],[补偿Coin]]*(表1_86121822242672112110[[#This Row],[活跃高战玩家数]]+表1_86121822242672112110[[#This Row],[活跃中坚玩家数]])</f>
        <v>17000</v>
      </c>
      <c r="G6" s="95">
        <f>(VLOOKUP(表1_86121822242672112110[[#This Row],[目标区服]],$R$62:$S$65,2,FALSE)-表1_86121822242672112110[[#This Row],[开服天数]])*配置!$B$2</f>
        <v>10</v>
      </c>
      <c r="H6" s="93" t="s">
        <v>26</v>
      </c>
      <c r="I6" s="93">
        <f>IF(表1_86121822242672112110[[#This Row],[原国家]]="魏",0,IF(表1_86121822242672112110[[#This Row],[原国家]]="蜀",1,2))</f>
        <v>1</v>
      </c>
      <c r="J6" s="325">
        <v>0</v>
      </c>
      <c r="K6" s="325">
        <v>50</v>
      </c>
      <c r="L6" s="325">
        <v>1</v>
      </c>
      <c r="M6" s="325">
        <v>16</v>
      </c>
      <c r="N6" s="325">
        <v>63548</v>
      </c>
      <c r="O6" s="326">
        <v>1649048</v>
      </c>
      <c r="P6" s="326">
        <v>9349649</v>
      </c>
      <c r="Q6" s="137" t="s">
        <v>25</v>
      </c>
      <c r="R6" s="93">
        <f>IF(表1_86121822242672112110[[#This Row],[目标国家]]="魏",0,IF(表1_86121822242672112110[[#This Row],[目标国家]]="蜀",1,2))</f>
        <v>0</v>
      </c>
      <c r="S6" s="325">
        <v>5940</v>
      </c>
      <c r="T6" s="325">
        <v>0</v>
      </c>
      <c r="U6" s="325">
        <v>84193</v>
      </c>
      <c r="V6" s="325">
        <v>3622</v>
      </c>
      <c r="W6" s="325">
        <v>675905</v>
      </c>
      <c r="X6" s="140" t="str">
        <f>"{"&amp;"'coin':"&amp;表1_86121822242672112110[[#This Row],[补偿Coin]]&amp;",'"&amp;配置!$A$2&amp;"':"&amp;表1_86121822242672112110[[#This Row],[补偿辎重]]&amp;"},"</f>
        <v>{'coin':1000,'item036':10},</v>
      </c>
      <c r="Y6" s="138" t="str">
        <f>"            'to_zone':'"&amp;表1_86121822242672112110[[#This Row],[目标区服]]&amp;"',
            'reward':"&amp;表1_86121822242672112110[[#This Row],[辅助导出]]&amp;"
            'country':["&amp;R5&amp;","&amp;R6&amp;","&amp;R7&amp;"],"</f>
        <v>            'to_zone':'h1_607',
            'reward':{'coin':1000,'item036':10},
            'country':[1,0,2],</v>
      </c>
    </row>
    <row r="7" s="312" customFormat="1" ht="14.25" customHeight="1" spans="1:25">
      <c r="A7" s="314">
        <v>5259</v>
      </c>
      <c r="B7" s="91">
        <f>VLOOKUP(表1_86121822242672112110[[#This Row],[区服]],$P$62:$Q$80,2,FALSE)</f>
        <v>41</v>
      </c>
      <c r="C7" s="92" t="s">
        <v>264</v>
      </c>
      <c r="D7" s="93" t="str">
        <f>表1_86121822242672112110[[#This Row],[目标国家]]</f>
        <v>吴</v>
      </c>
      <c r="E7" s="95">
        <f>(VLOOKUP(表1_86121822242672112110[[#This Row],[目标区服]],$R$62:$S$65,2,FALSE)-表1_86121822242672112110[[#This Row],[开服天数]])*配置!$B$1</f>
        <v>1000</v>
      </c>
      <c r="F7" s="95">
        <f>表1_86121822242672112110[[#This Row],[补偿Coin]]*(表1_86121822242672112110[[#This Row],[活跃高战玩家数]]+表1_86121822242672112110[[#This Row],[活跃中坚玩家数]])</f>
        <v>26000</v>
      </c>
      <c r="G7" s="95">
        <f>(VLOOKUP(表1_86121822242672112110[[#This Row],[目标区服]],$R$62:$S$65,2,FALSE)-表1_86121822242672112110[[#This Row],[开服天数]])*配置!$B$2</f>
        <v>10</v>
      </c>
      <c r="H7" s="93" t="s">
        <v>27</v>
      </c>
      <c r="I7" s="93">
        <f>IF(表1_86121822242672112110[[#This Row],[原国家]]="魏",0,IF(表1_86121822242672112110[[#This Row],[原国家]]="蜀",1,2))</f>
        <v>2</v>
      </c>
      <c r="J7" s="325">
        <v>9</v>
      </c>
      <c r="K7" s="325">
        <v>305</v>
      </c>
      <c r="L7" s="325">
        <v>8</v>
      </c>
      <c r="M7" s="325">
        <v>18</v>
      </c>
      <c r="N7" s="325">
        <v>149713</v>
      </c>
      <c r="O7" s="326">
        <v>2909701</v>
      </c>
      <c r="P7" s="326">
        <v>22674283</v>
      </c>
      <c r="Q7" s="137" t="s">
        <v>27</v>
      </c>
      <c r="R7" s="93">
        <f>IF(表1_86121822242672112110[[#This Row],[目标国家]]="魏",0,IF(表1_86121822242672112110[[#This Row],[目标国家]]="蜀",1,2))</f>
        <v>2</v>
      </c>
      <c r="S7" s="325">
        <v>73714</v>
      </c>
      <c r="T7" s="325">
        <v>0</v>
      </c>
      <c r="U7" s="325">
        <v>919547</v>
      </c>
      <c r="V7" s="325">
        <v>12546</v>
      </c>
      <c r="W7" s="336">
        <v>901999</v>
      </c>
      <c r="X7" s="140" t="str">
        <f>"{"&amp;"'coin':"&amp;表1_86121822242672112110[[#This Row],[补偿Coin]]&amp;",'"&amp;配置!$A$2&amp;"':"&amp;表1_86121822242672112110[[#This Row],[补偿辎重]]&amp;"},"</f>
        <v>{'coin':1000,'item036':10},</v>
      </c>
      <c r="Y7" s="138" t="str">
        <f>"      },"</f>
        <v>      },</v>
      </c>
    </row>
    <row r="8" s="312" customFormat="1" ht="14.25" customHeight="1" spans="1:25">
      <c r="A8" s="257">
        <v>5260</v>
      </c>
      <c r="B8" s="150">
        <f>VLOOKUP(表1_86121822242672112110[[#This Row],[区服]],$P$62:$Q$80,2,FALSE)</f>
        <v>41</v>
      </c>
      <c r="C8" s="151" t="s">
        <v>265</v>
      </c>
      <c r="D8" s="152" t="str">
        <f>表1_86121822242672112110[[#This Row],[目标国家]]</f>
        <v>魏</v>
      </c>
      <c r="E8" s="154">
        <f>(VLOOKUP(表1_86121822242672112110[[#This Row],[目标区服]],$R$62:$S$65,2,FALSE)-表1_86121822242672112110[[#This Row],[开服天数]])*配置!$B$1</f>
        <v>1000</v>
      </c>
      <c r="F8" s="154">
        <f>表1_86121822242672112110[[#This Row],[补偿Coin]]*(表1_86121822242672112110[[#This Row],[活跃高战玩家数]]+表1_86121822242672112110[[#This Row],[活跃中坚玩家数]])</f>
        <v>23000</v>
      </c>
      <c r="G8" s="258">
        <f>(VLOOKUP(表1_86121822242672112110[[#This Row],[目标区服]],$R$62:$S$65,2,FALSE)-表1_86121822242672112110[[#This Row],[开服天数]])*配置!$B$2</f>
        <v>10</v>
      </c>
      <c r="H8" s="152" t="s">
        <v>25</v>
      </c>
      <c r="I8" s="267">
        <f>IF(表1_86121822242672112110[[#This Row],[原国家]]="魏",0,IF(表1_86121822242672112110[[#This Row],[原国家]]="蜀",1,2))</f>
        <v>0</v>
      </c>
      <c r="J8" s="327">
        <v>8</v>
      </c>
      <c r="K8" s="327">
        <v>276</v>
      </c>
      <c r="L8" s="327">
        <v>8</v>
      </c>
      <c r="M8" s="327">
        <v>15</v>
      </c>
      <c r="N8" s="327">
        <v>137798</v>
      </c>
      <c r="O8" s="328">
        <v>2697827</v>
      </c>
      <c r="P8" s="328">
        <v>18539723</v>
      </c>
      <c r="Q8" s="193" t="s">
        <v>25</v>
      </c>
      <c r="R8" s="152">
        <f>IF(表1_86121822242672112110[[#This Row],[目标国家]]="魏",0,IF(表1_86121822242672112110[[#This Row],[目标国家]]="蜀",1,2))</f>
        <v>0</v>
      </c>
      <c r="S8" s="327">
        <v>84582</v>
      </c>
      <c r="T8" s="327">
        <v>0</v>
      </c>
      <c r="U8" s="327">
        <v>320923</v>
      </c>
      <c r="V8" s="327">
        <v>11498</v>
      </c>
      <c r="W8" s="337">
        <v>817417</v>
      </c>
      <c r="X8" s="277" t="str">
        <f>"{"&amp;"'coin':"&amp;表1_86121822242672112110[[#This Row],[补偿Coin]]&amp;",'"&amp;配置!$A$2&amp;"':"&amp;表1_86121822242672112110[[#This Row],[补偿辎重]]&amp;"},"</f>
        <v>{'coin':1000,'item036':10},</v>
      </c>
      <c r="Y8" s="277" t="str">
        <f>"      '"&amp;表1_86121822242672112110[[#This Row],[区服]]&amp;"':{"</f>
        <v>      '5260':{</v>
      </c>
    </row>
    <row r="9" s="312" customFormat="1" ht="14.25" customHeight="1" spans="1:25">
      <c r="A9" s="257">
        <v>5260</v>
      </c>
      <c r="B9" s="150">
        <f>VLOOKUP(表1_86121822242672112110[[#This Row],[区服]],$P$62:$Q$80,2,FALSE)</f>
        <v>41</v>
      </c>
      <c r="C9" s="151" t="s">
        <v>265</v>
      </c>
      <c r="D9" s="152" t="str">
        <f>表1_86121822242672112110[[#This Row],[目标国家]]</f>
        <v>吴</v>
      </c>
      <c r="E9" s="154">
        <f>(VLOOKUP(表1_86121822242672112110[[#This Row],[目标区服]],$R$62:$S$65,2,FALSE)-表1_86121822242672112110[[#This Row],[开服天数]])*配置!$B$1</f>
        <v>1000</v>
      </c>
      <c r="F9" s="154">
        <f>表1_86121822242672112110[[#This Row],[补偿Coin]]*(表1_86121822242672112110[[#This Row],[活跃高战玩家数]]+表1_86121822242672112110[[#This Row],[活跃中坚玩家数]])</f>
        <v>18000</v>
      </c>
      <c r="G9" s="258">
        <f>(VLOOKUP(表1_86121822242672112110[[#This Row],[目标区服]],$R$62:$S$65,2,FALSE)-表1_86121822242672112110[[#This Row],[开服天数]])*配置!$B$2</f>
        <v>10</v>
      </c>
      <c r="H9" s="152" t="s">
        <v>26</v>
      </c>
      <c r="I9" s="267">
        <f>IF(表1_86121822242672112110[[#This Row],[原国家]]="魏",0,IF(表1_86121822242672112110[[#This Row],[原国家]]="蜀",1,2))</f>
        <v>1</v>
      </c>
      <c r="J9" s="327">
        <v>1</v>
      </c>
      <c r="K9" s="327">
        <v>60</v>
      </c>
      <c r="L9" s="327">
        <v>2</v>
      </c>
      <c r="M9" s="327">
        <v>16</v>
      </c>
      <c r="N9" s="327">
        <v>91117</v>
      </c>
      <c r="O9" s="328">
        <v>1374960</v>
      </c>
      <c r="P9" s="328">
        <v>9447825</v>
      </c>
      <c r="Q9" s="193" t="s">
        <v>27</v>
      </c>
      <c r="R9" s="152">
        <f>IF(表1_86121822242672112110[[#This Row],[目标国家]]="魏",0,IF(表1_86121822242672112110[[#This Row],[目标国家]]="蜀",1,2))</f>
        <v>2</v>
      </c>
      <c r="S9" s="327">
        <v>5372</v>
      </c>
      <c r="T9" s="327">
        <v>0</v>
      </c>
      <c r="U9" s="327">
        <v>148875</v>
      </c>
      <c r="V9" s="327">
        <v>3710</v>
      </c>
      <c r="W9" s="327">
        <v>386947</v>
      </c>
      <c r="X9" s="277" t="str">
        <f>"{"&amp;"'coin':"&amp;表1_86121822242672112110[[#This Row],[补偿Coin]]&amp;",'"&amp;配置!$A$2&amp;"':"&amp;表1_86121822242672112110[[#This Row],[补偿辎重]]&amp;"},"</f>
        <v>{'coin':1000,'item036':10},</v>
      </c>
      <c r="Y9" s="277" t="str">
        <f>"            'to_zone':'"&amp;表1_86121822242672112110[[#This Row],[目标区服]]&amp;"',
            'reward':"&amp;表1_86121822242672112110[[#This Row],[辅助导出]]&amp;"
            'country':["&amp;R8&amp;","&amp;R9&amp;","&amp;R10&amp;"],"</f>
        <v>            'to_zone':'h1_608',
            'reward':{'coin':1000,'item036':10},
            'country':[0,2,0],</v>
      </c>
    </row>
    <row r="10" s="312" customFormat="1" ht="14.25" customHeight="1" spans="1:25">
      <c r="A10" s="257">
        <v>5260</v>
      </c>
      <c r="B10" s="150">
        <f>VLOOKUP(表1_86121822242672112110[[#This Row],[区服]],$P$62:$Q$80,2,FALSE)</f>
        <v>41</v>
      </c>
      <c r="C10" s="151" t="s">
        <v>265</v>
      </c>
      <c r="D10" s="152" t="str">
        <f>表1_86121822242672112110[[#This Row],[目标国家]]</f>
        <v>魏</v>
      </c>
      <c r="E10" s="154">
        <f>(VLOOKUP(表1_86121822242672112110[[#This Row],[目标区服]],$R$62:$S$65,2,FALSE)-表1_86121822242672112110[[#This Row],[开服天数]])*配置!$B$1</f>
        <v>1000</v>
      </c>
      <c r="F10" s="154">
        <f>表1_86121822242672112110[[#This Row],[补偿Coin]]*(表1_86121822242672112110[[#This Row],[活跃高战玩家数]]+表1_86121822242672112110[[#This Row],[活跃中坚玩家数]])</f>
        <v>9000</v>
      </c>
      <c r="G10" s="258">
        <f>(VLOOKUP(表1_86121822242672112110[[#This Row],[目标区服]],$R$62:$S$65,2,FALSE)-表1_86121822242672112110[[#This Row],[开服天数]])*配置!$B$2</f>
        <v>10</v>
      </c>
      <c r="H10" s="152" t="s">
        <v>27</v>
      </c>
      <c r="I10" s="267">
        <f>IF(表1_86121822242672112110[[#This Row],[原国家]]="魏",0,IF(表1_86121822242672112110[[#This Row],[原国家]]="蜀",1,2))</f>
        <v>2</v>
      </c>
      <c r="J10" s="327">
        <v>0</v>
      </c>
      <c r="K10" s="327">
        <v>59</v>
      </c>
      <c r="L10" s="327">
        <v>0</v>
      </c>
      <c r="M10" s="327">
        <v>9</v>
      </c>
      <c r="N10" s="327">
        <v>36074</v>
      </c>
      <c r="O10" s="328">
        <v>716452</v>
      </c>
      <c r="P10" s="328">
        <v>3487316</v>
      </c>
      <c r="Q10" s="193" t="s">
        <v>25</v>
      </c>
      <c r="R10" s="152">
        <f>IF(表1_86121822242672112110[[#This Row],[目标国家]]="魏",0,IF(表1_86121822242672112110[[#This Row],[目标国家]]="蜀",1,2))</f>
        <v>0</v>
      </c>
      <c r="S10" s="327">
        <v>1860</v>
      </c>
      <c r="T10" s="327">
        <v>0</v>
      </c>
      <c r="U10" s="327">
        <v>66910</v>
      </c>
      <c r="V10" s="327">
        <v>1924</v>
      </c>
      <c r="W10" s="327">
        <v>224086</v>
      </c>
      <c r="X10" s="277" t="str">
        <f>"{"&amp;"'coin':"&amp;表1_86121822242672112110[[#This Row],[补偿Coin]]&amp;",'"&amp;配置!$A$2&amp;"':"&amp;表1_86121822242672112110[[#This Row],[补偿辎重]]&amp;"},"</f>
        <v>{'coin':1000,'item036':10},</v>
      </c>
      <c r="Y10" s="277" t="str">
        <f>"      },"</f>
        <v>      },</v>
      </c>
    </row>
    <row r="11" s="312" customFormat="1" ht="14.25" customHeight="1" spans="1:25">
      <c r="A11" s="257">
        <v>5261</v>
      </c>
      <c r="B11" s="150">
        <f>VLOOKUP(表1_86121822242672112110[[#This Row],[区服]],$P$62:$Q$80,2,FALSE)</f>
        <v>41</v>
      </c>
      <c r="C11" s="151" t="s">
        <v>265</v>
      </c>
      <c r="D11" s="152" t="str">
        <f>表1_86121822242672112110[[#This Row],[目标国家]]</f>
        <v>蜀</v>
      </c>
      <c r="E11" s="154">
        <f>(VLOOKUP(表1_86121822242672112110[[#This Row],[目标区服]],$R$62:$S$65,2,FALSE)-表1_86121822242672112110[[#This Row],[开服天数]])*配置!$B$1</f>
        <v>1000</v>
      </c>
      <c r="F11" s="154">
        <f>表1_86121822242672112110[[#This Row],[补偿Coin]]*(表1_86121822242672112110[[#This Row],[活跃高战玩家数]]+表1_86121822242672112110[[#This Row],[活跃中坚玩家数]])</f>
        <v>17000</v>
      </c>
      <c r="G11" s="258">
        <f>(VLOOKUP(表1_86121822242672112110[[#This Row],[目标区服]],$R$62:$S$65,2,FALSE)-表1_86121822242672112110[[#This Row],[开服天数]])*配置!$B$2</f>
        <v>10</v>
      </c>
      <c r="H11" s="152" t="s">
        <v>25</v>
      </c>
      <c r="I11" s="267">
        <f>IF(表1_86121822242672112110[[#This Row],[原国家]]="魏",0,IF(表1_86121822242672112110[[#This Row],[原国家]]="蜀",1,2))</f>
        <v>0</v>
      </c>
      <c r="J11" s="327">
        <v>4</v>
      </c>
      <c r="K11" s="327">
        <v>107</v>
      </c>
      <c r="L11" s="327">
        <v>2</v>
      </c>
      <c r="M11" s="327">
        <v>15</v>
      </c>
      <c r="N11" s="327">
        <v>63230</v>
      </c>
      <c r="O11" s="328">
        <v>1708509</v>
      </c>
      <c r="P11" s="328">
        <v>11263854</v>
      </c>
      <c r="Q11" s="193" t="s">
        <v>26</v>
      </c>
      <c r="R11" s="152">
        <f>IF(表1_86121822242672112110[[#This Row],[目标国家]]="魏",0,IF(表1_86121822242672112110[[#This Row],[目标国家]]="蜀",1,2))</f>
        <v>1</v>
      </c>
      <c r="S11" s="327">
        <v>24960</v>
      </c>
      <c r="T11" s="327">
        <v>0</v>
      </c>
      <c r="U11" s="327">
        <v>146623</v>
      </c>
      <c r="V11" s="327">
        <v>5443</v>
      </c>
      <c r="W11" s="327">
        <v>512016</v>
      </c>
      <c r="X11" s="277" t="str">
        <f>"{"&amp;"'coin':"&amp;表1_86121822242672112110[[#This Row],[补偿Coin]]&amp;",'"&amp;配置!$A$2&amp;"':"&amp;表1_86121822242672112110[[#This Row],[补偿辎重]]&amp;"},"</f>
        <v>{'coin':1000,'item036':10},</v>
      </c>
      <c r="Y11" s="277" t="str">
        <f>"      '"&amp;表1_86121822242672112110[[#This Row],[区服]]&amp;"':{"</f>
        <v>      '5261':{</v>
      </c>
    </row>
    <row r="12" s="312" customFormat="1" ht="14.25" customHeight="1" spans="1:25">
      <c r="A12" s="257">
        <v>5261</v>
      </c>
      <c r="B12" s="150">
        <f>VLOOKUP(表1_86121822242672112110[[#This Row],[区服]],$P$62:$Q$80,2,FALSE)</f>
        <v>41</v>
      </c>
      <c r="C12" s="151" t="s">
        <v>265</v>
      </c>
      <c r="D12" s="152" t="str">
        <f>表1_86121822242672112110[[#This Row],[目标国家]]</f>
        <v>蜀</v>
      </c>
      <c r="E12" s="154">
        <f>(VLOOKUP(表1_86121822242672112110[[#This Row],[目标区服]],$R$62:$S$65,2,FALSE)-表1_86121822242672112110[[#This Row],[开服天数]])*配置!$B$1</f>
        <v>1000</v>
      </c>
      <c r="F12" s="154">
        <f>表1_86121822242672112110[[#This Row],[补偿Coin]]*(表1_86121822242672112110[[#This Row],[活跃高战玩家数]]+表1_86121822242672112110[[#This Row],[活跃中坚玩家数]])</f>
        <v>24000</v>
      </c>
      <c r="G12" s="258">
        <f>(VLOOKUP(表1_86121822242672112110[[#This Row],[目标区服]],$R$62:$S$65,2,FALSE)-表1_86121822242672112110[[#This Row],[开服天数]])*配置!$B$2</f>
        <v>10</v>
      </c>
      <c r="H12" s="152" t="s">
        <v>26</v>
      </c>
      <c r="I12" s="267">
        <f>IF(表1_86121822242672112110[[#This Row],[原国家]]="魏",0,IF(表1_86121822242672112110[[#This Row],[原国家]]="蜀",1,2))</f>
        <v>1</v>
      </c>
      <c r="J12" s="327">
        <v>3</v>
      </c>
      <c r="K12" s="327">
        <v>134</v>
      </c>
      <c r="L12" s="327">
        <v>3</v>
      </c>
      <c r="M12" s="327">
        <v>21</v>
      </c>
      <c r="N12" s="327">
        <v>96656</v>
      </c>
      <c r="O12" s="328">
        <v>1851498</v>
      </c>
      <c r="P12" s="328">
        <v>17309617</v>
      </c>
      <c r="Q12" s="193" t="s">
        <v>26</v>
      </c>
      <c r="R12" s="152">
        <f>IF(表1_86121822242672112110[[#This Row],[目标国家]]="魏",0,IF(表1_86121822242672112110[[#This Row],[目标国家]]="蜀",1,2))</f>
        <v>1</v>
      </c>
      <c r="S12" s="327">
        <v>34434</v>
      </c>
      <c r="T12" s="327">
        <v>0</v>
      </c>
      <c r="U12" s="327">
        <v>300812</v>
      </c>
      <c r="V12" s="327">
        <v>6889</v>
      </c>
      <c r="W12" s="337">
        <v>562098</v>
      </c>
      <c r="X12" s="277" t="str">
        <f>"{"&amp;"'coin':"&amp;表1_86121822242672112110[[#This Row],[补偿Coin]]&amp;",'"&amp;配置!$A$2&amp;"':"&amp;表1_86121822242672112110[[#This Row],[补偿辎重]]&amp;"},"</f>
        <v>{'coin':1000,'item036':10},</v>
      </c>
      <c r="Y12" s="277" t="str">
        <f>"            'to_zone':'"&amp;表1_86121822242672112110[[#This Row],[目标区服]]&amp;"',
            'reward':"&amp;表1_86121822242672112110[[#This Row],[辅助导出]]&amp;"
            'country':["&amp;R11&amp;","&amp;R12&amp;","&amp;R13&amp;"],"</f>
        <v>            'to_zone':'h1_608',
            'reward':{'coin':1000,'item036':10},
            'country':[1,1,2],</v>
      </c>
    </row>
    <row r="13" s="312" customFormat="1" ht="14.25" customHeight="1" spans="1:25">
      <c r="A13" s="257">
        <v>5261</v>
      </c>
      <c r="B13" s="150">
        <f>VLOOKUP(表1_86121822242672112110[[#This Row],[区服]],$P$62:$Q$80,2,FALSE)</f>
        <v>41</v>
      </c>
      <c r="C13" s="151" t="s">
        <v>265</v>
      </c>
      <c r="D13" s="152" t="str">
        <f>表1_86121822242672112110[[#This Row],[目标国家]]</f>
        <v>吴</v>
      </c>
      <c r="E13" s="154">
        <f>(VLOOKUP(表1_86121822242672112110[[#This Row],[目标区服]],$R$62:$S$65,2,FALSE)-表1_86121822242672112110[[#This Row],[开服天数]])*配置!$B$1</f>
        <v>1000</v>
      </c>
      <c r="F13" s="154">
        <f>表1_86121822242672112110[[#This Row],[补偿Coin]]*(表1_86121822242672112110[[#This Row],[活跃高战玩家数]]+表1_86121822242672112110[[#This Row],[活跃中坚玩家数]])</f>
        <v>27000</v>
      </c>
      <c r="G13" s="258">
        <f>(VLOOKUP(表1_86121822242672112110[[#This Row],[目标区服]],$R$62:$S$65,2,FALSE)-表1_86121822242672112110[[#This Row],[开服天数]])*配置!$B$2</f>
        <v>10</v>
      </c>
      <c r="H13" s="152" t="s">
        <v>27</v>
      </c>
      <c r="I13" s="267">
        <f>IF(表1_86121822242672112110[[#This Row],[原国家]]="魏",0,IF(表1_86121822242672112110[[#This Row],[原国家]]="蜀",1,2))</f>
        <v>2</v>
      </c>
      <c r="J13" s="327">
        <v>2</v>
      </c>
      <c r="K13" s="327">
        <v>154</v>
      </c>
      <c r="L13" s="327">
        <v>5</v>
      </c>
      <c r="M13" s="327">
        <v>22</v>
      </c>
      <c r="N13" s="327">
        <v>132098</v>
      </c>
      <c r="O13" s="328">
        <v>2485857</v>
      </c>
      <c r="P13" s="328">
        <v>22862980</v>
      </c>
      <c r="Q13" s="193" t="s">
        <v>27</v>
      </c>
      <c r="R13" s="152">
        <f>IF(表1_86121822242672112110[[#This Row],[目标国家]]="魏",0,IF(表1_86121822242672112110[[#This Row],[目标国家]]="蜀",1,2))</f>
        <v>2</v>
      </c>
      <c r="S13" s="327">
        <v>55596</v>
      </c>
      <c r="T13" s="327">
        <v>0</v>
      </c>
      <c r="U13" s="327">
        <v>513670</v>
      </c>
      <c r="V13" s="327">
        <v>9097</v>
      </c>
      <c r="W13" s="337">
        <v>639001</v>
      </c>
      <c r="X13" s="277" t="str">
        <f>"{"&amp;"'coin':"&amp;表1_86121822242672112110[[#This Row],[补偿Coin]]&amp;",'"&amp;配置!$A$2&amp;"':"&amp;表1_86121822242672112110[[#This Row],[补偿辎重]]&amp;"},"</f>
        <v>{'coin':1000,'item036':10},</v>
      </c>
      <c r="Y13" s="277" t="str">
        <f>"      },"</f>
        <v>      },</v>
      </c>
    </row>
    <row r="14" s="312" customFormat="1" ht="14.25" customHeight="1" spans="1:25">
      <c r="A14" s="86">
        <v>5262</v>
      </c>
      <c r="B14" s="86">
        <f>VLOOKUP(表1_86121822242672112110[[#This Row],[区服]],$P$62:$Q$80,2,FALSE)</f>
        <v>41</v>
      </c>
      <c r="C14" s="87" t="s">
        <v>266</v>
      </c>
      <c r="D14" s="315" t="str">
        <f>表1_86121822242672112110[[#This Row],[目标国家]]</f>
        <v>吴</v>
      </c>
      <c r="E14" s="89">
        <f>(VLOOKUP(表1_86121822242672112110[[#This Row],[目标区服]],$R$62:$S$65,2,FALSE)-表1_86121822242672112110[[#This Row],[开服天数]])*配置!$B$1</f>
        <v>1000</v>
      </c>
      <c r="F14" s="89">
        <f>表1_86121822242672112110[[#This Row],[补偿Coin]]*(表1_86121822242672112110[[#This Row],[活跃高战玩家数]]+表1_86121822242672112110[[#This Row],[活跃中坚玩家数]])</f>
        <v>22000</v>
      </c>
      <c r="G14" s="89">
        <f>(VLOOKUP(表1_86121822242672112110[[#This Row],[目标区服]],$R$62:$S$65,2,FALSE)-表1_86121822242672112110[[#This Row],[开服天数]])*配置!$B$2</f>
        <v>10</v>
      </c>
      <c r="H14" s="88" t="s">
        <v>25</v>
      </c>
      <c r="I14" s="88">
        <f>IF(表1_86121822242672112110[[#This Row],[原国家]]="魏",0,IF(表1_86121822242672112110[[#This Row],[原国家]]="蜀",1,2))</f>
        <v>0</v>
      </c>
      <c r="J14" s="329">
        <v>4</v>
      </c>
      <c r="K14" s="329">
        <v>121</v>
      </c>
      <c r="L14" s="329">
        <v>3</v>
      </c>
      <c r="M14" s="329">
        <v>19</v>
      </c>
      <c r="N14" s="329">
        <v>100323</v>
      </c>
      <c r="O14" s="330">
        <v>1979906</v>
      </c>
      <c r="P14" s="330">
        <v>13950159</v>
      </c>
      <c r="Q14" s="132" t="s">
        <v>27</v>
      </c>
      <c r="R14" s="88">
        <f>IF(表1_86121822242672112110[[#This Row],[目标国家]]="魏",0,IF(表1_86121822242672112110[[#This Row],[目标国家]]="蜀",1,2))</f>
        <v>2</v>
      </c>
      <c r="S14" s="329">
        <v>9156</v>
      </c>
      <c r="T14" s="329">
        <v>0</v>
      </c>
      <c r="U14" s="329">
        <v>299305</v>
      </c>
      <c r="V14" s="329">
        <v>5910</v>
      </c>
      <c r="W14" s="329">
        <v>546792</v>
      </c>
      <c r="X14" s="134" t="str">
        <f>"{"&amp;"'coin':"&amp;表1_86121822242672112110[[#This Row],[补偿Coin]]&amp;",'"&amp;配置!$A$2&amp;"':"&amp;表1_86121822242672112110[[#This Row],[补偿辎重]]&amp;"},"</f>
        <v>{'coin':1000,'item036':10},</v>
      </c>
      <c r="Y14" s="136" t="str">
        <f>"      '"&amp;表1_86121822242672112110[[#This Row],[区服]]&amp;"':{"</f>
        <v>      '5262':{</v>
      </c>
    </row>
    <row r="15" s="312" customFormat="1" ht="14.25" customHeight="1" spans="1:25">
      <c r="A15" s="86">
        <v>5262</v>
      </c>
      <c r="B15" s="86">
        <f>VLOOKUP(表1_86121822242672112110[[#This Row],[区服]],$P$62:$Q$80,2,FALSE)</f>
        <v>41</v>
      </c>
      <c r="C15" s="87" t="s">
        <v>266</v>
      </c>
      <c r="D15" s="88" t="str">
        <f>表1_86121822242672112110[[#This Row],[目标国家]]</f>
        <v>蜀</v>
      </c>
      <c r="E15" s="90">
        <f>(VLOOKUP(表1_86121822242672112110[[#This Row],[目标区服]],$R$62:$S$65,2,FALSE)-表1_86121822242672112110[[#This Row],[开服天数]])*配置!$B$1</f>
        <v>1000</v>
      </c>
      <c r="F15" s="90">
        <f>表1_86121822242672112110[[#This Row],[补偿Coin]]*(表1_86121822242672112110[[#This Row],[活跃高战玩家数]]+表1_86121822242672112110[[#This Row],[活跃中坚玩家数]])</f>
        <v>27000</v>
      </c>
      <c r="G15" s="90">
        <f>(VLOOKUP(表1_86121822242672112110[[#This Row],[目标区服]],$R$62:$S$65,2,FALSE)-表1_86121822242672112110[[#This Row],[开服天数]])*配置!$B$2</f>
        <v>10</v>
      </c>
      <c r="H15" s="88" t="s">
        <v>26</v>
      </c>
      <c r="I15" s="88">
        <f>IF(表1_86121822242672112110[[#This Row],[原国家]]="魏",0,IF(表1_86121822242672112110[[#This Row],[原国家]]="蜀",1,2))</f>
        <v>1</v>
      </c>
      <c r="J15" s="329">
        <v>4</v>
      </c>
      <c r="K15" s="329">
        <v>199</v>
      </c>
      <c r="L15" s="329">
        <v>7</v>
      </c>
      <c r="M15" s="329">
        <v>20</v>
      </c>
      <c r="N15" s="329">
        <v>146146</v>
      </c>
      <c r="O15" s="330">
        <v>2259902</v>
      </c>
      <c r="P15" s="330">
        <v>20297467</v>
      </c>
      <c r="Q15" s="132" t="s">
        <v>26</v>
      </c>
      <c r="R15" s="88">
        <f>IF(表1_86121822242672112110[[#This Row],[目标国家]]="魏",0,IF(表1_86121822242672112110[[#This Row],[目标国家]]="蜀",1,2))</f>
        <v>1</v>
      </c>
      <c r="S15" s="329">
        <v>55956</v>
      </c>
      <c r="T15" s="329">
        <v>0</v>
      </c>
      <c r="U15" s="329">
        <v>604983</v>
      </c>
      <c r="V15" s="329">
        <v>9391</v>
      </c>
      <c r="W15" s="329">
        <v>648105</v>
      </c>
      <c r="X15" s="134" t="str">
        <f>"{"&amp;"'coin':"&amp;表1_86121822242672112110[[#This Row],[补偿Coin]]&amp;",'"&amp;配置!$A$2&amp;"':"&amp;表1_86121822242672112110[[#This Row],[补偿辎重]]&amp;"},"</f>
        <v>{'coin':1000,'item036':10},</v>
      </c>
      <c r="Y15" s="136" t="str">
        <f>"            'to_zone':'"&amp;表1_86121822242672112110[[#This Row],[目标区服]]&amp;"',
            'reward':"&amp;表1_86121822242672112110[[#This Row],[辅助导出]]&amp;"
            'country':["&amp;R14&amp;","&amp;R15&amp;","&amp;R16&amp;"],"</f>
        <v>            'to_zone':'h1_609',
            'reward':{'coin':1000,'item036':10},
            'country':[2,1,0],</v>
      </c>
    </row>
    <row r="16" s="312" customFormat="1" ht="14.25" customHeight="1" spans="1:25">
      <c r="A16" s="86">
        <v>5262</v>
      </c>
      <c r="B16" s="86">
        <f>VLOOKUP(表1_86121822242672112110[[#This Row],[区服]],$P$62:$Q$80,2,FALSE)</f>
        <v>41</v>
      </c>
      <c r="C16" s="87" t="s">
        <v>266</v>
      </c>
      <c r="D16" s="88" t="str">
        <f>表1_86121822242672112110[[#This Row],[目标国家]]</f>
        <v>魏</v>
      </c>
      <c r="E16" s="90">
        <f>(VLOOKUP(表1_86121822242672112110[[#This Row],[目标区服]],$R$62:$S$65,2,FALSE)-表1_86121822242672112110[[#This Row],[开服天数]])*配置!$B$1</f>
        <v>1000</v>
      </c>
      <c r="F16" s="90">
        <f>表1_86121822242672112110[[#This Row],[补偿Coin]]*(表1_86121822242672112110[[#This Row],[活跃高战玩家数]]+表1_86121822242672112110[[#This Row],[活跃中坚玩家数]])</f>
        <v>15000</v>
      </c>
      <c r="G16" s="90">
        <f>(VLOOKUP(表1_86121822242672112110[[#This Row],[目标区服]],$R$62:$S$65,2,FALSE)-表1_86121822242672112110[[#This Row],[开服天数]])*配置!$B$2</f>
        <v>10</v>
      </c>
      <c r="H16" s="88" t="s">
        <v>27</v>
      </c>
      <c r="I16" s="88">
        <f>IF(表1_86121822242672112110[[#This Row],[原国家]]="魏",0,IF(表1_86121822242672112110[[#This Row],[原国家]]="蜀",1,2))</f>
        <v>2</v>
      </c>
      <c r="J16" s="329">
        <v>1</v>
      </c>
      <c r="K16" s="329">
        <v>75</v>
      </c>
      <c r="L16" s="329">
        <v>0</v>
      </c>
      <c r="M16" s="329">
        <v>15</v>
      </c>
      <c r="N16" s="329">
        <v>46008</v>
      </c>
      <c r="O16" s="330">
        <v>806977</v>
      </c>
      <c r="P16" s="330">
        <v>6499446</v>
      </c>
      <c r="Q16" s="132" t="s">
        <v>25</v>
      </c>
      <c r="R16" s="88">
        <f>IF(表1_86121822242672112110[[#This Row],[目标国家]]="魏",0,IF(表1_86121822242672112110[[#This Row],[目标国家]]="蜀",1,2))</f>
        <v>0</v>
      </c>
      <c r="S16" s="329">
        <v>1620</v>
      </c>
      <c r="T16" s="329">
        <v>0</v>
      </c>
      <c r="U16" s="329">
        <v>111573</v>
      </c>
      <c r="V16" s="329">
        <v>2641</v>
      </c>
      <c r="W16" s="329">
        <v>228625</v>
      </c>
      <c r="X16" s="134" t="str">
        <f>"{"&amp;"'coin':"&amp;表1_86121822242672112110[[#This Row],[补偿Coin]]&amp;",'"&amp;配置!$A$2&amp;"':"&amp;表1_86121822242672112110[[#This Row],[补偿辎重]]&amp;"},"</f>
        <v>{'coin':1000,'item036':10},</v>
      </c>
      <c r="Y16" s="136" t="str">
        <f>"      },"</f>
        <v>      },</v>
      </c>
    </row>
    <row r="17" s="312" customFormat="1" ht="14.25" customHeight="1" spans="1:25">
      <c r="A17" s="86">
        <v>5263</v>
      </c>
      <c r="B17" s="86">
        <f>VLOOKUP(表1_86121822242672112110[[#This Row],[区服]],$P$62:$Q$80,2,FALSE)</f>
        <v>40</v>
      </c>
      <c r="C17" s="87" t="s">
        <v>266</v>
      </c>
      <c r="D17" s="315" t="str">
        <f>表1_86121822242672112110[[#This Row],[目标国家]]</f>
        <v>魏</v>
      </c>
      <c r="E17" s="89">
        <f>(VLOOKUP(表1_86121822242672112110[[#This Row],[目标区服]],$R$62:$S$65,2,FALSE)-表1_86121822242672112110[[#This Row],[开服天数]])*配置!$B$1</f>
        <v>1500</v>
      </c>
      <c r="F17" s="89">
        <f>表1_86121822242672112110[[#This Row],[补偿Coin]]*(表1_86121822242672112110[[#This Row],[活跃高战玩家数]]+表1_86121822242672112110[[#This Row],[活跃中坚玩家数]])</f>
        <v>25500</v>
      </c>
      <c r="G17" s="89">
        <f>(VLOOKUP(表1_86121822242672112110[[#This Row],[目标区服]],$R$62:$S$65,2,FALSE)-表1_86121822242672112110[[#This Row],[开服天数]])*配置!$B$2</f>
        <v>15</v>
      </c>
      <c r="H17" s="88" t="s">
        <v>25</v>
      </c>
      <c r="I17" s="88">
        <f>IF(表1_86121822242672112110[[#This Row],[原国家]]="魏",0,IF(表1_86121822242672112110[[#This Row],[原国家]]="蜀",1,2))</f>
        <v>0</v>
      </c>
      <c r="J17" s="329">
        <v>2</v>
      </c>
      <c r="K17" s="329">
        <v>95</v>
      </c>
      <c r="L17" s="329">
        <v>2</v>
      </c>
      <c r="M17" s="329">
        <v>15</v>
      </c>
      <c r="N17" s="329">
        <v>70204</v>
      </c>
      <c r="O17" s="330">
        <v>1451964</v>
      </c>
      <c r="P17" s="330">
        <v>8849822</v>
      </c>
      <c r="Q17" s="132" t="s">
        <v>25</v>
      </c>
      <c r="R17" s="88">
        <f>IF(表1_86121822242672112110[[#This Row],[目标国家]]="魏",0,IF(表1_86121822242672112110[[#This Row],[目标国家]]="蜀",1,2))</f>
        <v>0</v>
      </c>
      <c r="S17" s="329">
        <v>5528</v>
      </c>
      <c r="T17" s="329">
        <v>27330</v>
      </c>
      <c r="U17" s="329">
        <v>339273</v>
      </c>
      <c r="V17" s="329">
        <v>4446</v>
      </c>
      <c r="W17" s="329">
        <v>460017</v>
      </c>
      <c r="X17" s="134" t="str">
        <f>"{"&amp;"'coin':"&amp;表1_86121822242672112110[[#This Row],[补偿Coin]]&amp;",'"&amp;配置!$A$2&amp;"':"&amp;表1_86121822242672112110[[#This Row],[补偿辎重]]&amp;"},"</f>
        <v>{'coin':1500,'item036':15},</v>
      </c>
      <c r="Y17" s="136" t="str">
        <f>"      '"&amp;表1_86121822242672112110[[#This Row],[区服]]&amp;"':{"</f>
        <v>      '5263':{</v>
      </c>
    </row>
    <row r="18" s="312" customFormat="1" ht="14.25" customHeight="1" spans="1:25">
      <c r="A18" s="86">
        <v>5263</v>
      </c>
      <c r="B18" s="86">
        <f>VLOOKUP(表1_86121822242672112110[[#This Row],[区服]],$P$62:$Q$80,2,FALSE)</f>
        <v>40</v>
      </c>
      <c r="C18" s="87" t="s">
        <v>266</v>
      </c>
      <c r="D18" s="88" t="str">
        <f>表1_86121822242672112110[[#This Row],[目标国家]]</f>
        <v>蜀</v>
      </c>
      <c r="E18" s="90">
        <f>(VLOOKUP(表1_86121822242672112110[[#This Row],[目标区服]],$R$62:$S$65,2,FALSE)-表1_86121822242672112110[[#This Row],[开服天数]])*配置!$B$1</f>
        <v>1500</v>
      </c>
      <c r="F18" s="90">
        <f>表1_86121822242672112110[[#This Row],[补偿Coin]]*(表1_86121822242672112110[[#This Row],[活跃高战玩家数]]+表1_86121822242672112110[[#This Row],[活跃中坚玩家数]])</f>
        <v>25500</v>
      </c>
      <c r="G18" s="90">
        <f>(VLOOKUP(表1_86121822242672112110[[#This Row],[目标区服]],$R$62:$S$65,2,FALSE)-表1_86121822242672112110[[#This Row],[开服天数]])*配置!$B$2</f>
        <v>15</v>
      </c>
      <c r="H18" s="88" t="s">
        <v>26</v>
      </c>
      <c r="I18" s="88">
        <f>IF(表1_86121822242672112110[[#This Row],[原国家]]="魏",0,IF(表1_86121822242672112110[[#This Row],[原国家]]="蜀",1,2))</f>
        <v>1</v>
      </c>
      <c r="J18" s="329">
        <v>5</v>
      </c>
      <c r="K18" s="329">
        <v>217</v>
      </c>
      <c r="L18" s="329">
        <v>6</v>
      </c>
      <c r="M18" s="329">
        <v>11</v>
      </c>
      <c r="N18" s="329">
        <v>101074</v>
      </c>
      <c r="O18" s="330">
        <v>3168489</v>
      </c>
      <c r="P18" s="330">
        <v>17611900</v>
      </c>
      <c r="Q18" s="132" t="s">
        <v>26</v>
      </c>
      <c r="R18" s="88">
        <f>IF(表1_86121822242672112110[[#This Row],[目标国家]]="魏",0,IF(表1_86121822242672112110[[#This Row],[目标国家]]="蜀",1,2))</f>
        <v>1</v>
      </c>
      <c r="S18" s="329">
        <v>93528</v>
      </c>
      <c r="T18" s="329">
        <v>0</v>
      </c>
      <c r="U18" s="329">
        <v>470214</v>
      </c>
      <c r="V18" s="329">
        <v>11145</v>
      </c>
      <c r="W18" s="338">
        <v>855198</v>
      </c>
      <c r="X18" s="134" t="str">
        <f>"{"&amp;"'coin':"&amp;表1_86121822242672112110[[#This Row],[补偿Coin]]&amp;",'"&amp;配置!$A$2&amp;"':"&amp;表1_86121822242672112110[[#This Row],[补偿辎重]]&amp;"},"</f>
        <v>{'coin':1500,'item036':15},</v>
      </c>
      <c r="Y18" s="136" t="str">
        <f>"            'to_zone':'"&amp;表1_86121822242672112110[[#This Row],[目标区服]]&amp;"',
            'reward':"&amp;表1_86121822242672112110[[#This Row],[辅助导出]]&amp;"
            'country':["&amp;R17&amp;","&amp;R18&amp;","&amp;R19&amp;"],"</f>
        <v>            'to_zone':'h1_609',
            'reward':{'coin':1500,'item036':15},
            'country':[0,1,2],</v>
      </c>
    </row>
    <row r="19" s="312" customFormat="1" ht="14.25" customHeight="1" spans="1:25">
      <c r="A19" s="86">
        <v>5263</v>
      </c>
      <c r="B19" s="86">
        <f>VLOOKUP(表1_86121822242672112110[[#This Row],[区服]],$P$62:$Q$80,2,FALSE)</f>
        <v>40</v>
      </c>
      <c r="C19" s="87" t="s">
        <v>266</v>
      </c>
      <c r="D19" s="88" t="str">
        <f>表1_86121822242672112110[[#This Row],[目标国家]]</f>
        <v>吴</v>
      </c>
      <c r="E19" s="90">
        <f>(VLOOKUP(表1_86121822242672112110[[#This Row],[目标区服]],$R$62:$S$65,2,FALSE)-表1_86121822242672112110[[#This Row],[开服天数]])*配置!$B$1</f>
        <v>1500</v>
      </c>
      <c r="F19" s="90">
        <f>表1_86121822242672112110[[#This Row],[补偿Coin]]*(表1_86121822242672112110[[#This Row],[活跃高战玩家数]]+表1_86121822242672112110[[#This Row],[活跃中坚玩家数]])</f>
        <v>22500</v>
      </c>
      <c r="G19" s="90">
        <f>(VLOOKUP(表1_86121822242672112110[[#This Row],[目标区服]],$R$62:$S$65,2,FALSE)-表1_86121822242672112110[[#This Row],[开服天数]])*配置!$B$2</f>
        <v>15</v>
      </c>
      <c r="H19" s="88" t="s">
        <v>27</v>
      </c>
      <c r="I19" s="88">
        <f>IF(表1_86121822242672112110[[#This Row],[原国家]]="魏",0,IF(表1_86121822242672112110[[#This Row],[原国家]]="蜀",1,2))</f>
        <v>2</v>
      </c>
      <c r="J19" s="329">
        <v>2</v>
      </c>
      <c r="K19" s="329">
        <v>83</v>
      </c>
      <c r="L19" s="329">
        <v>2</v>
      </c>
      <c r="M19" s="329">
        <v>13</v>
      </c>
      <c r="N19" s="329">
        <v>77599</v>
      </c>
      <c r="O19" s="330">
        <v>1609126</v>
      </c>
      <c r="P19" s="330">
        <v>9251238</v>
      </c>
      <c r="Q19" s="132" t="s">
        <v>27</v>
      </c>
      <c r="R19" s="88">
        <f>IF(表1_86121822242672112110[[#This Row],[目标国家]]="魏",0,IF(表1_86121822242672112110[[#This Row],[目标国家]]="蜀",1,2))</f>
        <v>2</v>
      </c>
      <c r="S19" s="329">
        <v>15566</v>
      </c>
      <c r="T19" s="329">
        <v>0</v>
      </c>
      <c r="U19" s="329">
        <v>137609</v>
      </c>
      <c r="V19" s="329">
        <v>4488</v>
      </c>
      <c r="W19" s="329">
        <v>482764</v>
      </c>
      <c r="X19" s="134" t="str">
        <f>"{"&amp;"'coin':"&amp;表1_86121822242672112110[[#This Row],[补偿Coin]]&amp;",'"&amp;配置!$A$2&amp;"':"&amp;表1_86121822242672112110[[#This Row],[补偿辎重]]&amp;"},"</f>
        <v>{'coin':1500,'item036':15},</v>
      </c>
      <c r="Y19" s="136" t="str">
        <f>"      },"</f>
        <v>      },</v>
      </c>
    </row>
    <row r="20" s="312" customFormat="1" ht="14.25" customHeight="1" spans="1:25">
      <c r="A20" s="86">
        <v>5264</v>
      </c>
      <c r="B20" s="86">
        <f>VLOOKUP(表1_86121822242672112110[[#This Row],[区服]],$P$62:$Q$80,2,FALSE)</f>
        <v>40</v>
      </c>
      <c r="C20" s="87" t="s">
        <v>266</v>
      </c>
      <c r="D20" s="315" t="str">
        <f>表1_86121822242672112110[[#This Row],[目标国家]]</f>
        <v>魏</v>
      </c>
      <c r="E20" s="89">
        <f>(VLOOKUP(表1_86121822242672112110[[#This Row],[目标区服]],$R$62:$S$65,2,FALSE)-表1_86121822242672112110[[#This Row],[开服天数]])*配置!$B$1</f>
        <v>1500</v>
      </c>
      <c r="F20" s="89">
        <f>表1_86121822242672112110[[#This Row],[补偿Coin]]*(表1_86121822242672112110[[#This Row],[活跃高战玩家数]]+表1_86121822242672112110[[#This Row],[活跃中坚玩家数]])</f>
        <v>19500</v>
      </c>
      <c r="G20" s="89">
        <f>(VLOOKUP(表1_86121822242672112110[[#This Row],[目标区服]],$R$62:$S$65,2,FALSE)-表1_86121822242672112110[[#This Row],[开服天数]])*配置!$B$2</f>
        <v>15</v>
      </c>
      <c r="H20" s="88" t="s">
        <v>25</v>
      </c>
      <c r="I20" s="88">
        <f>IF(表1_86121822242672112110[[#This Row],[原国家]]="魏",0,IF(表1_86121822242672112110[[#This Row],[原国家]]="蜀",1,2))</f>
        <v>0</v>
      </c>
      <c r="J20" s="329">
        <v>3</v>
      </c>
      <c r="K20" s="329">
        <v>108</v>
      </c>
      <c r="L20" s="329">
        <v>3</v>
      </c>
      <c r="M20" s="329">
        <v>10</v>
      </c>
      <c r="N20" s="329">
        <v>74967</v>
      </c>
      <c r="O20" s="330">
        <v>2196484</v>
      </c>
      <c r="P20" s="330">
        <v>12120817</v>
      </c>
      <c r="Q20" s="132" t="s">
        <v>25</v>
      </c>
      <c r="R20" s="88">
        <f>IF(表1_86121822242672112110[[#This Row],[目标国家]]="魏",0,IF(表1_86121822242672112110[[#This Row],[目标国家]]="蜀",1,2))</f>
        <v>0</v>
      </c>
      <c r="S20" s="329">
        <v>44083</v>
      </c>
      <c r="T20" s="329">
        <v>0</v>
      </c>
      <c r="U20" s="329">
        <v>242769</v>
      </c>
      <c r="V20" s="329">
        <v>6607</v>
      </c>
      <c r="W20" s="338">
        <v>706614</v>
      </c>
      <c r="X20" s="134" t="str">
        <f>"{"&amp;"'coin':"&amp;表1_86121822242672112110[[#This Row],[补偿Coin]]&amp;",'"&amp;配置!$A$2&amp;"':"&amp;表1_86121822242672112110[[#This Row],[补偿辎重]]&amp;"},"</f>
        <v>{'coin':1500,'item036':15},</v>
      </c>
      <c r="Y20" s="136" t="str">
        <f>"      '"&amp;表1_86121822242672112110[[#This Row],[区服]]&amp;"':{"</f>
        <v>      '5264':{</v>
      </c>
    </row>
    <row r="21" s="312" customFormat="1" ht="14.25" customHeight="1" spans="1:25">
      <c r="A21" s="86">
        <v>5264</v>
      </c>
      <c r="B21" s="86">
        <f>VLOOKUP(表1_86121822242672112110[[#This Row],[区服]],$P$62:$Q$80,2,FALSE)</f>
        <v>40</v>
      </c>
      <c r="C21" s="87" t="s">
        <v>266</v>
      </c>
      <c r="D21" s="88" t="str">
        <f>表1_86121822242672112110[[#This Row],[目标国家]]</f>
        <v>魏</v>
      </c>
      <c r="E21" s="89">
        <f>(VLOOKUP(表1_86121822242672112110[[#This Row],[目标区服]],$R$62:$S$65,2,FALSE)-表1_86121822242672112110[[#This Row],[开服天数]])*配置!$B$1</f>
        <v>1500</v>
      </c>
      <c r="F21" s="90">
        <f>表1_86121822242672112110[[#This Row],[补偿Coin]]*(表1_86121822242672112110[[#This Row],[活跃高战玩家数]]+表1_86121822242672112110[[#This Row],[活跃中坚玩家数]])</f>
        <v>34500</v>
      </c>
      <c r="G21" s="90">
        <f>(VLOOKUP(表1_86121822242672112110[[#This Row],[目标区服]],$R$62:$S$65,2,FALSE)-表1_86121822242672112110[[#This Row],[开服天数]])*配置!$B$2</f>
        <v>15</v>
      </c>
      <c r="H21" s="88" t="s">
        <v>26</v>
      </c>
      <c r="I21" s="88">
        <f>IF(表1_86121822242672112110[[#This Row],[原国家]]="魏",0,IF(表1_86121822242672112110[[#This Row],[原国家]]="蜀",1,2))</f>
        <v>1</v>
      </c>
      <c r="J21" s="329">
        <v>3</v>
      </c>
      <c r="K21" s="329">
        <v>151</v>
      </c>
      <c r="L21" s="329">
        <v>2</v>
      </c>
      <c r="M21" s="329">
        <v>21</v>
      </c>
      <c r="N21" s="329">
        <v>91664</v>
      </c>
      <c r="O21" s="330">
        <v>1607711</v>
      </c>
      <c r="P21" s="330">
        <v>13966000</v>
      </c>
      <c r="Q21" s="132" t="s">
        <v>25</v>
      </c>
      <c r="R21" s="88">
        <f>IF(表1_86121822242672112110[[#This Row],[目标国家]]="魏",0,IF(表1_86121822242672112110[[#This Row],[目标国家]]="蜀",1,2))</f>
        <v>0</v>
      </c>
      <c r="S21" s="329">
        <v>35186</v>
      </c>
      <c r="T21" s="329">
        <v>0</v>
      </c>
      <c r="U21" s="329">
        <v>241257</v>
      </c>
      <c r="V21" s="329">
        <v>6448</v>
      </c>
      <c r="W21" s="329">
        <v>444905</v>
      </c>
      <c r="X21" s="134" t="str">
        <f>"{"&amp;"'coin':"&amp;表1_86121822242672112110[[#This Row],[补偿Coin]]&amp;",'"&amp;配置!$A$2&amp;"':"&amp;表1_86121822242672112110[[#This Row],[补偿辎重]]&amp;"},"</f>
        <v>{'coin':1500,'item036':15},</v>
      </c>
      <c r="Y21" s="136" t="str">
        <f>"            'to_zone':'"&amp;表1_86121822242672112110[[#This Row],[目标区服]]&amp;"',
            'reward':"&amp;表1_86121822242672112110[[#This Row],[辅助导出]]&amp;"
            'country':["&amp;R20&amp;","&amp;R21&amp;","&amp;R22&amp;"],"</f>
        <v>            'to_zone':'h1_609',
            'reward':{'coin':1500,'item036':15},
            'country':[0,0,2],</v>
      </c>
    </row>
    <row r="22" s="312" customFormat="1" ht="14.25" customHeight="1" spans="1:25">
      <c r="A22" s="86">
        <v>5264</v>
      </c>
      <c r="B22" s="86">
        <f>VLOOKUP(表1_86121822242672112110[[#This Row],[区服]],$P$62:$Q$80,2,FALSE)</f>
        <v>40</v>
      </c>
      <c r="C22" s="87" t="s">
        <v>266</v>
      </c>
      <c r="D22" s="88" t="str">
        <f>表1_86121822242672112110[[#This Row],[目标国家]]</f>
        <v>吴</v>
      </c>
      <c r="E22" s="89">
        <f>(VLOOKUP(表1_86121822242672112110[[#This Row],[目标区服]],$R$62:$S$65,2,FALSE)-表1_86121822242672112110[[#This Row],[开服天数]])*配置!$B$1</f>
        <v>1500</v>
      </c>
      <c r="F22" s="90">
        <f>表1_86121822242672112110[[#This Row],[补偿Coin]]*(表1_86121822242672112110[[#This Row],[活跃高战玩家数]]+表1_86121822242672112110[[#This Row],[活跃中坚玩家数]])</f>
        <v>37500</v>
      </c>
      <c r="G22" s="90">
        <f>(VLOOKUP(表1_86121822242672112110[[#This Row],[目标区服]],$R$62:$S$65,2,FALSE)-表1_86121822242672112110[[#This Row],[开服天数]])*配置!$B$2</f>
        <v>15</v>
      </c>
      <c r="H22" s="88" t="s">
        <v>27</v>
      </c>
      <c r="I22" s="88">
        <f>IF(表1_86121822242672112110[[#This Row],[原国家]]="魏",0,IF(表1_86121822242672112110[[#This Row],[原国家]]="蜀",1,2))</f>
        <v>2</v>
      </c>
      <c r="J22" s="329">
        <v>3</v>
      </c>
      <c r="K22" s="329">
        <v>136</v>
      </c>
      <c r="L22" s="329">
        <v>5</v>
      </c>
      <c r="M22" s="329">
        <v>20</v>
      </c>
      <c r="N22" s="329">
        <v>121601</v>
      </c>
      <c r="O22" s="330">
        <v>2736619</v>
      </c>
      <c r="P22" s="330">
        <v>20430547</v>
      </c>
      <c r="Q22" s="132" t="s">
        <v>27</v>
      </c>
      <c r="R22" s="88">
        <f>IF(表1_86121822242672112110[[#This Row],[目标国家]]="魏",0,IF(表1_86121822242672112110[[#This Row],[目标国家]]="蜀",1,2))</f>
        <v>2</v>
      </c>
      <c r="S22" s="329">
        <v>83458</v>
      </c>
      <c r="T22" s="329">
        <v>0</v>
      </c>
      <c r="U22" s="329">
        <v>531231</v>
      </c>
      <c r="V22" s="329">
        <v>9817</v>
      </c>
      <c r="W22" s="338">
        <v>702004</v>
      </c>
      <c r="X22" s="134" t="str">
        <f>"{"&amp;"'coin':"&amp;表1_86121822242672112110[[#This Row],[补偿Coin]]&amp;",'"&amp;配置!$A$2&amp;"':"&amp;表1_86121822242672112110[[#This Row],[补偿辎重]]&amp;"},"</f>
        <v>{'coin':1500,'item036':15},</v>
      </c>
      <c r="Y22" s="136" t="str">
        <f>"      },"</f>
        <v>      },</v>
      </c>
    </row>
    <row r="23" s="312" customFormat="1" ht="14.25" customHeight="1" spans="1:25">
      <c r="A23" s="316">
        <v>5265</v>
      </c>
      <c r="B23" s="316">
        <f>VLOOKUP(表1_86121822242672112110[[#This Row],[区服]],$P$62:$Q$80,2,FALSE)</f>
        <v>40</v>
      </c>
      <c r="C23" s="317" t="s">
        <v>267</v>
      </c>
      <c r="D23" s="318" t="str">
        <f>表1_86121822242672112110[[#This Row],[目标国家]]</f>
        <v>蜀</v>
      </c>
      <c r="E23" s="319">
        <f>(VLOOKUP(表1_86121822242672112110[[#This Row],[目标区服]],$R$62:$S$65,2,FALSE)-表1_86121822242672112110[[#This Row],[开服天数]])*配置!$B$1</f>
        <v>1000</v>
      </c>
      <c r="F23" s="319">
        <f>表1_86121822242672112110[[#This Row],[补偿Coin]]*(表1_86121822242672112110[[#This Row],[活跃高战玩家数]]+表1_86121822242672112110[[#This Row],[活跃中坚玩家数]])</f>
        <v>18000</v>
      </c>
      <c r="G23" s="319">
        <f>(VLOOKUP(表1_86121822242672112110[[#This Row],[目标区服]],$R$62:$S$65,2,FALSE)-表1_86121822242672112110[[#This Row],[开服天数]])*配置!$B$2</f>
        <v>10</v>
      </c>
      <c r="H23" s="320" t="s">
        <v>25</v>
      </c>
      <c r="I23" s="320">
        <f>IF(表1_86121822242672112110[[#This Row],[原国家]]="魏",0,IF(表1_86121822242672112110[[#This Row],[原国家]]="蜀",1,2))</f>
        <v>0</v>
      </c>
      <c r="J23" s="331">
        <v>4</v>
      </c>
      <c r="K23" s="331">
        <v>162</v>
      </c>
      <c r="L23" s="331">
        <v>5</v>
      </c>
      <c r="M23" s="331">
        <v>13</v>
      </c>
      <c r="N23" s="331">
        <v>98483</v>
      </c>
      <c r="O23" s="332">
        <v>2377180</v>
      </c>
      <c r="P23" s="332">
        <v>12197006</v>
      </c>
      <c r="Q23" s="339" t="s">
        <v>26</v>
      </c>
      <c r="R23" s="320">
        <f>IF(表1_86121822242672112110[[#This Row],[目标国家]]="魏",0,IF(表1_86121822242672112110[[#This Row],[目标国家]]="蜀",1,2))</f>
        <v>1</v>
      </c>
      <c r="S23" s="331">
        <v>38936</v>
      </c>
      <c r="T23" s="331">
        <v>0</v>
      </c>
      <c r="U23" s="331">
        <v>368513</v>
      </c>
      <c r="V23" s="331">
        <v>7461</v>
      </c>
      <c r="W23" s="341">
        <v>671109</v>
      </c>
      <c r="X23" s="340" t="str">
        <f>"{"&amp;"'coin':"&amp;表1_86121822242672112110[[#This Row],[补偿Coin]]&amp;",'"&amp;配置!$A$2&amp;"':"&amp;表1_86121822242672112110[[#This Row],[补偿辎重]]&amp;"},"</f>
        <v>{'coin':1000,'item036':10},</v>
      </c>
      <c r="Y23" s="343" t="str">
        <f>"      '"&amp;表1_86121822242672112110[[#This Row],[区服]]&amp;"':{"</f>
        <v>      '5265':{</v>
      </c>
    </row>
    <row r="24" s="312" customFormat="1" ht="14.25" customHeight="1" spans="1:25">
      <c r="A24" s="316">
        <v>5265</v>
      </c>
      <c r="B24" s="316">
        <f>VLOOKUP(表1_86121822242672112110[[#This Row],[区服]],$P$62:$Q$80,2,FALSE)</f>
        <v>40</v>
      </c>
      <c r="C24" s="317" t="s">
        <v>267</v>
      </c>
      <c r="D24" s="320" t="str">
        <f>表1_86121822242672112110[[#This Row],[目标国家]]</f>
        <v>魏</v>
      </c>
      <c r="E24" s="319">
        <f>(VLOOKUP(表1_86121822242672112110[[#This Row],[目标区服]],$R$62:$S$65,2,FALSE)-表1_86121822242672112110[[#This Row],[开服天数]])*配置!$B$1</f>
        <v>1000</v>
      </c>
      <c r="F24" s="321">
        <f>表1_86121822242672112110[[#This Row],[补偿Coin]]*(表1_86121822242672112110[[#This Row],[活跃高战玩家数]]+表1_86121822242672112110[[#This Row],[活跃中坚玩家数]])</f>
        <v>20000</v>
      </c>
      <c r="G24" s="321">
        <f>(VLOOKUP(表1_86121822242672112110[[#This Row],[目标区服]],$R$62:$S$65,2,FALSE)-表1_86121822242672112110[[#This Row],[开服天数]])*配置!$B$2</f>
        <v>10</v>
      </c>
      <c r="H24" s="320" t="s">
        <v>26</v>
      </c>
      <c r="I24" s="320">
        <f>IF(表1_86121822242672112110[[#This Row],[原国家]]="魏",0,IF(表1_86121822242672112110[[#This Row],[原国家]]="蜀",1,2))</f>
        <v>1</v>
      </c>
      <c r="J24" s="331">
        <v>3</v>
      </c>
      <c r="K24" s="331">
        <v>162</v>
      </c>
      <c r="L24" s="331">
        <v>4</v>
      </c>
      <c r="M24" s="331">
        <v>16</v>
      </c>
      <c r="N24" s="331">
        <v>102713</v>
      </c>
      <c r="O24" s="332">
        <v>1731713</v>
      </c>
      <c r="P24" s="332">
        <v>11032295</v>
      </c>
      <c r="Q24" s="339" t="s">
        <v>25</v>
      </c>
      <c r="R24" s="320">
        <f>IF(表1_86121822242672112110[[#This Row],[目标国家]]="魏",0,IF(表1_86121822242672112110[[#This Row],[目标国家]]="蜀",1,2))</f>
        <v>0</v>
      </c>
      <c r="S24" s="331">
        <v>11222</v>
      </c>
      <c r="T24" s="331">
        <v>0</v>
      </c>
      <c r="U24" s="331">
        <v>182318</v>
      </c>
      <c r="V24" s="331">
        <v>5696</v>
      </c>
      <c r="W24" s="331">
        <v>590940</v>
      </c>
      <c r="X24" s="340" t="str">
        <f>"{"&amp;"'coin':"&amp;表1_86121822242672112110[[#This Row],[补偿Coin]]&amp;",'"&amp;配置!$A$2&amp;"':"&amp;表1_86121822242672112110[[#This Row],[补偿辎重]]&amp;"},"</f>
        <v>{'coin':1000,'item036':10},</v>
      </c>
      <c r="Y24" s="343" t="str">
        <f>"            'to_zone':'"&amp;表1_86121822242672112110[[#This Row],[目标区服]]&amp;"',
            'reward':"&amp;表1_86121822242672112110[[#This Row],[辅助导出]]&amp;"
            'country':["&amp;R23&amp;","&amp;R24&amp;","&amp;R25&amp;"],"</f>
        <v>            'to_zone':'h1_610',
            'reward':{'coin':1000,'item036':10},
            'country':[1,0,1],</v>
      </c>
    </row>
    <row r="25" s="312" customFormat="1" ht="14.25" customHeight="1" spans="1:25">
      <c r="A25" s="316">
        <v>5265</v>
      </c>
      <c r="B25" s="316">
        <f>VLOOKUP(表1_86121822242672112110[[#This Row],[区服]],$P$62:$Q$80,2,FALSE)</f>
        <v>40</v>
      </c>
      <c r="C25" s="317" t="s">
        <v>267</v>
      </c>
      <c r="D25" s="320" t="str">
        <f>表1_86121822242672112110[[#This Row],[目标国家]]</f>
        <v>蜀</v>
      </c>
      <c r="E25" s="319">
        <f>(VLOOKUP(表1_86121822242672112110[[#This Row],[目标区服]],$R$62:$S$65,2,FALSE)-表1_86121822242672112110[[#This Row],[开服天数]])*配置!$B$1</f>
        <v>1000</v>
      </c>
      <c r="F25" s="321">
        <f>表1_86121822242672112110[[#This Row],[补偿Coin]]*(表1_86121822242672112110[[#This Row],[活跃高战玩家数]]+表1_86121822242672112110[[#This Row],[活跃中坚玩家数]])</f>
        <v>8000</v>
      </c>
      <c r="G25" s="321">
        <f>(VLOOKUP(表1_86121822242672112110[[#This Row],[目标区服]],$R$62:$S$65,2,FALSE)-表1_86121822242672112110[[#This Row],[开服天数]])*配置!$B$2</f>
        <v>10</v>
      </c>
      <c r="H25" s="320" t="s">
        <v>27</v>
      </c>
      <c r="I25" s="320">
        <f>IF(表1_86121822242672112110[[#This Row],[原国家]]="魏",0,IF(表1_86121822242672112110[[#This Row],[原国家]]="蜀",1,2))</f>
        <v>2</v>
      </c>
      <c r="J25" s="331">
        <v>2</v>
      </c>
      <c r="K25" s="331">
        <v>71</v>
      </c>
      <c r="L25" s="331">
        <v>1</v>
      </c>
      <c r="M25" s="331">
        <v>7</v>
      </c>
      <c r="N25" s="331">
        <v>42254</v>
      </c>
      <c r="O25" s="332">
        <v>1151475</v>
      </c>
      <c r="P25" s="332">
        <v>4163959</v>
      </c>
      <c r="Q25" s="339" t="s">
        <v>26</v>
      </c>
      <c r="R25" s="320">
        <f>IF(表1_86121822242672112110[[#This Row],[目标国家]]="魏",0,IF(表1_86121822242672112110[[#This Row],[目标国家]]="蜀",1,2))</f>
        <v>1</v>
      </c>
      <c r="S25" s="331">
        <v>2064</v>
      </c>
      <c r="T25" s="331">
        <v>0</v>
      </c>
      <c r="U25" s="331">
        <v>109708</v>
      </c>
      <c r="V25" s="331">
        <v>2805</v>
      </c>
      <c r="W25" s="331">
        <v>440938</v>
      </c>
      <c r="X25" s="340" t="str">
        <f>"{"&amp;"'coin':"&amp;表1_86121822242672112110[[#This Row],[补偿Coin]]&amp;",'"&amp;配置!$A$2&amp;"':"&amp;表1_86121822242672112110[[#This Row],[补偿辎重]]&amp;"},"</f>
        <v>{'coin':1000,'item036':10},</v>
      </c>
      <c r="Y25" s="343" t="str">
        <f>"      },"</f>
        <v>      },</v>
      </c>
    </row>
    <row r="26" s="312" customFormat="1" ht="14.25" customHeight="1" spans="1:25">
      <c r="A26" s="316">
        <v>5266</v>
      </c>
      <c r="B26" s="316">
        <f>VLOOKUP(表1_86121822242672112110[[#This Row],[区服]],$P$62:$Q$80,2,FALSE)</f>
        <v>40</v>
      </c>
      <c r="C26" s="317" t="s">
        <v>267</v>
      </c>
      <c r="D26" s="318" t="str">
        <f>表1_86121822242672112110[[#This Row],[目标国家]]</f>
        <v>魏</v>
      </c>
      <c r="E26" s="319">
        <f>(VLOOKUP(表1_86121822242672112110[[#This Row],[目标区服]],$R$62:$S$65,2,FALSE)-表1_86121822242672112110[[#This Row],[开服天数]])*配置!$B$1</f>
        <v>1000</v>
      </c>
      <c r="F26" s="319">
        <f>表1_86121822242672112110[[#This Row],[补偿Coin]]*(表1_86121822242672112110[[#This Row],[活跃高战玩家数]]+表1_86121822242672112110[[#This Row],[活跃中坚玩家数]])</f>
        <v>18000</v>
      </c>
      <c r="G26" s="319">
        <f>(VLOOKUP(表1_86121822242672112110[[#This Row],[目标区服]],$R$62:$S$65,2,FALSE)-表1_86121822242672112110[[#This Row],[开服天数]])*配置!$B$2</f>
        <v>10</v>
      </c>
      <c r="H26" s="320" t="s">
        <v>25</v>
      </c>
      <c r="I26" s="320">
        <f>IF(表1_86121822242672112110[[#This Row],[原国家]]="魏",0,IF(表1_86121822242672112110[[#This Row],[原国家]]="蜀",1,2))</f>
        <v>0</v>
      </c>
      <c r="J26" s="331">
        <v>4</v>
      </c>
      <c r="K26" s="331">
        <v>166</v>
      </c>
      <c r="L26" s="331">
        <v>3</v>
      </c>
      <c r="M26" s="331">
        <v>15</v>
      </c>
      <c r="N26" s="331">
        <v>92224</v>
      </c>
      <c r="O26" s="332">
        <v>2180711</v>
      </c>
      <c r="P26" s="332">
        <v>13422909</v>
      </c>
      <c r="Q26" s="339" t="s">
        <v>25</v>
      </c>
      <c r="R26" s="320">
        <f>IF(表1_86121822242672112110[[#This Row],[目标国家]]="魏",0,IF(表1_86121822242672112110[[#This Row],[目标国家]]="蜀",1,2))</f>
        <v>0</v>
      </c>
      <c r="S26" s="331">
        <v>45685</v>
      </c>
      <c r="T26" s="331">
        <v>0</v>
      </c>
      <c r="U26" s="331">
        <v>268679</v>
      </c>
      <c r="V26" s="331">
        <v>7549</v>
      </c>
      <c r="W26" s="341">
        <v>683755</v>
      </c>
      <c r="X26" s="340" t="str">
        <f>"{"&amp;"'coin':"&amp;表1_86121822242672112110[[#This Row],[补偿Coin]]&amp;",'"&amp;配置!$A$2&amp;"':"&amp;表1_86121822242672112110[[#This Row],[补偿辎重]]&amp;"},"</f>
        <v>{'coin':1000,'item036':10},</v>
      </c>
      <c r="Y26" s="343" t="str">
        <f>"      '"&amp;表1_86121822242672112110[[#This Row],[区服]]&amp;"':{"</f>
        <v>      '5266':{</v>
      </c>
    </row>
    <row r="27" s="312" customFormat="1" ht="14.25" customHeight="1" spans="1:25">
      <c r="A27" s="316">
        <v>5266</v>
      </c>
      <c r="B27" s="316">
        <f>VLOOKUP(表1_86121822242672112110[[#This Row],[区服]],$P$62:$Q$80,2,FALSE)</f>
        <v>40</v>
      </c>
      <c r="C27" s="317" t="s">
        <v>267</v>
      </c>
      <c r="D27" s="320" t="str">
        <f>表1_86121822242672112110[[#This Row],[目标国家]]</f>
        <v>吴</v>
      </c>
      <c r="E27" s="319">
        <f>(VLOOKUP(表1_86121822242672112110[[#This Row],[目标区服]],$R$62:$S$65,2,FALSE)-表1_86121822242672112110[[#This Row],[开服天数]])*配置!$B$1</f>
        <v>1000</v>
      </c>
      <c r="F27" s="321">
        <f>表1_86121822242672112110[[#This Row],[补偿Coin]]*(表1_86121822242672112110[[#This Row],[活跃高战玩家数]]+表1_86121822242672112110[[#This Row],[活跃中坚玩家数]])</f>
        <v>19000</v>
      </c>
      <c r="G27" s="321">
        <f>(VLOOKUP(表1_86121822242672112110[[#This Row],[目标区服]],$R$62:$S$65,2,FALSE)-表1_86121822242672112110[[#This Row],[开服天数]])*配置!$B$2</f>
        <v>10</v>
      </c>
      <c r="H27" s="320" t="s">
        <v>26</v>
      </c>
      <c r="I27" s="320">
        <f>IF(表1_86121822242672112110[[#This Row],[原国家]]="魏",0,IF(表1_86121822242672112110[[#This Row],[原国家]]="蜀",1,2))</f>
        <v>1</v>
      </c>
      <c r="J27" s="331">
        <v>2</v>
      </c>
      <c r="K27" s="331">
        <v>117</v>
      </c>
      <c r="L27" s="331">
        <v>1</v>
      </c>
      <c r="M27" s="331">
        <v>18</v>
      </c>
      <c r="N27" s="331">
        <v>74365</v>
      </c>
      <c r="O27" s="332">
        <v>1406299</v>
      </c>
      <c r="P27" s="332">
        <v>10228327</v>
      </c>
      <c r="Q27" s="339" t="s">
        <v>27</v>
      </c>
      <c r="R27" s="320">
        <f>IF(表1_86121822242672112110[[#This Row],[目标国家]]="魏",0,IF(表1_86121822242672112110[[#This Row],[目标国家]]="蜀",1,2))</f>
        <v>2</v>
      </c>
      <c r="S27" s="331">
        <v>13060</v>
      </c>
      <c r="T27" s="331">
        <v>0</v>
      </c>
      <c r="U27" s="331">
        <v>279359</v>
      </c>
      <c r="V27" s="331">
        <v>4702</v>
      </c>
      <c r="W27" s="331">
        <v>497918</v>
      </c>
      <c r="X27" s="340" t="str">
        <f>"{"&amp;"'coin':"&amp;表1_86121822242672112110[[#This Row],[补偿Coin]]&amp;",'"&amp;配置!$A$2&amp;"':"&amp;表1_86121822242672112110[[#This Row],[补偿辎重]]&amp;"},"</f>
        <v>{'coin':1000,'item036':10},</v>
      </c>
      <c r="Y27" s="343" t="str">
        <f>"            'to_zone':'"&amp;表1_86121822242672112110[[#This Row],[目标区服]]&amp;"',
            'reward':"&amp;表1_86121822242672112110[[#This Row],[辅助导出]]&amp;"
            'country':["&amp;R26&amp;","&amp;R27&amp;","&amp;R28&amp;"],"</f>
        <v>            'to_zone':'h1_610',
            'reward':{'coin':1000,'item036':10},
            'country':[0,2,2],</v>
      </c>
    </row>
    <row r="28" s="312" customFormat="1" ht="14.25" customHeight="1" spans="1:25">
      <c r="A28" s="316">
        <v>5266</v>
      </c>
      <c r="B28" s="316">
        <f>VLOOKUP(表1_86121822242672112110[[#This Row],[区服]],$P$62:$Q$80,2,FALSE)</f>
        <v>40</v>
      </c>
      <c r="C28" s="317" t="s">
        <v>267</v>
      </c>
      <c r="D28" s="320" t="str">
        <f>表1_86121822242672112110[[#This Row],[目标国家]]</f>
        <v>吴</v>
      </c>
      <c r="E28" s="319">
        <f>(VLOOKUP(表1_86121822242672112110[[#This Row],[目标区服]],$R$62:$S$65,2,FALSE)-表1_86121822242672112110[[#This Row],[开服天数]])*配置!$B$1</f>
        <v>1000</v>
      </c>
      <c r="F28" s="321">
        <f>表1_86121822242672112110[[#This Row],[补偿Coin]]*(表1_86121822242672112110[[#This Row],[活跃高战玩家数]]+表1_86121822242672112110[[#This Row],[活跃中坚玩家数]])</f>
        <v>17000</v>
      </c>
      <c r="G28" s="321">
        <f>(VLOOKUP(表1_86121822242672112110[[#This Row],[目标区服]],$R$62:$S$65,2,FALSE)-表1_86121822242672112110[[#This Row],[开服天数]])*配置!$B$2</f>
        <v>10</v>
      </c>
      <c r="H28" s="320" t="s">
        <v>27</v>
      </c>
      <c r="I28" s="320">
        <f>IF(表1_86121822242672112110[[#This Row],[原国家]]="魏",0,IF(表1_86121822242672112110[[#This Row],[原国家]]="蜀",1,2))</f>
        <v>2</v>
      </c>
      <c r="J28" s="331">
        <v>3</v>
      </c>
      <c r="K28" s="331">
        <v>112</v>
      </c>
      <c r="L28" s="331">
        <v>6</v>
      </c>
      <c r="M28" s="331">
        <v>11</v>
      </c>
      <c r="N28" s="331">
        <v>109256</v>
      </c>
      <c r="O28" s="332">
        <v>2477140</v>
      </c>
      <c r="P28" s="332">
        <v>15331888</v>
      </c>
      <c r="Q28" s="339" t="s">
        <v>27</v>
      </c>
      <c r="R28" s="320">
        <f>IF(表1_86121822242672112110[[#This Row],[目标国家]]="魏",0,IF(表1_86121822242672112110[[#This Row],[目标国家]]="蜀",1,2))</f>
        <v>2</v>
      </c>
      <c r="S28" s="331">
        <v>49629</v>
      </c>
      <c r="T28" s="331">
        <v>0</v>
      </c>
      <c r="U28" s="331">
        <v>292858</v>
      </c>
      <c r="V28" s="331">
        <v>7611</v>
      </c>
      <c r="W28" s="341">
        <v>755456</v>
      </c>
      <c r="X28" s="340" t="str">
        <f>"{"&amp;"'coin':"&amp;表1_86121822242672112110[[#This Row],[补偿Coin]]&amp;",'"&amp;配置!$A$2&amp;"':"&amp;表1_86121822242672112110[[#This Row],[补偿辎重]]&amp;"},"</f>
        <v>{'coin':1000,'item036':10},</v>
      </c>
      <c r="Y28" s="343" t="str">
        <f>"      },"</f>
        <v>      },</v>
      </c>
    </row>
    <row r="29" s="312" customFormat="1" ht="14.25" customHeight="1" spans="1:25">
      <c r="A29" s="316">
        <v>5267</v>
      </c>
      <c r="B29" s="316">
        <f>VLOOKUP(表1_86121822242672112110[[#This Row],[区服]],$P$62:$Q$80,2,FALSE)</f>
        <v>40</v>
      </c>
      <c r="C29" s="317" t="s">
        <v>267</v>
      </c>
      <c r="D29" s="318" t="str">
        <f>表1_86121822242672112110[[#This Row],[目标国家]]</f>
        <v>蜀</v>
      </c>
      <c r="E29" s="319">
        <f>(VLOOKUP(表1_86121822242672112110[[#This Row],[目标区服]],$R$62:$S$65,2,FALSE)-表1_86121822242672112110[[#This Row],[开服天数]])*配置!$B$1</f>
        <v>1000</v>
      </c>
      <c r="F29" s="319">
        <f>表1_86121822242672112110[[#This Row],[补偿Coin]]*(表1_86121822242672112110[[#This Row],[活跃高战玩家数]]+表1_86121822242672112110[[#This Row],[活跃中坚玩家数]])</f>
        <v>26000</v>
      </c>
      <c r="G29" s="319">
        <f>(VLOOKUP(表1_86121822242672112110[[#This Row],[目标区服]],$R$62:$S$65,2,FALSE)-表1_86121822242672112110[[#This Row],[开服天数]])*配置!$B$2</f>
        <v>10</v>
      </c>
      <c r="H29" s="320" t="s">
        <v>25</v>
      </c>
      <c r="I29" s="320">
        <f>IF(表1_86121822242672112110[[#This Row],[原国家]]="魏",0,IF(表1_86121822242672112110[[#This Row],[原国家]]="蜀",1,2))</f>
        <v>0</v>
      </c>
      <c r="J29" s="331">
        <v>6</v>
      </c>
      <c r="K29" s="331">
        <v>240</v>
      </c>
      <c r="L29" s="331">
        <v>7</v>
      </c>
      <c r="M29" s="331">
        <v>19</v>
      </c>
      <c r="N29" s="331">
        <v>144216</v>
      </c>
      <c r="O29" s="332">
        <v>2076363</v>
      </c>
      <c r="P29" s="332">
        <v>17201458</v>
      </c>
      <c r="Q29" s="339" t="s">
        <v>26</v>
      </c>
      <c r="R29" s="320">
        <f>IF(表1_86121822242672112110[[#This Row],[目标国家]]="魏",0,IF(表1_86121822242672112110[[#This Row],[目标国家]]="蜀",1,2))</f>
        <v>1</v>
      </c>
      <c r="S29" s="331">
        <v>31786</v>
      </c>
      <c r="T29" s="331">
        <v>0</v>
      </c>
      <c r="U29" s="331">
        <v>171744</v>
      </c>
      <c r="V29" s="331">
        <v>8557</v>
      </c>
      <c r="W29" s="331">
        <v>608361</v>
      </c>
      <c r="X29" s="340" t="str">
        <f>"{"&amp;"'coin':"&amp;表1_86121822242672112110[[#This Row],[补偿Coin]]&amp;",'"&amp;配置!$A$2&amp;"':"&amp;表1_86121822242672112110[[#This Row],[补偿辎重]]&amp;"},"</f>
        <v>{'coin':1000,'item036':10},</v>
      </c>
      <c r="Y29" s="343" t="str">
        <f>"      '"&amp;表1_86121822242672112110[[#This Row],[区服]]&amp;"':{"</f>
        <v>      '5267':{</v>
      </c>
    </row>
    <row r="30" s="312" customFormat="1" ht="14.25" customHeight="1" spans="1:25">
      <c r="A30" s="316">
        <v>5267</v>
      </c>
      <c r="B30" s="316">
        <f>VLOOKUP(表1_86121822242672112110[[#This Row],[区服]],$P$62:$Q$80,2,FALSE)</f>
        <v>40</v>
      </c>
      <c r="C30" s="317" t="s">
        <v>267</v>
      </c>
      <c r="D30" s="320" t="str">
        <f>表1_86121822242672112110[[#This Row],[目标国家]]</f>
        <v>吴</v>
      </c>
      <c r="E30" s="319">
        <f>(VLOOKUP(表1_86121822242672112110[[#This Row],[目标区服]],$R$62:$S$65,2,FALSE)-表1_86121822242672112110[[#This Row],[开服天数]])*配置!$B$1</f>
        <v>1000</v>
      </c>
      <c r="F30" s="321">
        <f>表1_86121822242672112110[[#This Row],[补偿Coin]]*(表1_86121822242672112110[[#This Row],[活跃高战玩家数]]+表1_86121822242672112110[[#This Row],[活跃中坚玩家数]])</f>
        <v>15000</v>
      </c>
      <c r="G30" s="321">
        <f>(VLOOKUP(表1_86121822242672112110[[#This Row],[目标区服]],$R$62:$S$65,2,FALSE)-表1_86121822242672112110[[#This Row],[开服天数]])*配置!$B$2</f>
        <v>10</v>
      </c>
      <c r="H30" s="320" t="s">
        <v>26</v>
      </c>
      <c r="I30" s="320">
        <f>IF(表1_86121822242672112110[[#This Row],[原国家]]="魏",0,IF(表1_86121822242672112110[[#This Row],[原国家]]="蜀",1,2))</f>
        <v>1</v>
      </c>
      <c r="J30" s="331">
        <v>0</v>
      </c>
      <c r="K30" s="331">
        <v>43</v>
      </c>
      <c r="L30" s="331">
        <v>0</v>
      </c>
      <c r="M30" s="331">
        <v>15</v>
      </c>
      <c r="N30" s="331">
        <v>42207</v>
      </c>
      <c r="O30" s="332">
        <v>771691</v>
      </c>
      <c r="P30" s="332">
        <v>5141848</v>
      </c>
      <c r="Q30" s="339" t="s">
        <v>27</v>
      </c>
      <c r="R30" s="320">
        <f>IF(表1_86121822242672112110[[#This Row],[目标国家]]="魏",0,IF(表1_86121822242672112110[[#This Row],[目标国家]]="蜀",1,2))</f>
        <v>2</v>
      </c>
      <c r="S30" s="331">
        <v>830</v>
      </c>
      <c r="T30" s="331">
        <v>0</v>
      </c>
      <c r="U30" s="331">
        <v>85463</v>
      </c>
      <c r="V30" s="331">
        <v>1994</v>
      </c>
      <c r="W30" s="331">
        <v>237457</v>
      </c>
      <c r="X30" s="340" t="str">
        <f>"{"&amp;"'coin':"&amp;表1_86121822242672112110[[#This Row],[补偿Coin]]&amp;",'"&amp;配置!$A$2&amp;"':"&amp;表1_86121822242672112110[[#This Row],[补偿辎重]]&amp;"},"</f>
        <v>{'coin':1000,'item036':10},</v>
      </c>
      <c r="Y30" s="343" t="str">
        <f>"            'to_zone':'"&amp;表1_86121822242672112110[[#This Row],[目标区服]]&amp;"',
            'reward':"&amp;表1_86121822242672112110[[#This Row],[辅助导出]]&amp;"
            'country':["&amp;R29&amp;","&amp;R30&amp;","&amp;R31&amp;"],"</f>
        <v>            'to_zone':'h1_610',
            'reward':{'coin':1000,'item036':10},
            'country':[1,2,0],</v>
      </c>
    </row>
    <row r="31" s="312" customFormat="1" ht="14.25" customHeight="1" spans="1:25">
      <c r="A31" s="316">
        <v>5267</v>
      </c>
      <c r="B31" s="316">
        <f>VLOOKUP(表1_86121822242672112110[[#This Row],[区服]],$P$62:$Q$80,2,FALSE)</f>
        <v>40</v>
      </c>
      <c r="C31" s="317" t="s">
        <v>267</v>
      </c>
      <c r="D31" s="320" t="str">
        <f>表1_86121822242672112110[[#This Row],[目标国家]]</f>
        <v>魏</v>
      </c>
      <c r="E31" s="319">
        <f>(VLOOKUP(表1_86121822242672112110[[#This Row],[目标区服]],$R$62:$S$65,2,FALSE)-表1_86121822242672112110[[#This Row],[开服天数]])*配置!$B$1</f>
        <v>1000</v>
      </c>
      <c r="F31" s="321">
        <f>表1_86121822242672112110[[#This Row],[补偿Coin]]*(表1_86121822242672112110[[#This Row],[活跃高战玩家数]]+表1_86121822242672112110[[#This Row],[活跃中坚玩家数]])</f>
        <v>14000</v>
      </c>
      <c r="G31" s="321">
        <f>(VLOOKUP(表1_86121822242672112110[[#This Row],[目标区服]],$R$62:$S$65,2,FALSE)-表1_86121822242672112110[[#This Row],[开服天数]])*配置!$B$2</f>
        <v>10</v>
      </c>
      <c r="H31" s="320" t="s">
        <v>27</v>
      </c>
      <c r="I31" s="320">
        <f>IF(表1_86121822242672112110[[#This Row],[原国家]]="魏",0,IF(表1_86121822242672112110[[#This Row],[原国家]]="蜀",1,2))</f>
        <v>2</v>
      </c>
      <c r="J31" s="331">
        <v>3</v>
      </c>
      <c r="K31" s="331">
        <v>112</v>
      </c>
      <c r="L31" s="331">
        <v>3</v>
      </c>
      <c r="M31" s="331">
        <v>11</v>
      </c>
      <c r="N31" s="331">
        <v>74410</v>
      </c>
      <c r="O31" s="332">
        <v>1369095</v>
      </c>
      <c r="P31" s="332">
        <v>7932774</v>
      </c>
      <c r="Q31" s="339" t="s">
        <v>25</v>
      </c>
      <c r="R31" s="320">
        <f>IF(表1_86121822242672112110[[#This Row],[目标国家]]="魏",0,IF(表1_86121822242672112110[[#This Row],[目标国家]]="蜀",1,2))</f>
        <v>0</v>
      </c>
      <c r="S31" s="331">
        <v>11158</v>
      </c>
      <c r="T31" s="331">
        <v>0</v>
      </c>
      <c r="U31" s="331">
        <v>198199</v>
      </c>
      <c r="V31" s="331">
        <v>4388</v>
      </c>
      <c r="W31" s="331">
        <v>407223</v>
      </c>
      <c r="X31" s="340" t="str">
        <f>"{"&amp;"'coin':"&amp;表1_86121822242672112110[[#This Row],[补偿Coin]]&amp;",'"&amp;配置!$A$2&amp;"':"&amp;表1_86121822242672112110[[#This Row],[补偿辎重]]&amp;"},"</f>
        <v>{'coin':1000,'item036':10},</v>
      </c>
      <c r="Y31" s="343" t="str">
        <f>"      },"</f>
        <v>      },</v>
      </c>
    </row>
    <row r="32" s="312" customFormat="1" ht="14.25" customHeight="1" spans="1:25">
      <c r="A32" s="214">
        <v>5268</v>
      </c>
      <c r="B32" s="214">
        <f>VLOOKUP(表1_86121822242672112110[[#This Row],[区服]],$P$62:$Q$80,2,FALSE)</f>
        <v>40</v>
      </c>
      <c r="C32" s="293" t="s">
        <v>268</v>
      </c>
      <c r="D32" s="322" t="str">
        <f>表1_86121822242672112110[[#This Row],[目标国家]]</f>
        <v>吴</v>
      </c>
      <c r="E32" s="294">
        <f>(VLOOKUP(表1_86121822242672112110[[#This Row],[目标区服]],$R$62:$S$68,2,FALSE)-表1_86121822242672112110[[#This Row],[开服天数]])*配置!$B$1</f>
        <v>1000</v>
      </c>
      <c r="F32" s="294">
        <f>表1_86121822242672112110[[#This Row],[补偿Coin]]*(表1_86121822242672112110[[#This Row],[活跃高战玩家数]]+表1_86121822242672112110[[#This Row],[活跃中坚玩家数]])</f>
        <v>20000</v>
      </c>
      <c r="G32" s="294">
        <f>(VLOOKUP(表1_86121822242672112110[[#This Row],[目标区服]],$R$62:$S$68,2,FALSE)-表1_86121822242672112110[[#This Row],[开服天数]])*配置!$B$2</f>
        <v>10</v>
      </c>
      <c r="H32" s="216" t="s">
        <v>25</v>
      </c>
      <c r="I32" s="216">
        <f>IF(表1_86121822242672112110[[#This Row],[原国家]]="魏",0,IF(表1_86121822242672112110[[#This Row],[原国家]]="蜀",1,2))</f>
        <v>0</v>
      </c>
      <c r="J32" s="333">
        <v>2</v>
      </c>
      <c r="K32" s="333">
        <v>63</v>
      </c>
      <c r="L32" s="333">
        <v>4</v>
      </c>
      <c r="M32" s="333">
        <v>16</v>
      </c>
      <c r="N32" s="333">
        <v>85034</v>
      </c>
      <c r="O32" s="334">
        <v>2300926</v>
      </c>
      <c r="P32" s="334">
        <v>13175749</v>
      </c>
      <c r="Q32" s="247" t="s">
        <v>27</v>
      </c>
      <c r="R32" s="216">
        <f>IF(表1_86121822242672112110[[#This Row],[目标国家]]="魏",0,IF(表1_86121822242672112110[[#This Row],[目标国家]]="蜀",1,2))</f>
        <v>2</v>
      </c>
      <c r="S32" s="333">
        <v>37314</v>
      </c>
      <c r="T32" s="333">
        <v>0</v>
      </c>
      <c r="U32" s="333">
        <v>297585</v>
      </c>
      <c r="V32" s="333">
        <v>6141</v>
      </c>
      <c r="W32" s="349">
        <v>647813</v>
      </c>
      <c r="X32" s="249" t="str">
        <f>"{"&amp;"'coin':"&amp;表1_86121822242672112110[[#This Row],[补偿Coin]]&amp;",'"&amp;配置!$A$2&amp;"':"&amp;表1_86121822242672112110[[#This Row],[补偿辎重]]&amp;"},"</f>
        <v>{'coin':1000,'item036':10},</v>
      </c>
      <c r="Y32" s="251" t="str">
        <f>"      '"&amp;表1_86121822242672112110[[#This Row],[区服]]&amp;"':{"</f>
        <v>      '5268':{</v>
      </c>
    </row>
    <row r="33" s="312" customFormat="1" ht="14.25" customHeight="1" spans="1:25">
      <c r="A33" s="214">
        <v>5268</v>
      </c>
      <c r="B33" s="214">
        <f>VLOOKUP(表1_86121822242672112110[[#This Row],[区服]],$P$62:$Q$80,2,FALSE)</f>
        <v>40</v>
      </c>
      <c r="C33" s="293" t="s">
        <v>268</v>
      </c>
      <c r="D33" s="216" t="str">
        <f>表1_86121822242672112110[[#This Row],[目标国家]]</f>
        <v>魏</v>
      </c>
      <c r="E33" s="294">
        <f>(VLOOKUP(表1_86121822242672112110[[#This Row],[目标区服]],$R$62:$S$68,2,FALSE)-表1_86121822242672112110[[#This Row],[开服天数]])*配置!$B$1</f>
        <v>1000</v>
      </c>
      <c r="F33" s="217">
        <f>表1_86121822242672112110[[#This Row],[补偿Coin]]*(表1_86121822242672112110[[#This Row],[活跃高战玩家数]]+表1_86121822242672112110[[#This Row],[活跃中坚玩家数]])</f>
        <v>24000</v>
      </c>
      <c r="G33" s="294">
        <f>(VLOOKUP(表1_86121822242672112110[[#This Row],[目标区服]],$R$62:$S$68,2,FALSE)-表1_86121822242672112110[[#This Row],[开服天数]])*配置!$B$2</f>
        <v>10</v>
      </c>
      <c r="H33" s="216" t="s">
        <v>26</v>
      </c>
      <c r="I33" s="216">
        <f>IF(表1_86121822242672112110[[#This Row],[原国家]]="魏",0,IF(表1_86121822242672112110[[#This Row],[原国家]]="蜀",1,2))</f>
        <v>1</v>
      </c>
      <c r="J33" s="333">
        <v>1</v>
      </c>
      <c r="K33" s="333">
        <v>95</v>
      </c>
      <c r="L33" s="333">
        <v>1</v>
      </c>
      <c r="M33" s="333">
        <v>23</v>
      </c>
      <c r="N33" s="333">
        <v>82698</v>
      </c>
      <c r="O33" s="334">
        <v>1393597</v>
      </c>
      <c r="P33" s="334">
        <v>12286703</v>
      </c>
      <c r="Q33" s="247" t="s">
        <v>25</v>
      </c>
      <c r="R33" s="216">
        <f>IF(表1_86121822242672112110[[#This Row],[目标国家]]="魏",0,IF(表1_86121822242672112110[[#This Row],[目标国家]]="蜀",1,2))</f>
        <v>0</v>
      </c>
      <c r="S33" s="333">
        <v>22528</v>
      </c>
      <c r="T33" s="333">
        <v>0</v>
      </c>
      <c r="U33" s="333">
        <v>117421</v>
      </c>
      <c r="V33" s="333">
        <v>4820</v>
      </c>
      <c r="W33" s="349">
        <v>606642</v>
      </c>
      <c r="X33" s="249" t="str">
        <f>"{"&amp;"'coin':"&amp;表1_86121822242672112110[[#This Row],[补偿Coin]]&amp;",'"&amp;配置!$A$2&amp;"':"&amp;表1_86121822242672112110[[#This Row],[补偿辎重]]&amp;"},"</f>
        <v>{'coin':1000,'item036':10},</v>
      </c>
      <c r="Y33" s="251" t="str">
        <f>"            'to_zone':'"&amp;表1_86121822242672112110[[#This Row],[目标区服]]&amp;"',
            'reward':"&amp;表1_86121822242672112110[[#This Row],[辅助导出]]&amp;"
            'country':["&amp;R32&amp;","&amp;R33&amp;","&amp;R34&amp;"],"</f>
        <v>            'to_zone':'h1_611',
            'reward':{'coin':1000,'item036':10},
            'country':[2,0,0],</v>
      </c>
    </row>
    <row r="34" s="312" customFormat="1" ht="14.25" customHeight="1" spans="1:25">
      <c r="A34" s="214">
        <v>5268</v>
      </c>
      <c r="B34" s="214">
        <f>VLOOKUP(表1_86121822242672112110[[#This Row],[区服]],$P$62:$Q$80,2,FALSE)</f>
        <v>40</v>
      </c>
      <c r="C34" s="293" t="s">
        <v>268</v>
      </c>
      <c r="D34" s="216" t="str">
        <f>表1_86121822242672112110[[#This Row],[目标国家]]</f>
        <v>魏</v>
      </c>
      <c r="E34" s="294">
        <f>(VLOOKUP(表1_86121822242672112110[[#This Row],[目标区服]],$R$62:$S$68,2,FALSE)-表1_86121822242672112110[[#This Row],[开服天数]])*配置!$B$1</f>
        <v>1000</v>
      </c>
      <c r="F34" s="217">
        <f>表1_86121822242672112110[[#This Row],[补偿Coin]]*(表1_86121822242672112110[[#This Row],[活跃高战玩家数]]+表1_86121822242672112110[[#This Row],[活跃中坚玩家数]])</f>
        <v>24000</v>
      </c>
      <c r="G34" s="294">
        <f>(VLOOKUP(表1_86121822242672112110[[#This Row],[目标区服]],$R$62:$S$68,2,FALSE)-表1_86121822242672112110[[#This Row],[开服天数]])*配置!$B$2</f>
        <v>10</v>
      </c>
      <c r="H34" s="216" t="s">
        <v>27</v>
      </c>
      <c r="I34" s="216">
        <f>IF(表1_86121822242672112110[[#This Row],[原国家]]="魏",0,IF(表1_86121822242672112110[[#This Row],[原国家]]="蜀",1,2))</f>
        <v>2</v>
      </c>
      <c r="J34" s="333">
        <v>6</v>
      </c>
      <c r="K34" s="333">
        <v>237</v>
      </c>
      <c r="L34" s="333">
        <v>5</v>
      </c>
      <c r="M34" s="333">
        <v>19</v>
      </c>
      <c r="N34" s="333">
        <v>121336</v>
      </c>
      <c r="O34" s="334">
        <v>2726952</v>
      </c>
      <c r="P34" s="334">
        <v>18796605</v>
      </c>
      <c r="Q34" s="247" t="s">
        <v>25</v>
      </c>
      <c r="R34" s="216">
        <f>IF(表1_86121822242672112110[[#This Row],[目标国家]]="魏",0,IF(表1_86121822242672112110[[#This Row],[目标国家]]="蜀",1,2))</f>
        <v>0</v>
      </c>
      <c r="S34" s="333">
        <v>73448</v>
      </c>
      <c r="T34" s="333">
        <v>0</v>
      </c>
      <c r="U34" s="333">
        <v>484492</v>
      </c>
      <c r="V34" s="333">
        <v>10628</v>
      </c>
      <c r="W34" s="342">
        <v>679942</v>
      </c>
      <c r="X34" s="249" t="str">
        <f>"{"&amp;"'coin':"&amp;表1_86121822242672112110[[#This Row],[补偿Coin]]&amp;",'"&amp;配置!$A$2&amp;"':"&amp;表1_86121822242672112110[[#This Row],[补偿辎重]]&amp;"},"</f>
        <v>{'coin':1000,'item036':10},</v>
      </c>
      <c r="Y34" s="251" t="str">
        <f>"      },"</f>
        <v>      },</v>
      </c>
    </row>
    <row r="35" s="312" customFormat="1" ht="14.25" customHeight="1" spans="1:25">
      <c r="A35" s="214">
        <v>5269</v>
      </c>
      <c r="B35" s="214">
        <f>VLOOKUP(表1_86121822242672112110[[#This Row],[区服]],$P$62:$Q$80,2,FALSE)</f>
        <v>39</v>
      </c>
      <c r="C35" s="293" t="s">
        <v>268</v>
      </c>
      <c r="D35" s="322" t="str">
        <f>表1_86121822242672112110[[#This Row],[目标国家]]</f>
        <v>魏</v>
      </c>
      <c r="E35" s="294">
        <f>(VLOOKUP(表1_86121822242672112110[[#This Row],[目标区服]],$R$62:$S$68,2,FALSE)-表1_86121822242672112110[[#This Row],[开服天数]])*配置!$B$1</f>
        <v>1500</v>
      </c>
      <c r="F35" s="294">
        <f>表1_86121822242672112110[[#This Row],[补偿Coin]]*(表1_86121822242672112110[[#This Row],[活跃高战玩家数]]+表1_86121822242672112110[[#This Row],[活跃中坚玩家数]])</f>
        <v>25500</v>
      </c>
      <c r="G35" s="294">
        <f>(VLOOKUP(表1_86121822242672112110[[#This Row],[目标区服]],$R$62:$S$68,2,FALSE)-表1_86121822242672112110[[#This Row],[开服天数]])*配置!$B$2</f>
        <v>15</v>
      </c>
      <c r="H35" s="216" t="s">
        <v>25</v>
      </c>
      <c r="I35" s="216">
        <f>IF(表1_86121822242672112110[[#This Row],[原国家]]="魏",0,IF(表1_86121822242672112110[[#This Row],[原国家]]="蜀",1,2))</f>
        <v>0</v>
      </c>
      <c r="J35" s="333">
        <v>0</v>
      </c>
      <c r="K35" s="333">
        <v>39</v>
      </c>
      <c r="L35" s="333">
        <v>1</v>
      </c>
      <c r="M35" s="333">
        <v>16</v>
      </c>
      <c r="N35" s="333">
        <v>54400</v>
      </c>
      <c r="O35" s="334">
        <v>1403560</v>
      </c>
      <c r="P35" s="334">
        <v>9017272</v>
      </c>
      <c r="Q35" s="247" t="s">
        <v>25</v>
      </c>
      <c r="R35" s="216">
        <f>IF(表1_86121822242672112110[[#This Row],[目标国家]]="魏",0,IF(表1_86121822242672112110[[#This Row],[目标国家]]="蜀",1,2))</f>
        <v>0</v>
      </c>
      <c r="S35" s="333">
        <v>24046</v>
      </c>
      <c r="T35" s="333">
        <v>0</v>
      </c>
      <c r="U35" s="333">
        <v>95994</v>
      </c>
      <c r="V35" s="333">
        <v>3736</v>
      </c>
      <c r="W35" s="349">
        <v>505843</v>
      </c>
      <c r="X35" s="249" t="str">
        <f>"{"&amp;"'coin':"&amp;表1_86121822242672112110[[#This Row],[补偿Coin]]&amp;",'"&amp;配置!$A$2&amp;"':"&amp;表1_86121822242672112110[[#This Row],[补偿辎重]]&amp;"},"</f>
        <v>{'coin':1500,'item036':15},</v>
      </c>
      <c r="Y35" s="251" t="str">
        <f>"      '"&amp;表1_86121822242672112110[[#This Row],[区服]]&amp;"':{"</f>
        <v>      '5269':{</v>
      </c>
    </row>
    <row r="36" s="312" customFormat="1" ht="14.25" customHeight="1" spans="1:25">
      <c r="A36" s="214">
        <v>5269</v>
      </c>
      <c r="B36" s="214">
        <f>VLOOKUP(表1_86121822242672112110[[#This Row],[区服]],$P$62:$Q$80,2,FALSE)</f>
        <v>39</v>
      </c>
      <c r="C36" s="293" t="s">
        <v>268</v>
      </c>
      <c r="D36" s="216" t="str">
        <f>表1_86121822242672112110[[#This Row],[目标国家]]</f>
        <v>蜀</v>
      </c>
      <c r="E36" s="294">
        <f>(VLOOKUP(表1_86121822242672112110[[#This Row],[目标区服]],$R$62:$S$68,2,FALSE)-表1_86121822242672112110[[#This Row],[开服天数]])*配置!$B$1</f>
        <v>1500</v>
      </c>
      <c r="F36" s="217">
        <f>表1_86121822242672112110[[#This Row],[补偿Coin]]*(表1_86121822242672112110[[#This Row],[活跃高战玩家数]]+表1_86121822242672112110[[#This Row],[活跃中坚玩家数]])</f>
        <v>16500</v>
      </c>
      <c r="G36" s="294">
        <f>(VLOOKUP(表1_86121822242672112110[[#This Row],[目标区服]],$R$62:$S$68,2,FALSE)-表1_86121822242672112110[[#This Row],[开服天数]])*配置!$B$2</f>
        <v>15</v>
      </c>
      <c r="H36" s="216" t="s">
        <v>26</v>
      </c>
      <c r="I36" s="216">
        <f>IF(表1_86121822242672112110[[#This Row],[原国家]]="魏",0,IF(表1_86121822242672112110[[#This Row],[原国家]]="蜀",1,2))</f>
        <v>1</v>
      </c>
      <c r="J36" s="333">
        <v>0</v>
      </c>
      <c r="K36" s="333">
        <v>36</v>
      </c>
      <c r="L36" s="333">
        <v>1</v>
      </c>
      <c r="M36" s="333">
        <v>10</v>
      </c>
      <c r="N36" s="333">
        <v>37904</v>
      </c>
      <c r="O36" s="334">
        <v>1053310</v>
      </c>
      <c r="P36" s="334">
        <v>5865008</v>
      </c>
      <c r="Q36" s="247" t="s">
        <v>26</v>
      </c>
      <c r="R36" s="216">
        <f>IF(表1_86121822242672112110[[#This Row],[目标国家]]="魏",0,IF(表1_86121822242672112110[[#This Row],[目标国家]]="蜀",1,2))</f>
        <v>1</v>
      </c>
      <c r="S36" s="333">
        <v>11586</v>
      </c>
      <c r="T36" s="333">
        <v>0</v>
      </c>
      <c r="U36" s="333">
        <v>70984</v>
      </c>
      <c r="V36" s="333">
        <v>2572</v>
      </c>
      <c r="W36" s="349">
        <v>310785</v>
      </c>
      <c r="X36" s="249" t="str">
        <f>"{"&amp;"'coin':"&amp;表1_86121822242672112110[[#This Row],[补偿Coin]]&amp;",'"&amp;配置!$A$2&amp;"':"&amp;表1_86121822242672112110[[#This Row],[补偿辎重]]&amp;"},"</f>
        <v>{'coin':1500,'item036':15},</v>
      </c>
      <c r="Y36" s="251" t="str">
        <f>"            'to_zone':'"&amp;表1_86121822242672112110[[#This Row],[目标区服]]&amp;"',
            'reward':"&amp;表1_86121822242672112110[[#This Row],[辅助导出]]&amp;"
            'country':["&amp;R35&amp;","&amp;R36&amp;","&amp;R37&amp;"],"</f>
        <v>            'to_zone':'h1_611',
            'reward':{'coin':1500,'item036':15},
            'country':[0,1,2],</v>
      </c>
    </row>
    <row r="37" s="312" customFormat="1" ht="14.25" customHeight="1" spans="1:25">
      <c r="A37" s="214">
        <v>5269</v>
      </c>
      <c r="B37" s="214">
        <f>VLOOKUP(表1_86121822242672112110[[#This Row],[区服]],$P$62:$Q$80,2,FALSE)</f>
        <v>39</v>
      </c>
      <c r="C37" s="293" t="s">
        <v>268</v>
      </c>
      <c r="D37" s="216" t="str">
        <f>表1_86121822242672112110[[#This Row],[目标国家]]</f>
        <v>吴</v>
      </c>
      <c r="E37" s="294">
        <f>(VLOOKUP(表1_86121822242672112110[[#This Row],[目标区服]],$R$62:$S$68,2,FALSE)-表1_86121822242672112110[[#This Row],[开服天数]])*配置!$B$1</f>
        <v>1500</v>
      </c>
      <c r="F37" s="217">
        <f>表1_86121822242672112110[[#This Row],[补偿Coin]]*(表1_86121822242672112110[[#This Row],[活跃高战玩家数]]+表1_86121822242672112110[[#This Row],[活跃中坚玩家数]])</f>
        <v>55500</v>
      </c>
      <c r="G37" s="294">
        <f>(VLOOKUP(表1_86121822242672112110[[#This Row],[目标区服]],$R$62:$S$68,2,FALSE)-表1_86121822242672112110[[#This Row],[开服天数]])*配置!$B$2</f>
        <v>15</v>
      </c>
      <c r="H37" s="216" t="s">
        <v>27</v>
      </c>
      <c r="I37" s="216">
        <f>IF(表1_86121822242672112110[[#This Row],[原国家]]="魏",0,IF(表1_86121822242672112110[[#This Row],[原国家]]="蜀",1,2))</f>
        <v>2</v>
      </c>
      <c r="J37" s="333">
        <v>9</v>
      </c>
      <c r="K37" s="333">
        <v>320</v>
      </c>
      <c r="L37" s="333">
        <v>8</v>
      </c>
      <c r="M37" s="333">
        <v>29</v>
      </c>
      <c r="N37" s="333">
        <v>204176</v>
      </c>
      <c r="O37" s="334">
        <v>2803392</v>
      </c>
      <c r="P37" s="334">
        <v>30380676</v>
      </c>
      <c r="Q37" s="247" t="s">
        <v>27</v>
      </c>
      <c r="R37" s="216">
        <f>IF(表1_86121822242672112110[[#This Row],[目标国家]]="魏",0,IF(表1_86121822242672112110[[#This Row],[目标国家]]="蜀",1,2))</f>
        <v>2</v>
      </c>
      <c r="S37" s="333">
        <v>168760</v>
      </c>
      <c r="T37" s="333">
        <v>0</v>
      </c>
      <c r="U37" s="333">
        <v>675955</v>
      </c>
      <c r="V37" s="333">
        <v>16363</v>
      </c>
      <c r="W37" s="342">
        <v>946541</v>
      </c>
      <c r="X37" s="249" t="str">
        <f>"{"&amp;"'coin':"&amp;表1_86121822242672112110[[#This Row],[补偿Coin]]&amp;",'"&amp;配置!$A$2&amp;"':"&amp;表1_86121822242672112110[[#This Row],[补偿辎重]]&amp;"},"</f>
        <v>{'coin':1500,'item036':15},</v>
      </c>
      <c r="Y37" s="251" t="str">
        <f>"      },"</f>
        <v>      },</v>
      </c>
    </row>
    <row r="38" s="312" customFormat="1" ht="14.25" customHeight="1" spans="1:25">
      <c r="A38" s="214">
        <v>5270</v>
      </c>
      <c r="B38" s="214">
        <f>VLOOKUP(表1_86121822242672112110[[#This Row],[区服]],$P$62:$Q$80,2,FALSE)</f>
        <v>39</v>
      </c>
      <c r="C38" s="293" t="s">
        <v>268</v>
      </c>
      <c r="D38" s="322" t="str">
        <f>表1_86121822242672112110[[#This Row],[目标国家]]</f>
        <v>魏</v>
      </c>
      <c r="E38" s="294">
        <f>(VLOOKUP(表1_86121822242672112110[[#This Row],[目标区服]],$R$62:$S$68,2,FALSE)-表1_86121822242672112110[[#This Row],[开服天数]])*配置!$B$1</f>
        <v>1500</v>
      </c>
      <c r="F38" s="294">
        <f>表1_86121822242672112110[[#This Row],[补偿Coin]]*(表1_86121822242672112110[[#This Row],[活跃高战玩家数]]+表1_86121822242672112110[[#This Row],[活跃中坚玩家数]])</f>
        <v>24000</v>
      </c>
      <c r="G38" s="294">
        <f>(VLOOKUP(表1_86121822242672112110[[#This Row],[目标区服]],$R$62:$S$68,2,FALSE)-表1_86121822242672112110[[#This Row],[开服天数]])*配置!$B$2</f>
        <v>15</v>
      </c>
      <c r="H38" s="216" t="s">
        <v>25</v>
      </c>
      <c r="I38" s="216">
        <f>IF(表1_86121822242672112110[[#This Row],[原国家]]="魏",0,IF(表1_86121822242672112110[[#This Row],[原国家]]="蜀",1,2))</f>
        <v>0</v>
      </c>
      <c r="J38" s="333">
        <v>0</v>
      </c>
      <c r="K38" s="333">
        <v>38</v>
      </c>
      <c r="L38" s="333">
        <v>0</v>
      </c>
      <c r="M38" s="333">
        <v>16</v>
      </c>
      <c r="N38" s="333">
        <v>52781</v>
      </c>
      <c r="O38" s="334">
        <v>1249635</v>
      </c>
      <c r="P38" s="334">
        <v>9877326</v>
      </c>
      <c r="Q38" s="247" t="s">
        <v>25</v>
      </c>
      <c r="R38" s="216">
        <f>IF(表1_86121822242672112110[[#This Row],[目标国家]]="魏",0,IF(表1_86121822242672112110[[#This Row],[目标国家]]="蜀",1,2))</f>
        <v>0</v>
      </c>
      <c r="S38" s="333">
        <v>10944</v>
      </c>
      <c r="T38" s="333">
        <v>0</v>
      </c>
      <c r="U38" s="333">
        <v>87675</v>
      </c>
      <c r="V38" s="333">
        <v>3253</v>
      </c>
      <c r="W38" s="349">
        <v>398434</v>
      </c>
      <c r="X38" s="249" t="str">
        <f>"{"&amp;"'coin':"&amp;表1_86121822242672112110[[#This Row],[补偿Coin]]&amp;",'"&amp;配置!$A$2&amp;"':"&amp;表1_86121822242672112110[[#This Row],[补偿辎重]]&amp;"},"</f>
        <v>{'coin':1500,'item036':15},</v>
      </c>
      <c r="Y38" s="251" t="str">
        <f>"      '"&amp;表1_86121822242672112110[[#This Row],[区服]]&amp;"':{"</f>
        <v>      '5270':{</v>
      </c>
    </row>
    <row r="39" s="312" customFormat="1" ht="14.25" customHeight="1" spans="1:25">
      <c r="A39" s="214">
        <v>5270</v>
      </c>
      <c r="B39" s="214">
        <f>VLOOKUP(表1_86121822242672112110[[#This Row],[区服]],$P$62:$Q$80,2,FALSE)</f>
        <v>39</v>
      </c>
      <c r="C39" s="293" t="s">
        <v>268</v>
      </c>
      <c r="D39" s="216" t="str">
        <f>表1_86121822242672112110[[#This Row],[目标国家]]</f>
        <v>蜀</v>
      </c>
      <c r="E39" s="294">
        <f>(VLOOKUP(表1_86121822242672112110[[#This Row],[目标区服]],$R$62:$S$68,2,FALSE)-表1_86121822242672112110[[#This Row],[开服天数]])*配置!$B$1</f>
        <v>1500</v>
      </c>
      <c r="F39" s="217">
        <f>表1_86121822242672112110[[#This Row],[补偿Coin]]*(表1_86121822242672112110[[#This Row],[活跃高战玩家数]]+表1_86121822242672112110[[#This Row],[活跃中坚玩家数]])</f>
        <v>51000</v>
      </c>
      <c r="G39" s="294">
        <f>(VLOOKUP(表1_86121822242672112110[[#This Row],[目标区服]],$R$62:$S$68,2,FALSE)-表1_86121822242672112110[[#This Row],[开服天数]])*配置!$B$2</f>
        <v>15</v>
      </c>
      <c r="H39" s="216" t="s">
        <v>26</v>
      </c>
      <c r="I39" s="216">
        <f>IF(表1_86121822242672112110[[#This Row],[原国家]]="魏",0,IF(表1_86121822242672112110[[#This Row],[原国家]]="蜀",1,2))</f>
        <v>1</v>
      </c>
      <c r="J39" s="333">
        <v>7</v>
      </c>
      <c r="K39" s="333">
        <v>284</v>
      </c>
      <c r="L39" s="333">
        <v>9</v>
      </c>
      <c r="M39" s="333">
        <v>25</v>
      </c>
      <c r="N39" s="333">
        <v>182765</v>
      </c>
      <c r="O39" s="334">
        <v>2254115</v>
      </c>
      <c r="P39" s="334">
        <v>29353572</v>
      </c>
      <c r="Q39" s="247" t="s">
        <v>26</v>
      </c>
      <c r="R39" s="216">
        <f>IF(表1_86121822242672112110[[#This Row],[目标国家]]="魏",0,IF(表1_86121822242672112110[[#This Row],[目标国家]]="蜀",1,2))</f>
        <v>1</v>
      </c>
      <c r="S39" s="333">
        <v>53014</v>
      </c>
      <c r="T39" s="333">
        <v>0</v>
      </c>
      <c r="U39" s="333">
        <v>450275</v>
      </c>
      <c r="V39" s="333">
        <v>11458</v>
      </c>
      <c r="W39" s="342">
        <v>731593</v>
      </c>
      <c r="X39" s="249" t="str">
        <f>"{"&amp;"'coin':"&amp;表1_86121822242672112110[[#This Row],[补偿Coin]]&amp;",'"&amp;配置!$A$2&amp;"':"&amp;表1_86121822242672112110[[#This Row],[补偿辎重]]&amp;"},"</f>
        <v>{'coin':1500,'item036':15},</v>
      </c>
      <c r="Y39" s="251" t="str">
        <f>"            'to_zone':'"&amp;表1_86121822242672112110[[#This Row],[目标区服]]&amp;"',
            'reward':"&amp;表1_86121822242672112110[[#This Row],[辅助导出]]&amp;"
            'country':["&amp;R38&amp;","&amp;R39&amp;","&amp;R40&amp;"],"</f>
        <v>            'to_zone':'h1_611',
            'reward':{'coin':1500,'item036':15},
            'country':[0,1,1],</v>
      </c>
    </row>
    <row r="40" s="312" customFormat="1" ht="14.25" customHeight="1" spans="1:25">
      <c r="A40" s="214">
        <v>5270</v>
      </c>
      <c r="B40" s="214">
        <f>VLOOKUP(表1_86121822242672112110[[#This Row],[区服]],$P$62:$Q$80,2,FALSE)</f>
        <v>39</v>
      </c>
      <c r="C40" s="293" t="s">
        <v>268</v>
      </c>
      <c r="D40" s="216" t="str">
        <f>表1_86121822242672112110[[#This Row],[目标国家]]</f>
        <v>蜀</v>
      </c>
      <c r="E40" s="294">
        <f>(VLOOKUP(表1_86121822242672112110[[#This Row],[目标区服]],$R$62:$S$68,2,FALSE)-表1_86121822242672112110[[#This Row],[开服天数]])*配置!$B$1</f>
        <v>1500</v>
      </c>
      <c r="F40" s="217">
        <f>表1_86121822242672112110[[#This Row],[补偿Coin]]*(表1_86121822242672112110[[#This Row],[活跃高战玩家数]]+表1_86121822242672112110[[#This Row],[活跃中坚玩家数]])</f>
        <v>39000</v>
      </c>
      <c r="G40" s="294">
        <f>(VLOOKUP(表1_86121822242672112110[[#This Row],[目标区服]],$R$62:$S$68,2,FALSE)-表1_86121822242672112110[[#This Row],[开服天数]])*配置!$B$2</f>
        <v>15</v>
      </c>
      <c r="H40" s="216" t="s">
        <v>27</v>
      </c>
      <c r="I40" s="216">
        <f>IF(表1_86121822242672112110[[#This Row],[原国家]]="魏",0,IF(表1_86121822242672112110[[#This Row],[原国家]]="蜀",1,2))</f>
        <v>2</v>
      </c>
      <c r="J40" s="333">
        <v>2</v>
      </c>
      <c r="K40" s="333">
        <v>73</v>
      </c>
      <c r="L40" s="333">
        <v>1</v>
      </c>
      <c r="M40" s="333">
        <v>25</v>
      </c>
      <c r="N40" s="333">
        <v>86339</v>
      </c>
      <c r="O40" s="334">
        <v>1676609</v>
      </c>
      <c r="P40" s="334">
        <v>16490751</v>
      </c>
      <c r="Q40" s="247" t="s">
        <v>26</v>
      </c>
      <c r="R40" s="216">
        <f>IF(表1_86121822242672112110[[#This Row],[目标国家]]="魏",0,IF(表1_86121822242672112110[[#This Row],[目标国家]]="蜀",1,2))</f>
        <v>1</v>
      </c>
      <c r="S40" s="333">
        <v>32346</v>
      </c>
      <c r="T40" s="333">
        <v>0</v>
      </c>
      <c r="U40" s="333">
        <v>193893</v>
      </c>
      <c r="V40" s="333">
        <v>5754</v>
      </c>
      <c r="W40" s="349">
        <v>527578</v>
      </c>
      <c r="X40" s="249" t="str">
        <f>"{"&amp;"'coin':"&amp;表1_86121822242672112110[[#This Row],[补偿Coin]]&amp;",'"&amp;配置!$A$2&amp;"':"&amp;表1_86121822242672112110[[#This Row],[补偿辎重]]&amp;"},"</f>
        <v>{'coin':1500,'item036':15},</v>
      </c>
      <c r="Y40" s="251" t="str">
        <f>"      },"</f>
        <v>      },</v>
      </c>
    </row>
    <row r="41" s="312" customFormat="1" ht="14.25" customHeight="1" spans="1:25">
      <c r="A41" s="205">
        <v>5271</v>
      </c>
      <c r="B41" s="205">
        <f>VLOOKUP(表1_86121822242672112110[[#This Row],[区服]],$P$62:$Q$80,2,FALSE)</f>
        <v>39</v>
      </c>
      <c r="C41" s="291" t="s">
        <v>269</v>
      </c>
      <c r="D41" s="345" t="str">
        <f>表1_86121822242672112110[[#This Row],[目标国家]]</f>
        <v>吴</v>
      </c>
      <c r="E41" s="292">
        <f>(VLOOKUP(表1_86121822242672112110[[#This Row],[目标区服]],$R$62:$S$68,2,FALSE)-表1_86121822242672112110[[#This Row],[开服天数]])*配置!$B$1</f>
        <v>1000</v>
      </c>
      <c r="F41" s="292">
        <f>表1_86121822242672112110[[#This Row],[补偿Coin]]*(表1_86121822242672112110[[#This Row],[活跃高战玩家数]]+表1_86121822242672112110[[#This Row],[活跃中坚玩家数]])</f>
        <v>23000</v>
      </c>
      <c r="G41" s="292">
        <f>(VLOOKUP(表1_86121822242672112110[[#This Row],[目标区服]],$R$62:$S$68,2,FALSE)-表1_86121822242672112110[[#This Row],[开服天数]])*配置!$B$2</f>
        <v>10</v>
      </c>
      <c r="H41" s="207" t="s">
        <v>25</v>
      </c>
      <c r="I41" s="207">
        <f>IF(表1_86121822242672112110[[#This Row],[原国家]]="魏",0,IF(表1_86121822242672112110[[#This Row],[原国家]]="蜀",1,2))</f>
        <v>0</v>
      </c>
      <c r="J41" s="346">
        <v>2</v>
      </c>
      <c r="K41" s="346">
        <v>94</v>
      </c>
      <c r="L41" s="346">
        <v>3</v>
      </c>
      <c r="M41" s="346">
        <v>20</v>
      </c>
      <c r="N41" s="346">
        <v>81052</v>
      </c>
      <c r="O41" s="347">
        <v>1289760</v>
      </c>
      <c r="P41" s="347">
        <v>11900479</v>
      </c>
      <c r="Q41" s="239" t="s">
        <v>27</v>
      </c>
      <c r="R41" s="207">
        <f>IF(表1_86121822242672112110[[#This Row],[目标国家]]="魏",0,IF(表1_86121822242672112110[[#This Row],[目标国家]]="蜀",1,2))</f>
        <v>2</v>
      </c>
      <c r="S41" s="346">
        <v>18066</v>
      </c>
      <c r="T41" s="346">
        <v>0</v>
      </c>
      <c r="U41" s="346">
        <v>207507</v>
      </c>
      <c r="V41" s="346">
        <v>4670</v>
      </c>
      <c r="W41" s="350">
        <v>411374</v>
      </c>
      <c r="X41" s="303" t="str">
        <f>"{"&amp;"'coin':"&amp;表1_86121822242672112110[[#This Row],[补偿Coin]]&amp;",'"&amp;配置!$A$2&amp;"':"&amp;表1_86121822242672112110[[#This Row],[补偿辎重]]&amp;"},"</f>
        <v>{'coin':1000,'item036':10},</v>
      </c>
      <c r="Y41" s="305" t="str">
        <f>"      '"&amp;表1_86121822242672112110[[#This Row],[区服]]&amp;"':{"</f>
        <v>      '5271':{</v>
      </c>
    </row>
    <row r="42" s="312" customFormat="1" ht="14.25" customHeight="1" spans="1:25">
      <c r="A42" s="205">
        <v>5271</v>
      </c>
      <c r="B42" s="205">
        <f>VLOOKUP(表1_86121822242672112110[[#This Row],[区服]],$P$62:$Q$80,2,FALSE)</f>
        <v>39</v>
      </c>
      <c r="C42" s="291" t="s">
        <v>269</v>
      </c>
      <c r="D42" s="207" t="str">
        <f>表1_86121822242672112110[[#This Row],[目标国家]]</f>
        <v>吴</v>
      </c>
      <c r="E42" s="292">
        <f>(VLOOKUP(表1_86121822242672112110[[#This Row],[目标区服]],$R$62:$S$68,2,FALSE)-表1_86121822242672112110[[#This Row],[开服天数]])*配置!$B$1</f>
        <v>1000</v>
      </c>
      <c r="F42" s="208">
        <f>表1_86121822242672112110[[#This Row],[补偿Coin]]*(表1_86121822242672112110[[#This Row],[活跃高战玩家数]]+表1_86121822242672112110[[#This Row],[活跃中坚玩家数]])</f>
        <v>29000</v>
      </c>
      <c r="G42" s="292">
        <f>(VLOOKUP(表1_86121822242672112110[[#This Row],[目标区服]],$R$62:$S$68,2,FALSE)-表1_86121822242672112110[[#This Row],[开服天数]])*配置!$B$2</f>
        <v>10</v>
      </c>
      <c r="H42" s="207" t="s">
        <v>26</v>
      </c>
      <c r="I42" s="207">
        <f>IF(表1_86121822242672112110[[#This Row],[原国家]]="魏",0,IF(表1_86121822242672112110[[#This Row],[原国家]]="蜀",1,2))</f>
        <v>1</v>
      </c>
      <c r="J42" s="346">
        <v>6</v>
      </c>
      <c r="K42" s="346">
        <v>221</v>
      </c>
      <c r="L42" s="346">
        <v>6</v>
      </c>
      <c r="M42" s="346">
        <v>23</v>
      </c>
      <c r="N42" s="346">
        <v>161245</v>
      </c>
      <c r="O42" s="347">
        <v>2290297</v>
      </c>
      <c r="P42" s="347">
        <v>21976930</v>
      </c>
      <c r="Q42" s="239" t="s">
        <v>27</v>
      </c>
      <c r="R42" s="207">
        <f>IF(表1_86121822242672112110[[#This Row],[目标国家]]="魏",0,IF(表1_86121822242672112110[[#This Row],[目标国家]]="蜀",1,2))</f>
        <v>2</v>
      </c>
      <c r="S42" s="346">
        <v>42988</v>
      </c>
      <c r="T42" s="346">
        <v>0</v>
      </c>
      <c r="U42" s="346">
        <v>649293</v>
      </c>
      <c r="V42" s="346">
        <v>9718</v>
      </c>
      <c r="W42" s="350">
        <v>641962</v>
      </c>
      <c r="X42" s="303" t="str">
        <f>"{"&amp;"'coin':"&amp;表1_86121822242672112110[[#This Row],[补偿Coin]]&amp;",'"&amp;配置!$A$2&amp;"':"&amp;表1_86121822242672112110[[#This Row],[补偿辎重]]&amp;"},"</f>
        <v>{'coin':1000,'item036':10},</v>
      </c>
      <c r="Y42" s="305" t="str">
        <f>"            'to_zone':'"&amp;表1_86121822242672112110[[#This Row],[目标区服]]&amp;"',
            'reward':"&amp;表1_86121822242672112110[[#This Row],[辅助导出]]&amp;"
            'country':["&amp;R41&amp;","&amp;R42&amp;","&amp;R43&amp;"],"</f>
        <v>            'to_zone':'h1_612',
            'reward':{'coin':1000,'item036':10},
            'country':[2,2,0],</v>
      </c>
    </row>
    <row r="43" s="312" customFormat="1" ht="14.25" customHeight="1" spans="1:25">
      <c r="A43" s="205">
        <v>5271</v>
      </c>
      <c r="B43" s="205">
        <f>VLOOKUP(表1_86121822242672112110[[#This Row],[区服]],$P$62:$Q$80,2,FALSE)</f>
        <v>39</v>
      </c>
      <c r="C43" s="291" t="s">
        <v>269</v>
      </c>
      <c r="D43" s="207" t="str">
        <f>表1_86121822242672112110[[#This Row],[目标国家]]</f>
        <v>魏</v>
      </c>
      <c r="E43" s="292">
        <f>(VLOOKUP(表1_86121822242672112110[[#This Row],[目标区服]],$R$62:$S$68,2,FALSE)-表1_86121822242672112110[[#This Row],[开服天数]])*配置!$B$1</f>
        <v>1000</v>
      </c>
      <c r="F43" s="208">
        <f>表1_86121822242672112110[[#This Row],[补偿Coin]]*(表1_86121822242672112110[[#This Row],[活跃高战玩家数]]+表1_86121822242672112110[[#This Row],[活跃中坚玩家数]])</f>
        <v>19000</v>
      </c>
      <c r="G43" s="292">
        <f>(VLOOKUP(表1_86121822242672112110[[#This Row],[目标区服]],$R$62:$S$68,2,FALSE)-表1_86121822242672112110[[#This Row],[开服天数]])*配置!$B$2</f>
        <v>10</v>
      </c>
      <c r="H43" s="207" t="s">
        <v>27</v>
      </c>
      <c r="I43" s="207">
        <f>IF(表1_86121822242672112110[[#This Row],[原国家]]="魏",0,IF(表1_86121822242672112110[[#This Row],[原国家]]="蜀",1,2))</f>
        <v>2</v>
      </c>
      <c r="J43" s="346">
        <v>1</v>
      </c>
      <c r="K43" s="346">
        <v>80</v>
      </c>
      <c r="L43" s="346">
        <v>1</v>
      </c>
      <c r="M43" s="346">
        <v>18</v>
      </c>
      <c r="N43" s="346">
        <v>67608</v>
      </c>
      <c r="O43" s="347">
        <v>1246565</v>
      </c>
      <c r="P43" s="347">
        <v>9887681</v>
      </c>
      <c r="Q43" s="239" t="s">
        <v>25</v>
      </c>
      <c r="R43" s="207">
        <f>IF(表1_86121822242672112110[[#This Row],[目标国家]]="魏",0,IF(表1_86121822242672112110[[#This Row],[目标国家]]="蜀",1,2))</f>
        <v>0</v>
      </c>
      <c r="S43" s="346">
        <v>5920</v>
      </c>
      <c r="T43" s="346">
        <v>0</v>
      </c>
      <c r="U43" s="346">
        <v>182750</v>
      </c>
      <c r="V43" s="346">
        <v>3742</v>
      </c>
      <c r="W43" s="350">
        <v>385763</v>
      </c>
      <c r="X43" s="303" t="str">
        <f>"{"&amp;"'coin':"&amp;表1_86121822242672112110[[#This Row],[补偿Coin]]&amp;",'"&amp;配置!$A$2&amp;"':"&amp;表1_86121822242672112110[[#This Row],[补偿辎重]]&amp;"},"</f>
        <v>{'coin':1000,'item036':10},</v>
      </c>
      <c r="Y43" s="305" t="str">
        <f>"      },"</f>
        <v>      },</v>
      </c>
    </row>
    <row r="44" s="312" customFormat="1" ht="14.25" customHeight="1" spans="1:25">
      <c r="A44" s="205">
        <v>5272</v>
      </c>
      <c r="B44" s="205">
        <f>VLOOKUP(表1_86121822242672112110[[#This Row],[区服]],$P$62:$Q$80,2,FALSE)</f>
        <v>39</v>
      </c>
      <c r="C44" s="291" t="s">
        <v>269</v>
      </c>
      <c r="D44" s="345" t="str">
        <f>表1_86121822242672112110[[#This Row],[目标国家]]</f>
        <v>魏</v>
      </c>
      <c r="E44" s="292">
        <f>(VLOOKUP(表1_86121822242672112110[[#This Row],[目标区服]],$R$62:$S$68,2,FALSE)-表1_86121822242672112110[[#This Row],[开服天数]])*配置!$B$1</f>
        <v>1000</v>
      </c>
      <c r="F44" s="292">
        <f>表1_86121822242672112110[[#This Row],[补偿Coin]]*(表1_86121822242672112110[[#This Row],[活跃高战玩家数]]+表1_86121822242672112110[[#This Row],[活跃中坚玩家数]])</f>
        <v>6000</v>
      </c>
      <c r="G44" s="292">
        <f>(VLOOKUP(表1_86121822242672112110[[#This Row],[目标区服]],$R$62:$S$68,2,FALSE)-表1_86121822242672112110[[#This Row],[开服天数]])*配置!$B$2</f>
        <v>10</v>
      </c>
      <c r="H44" s="207" t="s">
        <v>25</v>
      </c>
      <c r="I44" s="207">
        <f>IF(表1_86121822242672112110[[#This Row],[原国家]]="魏",0,IF(表1_86121822242672112110[[#This Row],[原国家]]="蜀",1,2))</f>
        <v>0</v>
      </c>
      <c r="J44" s="346">
        <v>0</v>
      </c>
      <c r="K44" s="346">
        <v>15</v>
      </c>
      <c r="L44" s="346">
        <v>0</v>
      </c>
      <c r="M44" s="346">
        <v>6</v>
      </c>
      <c r="N44" s="346">
        <v>21637</v>
      </c>
      <c r="O44" s="347">
        <v>718920</v>
      </c>
      <c r="P44" s="347">
        <v>3013996</v>
      </c>
      <c r="Q44" s="239" t="s">
        <v>25</v>
      </c>
      <c r="R44" s="207">
        <f>IF(表1_86121822242672112110[[#This Row],[目标国家]]="魏",0,IF(表1_86121822242672112110[[#This Row],[目标国家]]="蜀",1,2))</f>
        <v>0</v>
      </c>
      <c r="S44" s="346">
        <v>2542</v>
      </c>
      <c r="T44" s="346">
        <v>0</v>
      </c>
      <c r="U44" s="346">
        <v>25120</v>
      </c>
      <c r="V44" s="346">
        <v>1367</v>
      </c>
      <c r="W44" s="350">
        <v>193182</v>
      </c>
      <c r="X44" s="303" t="str">
        <f>"{"&amp;"'coin':"&amp;表1_86121822242672112110[[#This Row],[补偿Coin]]&amp;",'"&amp;配置!$A$2&amp;"':"&amp;表1_86121822242672112110[[#This Row],[补偿辎重]]&amp;"},"</f>
        <v>{'coin':1000,'item036':10},</v>
      </c>
      <c r="Y44" s="305" t="str">
        <f>"      '"&amp;表1_86121822242672112110[[#This Row],[区服]]&amp;"':{"</f>
        <v>      '5272':{</v>
      </c>
    </row>
    <row r="45" s="312" customFormat="1" ht="14.25" customHeight="1" spans="1:25">
      <c r="A45" s="205">
        <v>5272</v>
      </c>
      <c r="B45" s="205">
        <f>VLOOKUP(表1_86121822242672112110[[#This Row],[区服]],$P$62:$Q$80,2,FALSE)</f>
        <v>39</v>
      </c>
      <c r="C45" s="291" t="s">
        <v>269</v>
      </c>
      <c r="D45" s="207" t="str">
        <f>表1_86121822242672112110[[#This Row],[目标国家]]</f>
        <v>蜀</v>
      </c>
      <c r="E45" s="292">
        <f>(VLOOKUP(表1_86121822242672112110[[#This Row],[目标区服]],$R$62:$S$68,2,FALSE)-表1_86121822242672112110[[#This Row],[开服天数]])*配置!$B$1</f>
        <v>1000</v>
      </c>
      <c r="F45" s="208">
        <f>表1_86121822242672112110[[#This Row],[补偿Coin]]*(表1_86121822242672112110[[#This Row],[活跃高战玩家数]]+表1_86121822242672112110[[#This Row],[活跃中坚玩家数]])</f>
        <v>29000</v>
      </c>
      <c r="G45" s="292">
        <f>(VLOOKUP(表1_86121822242672112110[[#This Row],[目标区服]],$R$62:$S$68,2,FALSE)-表1_86121822242672112110[[#This Row],[开服天数]])*配置!$B$2</f>
        <v>10</v>
      </c>
      <c r="H45" s="207" t="s">
        <v>26</v>
      </c>
      <c r="I45" s="207">
        <f>IF(表1_86121822242672112110[[#This Row],[原国家]]="魏",0,IF(表1_86121822242672112110[[#This Row],[原国家]]="蜀",1,2))</f>
        <v>1</v>
      </c>
      <c r="J45" s="346">
        <v>6</v>
      </c>
      <c r="K45" s="346">
        <v>268</v>
      </c>
      <c r="L45" s="346">
        <v>6</v>
      </c>
      <c r="M45" s="346">
        <v>23</v>
      </c>
      <c r="N45" s="346">
        <v>154723</v>
      </c>
      <c r="O45" s="347">
        <v>3614347</v>
      </c>
      <c r="P45" s="347">
        <v>25343894</v>
      </c>
      <c r="Q45" s="239" t="s">
        <v>26</v>
      </c>
      <c r="R45" s="207">
        <f>IF(表1_86121822242672112110[[#This Row],[目标国家]]="魏",0,IF(表1_86121822242672112110[[#This Row],[目标国家]]="蜀",1,2))</f>
        <v>1</v>
      </c>
      <c r="S45" s="346">
        <v>123136</v>
      </c>
      <c r="T45" s="346">
        <v>0</v>
      </c>
      <c r="U45" s="346">
        <v>470798</v>
      </c>
      <c r="V45" s="346">
        <v>14131</v>
      </c>
      <c r="W45" s="351">
        <v>1061340</v>
      </c>
      <c r="X45" s="303" t="str">
        <f>"{"&amp;"'coin':"&amp;表1_86121822242672112110[[#This Row],[补偿Coin]]&amp;",'"&amp;配置!$A$2&amp;"':"&amp;表1_86121822242672112110[[#This Row],[补偿辎重]]&amp;"},"</f>
        <v>{'coin':1000,'item036':10},</v>
      </c>
      <c r="Y45" s="305" t="str">
        <f>"            'to_zone':'"&amp;表1_86121822242672112110[[#This Row],[目标区服]]&amp;"',
            'reward':"&amp;表1_86121822242672112110[[#This Row],[辅助导出]]&amp;"
            'country':["&amp;R44&amp;","&amp;R45&amp;","&amp;R46&amp;"],"</f>
        <v>            'to_zone':'h1_612',
            'reward':{'coin':1000,'item036':10},
            'country':[0,1,2],</v>
      </c>
    </row>
    <row r="46" s="312" customFormat="1" ht="14.25" customHeight="1" spans="1:25">
      <c r="A46" s="205">
        <v>5272</v>
      </c>
      <c r="B46" s="205">
        <f>VLOOKUP(表1_86121822242672112110[[#This Row],[区服]],$P$62:$Q$80,2,FALSE)</f>
        <v>39</v>
      </c>
      <c r="C46" s="291" t="s">
        <v>269</v>
      </c>
      <c r="D46" s="207" t="str">
        <f>表1_86121822242672112110[[#This Row],[目标国家]]</f>
        <v>吴</v>
      </c>
      <c r="E46" s="292">
        <f>(VLOOKUP(表1_86121822242672112110[[#This Row],[目标区服]],$R$62:$S$68,2,FALSE)-表1_86121822242672112110[[#This Row],[开服天数]])*配置!$B$1</f>
        <v>1000</v>
      </c>
      <c r="F46" s="208">
        <f>表1_86121822242672112110[[#This Row],[补偿Coin]]*(表1_86121822242672112110[[#This Row],[活跃高战玩家数]]+表1_86121822242672112110[[#This Row],[活跃中坚玩家数]])</f>
        <v>16000</v>
      </c>
      <c r="G46" s="292">
        <f>(VLOOKUP(表1_86121822242672112110[[#This Row],[目标区服]],$R$62:$S$68,2,FALSE)-表1_86121822242672112110[[#This Row],[开服天数]])*配置!$B$2</f>
        <v>10</v>
      </c>
      <c r="H46" s="207" t="s">
        <v>27</v>
      </c>
      <c r="I46" s="207">
        <f>IF(表1_86121822242672112110[[#This Row],[原国家]]="魏",0,IF(表1_86121822242672112110[[#This Row],[原国家]]="蜀",1,2))</f>
        <v>2</v>
      </c>
      <c r="J46" s="346">
        <v>3</v>
      </c>
      <c r="K46" s="346">
        <v>112</v>
      </c>
      <c r="L46" s="346">
        <v>4</v>
      </c>
      <c r="M46" s="346">
        <v>12</v>
      </c>
      <c r="N46" s="346">
        <v>103255</v>
      </c>
      <c r="O46" s="347">
        <v>2968519</v>
      </c>
      <c r="P46" s="347">
        <v>16063149</v>
      </c>
      <c r="Q46" s="239" t="s">
        <v>27</v>
      </c>
      <c r="R46" s="207">
        <f>IF(表1_86121822242672112110[[#This Row],[目标国家]]="魏",0,IF(表1_86121822242672112110[[#This Row],[目标国家]]="蜀",1,2))</f>
        <v>2</v>
      </c>
      <c r="S46" s="346">
        <v>58956</v>
      </c>
      <c r="T46" s="346">
        <v>0</v>
      </c>
      <c r="U46" s="346">
        <v>378682</v>
      </c>
      <c r="V46" s="346">
        <v>8469</v>
      </c>
      <c r="W46" s="351">
        <v>892578</v>
      </c>
      <c r="X46" s="303" t="str">
        <f>"{"&amp;"'coin':"&amp;表1_86121822242672112110[[#This Row],[补偿Coin]]&amp;",'"&amp;配置!$A$2&amp;"':"&amp;表1_86121822242672112110[[#This Row],[补偿辎重]]&amp;"},"</f>
        <v>{'coin':1000,'item036':10},</v>
      </c>
      <c r="Y46" s="305" t="str">
        <f>"      },"</f>
        <v>      },</v>
      </c>
    </row>
    <row r="47" s="312" customFormat="1" ht="14.25" customHeight="1" spans="1:25">
      <c r="A47" s="205">
        <v>5273</v>
      </c>
      <c r="B47" s="205">
        <f>VLOOKUP(表1_86121822242672112110[[#This Row],[区服]],$P$62:$Q$80,2,FALSE)</f>
        <v>38</v>
      </c>
      <c r="C47" s="291" t="s">
        <v>269</v>
      </c>
      <c r="D47" s="345" t="str">
        <f>表1_86121822242672112110[[#This Row],[目标国家]]</f>
        <v>魏</v>
      </c>
      <c r="E47" s="292">
        <f>(VLOOKUP(表1_86121822242672112110[[#This Row],[目标区服]],$R$62:$S$68,2,FALSE)-表1_86121822242672112110[[#This Row],[开服天数]])*配置!$B$1</f>
        <v>1500</v>
      </c>
      <c r="F47" s="292">
        <f>表1_86121822242672112110[[#This Row],[补偿Coin]]*(表1_86121822242672112110[[#This Row],[活跃高战玩家数]]+表1_86121822242672112110[[#This Row],[活跃中坚玩家数]])</f>
        <v>25500</v>
      </c>
      <c r="G47" s="292">
        <f>(VLOOKUP(表1_86121822242672112110[[#This Row],[目标区服]],$R$62:$S$68,2,FALSE)-表1_86121822242672112110[[#This Row],[开服天数]])*配置!$B$2</f>
        <v>15</v>
      </c>
      <c r="H47" s="207" t="s">
        <v>25</v>
      </c>
      <c r="I47" s="207">
        <f>IF(表1_86121822242672112110[[#This Row],[原国家]]="魏",0,IF(表1_86121822242672112110[[#This Row],[原国家]]="蜀",1,2))</f>
        <v>0</v>
      </c>
      <c r="J47" s="346">
        <v>0</v>
      </c>
      <c r="K47" s="346">
        <v>65</v>
      </c>
      <c r="L47" s="346">
        <v>1</v>
      </c>
      <c r="M47" s="346">
        <v>16</v>
      </c>
      <c r="N47" s="346">
        <v>62428</v>
      </c>
      <c r="O47" s="347">
        <v>2054534</v>
      </c>
      <c r="P47" s="347">
        <v>11430267</v>
      </c>
      <c r="Q47" s="239" t="s">
        <v>25</v>
      </c>
      <c r="R47" s="207">
        <f>IF(表1_86121822242672112110[[#This Row],[目标国家]]="魏",0,IF(表1_86121822242672112110[[#This Row],[目标国家]]="蜀",1,2))</f>
        <v>0</v>
      </c>
      <c r="S47" s="346">
        <v>66534</v>
      </c>
      <c r="T47" s="346">
        <v>0</v>
      </c>
      <c r="U47" s="346">
        <v>117159</v>
      </c>
      <c r="V47" s="346">
        <v>6214</v>
      </c>
      <c r="W47" s="350">
        <v>624826</v>
      </c>
      <c r="X47" s="303" t="str">
        <f>"{"&amp;"'coin':"&amp;表1_86121822242672112110[[#This Row],[补偿Coin]]&amp;",'"&amp;配置!$A$2&amp;"':"&amp;表1_86121822242672112110[[#This Row],[补偿辎重]]&amp;"},"</f>
        <v>{'coin':1500,'item036':15},</v>
      </c>
      <c r="Y47" s="305" t="str">
        <f>"      '"&amp;表1_86121822242672112110[[#This Row],[区服]]&amp;"':{"</f>
        <v>      '5273':{</v>
      </c>
    </row>
    <row r="48" s="312" customFormat="1" ht="14.25" customHeight="1" spans="1:25">
      <c r="A48" s="205">
        <v>5273</v>
      </c>
      <c r="B48" s="205">
        <f>VLOOKUP(表1_86121822242672112110[[#This Row],[区服]],$P$62:$Q$80,2,FALSE)</f>
        <v>38</v>
      </c>
      <c r="C48" s="291" t="s">
        <v>269</v>
      </c>
      <c r="D48" s="207" t="str">
        <f>表1_86121822242672112110[[#This Row],[目标国家]]</f>
        <v>魏</v>
      </c>
      <c r="E48" s="292">
        <f>(VLOOKUP(表1_86121822242672112110[[#This Row],[目标区服]],$R$62:$S$68,2,FALSE)-表1_86121822242672112110[[#This Row],[开服天数]])*配置!$B$1</f>
        <v>1500</v>
      </c>
      <c r="F48" s="208">
        <f>表1_86121822242672112110[[#This Row],[补偿Coin]]*(表1_86121822242672112110[[#This Row],[活跃高战玩家数]]+表1_86121822242672112110[[#This Row],[活跃中坚玩家数]])</f>
        <v>45000</v>
      </c>
      <c r="G48" s="292">
        <f>(VLOOKUP(表1_86121822242672112110[[#This Row],[目标区服]],$R$62:$S$68,2,FALSE)-表1_86121822242672112110[[#This Row],[开服天数]])*配置!$B$2</f>
        <v>15</v>
      </c>
      <c r="H48" s="207" t="s">
        <v>26</v>
      </c>
      <c r="I48" s="207">
        <f>IF(表1_86121822242672112110[[#This Row],[原国家]]="魏",0,IF(表1_86121822242672112110[[#This Row],[原国家]]="蜀",1,2))</f>
        <v>1</v>
      </c>
      <c r="J48" s="346">
        <v>6</v>
      </c>
      <c r="K48" s="346">
        <v>225</v>
      </c>
      <c r="L48" s="346">
        <v>5</v>
      </c>
      <c r="M48" s="346">
        <v>25</v>
      </c>
      <c r="N48" s="346">
        <v>138859</v>
      </c>
      <c r="O48" s="347">
        <v>2510560</v>
      </c>
      <c r="P48" s="347">
        <v>23598492</v>
      </c>
      <c r="Q48" s="239" t="s">
        <v>25</v>
      </c>
      <c r="R48" s="207">
        <f>IF(表1_86121822242672112110[[#This Row],[目标国家]]="魏",0,IF(表1_86121822242672112110[[#This Row],[目标国家]]="蜀",1,2))</f>
        <v>0</v>
      </c>
      <c r="S48" s="346">
        <v>86154</v>
      </c>
      <c r="T48" s="346">
        <v>0</v>
      </c>
      <c r="U48" s="346">
        <v>435691</v>
      </c>
      <c r="V48" s="346">
        <v>11217</v>
      </c>
      <c r="W48" s="351">
        <v>673861</v>
      </c>
      <c r="X48" s="303" t="str">
        <f>"{"&amp;"'coin':"&amp;表1_86121822242672112110[[#This Row],[补偿Coin]]&amp;",'"&amp;配置!$A$2&amp;"':"&amp;表1_86121822242672112110[[#This Row],[补偿辎重]]&amp;"},"</f>
        <v>{'coin':1500,'item036':15},</v>
      </c>
      <c r="Y48" s="305" t="str">
        <f>"            'to_zone':'"&amp;表1_86121822242672112110[[#This Row],[目标区服]]&amp;"',
            'reward':"&amp;表1_86121822242672112110[[#This Row],[辅助导出]]&amp;"
            'country':["&amp;R47&amp;","&amp;R48&amp;","&amp;R49&amp;"],"</f>
        <v>            'to_zone':'h1_612',
            'reward':{'coin':1500,'item036':15},
            'country':[0,0,1],</v>
      </c>
    </row>
    <row r="49" s="312" customFormat="1" ht="14.25" customHeight="1" spans="1:25">
      <c r="A49" s="205">
        <v>5273</v>
      </c>
      <c r="B49" s="205">
        <f>VLOOKUP(表1_86121822242672112110[[#This Row],[区服]],$P$62:$Q$80,2,FALSE)</f>
        <v>38</v>
      </c>
      <c r="C49" s="291" t="s">
        <v>269</v>
      </c>
      <c r="D49" s="207" t="str">
        <f>表1_86121822242672112110[[#This Row],[目标国家]]</f>
        <v>蜀</v>
      </c>
      <c r="E49" s="292">
        <f>(VLOOKUP(表1_86121822242672112110[[#This Row],[目标区服]],$R$62:$S$68,2,FALSE)-表1_86121822242672112110[[#This Row],[开服天数]])*配置!$B$1</f>
        <v>1500</v>
      </c>
      <c r="F49" s="208">
        <f>表1_86121822242672112110[[#This Row],[补偿Coin]]*(表1_86121822242672112110[[#This Row],[活跃高战玩家数]]+表1_86121822242672112110[[#This Row],[活跃中坚玩家数]])</f>
        <v>28500</v>
      </c>
      <c r="G49" s="292">
        <f>(VLOOKUP(表1_86121822242672112110[[#This Row],[目标区服]],$R$62:$S$68,2,FALSE)-表1_86121822242672112110[[#This Row],[开服天数]])*配置!$B$2</f>
        <v>15</v>
      </c>
      <c r="H49" s="207" t="s">
        <v>27</v>
      </c>
      <c r="I49" s="207">
        <f>IF(表1_86121822242672112110[[#This Row],[原国家]]="魏",0,IF(表1_86121822242672112110[[#This Row],[原国家]]="蜀",1,2))</f>
        <v>2</v>
      </c>
      <c r="J49" s="346">
        <v>3</v>
      </c>
      <c r="K49" s="346">
        <v>105</v>
      </c>
      <c r="L49" s="346">
        <v>4</v>
      </c>
      <c r="M49" s="346">
        <v>15</v>
      </c>
      <c r="N49" s="346">
        <v>85215</v>
      </c>
      <c r="O49" s="347">
        <v>2332307</v>
      </c>
      <c r="P49" s="347">
        <v>14954524</v>
      </c>
      <c r="Q49" s="239" t="s">
        <v>26</v>
      </c>
      <c r="R49" s="207">
        <f>IF(表1_86121822242672112110[[#This Row],[目标国家]]="魏",0,IF(表1_86121822242672112110[[#This Row],[目标国家]]="蜀",1,2))</f>
        <v>1</v>
      </c>
      <c r="S49" s="346">
        <v>58616</v>
      </c>
      <c r="T49" s="346">
        <v>0</v>
      </c>
      <c r="U49" s="346">
        <v>382996</v>
      </c>
      <c r="V49" s="346">
        <v>7553</v>
      </c>
      <c r="W49" s="350">
        <v>670598</v>
      </c>
      <c r="X49" s="303" t="str">
        <f>"{"&amp;"'coin':"&amp;表1_86121822242672112110[[#This Row],[补偿Coin]]&amp;",'"&amp;配置!$A$2&amp;"':"&amp;表1_86121822242672112110[[#This Row],[补偿辎重]]&amp;"},"</f>
        <v>{'coin':1500,'item036':15},</v>
      </c>
      <c r="Y49" s="305" t="str">
        <f>"      },"</f>
        <v>      },</v>
      </c>
    </row>
    <row r="50" s="312" customFormat="1" ht="14.25" customHeight="1" spans="1:25">
      <c r="A50" s="91">
        <v>5274</v>
      </c>
      <c r="B50" s="91">
        <f>VLOOKUP(表1_86121822242672112110[[#This Row],[区服]],$P$62:$Q$80,2,FALSE)</f>
        <v>38</v>
      </c>
      <c r="C50" s="92" t="s">
        <v>270</v>
      </c>
      <c r="D50" s="313" t="str">
        <f>表1_86121822242672112110[[#This Row],[目标国家]]</f>
        <v>吴</v>
      </c>
      <c r="E50" s="94">
        <f>(VLOOKUP(表1_86121822242672112110[[#This Row],[目标区服]],$R$62:$S$68,2,FALSE)-表1_86121822242672112110[[#This Row],[开服天数]])*配置!$B$1</f>
        <v>1000</v>
      </c>
      <c r="F50" s="94">
        <f>表1_86121822242672112110[[#This Row],[补偿Coin]]*(表1_86121822242672112110[[#This Row],[活跃高战玩家数]]+表1_86121822242672112110[[#This Row],[活跃中坚玩家数]])</f>
        <v>8000</v>
      </c>
      <c r="G50" s="94">
        <f>(VLOOKUP(表1_86121822242672112110[[#This Row],[目标区服]],$R$62:$S$68,2,FALSE)-表1_86121822242672112110[[#This Row],[开服天数]])*配置!$B$2</f>
        <v>10</v>
      </c>
      <c r="H50" s="93" t="s">
        <v>25</v>
      </c>
      <c r="I50" s="93">
        <f>IF(表1_86121822242672112110[[#This Row],[原国家]]="魏",0,IF(表1_86121822242672112110[[#This Row],[原国家]]="蜀",1,2))</f>
        <v>0</v>
      </c>
      <c r="J50" s="325">
        <v>0</v>
      </c>
      <c r="K50" s="325">
        <v>30</v>
      </c>
      <c r="L50" s="325">
        <v>0</v>
      </c>
      <c r="M50" s="325">
        <v>8</v>
      </c>
      <c r="N50" s="325">
        <v>25912</v>
      </c>
      <c r="O50" s="326">
        <v>730224</v>
      </c>
      <c r="P50" s="326">
        <v>3641630</v>
      </c>
      <c r="Q50" s="137" t="s">
        <v>27</v>
      </c>
      <c r="R50" s="93">
        <f>IF(表1_86121822242672112110[[#This Row],[目标国家]]="魏",0,IF(表1_86121822242672112110[[#This Row],[目标国家]]="蜀",1,2))</f>
        <v>2</v>
      </c>
      <c r="S50" s="325">
        <v>3462</v>
      </c>
      <c r="T50" s="325">
        <v>0</v>
      </c>
      <c r="U50" s="325">
        <v>39171</v>
      </c>
      <c r="V50" s="325">
        <v>1647</v>
      </c>
      <c r="W50" s="352">
        <v>275352</v>
      </c>
      <c r="X50" s="140" t="str">
        <f>"{"&amp;"'coin':"&amp;表1_86121822242672112110[[#This Row],[补偿Coin]]&amp;",'"&amp;配置!$A$2&amp;"':"&amp;表1_86121822242672112110[[#This Row],[补偿辎重]]&amp;"},"</f>
        <v>{'coin':1000,'item036':10},</v>
      </c>
      <c r="Y50" s="138" t="str">
        <f>"      '"&amp;表1_86121822242672112110[[#This Row],[区服]]&amp;"':{"</f>
        <v>      '5274':{</v>
      </c>
    </row>
    <row r="51" s="312" customFormat="1" ht="14.25" customHeight="1" spans="1:25">
      <c r="A51" s="91">
        <v>5274</v>
      </c>
      <c r="B51" s="91">
        <f>VLOOKUP(表1_86121822242672112110[[#This Row],[区服]],$P$62:$Q$80,2,FALSE)</f>
        <v>38</v>
      </c>
      <c r="C51" s="92" t="s">
        <v>270</v>
      </c>
      <c r="D51" s="93" t="str">
        <f>表1_86121822242672112110[[#This Row],[目标国家]]</f>
        <v>魏</v>
      </c>
      <c r="E51" s="94">
        <f>(VLOOKUP(表1_86121822242672112110[[#This Row],[目标区服]],$R$62:$S$68,2,FALSE)-表1_86121822242672112110[[#This Row],[开服天数]])*配置!$B$1</f>
        <v>1000</v>
      </c>
      <c r="F51" s="95">
        <f>表1_86121822242672112110[[#This Row],[补偿Coin]]*(表1_86121822242672112110[[#This Row],[活跃高战玩家数]]+表1_86121822242672112110[[#This Row],[活跃中坚玩家数]])</f>
        <v>15000</v>
      </c>
      <c r="G51" s="94">
        <f>(VLOOKUP(表1_86121822242672112110[[#This Row],[目标区服]],$R$62:$S$68,2,FALSE)-表1_86121822242672112110[[#This Row],[开服天数]])*配置!$B$2</f>
        <v>10</v>
      </c>
      <c r="H51" s="93" t="s">
        <v>26</v>
      </c>
      <c r="I51" s="93">
        <f>IF(表1_86121822242672112110[[#This Row],[原国家]]="魏",0,IF(表1_86121822242672112110[[#This Row],[原国家]]="蜀",1,2))</f>
        <v>1</v>
      </c>
      <c r="J51" s="325">
        <v>0</v>
      </c>
      <c r="K51" s="325">
        <v>47</v>
      </c>
      <c r="L51" s="325">
        <v>1</v>
      </c>
      <c r="M51" s="325">
        <v>14</v>
      </c>
      <c r="N51" s="325">
        <v>64649</v>
      </c>
      <c r="O51" s="326">
        <v>1583468</v>
      </c>
      <c r="P51" s="326">
        <v>8796032</v>
      </c>
      <c r="Q51" s="137" t="s">
        <v>25</v>
      </c>
      <c r="R51" s="93">
        <f>IF(表1_86121822242672112110[[#This Row],[目标国家]]="魏",0,IF(表1_86121822242672112110[[#This Row],[目标国家]]="蜀",1,2))</f>
        <v>0</v>
      </c>
      <c r="S51" s="325">
        <v>5490</v>
      </c>
      <c r="T51" s="325">
        <v>0</v>
      </c>
      <c r="U51" s="325">
        <v>152713</v>
      </c>
      <c r="V51" s="325">
        <v>3497</v>
      </c>
      <c r="W51" s="352">
        <v>454742</v>
      </c>
      <c r="X51" s="140" t="str">
        <f>"{"&amp;"'coin':"&amp;表1_86121822242672112110[[#This Row],[补偿Coin]]&amp;",'"&amp;配置!$A$2&amp;"':"&amp;表1_86121822242672112110[[#This Row],[补偿辎重]]&amp;"},"</f>
        <v>{'coin':1000,'item036':10},</v>
      </c>
      <c r="Y51" s="138" t="str">
        <f>"            'to_zone':'"&amp;表1_86121822242672112110[[#This Row],[目标区服]]&amp;"',
            'reward':"&amp;表1_86121822242672112110[[#This Row],[辅助导出]]&amp;"
            'country':["&amp;R50&amp;","&amp;R51&amp;","&amp;R52&amp;"],"</f>
        <v>            'to_zone':'h1_613',
            'reward':{'coin':1000,'item036':10},
            'country':[2,0,2],</v>
      </c>
    </row>
    <row r="52" s="312" customFormat="1" ht="14.25" customHeight="1" spans="1:25">
      <c r="A52" s="91">
        <v>5274</v>
      </c>
      <c r="B52" s="91">
        <f>VLOOKUP(表1_86121822242672112110[[#This Row],[区服]],$P$62:$Q$80,2,FALSE)</f>
        <v>38</v>
      </c>
      <c r="C52" s="92" t="s">
        <v>270</v>
      </c>
      <c r="D52" s="93" t="str">
        <f>表1_86121822242672112110[[#This Row],[目标国家]]</f>
        <v>吴</v>
      </c>
      <c r="E52" s="94">
        <f>(VLOOKUP(表1_86121822242672112110[[#This Row],[目标区服]],$R$62:$S$68,2,FALSE)-表1_86121822242672112110[[#This Row],[开服天数]])*配置!$B$1</f>
        <v>1000</v>
      </c>
      <c r="F52" s="95">
        <f>表1_86121822242672112110[[#This Row],[补偿Coin]]*(表1_86121822242672112110[[#This Row],[活跃高战玩家数]]+表1_86121822242672112110[[#This Row],[活跃中坚玩家数]])</f>
        <v>33000</v>
      </c>
      <c r="G52" s="94">
        <f>(VLOOKUP(表1_86121822242672112110[[#This Row],[目标区服]],$R$62:$S$68,2,FALSE)-表1_86121822242672112110[[#This Row],[开服天数]])*配置!$B$2</f>
        <v>10</v>
      </c>
      <c r="H52" s="93" t="s">
        <v>27</v>
      </c>
      <c r="I52" s="93">
        <f>IF(表1_86121822242672112110[[#This Row],[原国家]]="魏",0,IF(表1_86121822242672112110[[#This Row],[原国家]]="蜀",1,2))</f>
        <v>2</v>
      </c>
      <c r="J52" s="325">
        <v>9</v>
      </c>
      <c r="K52" s="325">
        <v>318</v>
      </c>
      <c r="L52" s="325">
        <v>9</v>
      </c>
      <c r="M52" s="325">
        <v>24</v>
      </c>
      <c r="N52" s="325">
        <v>181503</v>
      </c>
      <c r="O52" s="326">
        <v>3641142</v>
      </c>
      <c r="P52" s="326">
        <v>30693337</v>
      </c>
      <c r="Q52" s="137" t="s">
        <v>27</v>
      </c>
      <c r="R52" s="93">
        <f>IF(表1_86121822242672112110[[#This Row],[目标国家]]="魏",0,IF(表1_86121822242672112110[[#This Row],[目标国家]]="蜀",1,2))</f>
        <v>2</v>
      </c>
      <c r="S52" s="325">
        <v>65994</v>
      </c>
      <c r="T52" s="325">
        <v>76086</v>
      </c>
      <c r="U52" s="325">
        <v>1047435</v>
      </c>
      <c r="V52" s="325">
        <v>14962</v>
      </c>
      <c r="W52" s="336">
        <v>1056205</v>
      </c>
      <c r="X52" s="140" t="str">
        <f>"{"&amp;"'coin':"&amp;表1_86121822242672112110[[#This Row],[补偿Coin]]&amp;",'"&amp;配置!$A$2&amp;"':"&amp;表1_86121822242672112110[[#This Row],[补偿辎重]]&amp;"},"</f>
        <v>{'coin':1000,'item036':10},</v>
      </c>
      <c r="Y52" s="138" t="str">
        <f>"      },"</f>
        <v>      },</v>
      </c>
    </row>
    <row r="53" s="312" customFormat="1" ht="14.25" customHeight="1" spans="1:25">
      <c r="A53" s="91">
        <v>5275</v>
      </c>
      <c r="B53" s="91">
        <f>VLOOKUP(表1_86121822242672112110[[#This Row],[区服]],$P$62:$Q$80,2,FALSE)</f>
        <v>38</v>
      </c>
      <c r="C53" s="92" t="s">
        <v>270</v>
      </c>
      <c r="D53" s="313" t="str">
        <f>表1_86121822242672112110[[#This Row],[目标国家]]</f>
        <v>魏</v>
      </c>
      <c r="E53" s="94">
        <f>(VLOOKUP(表1_86121822242672112110[[#This Row],[目标区服]],$R$62:$S$68,2,FALSE)-表1_86121822242672112110[[#This Row],[开服天数]])*配置!$B$1</f>
        <v>1000</v>
      </c>
      <c r="F53" s="94">
        <f>表1_86121822242672112110[[#This Row],[补偿Coin]]*(表1_86121822242672112110[[#This Row],[活跃高战玩家数]]+表1_86121822242672112110[[#This Row],[活跃中坚玩家数]])</f>
        <v>28000</v>
      </c>
      <c r="G53" s="94">
        <f>(VLOOKUP(表1_86121822242672112110[[#This Row],[目标区服]],$R$62:$S$68,2,FALSE)-表1_86121822242672112110[[#This Row],[开服天数]])*配置!$B$2</f>
        <v>10</v>
      </c>
      <c r="H53" s="93" t="s">
        <v>25</v>
      </c>
      <c r="I53" s="93">
        <f>IF(表1_86121822242672112110[[#This Row],[原国家]]="魏",0,IF(表1_86121822242672112110[[#This Row],[原国家]]="蜀",1,2))</f>
        <v>0</v>
      </c>
      <c r="J53" s="325">
        <v>5</v>
      </c>
      <c r="K53" s="325">
        <v>240</v>
      </c>
      <c r="L53" s="325">
        <v>6</v>
      </c>
      <c r="M53" s="325">
        <v>22</v>
      </c>
      <c r="N53" s="325">
        <v>157186</v>
      </c>
      <c r="O53" s="326">
        <v>1995420</v>
      </c>
      <c r="P53" s="326">
        <v>19400344</v>
      </c>
      <c r="Q53" s="137" t="s">
        <v>25</v>
      </c>
      <c r="R53" s="93">
        <f>IF(表1_86121822242672112110[[#This Row],[目标国家]]="魏",0,IF(表1_86121822242672112110[[#This Row],[目标国家]]="蜀",1,2))</f>
        <v>0</v>
      </c>
      <c r="S53" s="325">
        <v>29934</v>
      </c>
      <c r="T53" s="325">
        <v>0</v>
      </c>
      <c r="U53" s="325">
        <v>300094</v>
      </c>
      <c r="V53" s="325">
        <v>8669</v>
      </c>
      <c r="W53" s="352">
        <v>502142</v>
      </c>
      <c r="X53" s="140" t="str">
        <f>"{"&amp;"'coin':"&amp;表1_86121822242672112110[[#This Row],[补偿Coin]]&amp;",'"&amp;配置!$A$2&amp;"':"&amp;表1_86121822242672112110[[#This Row],[补偿辎重]]&amp;"},"</f>
        <v>{'coin':1000,'item036':10},</v>
      </c>
      <c r="Y53" s="138" t="str">
        <f>"      '"&amp;表1_86121822242672112110[[#This Row],[区服]]&amp;"':{"</f>
        <v>      '5275':{</v>
      </c>
    </row>
    <row r="54" s="312" customFormat="1" ht="14.25" customHeight="1" spans="1:25">
      <c r="A54" s="91">
        <v>5275</v>
      </c>
      <c r="B54" s="91">
        <f>VLOOKUP(表1_86121822242672112110[[#This Row],[区服]],$P$62:$Q$80,2,FALSE)</f>
        <v>38</v>
      </c>
      <c r="C54" s="92" t="s">
        <v>270</v>
      </c>
      <c r="D54" s="93" t="str">
        <f>表1_86121822242672112110[[#This Row],[目标国家]]</f>
        <v>魏</v>
      </c>
      <c r="E54" s="94">
        <f>(VLOOKUP(表1_86121822242672112110[[#This Row],[目标区服]],$R$62:$S$68,2,FALSE)-表1_86121822242672112110[[#This Row],[开服天数]])*配置!$B$1</f>
        <v>1000</v>
      </c>
      <c r="F54" s="95">
        <f>表1_86121822242672112110[[#This Row],[补偿Coin]]*(表1_86121822242672112110[[#This Row],[活跃高战玩家数]]+表1_86121822242672112110[[#This Row],[活跃中坚玩家数]])</f>
        <v>14000</v>
      </c>
      <c r="G54" s="94">
        <f>(VLOOKUP(表1_86121822242672112110[[#This Row],[目标区服]],$R$62:$S$68,2,FALSE)-表1_86121822242672112110[[#This Row],[开服天数]])*配置!$B$2</f>
        <v>10</v>
      </c>
      <c r="H54" s="93" t="s">
        <v>26</v>
      </c>
      <c r="I54" s="93">
        <f>IF(表1_86121822242672112110[[#This Row],[原国家]]="魏",0,IF(表1_86121822242672112110[[#This Row],[原国家]]="蜀",1,2))</f>
        <v>1</v>
      </c>
      <c r="J54" s="325">
        <v>2</v>
      </c>
      <c r="K54" s="325">
        <v>86</v>
      </c>
      <c r="L54" s="325">
        <v>1</v>
      </c>
      <c r="M54" s="325">
        <v>13</v>
      </c>
      <c r="N54" s="325">
        <v>52656</v>
      </c>
      <c r="O54" s="326">
        <v>1472910</v>
      </c>
      <c r="P54" s="326">
        <v>7212990</v>
      </c>
      <c r="Q54" s="137" t="s">
        <v>25</v>
      </c>
      <c r="R54" s="93">
        <f>IF(表1_86121822242672112110[[#This Row],[目标国家]]="魏",0,IF(表1_86121822242672112110[[#This Row],[目标国家]]="蜀",1,2))</f>
        <v>0</v>
      </c>
      <c r="S54" s="325">
        <v>22774</v>
      </c>
      <c r="T54" s="325">
        <v>0</v>
      </c>
      <c r="U54" s="325">
        <v>101119</v>
      </c>
      <c r="V54" s="325">
        <v>4251</v>
      </c>
      <c r="W54" s="336">
        <v>550692</v>
      </c>
      <c r="X54" s="140" t="str">
        <f>"{"&amp;"'coin':"&amp;表1_86121822242672112110[[#This Row],[补偿Coin]]&amp;",'"&amp;配置!$A$2&amp;"':"&amp;表1_86121822242672112110[[#This Row],[补偿辎重]]&amp;"},"</f>
        <v>{'coin':1000,'item036':10},</v>
      </c>
      <c r="Y54" s="138" t="str">
        <f>"            'to_zone':'"&amp;表1_86121822242672112110[[#This Row],[目标区服]]&amp;"',
            'reward':"&amp;表1_86121822242672112110[[#This Row],[辅助导出]]&amp;"
            'country':["&amp;R53&amp;","&amp;R54&amp;","&amp;R55&amp;"],"</f>
        <v>            'to_zone':'h1_613',
            'reward':{'coin':1000,'item036':10},
            'country':[0,0,0],</v>
      </c>
    </row>
    <row r="55" s="312" customFormat="1" ht="14.25" customHeight="1" spans="1:25">
      <c r="A55" s="91">
        <v>5275</v>
      </c>
      <c r="B55" s="91">
        <f>VLOOKUP(表1_86121822242672112110[[#This Row],[区服]],$P$62:$Q$80,2,FALSE)</f>
        <v>38</v>
      </c>
      <c r="C55" s="92" t="s">
        <v>270</v>
      </c>
      <c r="D55" s="93" t="str">
        <f>表1_86121822242672112110[[#This Row],[目标国家]]</f>
        <v>魏</v>
      </c>
      <c r="E55" s="94">
        <f>(VLOOKUP(表1_86121822242672112110[[#This Row],[目标区服]],$R$62:$S$68,2,FALSE)-表1_86121822242672112110[[#This Row],[开服天数]])*配置!$B$1</f>
        <v>1000</v>
      </c>
      <c r="F55" s="95">
        <f>表1_86121822242672112110[[#This Row],[补偿Coin]]*(表1_86121822242672112110[[#This Row],[活跃高战玩家数]]+表1_86121822242672112110[[#This Row],[活跃中坚玩家数]])</f>
        <v>17000</v>
      </c>
      <c r="G55" s="94">
        <f>(VLOOKUP(表1_86121822242672112110[[#This Row],[目标区服]],$R$62:$S$68,2,FALSE)-表1_86121822242672112110[[#This Row],[开服天数]])*配置!$B$2</f>
        <v>10</v>
      </c>
      <c r="H55" s="93" t="s">
        <v>27</v>
      </c>
      <c r="I55" s="93">
        <f>IF(表1_86121822242672112110[[#This Row],[原国家]]="魏",0,IF(表1_86121822242672112110[[#This Row],[原国家]]="蜀",1,2))</f>
        <v>2</v>
      </c>
      <c r="J55" s="325">
        <v>2</v>
      </c>
      <c r="K55" s="325">
        <v>69</v>
      </c>
      <c r="L55" s="325">
        <v>2</v>
      </c>
      <c r="M55" s="325">
        <v>15</v>
      </c>
      <c r="N55" s="325">
        <v>73195</v>
      </c>
      <c r="O55" s="326">
        <v>1237803</v>
      </c>
      <c r="P55" s="326">
        <v>9003808</v>
      </c>
      <c r="Q55" s="137" t="s">
        <v>25</v>
      </c>
      <c r="R55" s="93">
        <f>IF(表1_86121822242672112110[[#This Row],[目标国家]]="魏",0,IF(表1_86121822242672112110[[#This Row],[目标国家]]="蜀",1,2))</f>
        <v>0</v>
      </c>
      <c r="S55" s="325">
        <v>9282</v>
      </c>
      <c r="T55" s="325">
        <v>0</v>
      </c>
      <c r="U55" s="325">
        <v>148368</v>
      </c>
      <c r="V55" s="325">
        <v>3746</v>
      </c>
      <c r="W55" s="352">
        <v>370077</v>
      </c>
      <c r="X55" s="140" t="str">
        <f>"{"&amp;"'coin':"&amp;表1_86121822242672112110[[#This Row],[补偿Coin]]&amp;",'"&amp;配置!$A$2&amp;"':"&amp;表1_86121822242672112110[[#This Row],[补偿辎重]]&amp;"},"</f>
        <v>{'coin':1000,'item036':10},</v>
      </c>
      <c r="Y55" s="138" t="str">
        <f>"      },"</f>
        <v>      },</v>
      </c>
    </row>
    <row r="56" s="312" customFormat="1" ht="14.25" customHeight="1" spans="1:25">
      <c r="A56" s="91">
        <v>5276</v>
      </c>
      <c r="B56" s="91">
        <f>VLOOKUP(表1_86121822242672112110[[#This Row],[区服]],$P$62:$Q$80,2,FALSE)</f>
        <v>38</v>
      </c>
      <c r="C56" s="92" t="s">
        <v>270</v>
      </c>
      <c r="D56" s="313" t="str">
        <f>表1_86121822242672112110[[#This Row],[目标国家]]</f>
        <v>魏</v>
      </c>
      <c r="E56" s="94">
        <f>(VLOOKUP(表1_86121822242672112110[[#This Row],[目标区服]],$R$62:$S$68,2,FALSE)-表1_86121822242672112110[[#This Row],[开服天数]])*配置!$B$1</f>
        <v>1000</v>
      </c>
      <c r="F56" s="94">
        <f>表1_86121822242672112110[[#This Row],[补偿Coin]]*(表1_86121822242672112110[[#This Row],[活跃高战玩家数]]+表1_86121822242672112110[[#This Row],[活跃中坚玩家数]])</f>
        <v>12000</v>
      </c>
      <c r="G56" s="94">
        <f>(VLOOKUP(表1_86121822242672112110[[#This Row],[目标区服]],$R$62:$S$68,2,FALSE)-表1_86121822242672112110[[#This Row],[开服天数]])*配置!$B$2</f>
        <v>10</v>
      </c>
      <c r="H56" s="93" t="s">
        <v>25</v>
      </c>
      <c r="I56" s="93">
        <f>IF(表1_86121822242672112110[[#This Row],[原国家]]="魏",0,IF(表1_86121822242672112110[[#This Row],[原国家]]="蜀",1,2))</f>
        <v>0</v>
      </c>
      <c r="J56" s="325">
        <v>0</v>
      </c>
      <c r="K56" s="325">
        <v>23</v>
      </c>
      <c r="L56" s="325">
        <v>0</v>
      </c>
      <c r="M56" s="325">
        <v>12</v>
      </c>
      <c r="N56" s="325">
        <v>24767</v>
      </c>
      <c r="O56" s="326">
        <v>898990</v>
      </c>
      <c r="P56" s="326">
        <v>5249184</v>
      </c>
      <c r="Q56" s="137" t="s">
        <v>25</v>
      </c>
      <c r="R56" s="93">
        <f>IF(表1_86121822242672112110[[#This Row],[目标国家]]="魏",0,IF(表1_86121822242672112110[[#This Row],[目标国家]]="蜀",1,2))</f>
        <v>0</v>
      </c>
      <c r="S56" s="325">
        <v>14504</v>
      </c>
      <c r="T56" s="325">
        <v>0</v>
      </c>
      <c r="U56" s="325">
        <v>177153</v>
      </c>
      <c r="V56" s="325">
        <v>2301</v>
      </c>
      <c r="W56" s="352">
        <v>316464</v>
      </c>
      <c r="X56" s="140" t="str">
        <f>"{"&amp;"'coin':"&amp;表1_86121822242672112110[[#This Row],[补偿Coin]]&amp;",'"&amp;配置!$A$2&amp;"':"&amp;表1_86121822242672112110[[#This Row],[补偿辎重]]&amp;"},"</f>
        <v>{'coin':1000,'item036':10},</v>
      </c>
      <c r="Y56" s="138" t="str">
        <f>"      '"&amp;表1_86121822242672112110[[#This Row],[区服]]&amp;"':{"</f>
        <v>      '5276':{</v>
      </c>
    </row>
    <row r="57" s="312" customFormat="1" ht="14.25" customHeight="1" spans="1:25">
      <c r="A57" s="91">
        <v>5276</v>
      </c>
      <c r="B57" s="91">
        <f>VLOOKUP(表1_86121822242672112110[[#This Row],[区服]],$P$62:$Q$80,2,FALSE)</f>
        <v>38</v>
      </c>
      <c r="C57" s="92" t="s">
        <v>270</v>
      </c>
      <c r="D57" s="93" t="str">
        <f>表1_86121822242672112110[[#This Row],[目标国家]]</f>
        <v>蜀</v>
      </c>
      <c r="E57" s="94">
        <f>(VLOOKUP(表1_86121822242672112110[[#This Row],[目标区服]],$R$62:$S$68,2,FALSE)-表1_86121822242672112110[[#This Row],[开服天数]])*配置!$B$1</f>
        <v>1000</v>
      </c>
      <c r="F57" s="95">
        <f>表1_86121822242672112110[[#This Row],[补偿Coin]]*(表1_86121822242672112110[[#This Row],[活跃高战玩家数]]+表1_86121822242672112110[[#This Row],[活跃中坚玩家数]])</f>
        <v>42000</v>
      </c>
      <c r="G57" s="94">
        <f>(VLOOKUP(表1_86121822242672112110[[#This Row],[目标区服]],$R$62:$S$68,2,FALSE)-表1_86121822242672112110[[#This Row],[开服天数]])*配置!$B$2</f>
        <v>10</v>
      </c>
      <c r="H57" s="93" t="s">
        <v>26</v>
      </c>
      <c r="I57" s="93">
        <f>IF(表1_86121822242672112110[[#This Row],[原国家]]="魏",0,IF(表1_86121822242672112110[[#This Row],[原国家]]="蜀",1,2))</f>
        <v>1</v>
      </c>
      <c r="J57" s="325">
        <v>9</v>
      </c>
      <c r="K57" s="325">
        <v>323</v>
      </c>
      <c r="L57" s="325">
        <v>9</v>
      </c>
      <c r="M57" s="325">
        <v>33</v>
      </c>
      <c r="N57" s="325">
        <v>229248</v>
      </c>
      <c r="O57" s="326">
        <v>3665477</v>
      </c>
      <c r="P57" s="326">
        <v>41401291</v>
      </c>
      <c r="Q57" s="137" t="s">
        <v>26</v>
      </c>
      <c r="R57" s="93">
        <f>IF(表1_86121822242672112110[[#This Row],[目标国家]]="魏",0,IF(表1_86121822242672112110[[#This Row],[目标国家]]="蜀",1,2))</f>
        <v>1</v>
      </c>
      <c r="S57" s="325">
        <v>208478</v>
      </c>
      <c r="T57" s="325">
        <v>0</v>
      </c>
      <c r="U57" s="325">
        <v>867113</v>
      </c>
      <c r="V57" s="325">
        <v>19769</v>
      </c>
      <c r="W57" s="336">
        <v>1021117</v>
      </c>
      <c r="X57" s="140" t="str">
        <f>"{"&amp;"'coin':"&amp;表1_86121822242672112110[[#This Row],[补偿Coin]]&amp;",'"&amp;配置!$A$2&amp;"':"&amp;表1_86121822242672112110[[#This Row],[补偿辎重]]&amp;"},"</f>
        <v>{'coin':1000,'item036':10},</v>
      </c>
      <c r="Y57" s="138" t="str">
        <f>"            'to_zone':'"&amp;表1_86121822242672112110[[#This Row],[目标区服]]&amp;"',
            'reward':"&amp;表1_86121822242672112110[[#This Row],[辅助导出]]&amp;"
            'country':["&amp;R56&amp;","&amp;R57&amp;","&amp;R58&amp;"],"</f>
        <v>            'to_zone':'h1_613',
            'reward':{'coin':1000,'item036':10},
            'country':[0,1,2],</v>
      </c>
    </row>
    <row r="58" s="312" customFormat="1" ht="14.25" customHeight="1" spans="1:25">
      <c r="A58" s="91">
        <v>5276</v>
      </c>
      <c r="B58" s="91">
        <f>VLOOKUP(表1_86121822242672112110[[#This Row],[区服]],$P$62:$Q$80,2,FALSE)</f>
        <v>38</v>
      </c>
      <c r="C58" s="92" t="s">
        <v>270</v>
      </c>
      <c r="D58" s="93" t="str">
        <f>表1_86121822242672112110[[#This Row],[目标国家]]</f>
        <v>吴</v>
      </c>
      <c r="E58" s="94">
        <f>(VLOOKUP(表1_86121822242672112110[[#This Row],[目标区服]],$R$62:$S$68,2,FALSE)-表1_86121822242672112110[[#This Row],[开服天数]])*配置!$B$1</f>
        <v>1000</v>
      </c>
      <c r="F58" s="95">
        <f>表1_86121822242672112110[[#This Row],[补偿Coin]]*(表1_86121822242672112110[[#This Row],[活跃高战玩家数]]+表1_86121822242672112110[[#This Row],[活跃中坚玩家数]])</f>
        <v>16000</v>
      </c>
      <c r="G58" s="94">
        <f>(VLOOKUP(表1_86121822242672112110[[#This Row],[目标区服]],$R$62:$S$68,2,FALSE)-表1_86121822242672112110[[#This Row],[开服天数]])*配置!$B$2</f>
        <v>10</v>
      </c>
      <c r="H58" s="93" t="s">
        <v>27</v>
      </c>
      <c r="I58" s="93">
        <f>IF(表1_86121822242672112110[[#This Row],[原国家]]="魏",0,IF(表1_86121822242672112110[[#This Row],[原国家]]="蜀",1,2))</f>
        <v>2</v>
      </c>
      <c r="J58" s="325">
        <v>0</v>
      </c>
      <c r="K58" s="325">
        <v>49</v>
      </c>
      <c r="L58" s="325">
        <v>0</v>
      </c>
      <c r="M58" s="325">
        <v>16</v>
      </c>
      <c r="N58" s="325">
        <v>51882</v>
      </c>
      <c r="O58" s="326">
        <v>1305134</v>
      </c>
      <c r="P58" s="326">
        <v>8993071</v>
      </c>
      <c r="Q58" s="137" t="s">
        <v>27</v>
      </c>
      <c r="R58" s="93">
        <f>IF(表1_86121822242672112110[[#This Row],[目标国家]]="魏",0,IF(表1_86121822242672112110[[#This Row],[目标国家]]="蜀",1,2))</f>
        <v>2</v>
      </c>
      <c r="S58" s="325">
        <v>8254</v>
      </c>
      <c r="T58" s="325">
        <v>0</v>
      </c>
      <c r="U58" s="325">
        <v>89408</v>
      </c>
      <c r="V58" s="325">
        <v>3246</v>
      </c>
      <c r="W58" s="352">
        <v>501134</v>
      </c>
      <c r="X58" s="140" t="str">
        <f>"{"&amp;"'coin':"&amp;表1_86121822242672112110[[#This Row],[补偿Coin]]&amp;",'"&amp;配置!$A$2&amp;"':"&amp;表1_86121822242672112110[[#This Row],[补偿辎重]]&amp;"},"</f>
        <v>{'coin':1000,'item036':10},</v>
      </c>
      <c r="Y58" s="138" t="str">
        <f>"      },"</f>
        <v>      },</v>
      </c>
    </row>
    <row r="61" ht="37.5" customHeight="1" spans="1:19">
      <c r="A61" s="36" t="s">
        <v>28</v>
      </c>
      <c r="B61" s="37" t="s">
        <v>29</v>
      </c>
      <c r="C61" s="38" t="s">
        <v>30</v>
      </c>
      <c r="D61" s="38" t="s">
        <v>31</v>
      </c>
      <c r="E61" s="38" t="s">
        <v>32</v>
      </c>
      <c r="F61" s="38" t="s">
        <v>33</v>
      </c>
      <c r="G61" s="38" t="s">
        <v>15</v>
      </c>
      <c r="H61" s="37" t="s">
        <v>18</v>
      </c>
      <c r="I61" s="37" t="s">
        <v>19</v>
      </c>
      <c r="J61" s="37" t="s">
        <v>20</v>
      </c>
      <c r="K61" s="38" t="s">
        <v>35</v>
      </c>
      <c r="L61" s="38" t="s">
        <v>36</v>
      </c>
      <c r="M61" s="38" t="s">
        <v>37</v>
      </c>
      <c r="N61" s="38" t="s">
        <v>88</v>
      </c>
      <c r="P61" s="51" t="s">
        <v>0</v>
      </c>
      <c r="Q61" s="51" t="s">
        <v>1</v>
      </c>
      <c r="R61" s="51"/>
      <c r="S61" s="51" t="s">
        <v>38</v>
      </c>
    </row>
    <row r="62" ht="15.75" customHeight="1" spans="1:19">
      <c r="A62" s="178" t="s">
        <v>264</v>
      </c>
      <c r="B62" s="178" t="s">
        <v>25</v>
      </c>
      <c r="C62" s="178">
        <f>COUNTIFS(表1_86121822242672112110[目标区服],表2_97131923252773113111[[#This Row],[合区区服]],表1_86121822242672112110[目标国家（映射）],表2_97131923252773113111[[#This Row],[国家]])</f>
        <v>2</v>
      </c>
      <c r="D62" s="178">
        <f>SUMIFS(表1_86121822242672112110[活跃高战玩家数],表1_86121822242672112110[目标区服],表2_97131923252773113111[[#This Row],[合区区服]],表1_86121822242672112110[目标国家（映射）],表2_97131923252773113111[[#This Row],[国家]])</f>
        <v>6</v>
      </c>
      <c r="E62" s="178">
        <f>SUMIFS(表1_86121822242672112110[活跃中坚玩家数],表1_86121822242672112110[目标区服],表2_97131923252773113111[[#This Row],[合区区服]],表1_86121822242672112110[目标国家（映射）],表2_97131923252773113111[[#This Row],[国家]])</f>
        <v>41</v>
      </c>
      <c r="F62" s="178">
        <f t="array" ref="F62">MAX((表1_86121822242672112110[目标区服]=表2_97131923252773113111[[#This Row],[合区区服]])*(表1_86121822242672112110[目标国家（映射）]=表2_97131923252773113111[[#This Row],[国家]])*表1_86121822242672112110[活跃尖端战力])</f>
        <v>3262599</v>
      </c>
      <c r="G62" s="179">
        <f>SUMIFS(表1_86121822242672112110[活跃总战力],表1_86121822242672112110[目标区服],表2_97131923252773113111[[#This Row],[合区区服]],表1_86121822242672112110[目标国家（映射）],表2_97131923252773113111[[#This Row],[国家]])</f>
        <v>36047674</v>
      </c>
      <c r="H62" s="178">
        <f>SUMIFS(表1_86121822242672112110[活跃实际充值],表1_86121822242672112110[目标区服],表2_97131923252773113111[[#This Row],[合区区服]],表1_86121822242672112110[目标国家（映射）],表2_97131923252773113111[[#This Row],[国家]])</f>
        <v>121274</v>
      </c>
      <c r="I62" s="178">
        <f>SUMIFS(表1_86121822242672112110[活跃虚拟充值],表1_86121822242672112110[目标区服],表2_97131923252773113111[[#This Row],[合区区服]],表1_86121822242672112110[目标国家（映射）],表2_97131923252773113111[[#This Row],[国家]])</f>
        <v>0</v>
      </c>
      <c r="J62" s="178">
        <f>SUMIFS(表1_86121822242672112110[活跃Coin],表1_86121822242672112110[目标区服],表2_97131923252773113111[[#This Row],[合区区服]],表1_86121822242672112110[目标国家（映射）],表2_97131923252773113111[[#This Row],[国家]])</f>
        <v>947903</v>
      </c>
      <c r="K62" s="178">
        <f>SUMIFS(表1_86121822242672112110[共计补偿Coin],表1_86121822242672112110[目标区服],表2_97131923252773113111[[#This Row],[合区区服]],表1_86121822242672112110[目标国家（映射）],表2_97131923252773113111[[#This Row],[国家]])</f>
        <v>47000</v>
      </c>
      <c r="L62" s="178">
        <f>表2_97131923252773113111[[#This Row],[活跃Coin]]+表2_97131923252773113111[[#This Row],[共计补偿Coin]]</f>
        <v>994903</v>
      </c>
      <c r="M62" s="178">
        <f>SUMIFS(表1_86121822242672112110[综合国力],表1_86121822242672112110[目标区服],表2_97131923252773113111[[#This Row],[合区区服]],表1_86121822242672112110[目标国家（映射）],表2_97131923252773113111[[#This Row],[国家]])</f>
        <v>16037</v>
      </c>
      <c r="N62" s="178">
        <f t="array" ref="N62">MAX((表1_86121822242672112110[目标区服]=表2_97131923252773113111[[#This Row],[合区区服]])*(表1_86121822242672112110[目标国家（映射）]=表2_97131923252773113111[[#This Row],[国家]])*表1_86121822242672112110[单将最高战力])</f>
        <v>1163606</v>
      </c>
      <c r="P62" s="335">
        <v>5258</v>
      </c>
      <c r="Q62" s="335">
        <v>41</v>
      </c>
      <c r="R62" s="51" t="s">
        <v>264</v>
      </c>
      <c r="S62" s="51">
        <v>43</v>
      </c>
    </row>
    <row r="63" ht="15" spans="1:19">
      <c r="A63" s="178" t="s">
        <v>264</v>
      </c>
      <c r="B63" s="178" t="s">
        <v>26</v>
      </c>
      <c r="C63" s="178">
        <f>COUNTIFS(表1_86121822242672112110[目标区服],表2_97131923252773113111[[#This Row],[合区区服]],表1_86121822242672112110[目标国家（映射）],表2_97131923252773113111[[#This Row],[国家]])</f>
        <v>2</v>
      </c>
      <c r="D63" s="178">
        <f>SUMIFS(表1_86121822242672112110[活跃高战玩家数],表1_86121822242672112110[目标区服],表2_97131923252773113111[[#This Row],[合区区服]],表1_86121822242672112110[目标国家（映射）],表2_97131923252773113111[[#This Row],[国家]])</f>
        <v>5</v>
      </c>
      <c r="E63" s="178">
        <f>SUMIFS(表1_86121822242672112110[活跃中坚玩家数],表1_86121822242672112110[目标区服],表2_97131923252773113111[[#This Row],[合区区服]],表1_86121822242672112110[目标国家（映射）],表2_97131923252773113111[[#This Row],[国家]])</f>
        <v>38</v>
      </c>
      <c r="F63" s="178">
        <f t="array" ref="F63">MAX((表1_86121822242672112110[目标区服]=表2_97131923252773113111[[#This Row],[合区区服]])*(表1_86121822242672112110[目标国家（映射）]=表2_97131923252773113111[[#This Row],[国家]])*表1_86121822242672112110[活跃尖端战力])</f>
        <v>3436340</v>
      </c>
      <c r="G63" s="179">
        <f>SUMIFS(表1_86121822242672112110[活跃总战力],表1_86121822242672112110[目标区服],表2_97131923252773113111[[#This Row],[合区区服]],表1_86121822242672112110[目标国家（映射）],表2_97131923252773113111[[#This Row],[国家]])</f>
        <v>34220912</v>
      </c>
      <c r="H63" s="178">
        <f>SUMIFS(表1_86121822242672112110[活跃实际充值],表1_86121822242672112110[目标区服],表2_97131923252773113111[[#This Row],[合区区服]],表1_86121822242672112110[目标国家（映射）],表2_97131923252773113111[[#This Row],[国家]])</f>
        <v>128460</v>
      </c>
      <c r="I63" s="178">
        <f>SUMIFS(表1_86121822242672112110[活跃虚拟充值],表1_86121822242672112110[目标区服],表2_97131923252773113111[[#This Row],[合区区服]],表1_86121822242672112110[目标国家（映射）],表2_97131923252773113111[[#This Row],[国家]])</f>
        <v>0</v>
      </c>
      <c r="J63" s="178">
        <f>SUMIFS(表1_86121822242672112110[活跃Coin],表1_86121822242672112110[目标区服],表2_97131923252773113111[[#This Row],[合区区服]],表1_86121822242672112110[目标国家（映射）],表2_97131923252773113111[[#This Row],[国家]])</f>
        <v>685470</v>
      </c>
      <c r="K63" s="178">
        <f>SUMIFS(表1_86121822242672112110[共计补偿Coin],表1_86121822242672112110[目标区服],表2_97131923252773113111[[#This Row],[合区区服]],表1_86121822242672112110[目标国家（映射）],表2_97131923252773113111[[#This Row],[国家]])</f>
        <v>43000</v>
      </c>
      <c r="L63" s="178">
        <f>表2_97131923252773113111[[#This Row],[活跃Coin]]+表2_97131923252773113111[[#This Row],[共计补偿Coin]]</f>
        <v>728470</v>
      </c>
      <c r="M63" s="178">
        <f>SUMIFS(表1_86121822242672112110[综合国力],表1_86121822242672112110[目标区服],表2_97131923252773113111[[#This Row],[合区区服]],表1_86121822242672112110[目标国家（映射）],表2_97131923252773113111[[#This Row],[国家]])</f>
        <v>16044</v>
      </c>
      <c r="N63" s="178">
        <f t="array" ref="N63">MAX((表1_86121822242672112110[目标区服]=表2_97131923252773113111[[#This Row],[合区区服]])*(表1_86121822242672112110[目标国家（映射）]=表2_97131923252773113111[[#This Row],[国家]])*表1_86121822242672112110[单将最高战力])</f>
        <v>1233264</v>
      </c>
      <c r="P63" s="335">
        <v>5259</v>
      </c>
      <c r="Q63" s="335">
        <v>41</v>
      </c>
      <c r="R63" s="51" t="s">
        <v>265</v>
      </c>
      <c r="S63" s="51">
        <v>43</v>
      </c>
    </row>
    <row r="64" ht="15" spans="1:19">
      <c r="A64" s="178" t="s">
        <v>264</v>
      </c>
      <c r="B64" s="178" t="s">
        <v>27</v>
      </c>
      <c r="C64" s="178">
        <f>COUNTIFS(表1_86121822242672112110[目标区服],表2_97131923252773113111[[#This Row],[合区区服]],表1_86121822242672112110[目标国家（映射）],表2_97131923252773113111[[#This Row],[国家]])</f>
        <v>2</v>
      </c>
      <c r="D64" s="178">
        <f>SUMIFS(表1_86121822242672112110[活跃高战玩家数],表1_86121822242672112110[目标区服],表2_97131923252773113111[[#This Row],[合区区服]],表1_86121822242672112110[目标国家（映射）],表2_97131923252773113111[[#This Row],[国家]])</f>
        <v>9</v>
      </c>
      <c r="E64" s="178">
        <f>SUMIFS(表1_86121822242672112110[活跃中坚玩家数],表1_86121822242672112110[目标区服],表2_97131923252773113111[[#This Row],[合区区服]],表1_86121822242672112110[目标国家（映射）],表2_97131923252773113111[[#This Row],[国家]])</f>
        <v>33</v>
      </c>
      <c r="F64" s="178">
        <f t="array" ref="F64">MAX((表1_86121822242672112110[目标区服]=表2_97131923252773113111[[#This Row],[合区区服]])*(表1_86121822242672112110[目标国家（映射）]=表2_97131923252773113111[[#This Row],[国家]])*表1_86121822242672112110[活跃尖端战力])</f>
        <v>2909701</v>
      </c>
      <c r="G64" s="179">
        <f>SUMIFS(表1_86121822242672112110[活跃总战力],表1_86121822242672112110[目标区服],表2_97131923252773113111[[#This Row],[合区区服]],表1_86121822242672112110[目标国家（映射）],表2_97131923252773113111[[#This Row],[国家]])</f>
        <v>34488352</v>
      </c>
      <c r="H64" s="178">
        <f>SUMIFS(表1_86121822242672112110[活跃实际充值],表1_86121822242672112110[目标区服],表2_97131923252773113111[[#This Row],[合区区服]],表1_86121822242672112110[目标国家（映射）],表2_97131923252773113111[[#This Row],[国家]])</f>
        <v>98746</v>
      </c>
      <c r="I64" s="178">
        <f>SUMIFS(表1_86121822242672112110[活跃虚拟充值],表1_86121822242672112110[目标区服],表2_97131923252773113111[[#This Row],[合区区服]],表1_86121822242672112110[目标国家（映射）],表2_97131923252773113111[[#This Row],[国家]])</f>
        <v>0</v>
      </c>
      <c r="J64" s="178">
        <f>SUMIFS(表1_86121822242672112110[活跃Coin],表1_86121822242672112110[目标区服],表2_97131923252773113111[[#This Row],[合区区服]],表1_86121822242672112110[目标国家（映射）],表2_97131923252773113111[[#This Row],[国家]])</f>
        <v>1087286</v>
      </c>
      <c r="K64" s="178">
        <f>SUMIFS(表1_86121822242672112110[共计补偿Coin],表1_86121822242672112110[目标区服],表2_97131923252773113111[[#This Row],[合区区服]],表1_86121822242672112110[目标国家（映射）],表2_97131923252773113111[[#This Row],[国家]])</f>
        <v>42000</v>
      </c>
      <c r="L64" s="178">
        <f>表2_97131923252773113111[[#This Row],[活跃Coin]]+表2_97131923252773113111[[#This Row],[共计补偿Coin]]</f>
        <v>1129286</v>
      </c>
      <c r="M64" s="178">
        <f>SUMIFS(表1_86121822242672112110[综合国力],表1_86121822242672112110[目标区服],表2_97131923252773113111[[#This Row],[合区区服]],表1_86121822242672112110[目标国家（映射）],表2_97131923252773113111[[#This Row],[国家]])</f>
        <v>17143</v>
      </c>
      <c r="N64" s="178">
        <f t="array" ref="N64">MAX((表1_86121822242672112110[目标区服]=表2_97131923252773113111[[#This Row],[合区区服]])*(表1_86121822242672112110[目标国家（映射）]=表2_97131923252773113111[[#This Row],[国家]])*表1_86121822242672112110[单将最高战力])</f>
        <v>901999</v>
      </c>
      <c r="P64" s="335">
        <v>5260</v>
      </c>
      <c r="Q64" s="335">
        <v>41</v>
      </c>
      <c r="R64" s="51" t="s">
        <v>266</v>
      </c>
      <c r="S64" s="51">
        <v>43</v>
      </c>
    </row>
    <row r="65" ht="15" spans="1:19">
      <c r="A65" s="186" t="s">
        <v>265</v>
      </c>
      <c r="B65" s="186" t="s">
        <v>25</v>
      </c>
      <c r="C65" s="186">
        <f>COUNTIFS(表1_86121822242672112110[目标区服],表2_97131923252773113111[[#This Row],[合区区服]],表1_86121822242672112110[目标国家（映射）],表2_97131923252773113111[[#This Row],[国家]])</f>
        <v>2</v>
      </c>
      <c r="D65" s="186">
        <f>SUMIFS(表1_86121822242672112110[活跃高战玩家数],表1_86121822242672112110[目标区服],表2_97131923252773113111[[#This Row],[合区区服]],表1_86121822242672112110[目标国家（映射）],表2_97131923252773113111[[#This Row],[国家]])</f>
        <v>8</v>
      </c>
      <c r="E65" s="186">
        <f>SUMIFS(表1_86121822242672112110[活跃中坚玩家数],表1_86121822242672112110[目标区服],表2_97131923252773113111[[#This Row],[合区区服]],表1_86121822242672112110[目标国家（映射）],表2_97131923252773113111[[#This Row],[国家]])</f>
        <v>24</v>
      </c>
      <c r="F65" s="186">
        <f t="array" ref="F65">MAX((表1_86121822242672112110[目标区服]=表2_97131923252773113111[[#This Row],[合区区服]])*(表1_86121822242672112110[目标国家（映射）]=表2_97131923252773113111[[#This Row],[国家]])*表1_86121822242672112110[活跃尖端战力])</f>
        <v>2697827</v>
      </c>
      <c r="G65" s="187">
        <f>SUMIFS(表1_86121822242672112110[活跃总战力],表1_86121822242672112110[目标区服],表2_97131923252773113111[[#This Row],[合区区服]],表1_86121822242672112110[目标国家（映射）],表2_97131923252773113111[[#This Row],[国家]])</f>
        <v>22027039</v>
      </c>
      <c r="H65" s="186">
        <f>SUMIFS(表1_86121822242672112110[活跃实际充值],表1_86121822242672112110[目标区服],表2_97131923252773113111[[#This Row],[合区区服]],表1_86121822242672112110[目标国家（映射）],表2_97131923252773113111[[#This Row],[国家]])</f>
        <v>86442</v>
      </c>
      <c r="I65" s="186">
        <f>SUMIFS(表1_86121822242672112110[活跃虚拟充值],表1_86121822242672112110[目标区服],表2_97131923252773113111[[#This Row],[合区区服]],表1_86121822242672112110[目标国家（映射）],表2_97131923252773113111[[#This Row],[国家]])</f>
        <v>0</v>
      </c>
      <c r="J65" s="186">
        <f>SUMIFS(表1_86121822242672112110[活跃Coin],表1_86121822242672112110[目标区服],表2_97131923252773113111[[#This Row],[合区区服]],表1_86121822242672112110[目标国家（映射）],表2_97131923252773113111[[#This Row],[国家]])</f>
        <v>387833</v>
      </c>
      <c r="K65" s="186">
        <f>SUMIFS(表1_86121822242672112110[共计补偿Coin],表1_86121822242672112110[目标区服],表2_97131923252773113111[[#This Row],[合区区服]],表1_86121822242672112110[目标国家（映射）],表2_97131923252773113111[[#This Row],[国家]])</f>
        <v>32000</v>
      </c>
      <c r="L65" s="186">
        <f>表2_97131923252773113111[[#This Row],[活跃Coin]]+表2_97131923252773113111[[#This Row],[共计补偿Coin]]</f>
        <v>419833</v>
      </c>
      <c r="M65" s="186">
        <f>SUMIFS(表1_86121822242672112110[综合国力],表1_86121822242672112110[目标区服],表2_97131923252773113111[[#This Row],[合区区服]],表1_86121822242672112110[目标国家（映射）],表2_97131923252773113111[[#This Row],[国家]])</f>
        <v>13422</v>
      </c>
      <c r="N65" s="186">
        <f t="array" ref="N65">MAX((表1_86121822242672112110[目标区服]=表2_97131923252773113111[[#This Row],[合区区服]])*(表1_86121822242672112110[目标国家（映射）]=表2_97131923252773113111[[#This Row],[国家]])*表1_86121822242672112110[单将最高战力])</f>
        <v>817417</v>
      </c>
      <c r="P65" s="335">
        <v>5261</v>
      </c>
      <c r="Q65" s="335">
        <v>41</v>
      </c>
      <c r="R65" s="51" t="s">
        <v>267</v>
      </c>
      <c r="S65" s="51">
        <v>42</v>
      </c>
    </row>
    <row r="66" ht="15" spans="1:19">
      <c r="A66" s="186" t="s">
        <v>265</v>
      </c>
      <c r="B66" s="186" t="s">
        <v>26</v>
      </c>
      <c r="C66" s="186">
        <f>COUNTIFS(表1_86121822242672112110[目标区服],表2_97131923252773113111[[#This Row],[合区区服]],表1_86121822242672112110[目标国家（映射）],表2_97131923252773113111[[#This Row],[国家]])</f>
        <v>2</v>
      </c>
      <c r="D66" s="186">
        <f>SUMIFS(表1_86121822242672112110[活跃高战玩家数],表1_86121822242672112110[目标区服],表2_97131923252773113111[[#This Row],[合区区服]],表1_86121822242672112110[目标国家（映射）],表2_97131923252773113111[[#This Row],[国家]])</f>
        <v>5</v>
      </c>
      <c r="E66" s="186">
        <f>SUMIFS(表1_86121822242672112110[活跃中坚玩家数],表1_86121822242672112110[目标区服],表2_97131923252773113111[[#This Row],[合区区服]],表1_86121822242672112110[目标国家（映射）],表2_97131923252773113111[[#This Row],[国家]])</f>
        <v>36</v>
      </c>
      <c r="F66" s="186">
        <f t="array" ref="F66">MAX((表1_86121822242672112110[目标区服]=表2_97131923252773113111[[#This Row],[合区区服]])*(表1_86121822242672112110[目标国家（映射）]=表2_97131923252773113111[[#This Row],[国家]])*表1_86121822242672112110[活跃尖端战力])</f>
        <v>1851498</v>
      </c>
      <c r="G66" s="187">
        <f>SUMIFS(表1_86121822242672112110[活跃总战力],表1_86121822242672112110[目标区服],表2_97131923252773113111[[#This Row],[合区区服]],表1_86121822242672112110[目标国家（映射）],表2_97131923252773113111[[#This Row],[国家]])</f>
        <v>28573471</v>
      </c>
      <c r="H66" s="186">
        <f>SUMIFS(表1_86121822242672112110[活跃实际充值],表1_86121822242672112110[目标区服],表2_97131923252773113111[[#This Row],[合区区服]],表1_86121822242672112110[目标国家（映射）],表2_97131923252773113111[[#This Row],[国家]])</f>
        <v>59394</v>
      </c>
      <c r="I66" s="186">
        <f>SUMIFS(表1_86121822242672112110[活跃虚拟充值],表1_86121822242672112110[目标区服],表2_97131923252773113111[[#This Row],[合区区服]],表1_86121822242672112110[目标国家（映射）],表2_97131923252773113111[[#This Row],[国家]])</f>
        <v>0</v>
      </c>
      <c r="J66" s="186">
        <f>SUMIFS(表1_86121822242672112110[活跃Coin],表1_86121822242672112110[目标区服],表2_97131923252773113111[[#This Row],[合区区服]],表1_86121822242672112110[目标国家（映射）],表2_97131923252773113111[[#This Row],[国家]])</f>
        <v>447435</v>
      </c>
      <c r="K66" s="186">
        <f>SUMIFS(表1_86121822242672112110[共计补偿Coin],表1_86121822242672112110[目标区服],表2_97131923252773113111[[#This Row],[合区区服]],表1_86121822242672112110[目标国家（映射）],表2_97131923252773113111[[#This Row],[国家]])</f>
        <v>41000</v>
      </c>
      <c r="L66" s="186">
        <f>表2_97131923252773113111[[#This Row],[活跃Coin]]+表2_97131923252773113111[[#This Row],[共计补偿Coin]]</f>
        <v>488435</v>
      </c>
      <c r="M66" s="186">
        <f>SUMIFS(表1_86121822242672112110[综合国力],表1_86121822242672112110[目标区服],表2_97131923252773113111[[#This Row],[合区区服]],表1_86121822242672112110[目标国家（映射）],表2_97131923252773113111[[#This Row],[国家]])</f>
        <v>12332</v>
      </c>
      <c r="N66" s="186">
        <f t="array" ref="N66">MAX((表1_86121822242672112110[目标区服]=表2_97131923252773113111[[#This Row],[合区区服]])*(表1_86121822242672112110[目标国家（映射）]=表2_97131923252773113111[[#This Row],[国家]])*表1_86121822242672112110[单将最高战力])</f>
        <v>562098</v>
      </c>
      <c r="P66" s="335">
        <v>5262</v>
      </c>
      <c r="Q66" s="335">
        <v>41</v>
      </c>
      <c r="R66" s="51" t="s">
        <v>268</v>
      </c>
      <c r="S66" s="51">
        <v>42</v>
      </c>
    </row>
    <row r="67" ht="15" spans="1:19">
      <c r="A67" s="186" t="s">
        <v>265</v>
      </c>
      <c r="B67" s="188" t="s">
        <v>27</v>
      </c>
      <c r="C67" s="188">
        <f>COUNTIFS(表1_86121822242672112110[目标区服],表2_97131923252773113111[[#This Row],[合区区服]],表1_86121822242672112110[目标国家（映射）],表2_97131923252773113111[[#This Row],[国家]])</f>
        <v>2</v>
      </c>
      <c r="D67" s="188">
        <f>SUMIFS(表1_86121822242672112110[活跃高战玩家数],表1_86121822242672112110[目标区服],表2_97131923252773113111[[#This Row],[合区区服]],表1_86121822242672112110[目标国家（映射）],表2_97131923252773113111[[#This Row],[国家]])</f>
        <v>7</v>
      </c>
      <c r="E67" s="188">
        <f>SUMIFS(表1_86121822242672112110[活跃中坚玩家数],表1_86121822242672112110[目标区服],表2_97131923252773113111[[#This Row],[合区区服]],表1_86121822242672112110[目标国家（映射）],表2_97131923252773113111[[#This Row],[国家]])</f>
        <v>38</v>
      </c>
      <c r="F67" s="188">
        <f t="array" ref="F67">MAX((表1_86121822242672112110[目标区服]=表2_97131923252773113111[[#This Row],[合区区服]])*(表1_86121822242672112110[目标国家（映射）]=表2_97131923252773113111[[#This Row],[国家]])*表1_86121822242672112110[活跃尖端战力])</f>
        <v>2485857</v>
      </c>
      <c r="G67" s="309">
        <f>SUMIFS(表1_86121822242672112110[活跃总战力],表1_86121822242672112110[目标区服],表2_97131923252773113111[[#This Row],[合区区服]],表1_86121822242672112110[目标国家（映射）],表2_97131923252773113111[[#This Row],[国家]])</f>
        <v>32310805</v>
      </c>
      <c r="H67" s="188">
        <f>SUMIFS(表1_86121822242672112110[活跃实际充值],表1_86121822242672112110[目标区服],表2_97131923252773113111[[#This Row],[合区区服]],表1_86121822242672112110[目标国家（映射）],表2_97131923252773113111[[#This Row],[国家]])</f>
        <v>60968</v>
      </c>
      <c r="I67" s="188">
        <f>SUMIFS(表1_86121822242672112110[活跃虚拟充值],表1_86121822242672112110[目标区服],表2_97131923252773113111[[#This Row],[合区区服]],表1_86121822242672112110[目标国家（映射）],表2_97131923252773113111[[#This Row],[国家]])</f>
        <v>0</v>
      </c>
      <c r="J67" s="188">
        <f>SUMIFS(表1_86121822242672112110[活跃Coin],表1_86121822242672112110[目标区服],表2_97131923252773113111[[#This Row],[合区区服]],表1_86121822242672112110[目标国家（映射）],表2_97131923252773113111[[#This Row],[国家]])</f>
        <v>662545</v>
      </c>
      <c r="K67" s="188">
        <f>SUMIFS(表1_86121822242672112110[共计补偿Coin],表1_86121822242672112110[目标区服],表2_97131923252773113111[[#This Row],[合区区服]],表1_86121822242672112110[目标国家（映射）],表2_97131923252773113111[[#This Row],[国家]])</f>
        <v>45000</v>
      </c>
      <c r="L67" s="188">
        <f>表2_97131923252773113111[[#This Row],[活跃Coin]]+表2_97131923252773113111[[#This Row],[共计补偿Coin]]</f>
        <v>707545</v>
      </c>
      <c r="M67" s="188">
        <f>SUMIFS(表1_86121822242672112110[综合国力],表1_86121822242672112110[目标区服],表2_97131923252773113111[[#This Row],[合区区服]],表1_86121822242672112110[目标国家（映射）],表2_97131923252773113111[[#This Row],[国家]])</f>
        <v>12807</v>
      </c>
      <c r="N67" s="186">
        <f t="array" ref="N67">MAX((表1_86121822242672112110[目标区服]=表2_97131923252773113111[[#This Row],[合区区服]])*(表1_86121822242672112110[目标国家（映射）]=表2_97131923252773113111[[#This Row],[国家]])*表1_86121822242672112110[单将最高战力])</f>
        <v>639001</v>
      </c>
      <c r="P67" s="335">
        <v>5263</v>
      </c>
      <c r="Q67" s="335">
        <v>40</v>
      </c>
      <c r="R67" s="51" t="s">
        <v>269</v>
      </c>
      <c r="S67" s="51">
        <v>41</v>
      </c>
    </row>
    <row r="68" ht="15" spans="1:19">
      <c r="A68" s="173" t="s">
        <v>266</v>
      </c>
      <c r="B68" s="173" t="s">
        <v>25</v>
      </c>
      <c r="C68" s="173">
        <f>COUNTIFS(表1_86121822242672112110[目标区服],表2_97131923252773113111[[#This Row],[合区区服]],表1_86121822242672112110[目标国家（映射）],表2_97131923252773113111[[#This Row],[国家]])</f>
        <v>4</v>
      </c>
      <c r="D68" s="173">
        <f>SUMIFS(表1_86121822242672112110[活跃高战玩家数],表1_86121822242672112110[目标区服],表2_97131923252773113111[[#This Row],[合区区服]],表1_86121822242672112110[目标国家（映射）],表2_97131923252773113111[[#This Row],[国家]])</f>
        <v>7</v>
      </c>
      <c r="E68" s="173">
        <f>SUMIFS(表1_86121822242672112110[活跃中坚玩家数],表1_86121822242672112110[目标区服],表2_97131923252773113111[[#This Row],[合区区服]],表1_86121822242672112110[目标国家（映射）],表2_97131923252773113111[[#This Row],[国家]])</f>
        <v>61</v>
      </c>
      <c r="F68" s="173">
        <f t="array" ref="F68">MAX((表1_86121822242672112110[目标区服]=表2_97131923252773113111[[#This Row],[合区区服]])*(表1_86121822242672112110[目标国家（映射）]=表2_97131923252773113111[[#This Row],[国家]])*表1_86121822242672112110[活跃尖端战力])</f>
        <v>2196484</v>
      </c>
      <c r="G68" s="174">
        <f>SUMIFS(表1_86121822242672112110[活跃总战力],表1_86121822242672112110[目标区服],表2_97131923252773113111[[#This Row],[合区区服]],表1_86121822242672112110[目标国家（映射）],表2_97131923252773113111[[#This Row],[国家]])</f>
        <v>41436085</v>
      </c>
      <c r="H68" s="173">
        <f>SUMIFS(表1_86121822242672112110[活跃实际充值],表1_86121822242672112110[目标区服],表2_97131923252773113111[[#This Row],[合区区服]],表1_86121822242672112110[目标国家（映射）],表2_97131923252773113111[[#This Row],[国家]])</f>
        <v>86417</v>
      </c>
      <c r="I68" s="173">
        <f>SUMIFS(表1_86121822242672112110[活跃虚拟充值],表1_86121822242672112110[目标区服],表2_97131923252773113111[[#This Row],[合区区服]],表1_86121822242672112110[目标国家（映射）],表2_97131923252773113111[[#This Row],[国家]])</f>
        <v>27330</v>
      </c>
      <c r="J68" s="173">
        <f>SUMIFS(表1_86121822242672112110[活跃Coin],表1_86121822242672112110[目标区服],表2_97131923252773113111[[#This Row],[合区区服]],表1_86121822242672112110[目标国家（映射）],表2_97131923252773113111[[#This Row],[国家]])</f>
        <v>934872</v>
      </c>
      <c r="K68" s="173">
        <f>SUMIFS(表1_86121822242672112110[共计补偿Coin],表1_86121822242672112110[目标区服],表2_97131923252773113111[[#This Row],[合区区服]],表1_86121822242672112110[目标国家（映射）],表2_97131923252773113111[[#This Row],[国家]])</f>
        <v>94500</v>
      </c>
      <c r="L68" s="173">
        <f>表2_97131923252773113111[[#This Row],[活跃Coin]]+表2_97131923252773113111[[#This Row],[共计补偿Coin]]</f>
        <v>1029372</v>
      </c>
      <c r="M68" s="173">
        <f>SUMIFS(表1_86121822242672112110[综合国力],表1_86121822242672112110[目标区服],表2_97131923252773113111[[#This Row],[合区区服]],表1_86121822242672112110[目标国家（映射）],表2_97131923252773113111[[#This Row],[国家]])</f>
        <v>20142</v>
      </c>
      <c r="N68" s="173">
        <f t="array" ref="N68">MAX((表1_86121822242672112110[目标区服]=表2_97131923252773113111[[#This Row],[合区区服]])*(表1_86121822242672112110[目标国家（映射）]=表2_97131923252773113111[[#This Row],[国家]])*表1_86121822242672112110[单将最高战力])</f>
        <v>706614</v>
      </c>
      <c r="P68" s="335">
        <v>5264</v>
      </c>
      <c r="Q68" s="335">
        <v>40</v>
      </c>
      <c r="R68" s="51" t="s">
        <v>270</v>
      </c>
      <c r="S68" s="51">
        <v>40</v>
      </c>
    </row>
    <row r="69" ht="15" spans="1:17">
      <c r="A69" s="173" t="s">
        <v>266</v>
      </c>
      <c r="B69" s="173" t="s">
        <v>26</v>
      </c>
      <c r="C69" s="173">
        <f>COUNTIFS(表1_86121822242672112110[目标区服],表2_97131923252773113111[[#This Row],[合区区服]],表1_86121822242672112110[目标国家（映射）],表2_97131923252773113111[[#This Row],[国家]])</f>
        <v>2</v>
      </c>
      <c r="D69" s="173">
        <f>SUMIFS(表1_86121822242672112110[活跃高战玩家数],表1_86121822242672112110[目标区服],表2_97131923252773113111[[#This Row],[合区区服]],表1_86121822242672112110[目标国家（映射）],表2_97131923252773113111[[#This Row],[国家]])</f>
        <v>13</v>
      </c>
      <c r="E69" s="173">
        <f>SUMIFS(表1_86121822242672112110[活跃中坚玩家数],表1_86121822242672112110[目标区服],表2_97131923252773113111[[#This Row],[合区区服]],表1_86121822242672112110[目标国家（映射）],表2_97131923252773113111[[#This Row],[国家]])</f>
        <v>31</v>
      </c>
      <c r="F69" s="173">
        <f t="array" ref="F69">MAX((表1_86121822242672112110[目标区服]=表2_97131923252773113111[[#This Row],[合区区服]])*(表1_86121822242672112110[目标国家（映射）]=表2_97131923252773113111[[#This Row],[国家]])*表1_86121822242672112110[活跃尖端战力])</f>
        <v>3168489</v>
      </c>
      <c r="G69" s="174">
        <f>SUMIFS(表1_86121822242672112110[活跃总战力],表1_86121822242672112110[目标区服],表2_97131923252773113111[[#This Row],[合区区服]],表1_86121822242672112110[目标国家（映射）],表2_97131923252773113111[[#This Row],[国家]])</f>
        <v>37909367</v>
      </c>
      <c r="H69" s="173">
        <f>SUMIFS(表1_86121822242672112110[活跃实际充值],表1_86121822242672112110[目标区服],表2_97131923252773113111[[#This Row],[合区区服]],表1_86121822242672112110[目标国家（映射）],表2_97131923252773113111[[#This Row],[国家]])</f>
        <v>149484</v>
      </c>
      <c r="I69" s="173">
        <f>SUMIFS(表1_86121822242672112110[活跃虚拟充值],表1_86121822242672112110[目标区服],表2_97131923252773113111[[#This Row],[合区区服]],表1_86121822242672112110[目标国家（映射）],表2_97131923252773113111[[#This Row],[国家]])</f>
        <v>0</v>
      </c>
      <c r="J69" s="173">
        <f>SUMIFS(表1_86121822242672112110[活跃Coin],表1_86121822242672112110[目标区服],表2_97131923252773113111[[#This Row],[合区区服]],表1_86121822242672112110[目标国家（映射）],表2_97131923252773113111[[#This Row],[国家]])</f>
        <v>1075197</v>
      </c>
      <c r="K69" s="173">
        <f>SUMIFS(表1_86121822242672112110[共计补偿Coin],表1_86121822242672112110[目标区服],表2_97131923252773113111[[#This Row],[合区区服]],表1_86121822242672112110[目标国家（映射）],表2_97131923252773113111[[#This Row],[国家]])</f>
        <v>52500</v>
      </c>
      <c r="L69" s="173">
        <f>表2_97131923252773113111[[#This Row],[活跃Coin]]+表2_97131923252773113111[[#This Row],[共计补偿Coin]]</f>
        <v>1127697</v>
      </c>
      <c r="M69" s="173">
        <f>SUMIFS(表1_86121822242672112110[综合国力],表1_86121822242672112110[目标区服],表2_97131923252773113111[[#This Row],[合区区服]],表1_86121822242672112110[目标国家（映射）],表2_97131923252773113111[[#This Row],[国家]])</f>
        <v>20536</v>
      </c>
      <c r="N69" s="173">
        <f t="array" ref="N69">MAX((表1_86121822242672112110[目标区服]=表2_97131923252773113111[[#This Row],[合区区服]])*(表1_86121822242672112110[目标国家（映射）]=表2_97131923252773113111[[#This Row],[国家]])*表1_86121822242672112110[单将最高战力])</f>
        <v>855198</v>
      </c>
      <c r="P69" s="335">
        <v>5265</v>
      </c>
      <c r="Q69" s="335">
        <v>40</v>
      </c>
    </row>
    <row r="70" ht="15" spans="1:17">
      <c r="A70" s="173" t="s">
        <v>266</v>
      </c>
      <c r="B70" s="173" t="s">
        <v>27</v>
      </c>
      <c r="C70" s="173">
        <f>COUNTIFS(表1_86121822242672112110[目标区服],表2_97131923252773113111[[#This Row],[合区区服]],表1_86121822242672112110[目标国家（映射）],表2_97131923252773113111[[#This Row],[国家]])</f>
        <v>3</v>
      </c>
      <c r="D70" s="173">
        <f>SUMIFS(表1_86121822242672112110[活跃高战玩家数],表1_86121822242672112110[目标区服],表2_97131923252773113111[[#This Row],[合区区服]],表1_86121822242672112110[目标国家（映射）],表2_97131923252773113111[[#This Row],[国家]])</f>
        <v>10</v>
      </c>
      <c r="E70" s="173">
        <f>SUMIFS(表1_86121822242672112110[活跃中坚玩家数],表1_86121822242672112110[目标区服],表2_97131923252773113111[[#This Row],[合区区服]],表1_86121822242672112110[目标国家（映射）],表2_97131923252773113111[[#This Row],[国家]])</f>
        <v>52</v>
      </c>
      <c r="F70" s="173">
        <f t="array" ref="F70">MAX((表1_86121822242672112110[目标区服]=表2_97131923252773113111[[#This Row],[合区区服]])*(表1_86121822242672112110[目标国家（映射）]=表2_97131923252773113111[[#This Row],[国家]])*表1_86121822242672112110[活跃尖端战力])</f>
        <v>2736619</v>
      </c>
      <c r="G70" s="174">
        <f>SUMIFS(表1_86121822242672112110[活跃总战力],表1_86121822242672112110[目标区服],表2_97131923252773113111[[#This Row],[合区区服]],表1_86121822242672112110[目标国家（映射）],表2_97131923252773113111[[#This Row],[国家]])</f>
        <v>43631944</v>
      </c>
      <c r="H70" s="173">
        <f>SUMIFS(表1_86121822242672112110[活跃实际充值],表1_86121822242672112110[目标区服],表2_97131923252773113111[[#This Row],[合区区服]],表1_86121822242672112110[目标国家（映射）],表2_97131923252773113111[[#This Row],[国家]])</f>
        <v>108180</v>
      </c>
      <c r="I70" s="173">
        <f>SUMIFS(表1_86121822242672112110[活跃虚拟充值],表1_86121822242672112110[目标区服],表2_97131923252773113111[[#This Row],[合区区服]],表1_86121822242672112110[目标国家（映射）],表2_97131923252773113111[[#This Row],[国家]])</f>
        <v>0</v>
      </c>
      <c r="J70" s="173">
        <f>SUMIFS(表1_86121822242672112110[活跃Coin],表1_86121822242672112110[目标区服],表2_97131923252773113111[[#This Row],[合区区服]],表1_86121822242672112110[目标国家（映射）],表2_97131923252773113111[[#This Row],[国家]])</f>
        <v>968145</v>
      </c>
      <c r="K70" s="173">
        <f>SUMIFS(表1_86121822242672112110[共计补偿Coin],表1_86121822242672112110[目标区服],表2_97131923252773113111[[#This Row],[合区区服]],表1_86121822242672112110[目标国家（映射）],表2_97131923252773113111[[#This Row],[国家]])</f>
        <v>82000</v>
      </c>
      <c r="L70" s="173">
        <f>表2_97131923252773113111[[#This Row],[活跃Coin]]+表2_97131923252773113111[[#This Row],[共计补偿Coin]]</f>
        <v>1050145</v>
      </c>
      <c r="M70" s="173">
        <f>SUMIFS(表1_86121822242672112110[综合国力],表1_86121822242672112110[目标区服],表2_97131923252773113111[[#This Row],[合区区服]],表1_86121822242672112110[目标国家（映射）],表2_97131923252773113111[[#This Row],[国家]])</f>
        <v>20215</v>
      </c>
      <c r="N70" s="173">
        <f t="array" ref="N70">MAX((表1_86121822242672112110[目标区服]=表2_97131923252773113111[[#This Row],[合区区服]])*(表1_86121822242672112110[目标国家（映射）]=表2_97131923252773113111[[#This Row],[国家]])*表1_86121822242672112110[单将最高战力])</f>
        <v>702004</v>
      </c>
      <c r="P70" s="335">
        <v>5266</v>
      </c>
      <c r="Q70" s="335">
        <v>40</v>
      </c>
    </row>
    <row r="71" ht="15" spans="1:17">
      <c r="A71" s="323" t="s">
        <v>267</v>
      </c>
      <c r="B71" s="323" t="s">
        <v>25</v>
      </c>
      <c r="C71" s="323">
        <f>COUNTIFS(表1_86121822242672112110[目标区服],表2_97131923252773113111[[#This Row],[合区区服]],表1_86121822242672112110[目标国家（映射）],表2_97131923252773113111[[#This Row],[国家]])</f>
        <v>3</v>
      </c>
      <c r="D71" s="323">
        <f>SUMIFS(表1_86121822242672112110[活跃高战玩家数],表1_86121822242672112110[目标区服],表2_97131923252773113111[[#This Row],[合区区服]],表1_86121822242672112110[目标国家（映射）],表2_97131923252773113111[[#This Row],[国家]])</f>
        <v>10</v>
      </c>
      <c r="E71" s="323">
        <f>SUMIFS(表1_86121822242672112110[活跃中坚玩家数],表1_86121822242672112110[目标区服],表2_97131923252773113111[[#This Row],[合区区服]],表1_86121822242672112110[目标国家（映射）],表2_97131923252773113111[[#This Row],[国家]])</f>
        <v>42</v>
      </c>
      <c r="F71" s="323">
        <f t="array" ref="F71">MAX((表1_86121822242672112110[目标区服]=表2_97131923252773113111[[#This Row],[合区区服]])*(表1_86121822242672112110[目标国家（映射）]=表2_97131923252773113111[[#This Row],[国家]])*表1_86121822242672112110[活跃尖端战力])</f>
        <v>2180711</v>
      </c>
      <c r="G71" s="324">
        <f>SUMIFS(表1_86121822242672112110[活跃总战力],表1_86121822242672112110[目标区服],表2_97131923252773113111[[#This Row],[合区区服]],表1_86121822242672112110[目标国家（映射）],表2_97131923252773113111[[#This Row],[国家]])</f>
        <v>32387978</v>
      </c>
      <c r="H71" s="323">
        <f>SUMIFS(表1_86121822242672112110[活跃实际充值],表1_86121822242672112110[目标区服],表2_97131923252773113111[[#This Row],[合区区服]],表1_86121822242672112110[目标国家（映射）],表2_97131923252773113111[[#This Row],[国家]])</f>
        <v>68065</v>
      </c>
      <c r="I71" s="323">
        <f>SUMIFS(表1_86121822242672112110[活跃虚拟充值],表1_86121822242672112110[目标区服],表2_97131923252773113111[[#This Row],[合区区服]],表1_86121822242672112110[目标国家（映射）],表2_97131923252773113111[[#This Row],[国家]])</f>
        <v>0</v>
      </c>
      <c r="J71" s="323">
        <f>SUMIFS(表1_86121822242672112110[活跃Coin],表1_86121822242672112110[目标区服],表2_97131923252773113111[[#This Row],[合区区服]],表1_86121822242672112110[目标国家（映射）],表2_97131923252773113111[[#This Row],[国家]])</f>
        <v>649196</v>
      </c>
      <c r="K71" s="323">
        <f>SUMIFS(表1_86121822242672112110[共计补偿Coin],表1_86121822242672112110[目标区服],表2_97131923252773113111[[#This Row],[合区区服]],表1_86121822242672112110[目标国家（映射）],表2_97131923252773113111[[#This Row],[国家]])</f>
        <v>52000</v>
      </c>
      <c r="L71" s="323">
        <f>表2_97131923252773113111[[#This Row],[活跃Coin]]+表2_97131923252773113111[[#This Row],[共计补偿Coin]]</f>
        <v>701196</v>
      </c>
      <c r="M71" s="323">
        <f>SUMIFS(表1_86121822242672112110[综合国力],表1_86121822242672112110[目标区服],表2_97131923252773113111[[#This Row],[合区区服]],表1_86121822242672112110[目标国家（映射）],表2_97131923252773113111[[#This Row],[国家]])</f>
        <v>17633</v>
      </c>
      <c r="N71" s="323">
        <f t="array" ref="N71">MAX((表1_86121822242672112110[目标区服]=表2_97131923252773113111[[#This Row],[合区区服]])*(表1_86121822242672112110[目标国家（映射）]=表2_97131923252773113111[[#This Row],[国家]])*表1_86121822242672112110[单将最高战力])</f>
        <v>683755</v>
      </c>
      <c r="P71" s="335">
        <v>5267</v>
      </c>
      <c r="Q71" s="335">
        <v>40</v>
      </c>
    </row>
    <row r="72" ht="15" spans="1:17">
      <c r="A72" s="323" t="s">
        <v>267</v>
      </c>
      <c r="B72" s="323" t="s">
        <v>26</v>
      </c>
      <c r="C72" s="323">
        <f>COUNTIFS(表1_86121822242672112110[目标区服],表2_97131923252773113111[[#This Row],[合区区服]],表1_86121822242672112110[目标国家（映射）],表2_97131923252773113111[[#This Row],[国家]])</f>
        <v>3</v>
      </c>
      <c r="D72" s="323">
        <f>SUMIFS(表1_86121822242672112110[活跃高战玩家数],表1_86121822242672112110[目标区服],表2_97131923252773113111[[#This Row],[合区区服]],表1_86121822242672112110[目标国家（映射）],表2_97131923252773113111[[#This Row],[国家]])</f>
        <v>13</v>
      </c>
      <c r="E72" s="323">
        <f>SUMIFS(表1_86121822242672112110[活跃中坚玩家数],表1_86121822242672112110[目标区服],表2_97131923252773113111[[#This Row],[合区区服]],表1_86121822242672112110[目标国家（映射）],表2_97131923252773113111[[#This Row],[国家]])</f>
        <v>39</v>
      </c>
      <c r="F72" s="323">
        <f t="array" ref="F72">MAX((表1_86121822242672112110[目标区服]=表2_97131923252773113111[[#This Row],[合区区服]])*(表1_86121822242672112110[目标国家（映射）]=表2_97131923252773113111[[#This Row],[国家]])*表1_86121822242672112110[活跃尖端战力])</f>
        <v>2377180</v>
      </c>
      <c r="G72" s="324">
        <f>SUMIFS(表1_86121822242672112110[活跃总战力],表1_86121822242672112110[目标区服],表2_97131923252773113111[[#This Row],[合区区服]],表1_86121822242672112110[目标国家（映射）],表2_97131923252773113111[[#This Row],[国家]])</f>
        <v>33562423</v>
      </c>
      <c r="H72" s="323">
        <f>SUMIFS(表1_86121822242672112110[活跃实际充值],表1_86121822242672112110[目标区服],表2_97131923252773113111[[#This Row],[合区区服]],表1_86121822242672112110[目标国家（映射）],表2_97131923252773113111[[#This Row],[国家]])</f>
        <v>72786</v>
      </c>
      <c r="I72" s="323">
        <f>SUMIFS(表1_86121822242672112110[活跃虚拟充值],表1_86121822242672112110[目标区服],表2_97131923252773113111[[#This Row],[合区区服]],表1_86121822242672112110[目标国家（映射）],表2_97131923252773113111[[#This Row],[国家]])</f>
        <v>0</v>
      </c>
      <c r="J72" s="323">
        <f>SUMIFS(表1_86121822242672112110[活跃Coin],表1_86121822242672112110[目标区服],表2_97131923252773113111[[#This Row],[合区区服]],表1_86121822242672112110[目标国家（映射）],表2_97131923252773113111[[#This Row],[国家]])</f>
        <v>649965</v>
      </c>
      <c r="K72" s="323">
        <f>SUMIFS(表1_86121822242672112110[共计补偿Coin],表1_86121822242672112110[目标区服],表2_97131923252773113111[[#This Row],[合区区服]],表1_86121822242672112110[目标国家（映射）],表2_97131923252773113111[[#This Row],[国家]])</f>
        <v>52000</v>
      </c>
      <c r="L72" s="323">
        <f>表2_97131923252773113111[[#This Row],[活跃Coin]]+表2_97131923252773113111[[#This Row],[共计补偿Coin]]</f>
        <v>701965</v>
      </c>
      <c r="M72" s="323">
        <f>SUMIFS(表1_86121822242672112110[综合国力],表1_86121822242672112110[目标区服],表2_97131923252773113111[[#This Row],[合区区服]],表1_86121822242672112110[目标国家（映射）],表2_97131923252773113111[[#This Row],[国家]])</f>
        <v>18823</v>
      </c>
      <c r="N72" s="323">
        <f t="array" ref="N72">MAX((表1_86121822242672112110[目标区服]=表2_97131923252773113111[[#This Row],[合区区服]])*(表1_86121822242672112110[目标国家（映射）]=表2_97131923252773113111[[#This Row],[国家]])*表1_86121822242672112110[单将最高战力])</f>
        <v>671109</v>
      </c>
      <c r="P72" s="335">
        <v>5268</v>
      </c>
      <c r="Q72" s="335">
        <v>40</v>
      </c>
    </row>
    <row r="73" ht="15" spans="1:17">
      <c r="A73" s="323" t="s">
        <v>267</v>
      </c>
      <c r="B73" s="323" t="s">
        <v>27</v>
      </c>
      <c r="C73" s="323">
        <f>COUNTIFS(表1_86121822242672112110[目标区服],表2_97131923252773113111[[#This Row],[合区区服]],表1_86121822242672112110[目标国家（映射）],表2_97131923252773113111[[#This Row],[国家]])</f>
        <v>3</v>
      </c>
      <c r="D73" s="323">
        <f>SUMIFS(表1_86121822242672112110[活跃高战玩家数],表1_86121822242672112110[目标区服],表2_97131923252773113111[[#This Row],[合区区服]],表1_86121822242672112110[目标国家（映射）],表2_97131923252773113111[[#This Row],[国家]])</f>
        <v>7</v>
      </c>
      <c r="E73" s="323">
        <f>SUMIFS(表1_86121822242672112110[活跃中坚玩家数],表1_86121822242672112110[目标区服],表2_97131923252773113111[[#This Row],[合区区服]],表1_86121822242672112110[目标国家（映射）],表2_97131923252773113111[[#This Row],[国家]])</f>
        <v>44</v>
      </c>
      <c r="F73" s="323">
        <f t="array" ref="F73">MAX((表1_86121822242672112110[目标区服]=表2_97131923252773113111[[#This Row],[合区区服]])*(表1_86121822242672112110[目标国家（映射）]=表2_97131923252773113111[[#This Row],[国家]])*表1_86121822242672112110[活跃尖端战力])</f>
        <v>2477140</v>
      </c>
      <c r="G73" s="324">
        <f>SUMIFS(表1_86121822242672112110[活跃总战力],表1_86121822242672112110[目标区服],表2_97131923252773113111[[#This Row],[合区区服]],表1_86121822242672112110[目标国家（映射）],表2_97131923252773113111[[#This Row],[国家]])</f>
        <v>30702063</v>
      </c>
      <c r="H73" s="323">
        <f>SUMIFS(表1_86121822242672112110[活跃实际充值],表1_86121822242672112110[目标区服],表2_97131923252773113111[[#This Row],[合区区服]],表1_86121822242672112110[目标国家（映射）],表2_97131923252773113111[[#This Row],[国家]])</f>
        <v>63519</v>
      </c>
      <c r="I73" s="323">
        <f>SUMIFS(表1_86121822242672112110[活跃虚拟充值],表1_86121822242672112110[目标区服],表2_97131923252773113111[[#This Row],[合区区服]],表1_86121822242672112110[目标国家（映射）],表2_97131923252773113111[[#This Row],[国家]])</f>
        <v>0</v>
      </c>
      <c r="J73" s="323">
        <f>SUMIFS(表1_86121822242672112110[活跃Coin],表1_86121822242672112110[目标区服],表2_97131923252773113111[[#This Row],[合区区服]],表1_86121822242672112110[目标国家（映射）],表2_97131923252773113111[[#This Row],[国家]])</f>
        <v>657680</v>
      </c>
      <c r="K73" s="323">
        <f>SUMIFS(表1_86121822242672112110[共计补偿Coin],表1_86121822242672112110[目标区服],表2_97131923252773113111[[#This Row],[合区区服]],表1_86121822242672112110[目标国家（映射）],表2_97131923252773113111[[#This Row],[国家]])</f>
        <v>51000</v>
      </c>
      <c r="L73" s="323">
        <f>表2_97131923252773113111[[#This Row],[活跃Coin]]+表2_97131923252773113111[[#This Row],[共计补偿Coin]]</f>
        <v>708680</v>
      </c>
      <c r="M73" s="323">
        <f>SUMIFS(表1_86121822242672112110[综合国力],表1_86121822242672112110[目标区服],表2_97131923252773113111[[#This Row],[合区区服]],表1_86121822242672112110[目标国家（映射）],表2_97131923252773113111[[#This Row],[国家]])</f>
        <v>14307</v>
      </c>
      <c r="N73" s="323">
        <f t="array" ref="N73">MAX((表1_86121822242672112110[目标区服]=表2_97131923252773113111[[#This Row],[合区区服]])*(表1_86121822242672112110[目标国家（映射）]=表2_97131923252773113111[[#This Row],[国家]])*表1_86121822242672112110[单将最高战力])</f>
        <v>755456</v>
      </c>
      <c r="P73" s="335">
        <v>5269</v>
      </c>
      <c r="Q73" s="335">
        <v>39</v>
      </c>
    </row>
    <row r="74" ht="15" spans="1:17">
      <c r="A74" s="224" t="s">
        <v>268</v>
      </c>
      <c r="B74" s="224" t="s">
        <v>25</v>
      </c>
      <c r="C74" s="224">
        <f>COUNTIFS(表1_86121822242672112110[目标区服],表2_97131923252773113111[[#This Row],[合区区服]],表1_86121822242672112110[目标国家（映射）],表2_97131923252773113111[[#This Row],[国家]])</f>
        <v>4</v>
      </c>
      <c r="D74" s="224">
        <f>SUMIFS(表1_86121822242672112110[活跃高战玩家数],表1_86121822242672112110[目标区服],表2_97131923252773113111[[#This Row],[合区区服]],表1_86121822242672112110[目标国家（映射）],表2_97131923252773113111[[#This Row],[国家]])</f>
        <v>7</v>
      </c>
      <c r="E74" s="224">
        <f>SUMIFS(表1_86121822242672112110[活跃中坚玩家数],表1_86121822242672112110[目标区服],表2_97131923252773113111[[#This Row],[合区区服]],表1_86121822242672112110[目标国家（映射）],表2_97131923252773113111[[#This Row],[国家]])</f>
        <v>74</v>
      </c>
      <c r="F74" s="224">
        <f t="array" ref="F74">MAX((表1_86121822242672112110[目标区服]=表2_97131923252773113111[[#This Row],[合区区服]])*(表1_86121822242672112110[目标国家（映射）]=表2_97131923252773113111[[#This Row],[国家]])*表1_86121822242672112110[活跃尖端战力])</f>
        <v>2726952</v>
      </c>
      <c r="G74" s="225">
        <f>SUMIFS(表1_86121822242672112110[活跃总战力],表1_86121822242672112110[目标区服],表2_97131923252773113111[[#This Row],[合区区服]],表1_86121822242672112110[目标国家（映射）],表2_97131923252773113111[[#This Row],[国家]])</f>
        <v>49977906</v>
      </c>
      <c r="H74" s="224">
        <f>SUMIFS(表1_86121822242672112110[活跃实际充值],表1_86121822242672112110[目标区服],表2_97131923252773113111[[#This Row],[合区区服]],表1_86121822242672112110[目标国家（映射）],表2_97131923252773113111[[#This Row],[国家]])</f>
        <v>130966</v>
      </c>
      <c r="I74" s="224">
        <f>SUMIFS(表1_86121822242672112110[活跃虚拟充值],表1_86121822242672112110[目标区服],表2_97131923252773113111[[#This Row],[合区区服]],表1_86121822242672112110[目标国家（映射）],表2_97131923252773113111[[#This Row],[国家]])</f>
        <v>0</v>
      </c>
      <c r="J74" s="224">
        <f>SUMIFS(表1_86121822242672112110[活跃Coin],表1_86121822242672112110[目标区服],表2_97131923252773113111[[#This Row],[合区区服]],表1_86121822242672112110[目标国家（映射）],表2_97131923252773113111[[#This Row],[国家]])</f>
        <v>785582</v>
      </c>
      <c r="K74" s="224">
        <f>SUMIFS(表1_86121822242672112110[共计补偿Coin],表1_86121822242672112110[目标区服],表2_97131923252773113111[[#This Row],[合区区服]],表1_86121822242672112110[目标国家（映射）],表2_97131923252773113111[[#This Row],[国家]])</f>
        <v>97500</v>
      </c>
      <c r="L74" s="224">
        <f>表2_97131923252773113111[[#This Row],[活跃Coin]]+表2_97131923252773113111[[#This Row],[共计补偿Coin]]</f>
        <v>883082</v>
      </c>
      <c r="M74" s="224">
        <f>SUMIFS(表1_86121822242672112110[综合国力],表1_86121822242672112110[目标区服],表2_97131923252773113111[[#This Row],[合区区服]],表1_86121822242672112110[目标国家（映射）],表2_97131923252773113111[[#This Row],[国家]])</f>
        <v>22437</v>
      </c>
      <c r="N74" s="224">
        <f t="array" ref="N74">MAX((表1_86121822242672112110[目标区服]=表2_97131923252773113111[[#This Row],[合区区服]])*(表1_86121822242672112110[目标国家（映射）]=表2_97131923252773113111[[#This Row],[国家]])*表1_86121822242672112110[单将最高战力])</f>
        <v>679942</v>
      </c>
      <c r="P74" s="335">
        <v>5270</v>
      </c>
      <c r="Q74" s="335">
        <v>39</v>
      </c>
    </row>
    <row r="75" ht="15" spans="1:17">
      <c r="A75" s="224" t="s">
        <v>268</v>
      </c>
      <c r="B75" s="224" t="s">
        <v>26</v>
      </c>
      <c r="C75" s="224">
        <f>COUNTIFS(表1_86121822242672112110[目标区服],表2_97131923252773113111[[#This Row],[合区区服]],表1_86121822242672112110[目标国家（映射）],表2_97131923252773113111[[#This Row],[国家]])</f>
        <v>3</v>
      </c>
      <c r="D75" s="224">
        <f>SUMIFS(表1_86121822242672112110[活跃高战玩家数],表1_86121822242672112110[目标区服],表2_97131923252773113111[[#This Row],[合区区服]],表1_86121822242672112110[目标国家（映射）],表2_97131923252773113111[[#This Row],[国家]])</f>
        <v>11</v>
      </c>
      <c r="E75" s="224">
        <f>SUMIFS(表1_86121822242672112110[活跃中坚玩家数],表1_86121822242672112110[目标区服],表2_97131923252773113111[[#This Row],[合区区服]],表1_86121822242672112110[目标国家（映射）],表2_97131923252773113111[[#This Row],[国家]])</f>
        <v>60</v>
      </c>
      <c r="F75" s="224">
        <f t="array" ref="F75">MAX((表1_86121822242672112110[目标区服]=表2_97131923252773113111[[#This Row],[合区区服]])*(表1_86121822242672112110[目标国家（映射）]=表2_97131923252773113111[[#This Row],[国家]])*表1_86121822242672112110[活跃尖端战力])</f>
        <v>2254115</v>
      </c>
      <c r="G75" s="225">
        <f>SUMIFS(表1_86121822242672112110[活跃总战力],表1_86121822242672112110[目标区服],表2_97131923252773113111[[#This Row],[合区区服]],表1_86121822242672112110[目标国家（映射）],表2_97131923252773113111[[#This Row],[国家]])</f>
        <v>51709331</v>
      </c>
      <c r="H75" s="224">
        <f>SUMIFS(表1_86121822242672112110[活跃实际充值],表1_86121822242672112110[目标区服],表2_97131923252773113111[[#This Row],[合区区服]],表1_86121822242672112110[目标国家（映射）],表2_97131923252773113111[[#This Row],[国家]])</f>
        <v>96946</v>
      </c>
      <c r="I75" s="224">
        <f>SUMIFS(表1_86121822242672112110[活跃虚拟充值],表1_86121822242672112110[目标区服],表2_97131923252773113111[[#This Row],[合区区服]],表1_86121822242672112110[目标国家（映射）],表2_97131923252773113111[[#This Row],[国家]])</f>
        <v>0</v>
      </c>
      <c r="J75" s="224">
        <f>SUMIFS(表1_86121822242672112110[活跃Coin],表1_86121822242672112110[目标区服],表2_97131923252773113111[[#This Row],[合区区服]],表1_86121822242672112110[目标国家（映射）],表2_97131923252773113111[[#This Row],[国家]])</f>
        <v>715152</v>
      </c>
      <c r="K75" s="224">
        <f>SUMIFS(表1_86121822242672112110[共计补偿Coin],表1_86121822242672112110[目标区服],表2_97131923252773113111[[#This Row],[合区区服]],表1_86121822242672112110[目标国家（映射）],表2_97131923252773113111[[#This Row],[国家]])</f>
        <v>106500</v>
      </c>
      <c r="L75" s="224">
        <f>表2_97131923252773113111[[#This Row],[活跃Coin]]+表2_97131923252773113111[[#This Row],[共计补偿Coin]]</f>
        <v>821652</v>
      </c>
      <c r="M75" s="224">
        <f>SUMIFS(表1_86121822242672112110[综合国力],表1_86121822242672112110[目标区服],表2_97131923252773113111[[#This Row],[合区区服]],表1_86121822242672112110[目标国家（映射）],表2_97131923252773113111[[#This Row],[国家]])</f>
        <v>19784</v>
      </c>
      <c r="N75" s="224">
        <f t="array" ref="N75">MAX((表1_86121822242672112110[目标区服]=表2_97131923252773113111[[#This Row],[合区区服]])*(表1_86121822242672112110[目标国家（映射）]=表2_97131923252773113111[[#This Row],[国家]])*表1_86121822242672112110[单将最高战力])</f>
        <v>731593</v>
      </c>
      <c r="P75" s="335">
        <v>5271</v>
      </c>
      <c r="Q75" s="335">
        <v>39</v>
      </c>
    </row>
    <row r="76" ht="15" spans="1:17">
      <c r="A76" s="224" t="s">
        <v>268</v>
      </c>
      <c r="B76" s="224" t="s">
        <v>27</v>
      </c>
      <c r="C76" s="224">
        <f>COUNTIFS(表1_86121822242672112110[目标区服],表2_97131923252773113111[[#This Row],[合区区服]],表1_86121822242672112110[目标国家（映射）],表2_97131923252773113111[[#This Row],[国家]])</f>
        <v>2</v>
      </c>
      <c r="D76" s="224">
        <f>SUMIFS(表1_86121822242672112110[活跃高战玩家数],表1_86121822242672112110[目标区服],表2_97131923252773113111[[#This Row],[合区区服]],表1_86121822242672112110[目标国家（映射）],表2_97131923252773113111[[#This Row],[国家]])</f>
        <v>12</v>
      </c>
      <c r="E76" s="224">
        <f>SUMIFS(表1_86121822242672112110[活跃中坚玩家数],表1_86121822242672112110[目标区服],表2_97131923252773113111[[#This Row],[合区区服]],表1_86121822242672112110[目标国家（映射）],表2_97131923252773113111[[#This Row],[国家]])</f>
        <v>45</v>
      </c>
      <c r="F76" s="224">
        <f t="array" ref="F76">MAX((表1_86121822242672112110[目标区服]=表2_97131923252773113111[[#This Row],[合区区服]])*(表1_86121822242672112110[目标国家（映射）]=表2_97131923252773113111[[#This Row],[国家]])*表1_86121822242672112110[活跃尖端战力])</f>
        <v>2803392</v>
      </c>
      <c r="G76" s="225">
        <f>SUMIFS(表1_86121822242672112110[活跃总战力],表1_86121822242672112110[目标区服],表2_97131923252773113111[[#This Row],[合区区服]],表1_86121822242672112110[目标国家（映射）],表2_97131923252773113111[[#This Row],[国家]])</f>
        <v>43556425</v>
      </c>
      <c r="H76" s="224">
        <f>SUMIFS(表1_86121822242672112110[活跃实际充值],表1_86121822242672112110[目标区服],表2_97131923252773113111[[#This Row],[合区区服]],表1_86121822242672112110[目标国家（映射）],表2_97131923252773113111[[#This Row],[国家]])</f>
        <v>206074</v>
      </c>
      <c r="I76" s="224">
        <f>SUMIFS(表1_86121822242672112110[活跃虚拟充值],表1_86121822242672112110[目标区服],表2_97131923252773113111[[#This Row],[合区区服]],表1_86121822242672112110[目标国家（映射）],表2_97131923252773113111[[#This Row],[国家]])</f>
        <v>0</v>
      </c>
      <c r="J76" s="224">
        <f>SUMIFS(表1_86121822242672112110[活跃Coin],表1_86121822242672112110[目标区服],表2_97131923252773113111[[#This Row],[合区区服]],表1_86121822242672112110[目标国家（映射）],表2_97131923252773113111[[#This Row],[国家]])</f>
        <v>973540</v>
      </c>
      <c r="K76" s="224">
        <f>SUMIFS(表1_86121822242672112110[共计补偿Coin],表1_86121822242672112110[目标区服],表2_97131923252773113111[[#This Row],[合区区服]],表1_86121822242672112110[目标国家（映射）],表2_97131923252773113111[[#This Row],[国家]])</f>
        <v>75500</v>
      </c>
      <c r="L76" s="224">
        <f>表2_97131923252773113111[[#This Row],[活跃Coin]]+表2_97131923252773113111[[#This Row],[共计补偿Coin]]</f>
        <v>1049040</v>
      </c>
      <c r="M76" s="224">
        <f>SUMIFS(表1_86121822242672112110[综合国力],表1_86121822242672112110[目标区服],表2_97131923252773113111[[#This Row],[合区区服]],表1_86121822242672112110[目标国家（映射）],表2_97131923252773113111[[#This Row],[国家]])</f>
        <v>22504</v>
      </c>
      <c r="N76" s="224">
        <f t="array" ref="N76">MAX((表1_86121822242672112110[目标区服]=表2_97131923252773113111[[#This Row],[合区区服]])*(表1_86121822242672112110[目标国家（映射）]=表2_97131923252773113111[[#This Row],[国家]])*表1_86121822242672112110[单将最高战力])</f>
        <v>946541</v>
      </c>
      <c r="P76" s="335">
        <v>5272</v>
      </c>
      <c r="Q76" s="335">
        <v>39</v>
      </c>
    </row>
    <row r="77" ht="15" spans="1:17">
      <c r="A77" s="220" t="s">
        <v>269</v>
      </c>
      <c r="B77" s="220" t="s">
        <v>25</v>
      </c>
      <c r="C77" s="220">
        <f>COUNTIFS(表1_86121822242672112110[目标区服],表2_97131923252773113111[[#This Row],[合区区服]],表1_86121822242672112110[目标国家（映射）],表2_97131923252773113111[[#This Row],[国家]])</f>
        <v>4</v>
      </c>
      <c r="D77" s="220">
        <f>SUMIFS(表1_86121822242672112110[活跃高战玩家数],表1_86121822242672112110[目标区服],表2_97131923252773113111[[#This Row],[合区区服]],表1_86121822242672112110[目标国家（映射）],表2_97131923252773113111[[#This Row],[国家]])</f>
        <v>7</v>
      </c>
      <c r="E77" s="220">
        <f>SUMIFS(表1_86121822242672112110[活跃中坚玩家数],表1_86121822242672112110[目标区服],表2_97131923252773113111[[#This Row],[合区区服]],表1_86121822242672112110[目标国家（映射）],表2_97131923252773113111[[#This Row],[国家]])</f>
        <v>65</v>
      </c>
      <c r="F77" s="220">
        <f t="array" ref="F77">MAX((表1_86121822242672112110[目标区服]=表2_97131923252773113111[[#This Row],[合区区服]])*(表1_86121822242672112110[目标国家（映射）]=表2_97131923252773113111[[#This Row],[国家]])*表1_86121822242672112110[活跃尖端战力])</f>
        <v>2510560</v>
      </c>
      <c r="G77" s="221">
        <f>SUMIFS(表1_86121822242672112110[活跃总战力],表1_86121822242672112110[目标区服],表2_97131923252773113111[[#This Row],[合区区服]],表1_86121822242672112110[目标国家（映射）],表2_97131923252773113111[[#This Row],[国家]])</f>
        <v>47930436</v>
      </c>
      <c r="H77" s="220">
        <f>SUMIFS(表1_86121822242672112110[活跃实际充值],表1_86121822242672112110[目标区服],表2_97131923252773113111[[#This Row],[合区区服]],表1_86121822242672112110[目标国家（映射）],表2_97131923252773113111[[#This Row],[国家]])</f>
        <v>161150</v>
      </c>
      <c r="I77" s="220">
        <f>SUMIFS(表1_86121822242672112110[活跃虚拟充值],表1_86121822242672112110[目标区服],表2_97131923252773113111[[#This Row],[合区区服]],表1_86121822242672112110[目标国家（映射）],表2_97131923252773113111[[#This Row],[国家]])</f>
        <v>0</v>
      </c>
      <c r="J77" s="220">
        <f>SUMIFS(表1_86121822242672112110[活跃Coin],表1_86121822242672112110[目标区服],表2_97131923252773113111[[#This Row],[合区区服]],表1_86121822242672112110[目标国家（映射）],表2_97131923252773113111[[#This Row],[国家]])</f>
        <v>760720</v>
      </c>
      <c r="K77" s="220">
        <f>SUMIFS(表1_86121822242672112110[共计补偿Coin],表1_86121822242672112110[目标区服],表2_97131923252773113111[[#This Row],[合区区服]],表1_86121822242672112110[目标国家（映射）],表2_97131923252773113111[[#This Row],[国家]])</f>
        <v>95500</v>
      </c>
      <c r="L77" s="220">
        <f>表2_97131923252773113111[[#This Row],[活跃Coin]]+表2_97131923252773113111[[#This Row],[共计补偿Coin]]</f>
        <v>856220</v>
      </c>
      <c r="M77" s="220">
        <f>SUMIFS(表1_86121822242672112110[综合国力],表1_86121822242672112110[目标区服],表2_97131923252773113111[[#This Row],[合区区服]],表1_86121822242672112110[目标国家（映射）],表2_97131923252773113111[[#This Row],[国家]])</f>
        <v>22540</v>
      </c>
      <c r="N77" s="220">
        <f t="array" ref="N77">MAX((表1_86121822242672112110[目标区服]=表2_97131923252773113111[[#This Row],[合区区服]])*(表1_86121822242672112110[目标国家（映射）]=表2_97131923252773113111[[#This Row],[国家]])*表1_86121822242672112110[单将最高战力])</f>
        <v>673861</v>
      </c>
      <c r="P77" s="335">
        <v>5273</v>
      </c>
      <c r="Q77" s="335">
        <v>38</v>
      </c>
    </row>
    <row r="78" ht="15" spans="1:17">
      <c r="A78" s="220" t="s">
        <v>269</v>
      </c>
      <c r="B78" s="220" t="s">
        <v>26</v>
      </c>
      <c r="C78" s="220">
        <f>COUNTIFS(表1_86121822242672112110[目标区服],表2_97131923252773113111[[#This Row],[合区区服]],表1_86121822242672112110[目标国家（映射）],表2_97131923252773113111[[#This Row],[国家]])</f>
        <v>2</v>
      </c>
      <c r="D78" s="220">
        <f>SUMIFS(表1_86121822242672112110[活跃高战玩家数],表1_86121822242672112110[目标区服],表2_97131923252773113111[[#This Row],[合区区服]],表1_86121822242672112110[目标国家（映射）],表2_97131923252773113111[[#This Row],[国家]])</f>
        <v>10</v>
      </c>
      <c r="E78" s="220">
        <f>SUMIFS(表1_86121822242672112110[活跃中坚玩家数],表1_86121822242672112110[目标区服],表2_97131923252773113111[[#This Row],[合区区服]],表1_86121822242672112110[目标国家（映射）],表2_97131923252773113111[[#This Row],[国家]])</f>
        <v>38</v>
      </c>
      <c r="F78" s="220">
        <f t="array" ref="F78">MAX((表1_86121822242672112110[目标区服]=表2_97131923252773113111[[#This Row],[合区区服]])*(表1_86121822242672112110[目标国家（映射）]=表2_97131923252773113111[[#This Row],[国家]])*表1_86121822242672112110[活跃尖端战力])</f>
        <v>3614347</v>
      </c>
      <c r="G78" s="221">
        <f>SUMIFS(表1_86121822242672112110[活跃总战力],表1_86121822242672112110[目标区服],表2_97131923252773113111[[#This Row],[合区区服]],表1_86121822242672112110[目标国家（映射）],表2_97131923252773113111[[#This Row],[国家]])</f>
        <v>40298418</v>
      </c>
      <c r="H78" s="220">
        <f>SUMIFS(表1_86121822242672112110[活跃实际充值],表1_86121822242672112110[目标区服],表2_97131923252773113111[[#This Row],[合区区服]],表1_86121822242672112110[目标国家（映射）],表2_97131923252773113111[[#This Row],[国家]])</f>
        <v>181752</v>
      </c>
      <c r="I78" s="220">
        <f>SUMIFS(表1_86121822242672112110[活跃虚拟充值],表1_86121822242672112110[目标区服],表2_97131923252773113111[[#This Row],[合区区服]],表1_86121822242672112110[目标国家（映射）],表2_97131923252773113111[[#This Row],[国家]])</f>
        <v>0</v>
      </c>
      <c r="J78" s="220">
        <f>SUMIFS(表1_86121822242672112110[活跃Coin],表1_86121822242672112110[目标区服],表2_97131923252773113111[[#This Row],[合区区服]],表1_86121822242672112110[目标国家（映射）],表2_97131923252773113111[[#This Row],[国家]])</f>
        <v>853794</v>
      </c>
      <c r="K78" s="220">
        <f>SUMIFS(表1_86121822242672112110[共计补偿Coin],表1_86121822242672112110[目标区服],表2_97131923252773113111[[#This Row],[合区区服]],表1_86121822242672112110[目标国家（映射）],表2_97131923252773113111[[#This Row],[国家]])</f>
        <v>57500</v>
      </c>
      <c r="L78" s="220">
        <f>表2_97131923252773113111[[#This Row],[活跃Coin]]+表2_97131923252773113111[[#This Row],[共计补偿Coin]]</f>
        <v>911294</v>
      </c>
      <c r="M78" s="220">
        <f>SUMIFS(表1_86121822242672112110[综合国力],表1_86121822242672112110[目标区服],表2_97131923252773113111[[#This Row],[合区区服]],表1_86121822242672112110[目标国家（映射）],表2_97131923252773113111[[#This Row],[国家]])</f>
        <v>21684</v>
      </c>
      <c r="N78" s="220">
        <f t="array" ref="N78">MAX((表1_86121822242672112110[目标区服]=表2_97131923252773113111[[#This Row],[合区区服]])*(表1_86121822242672112110[目标国家（映射）]=表2_97131923252773113111[[#This Row],[国家]])*表1_86121822242672112110[单将最高战力])</f>
        <v>1061340</v>
      </c>
      <c r="P78" s="335">
        <v>5274</v>
      </c>
      <c r="Q78" s="335">
        <v>38</v>
      </c>
    </row>
    <row r="79" ht="15" spans="1:17">
      <c r="A79" s="220" t="s">
        <v>269</v>
      </c>
      <c r="B79" s="220" t="s">
        <v>27</v>
      </c>
      <c r="C79" s="220">
        <f>COUNTIFS(表1_86121822242672112110[目标区服],表2_97131923252773113111[[#This Row],[合区区服]],表1_86121822242672112110[目标国家（映射）],表2_97131923252773113111[[#This Row],[国家]])</f>
        <v>3</v>
      </c>
      <c r="D79" s="220">
        <f>SUMIFS(表1_86121822242672112110[活跃高战玩家数],表1_86121822242672112110[目标区服],表2_97131923252773113111[[#This Row],[合区区服]],表1_86121822242672112110[目标国家（映射）],表2_97131923252773113111[[#This Row],[国家]])</f>
        <v>13</v>
      </c>
      <c r="E79" s="220">
        <f>SUMIFS(表1_86121822242672112110[活跃中坚玩家数],表1_86121822242672112110[目标区服],表2_97131923252773113111[[#This Row],[合区区服]],表1_86121822242672112110[目标国家（映射）],表2_97131923252773113111[[#This Row],[国家]])</f>
        <v>55</v>
      </c>
      <c r="F79" s="220">
        <f t="array" ref="F79">MAX((表1_86121822242672112110[目标区服]=表2_97131923252773113111[[#This Row],[合区区服]])*(表1_86121822242672112110[目标国家（映射）]=表2_97131923252773113111[[#This Row],[国家]])*表1_86121822242672112110[活跃尖端战力])</f>
        <v>2968519</v>
      </c>
      <c r="G79" s="221">
        <f>SUMIFS(表1_86121822242672112110[活跃总战力],表1_86121822242672112110[目标区服],表2_97131923252773113111[[#This Row],[合区区服]],表1_86121822242672112110[目标国家（映射）],表2_97131923252773113111[[#This Row],[国家]])</f>
        <v>49940558</v>
      </c>
      <c r="H79" s="220">
        <f>SUMIFS(表1_86121822242672112110[活跃实际充值],表1_86121822242672112110[目标区服],表2_97131923252773113111[[#This Row],[合区区服]],表1_86121822242672112110[目标国家（映射）],表2_97131923252773113111[[#This Row],[国家]])</f>
        <v>120010</v>
      </c>
      <c r="I79" s="220">
        <f>SUMIFS(表1_86121822242672112110[活跃虚拟充值],表1_86121822242672112110[目标区服],表2_97131923252773113111[[#This Row],[合区区服]],表1_86121822242672112110[目标国家（映射）],表2_97131923252773113111[[#This Row],[国家]])</f>
        <v>0</v>
      </c>
      <c r="J79" s="220">
        <f>SUMIFS(表1_86121822242672112110[活跃Coin],表1_86121822242672112110[目标区服],表2_97131923252773113111[[#This Row],[合区区服]],表1_86121822242672112110[目标国家（映射）],表2_97131923252773113111[[#This Row],[国家]])</f>
        <v>1235482</v>
      </c>
      <c r="K79" s="220">
        <f>SUMIFS(表1_86121822242672112110[共计补偿Coin],表1_86121822242672112110[目标区服],表2_97131923252773113111[[#This Row],[合区区服]],表1_86121822242672112110[目标国家（映射）],表2_97131923252773113111[[#This Row],[国家]])</f>
        <v>68000</v>
      </c>
      <c r="L79" s="220">
        <f>表2_97131923252773113111[[#This Row],[活跃Coin]]+表2_97131923252773113111[[#This Row],[共计补偿Coin]]</f>
        <v>1303482</v>
      </c>
      <c r="M79" s="220">
        <f>SUMIFS(表1_86121822242672112110[综合国力],表1_86121822242672112110[目标区服],表2_97131923252773113111[[#This Row],[合区区服]],表1_86121822242672112110[目标国家（映射）],表2_97131923252773113111[[#This Row],[国家]])</f>
        <v>22857</v>
      </c>
      <c r="N79" s="220">
        <f t="array" ref="N79">MAX((表1_86121822242672112110[目标区服]=表2_97131923252773113111[[#This Row],[合区区服]])*(表1_86121822242672112110[目标国家（映射）]=表2_97131923252773113111[[#This Row],[国家]])*表1_86121822242672112110[单将最高战力])</f>
        <v>892578</v>
      </c>
      <c r="P79" s="335">
        <v>5275</v>
      </c>
      <c r="Q79" s="335">
        <v>38</v>
      </c>
    </row>
    <row r="80" ht="15" spans="1:17">
      <c r="A80" s="178" t="s">
        <v>270</v>
      </c>
      <c r="B80" s="178" t="s">
        <v>25</v>
      </c>
      <c r="C80" s="178">
        <f>COUNTIFS(表1_86121822242672112110[目标区服],表2_97131923252773113111[[#This Row],[合区区服]],表1_86121822242672112110[目标国家（映射）],表2_97131923252773113111[[#This Row],[国家]])</f>
        <v>5</v>
      </c>
      <c r="D80" s="178">
        <f>SUMIFS(表1_86121822242672112110[活跃高战玩家数],表1_86121822242672112110[目标区服],表2_97131923252773113111[[#This Row],[合区区服]],表1_86121822242672112110[目标国家（映射）],表2_97131923252773113111[[#This Row],[国家]])</f>
        <v>10</v>
      </c>
      <c r="E80" s="178">
        <f>SUMIFS(表1_86121822242672112110[活跃中坚玩家数],表1_86121822242672112110[目标区服],表2_97131923252773113111[[#This Row],[合区区服]],表1_86121822242672112110[目标国家（映射）],表2_97131923252773113111[[#This Row],[国家]])</f>
        <v>76</v>
      </c>
      <c r="F80" s="178">
        <f t="array" ref="F80">MAX((表1_86121822242672112110[目标区服]=表2_97131923252773113111[[#This Row],[合区区服]])*(表1_86121822242672112110[目标国家（映射）]=表2_97131923252773113111[[#This Row],[国家]])*表1_86121822242672112110[活跃尖端战力])</f>
        <v>1995420</v>
      </c>
      <c r="G80" s="179">
        <f>SUMIFS(表1_86121822242672112110[活跃总战力],表1_86121822242672112110[目标区服],表2_97131923252773113111[[#This Row],[合区区服]],表1_86121822242672112110[目标国家（映射）],表2_97131923252773113111[[#This Row],[国家]])</f>
        <v>49662358</v>
      </c>
      <c r="H80" s="178">
        <f>SUMIFS(表1_86121822242672112110[活跃实际充值],表1_86121822242672112110[目标区服],表2_97131923252773113111[[#This Row],[合区区服]],表1_86121822242672112110[目标国家（映射）],表2_97131923252773113111[[#This Row],[国家]])</f>
        <v>81984</v>
      </c>
      <c r="I80" s="178">
        <f>SUMIFS(表1_86121822242672112110[活跃虚拟充值],表1_86121822242672112110[目标区服],表2_97131923252773113111[[#This Row],[合区区服]],表1_86121822242672112110[目标国家（映射）],表2_97131923252773113111[[#This Row],[国家]])</f>
        <v>0</v>
      </c>
      <c r="J80" s="178">
        <f>SUMIFS(表1_86121822242672112110[活跃Coin],表1_86121822242672112110[目标区服],表2_97131923252773113111[[#This Row],[合区区服]],表1_86121822242672112110[目标国家（映射）],表2_97131923252773113111[[#This Row],[国家]])</f>
        <v>879447</v>
      </c>
      <c r="K80" s="178">
        <f>SUMIFS(表1_86121822242672112110[共计补偿Coin],表1_86121822242672112110[目标区服],表2_97131923252773113111[[#This Row],[合区区服]],表1_86121822242672112110[目标国家（映射）],表2_97131923252773113111[[#This Row],[国家]])</f>
        <v>86000</v>
      </c>
      <c r="L80" s="178">
        <f>表2_97131923252773113111[[#This Row],[活跃Coin]]+表2_97131923252773113111[[#This Row],[共计补偿Coin]]</f>
        <v>965447</v>
      </c>
      <c r="M80" s="178">
        <f>SUMIFS(表1_86121822242672112110[综合国力],表1_86121822242672112110[目标区服],表2_97131923252773113111[[#This Row],[合区区服]],表1_86121822242672112110[目标国家（映射）],表2_97131923252773113111[[#This Row],[国家]])</f>
        <v>22464</v>
      </c>
      <c r="N80" s="178">
        <f t="array" ref="N80">MAX((表1_86121822242672112110[目标区服]=表2_97131923252773113111[[#This Row],[合区区服]])*(表1_86121822242672112110[目标国家（映射）]=表2_97131923252773113111[[#This Row],[国家]])*表1_86121822242672112110[单将最高战力])</f>
        <v>550692</v>
      </c>
      <c r="P80" s="335">
        <v>5276</v>
      </c>
      <c r="Q80" s="335">
        <v>38</v>
      </c>
    </row>
    <row r="81" ht="15" spans="1:14">
      <c r="A81" s="178" t="s">
        <v>270</v>
      </c>
      <c r="B81" s="178" t="s">
        <v>26</v>
      </c>
      <c r="C81" s="178">
        <f>COUNTIFS(表1_86121822242672112110[目标区服],表2_97131923252773113111[[#This Row],[合区区服]],表1_86121822242672112110[目标国家（映射）],表2_97131923252773113111[[#This Row],[国家]])</f>
        <v>1</v>
      </c>
      <c r="D81" s="178">
        <f>SUMIFS(表1_86121822242672112110[活跃高战玩家数],表1_86121822242672112110[目标区服],表2_97131923252773113111[[#This Row],[合区区服]],表1_86121822242672112110[目标国家（映射）],表2_97131923252773113111[[#This Row],[国家]])</f>
        <v>9</v>
      </c>
      <c r="E81" s="178">
        <f>SUMIFS(表1_86121822242672112110[活跃中坚玩家数],表1_86121822242672112110[目标区服],表2_97131923252773113111[[#This Row],[合区区服]],表1_86121822242672112110[目标国家（映射）],表2_97131923252773113111[[#This Row],[国家]])</f>
        <v>33</v>
      </c>
      <c r="F81" s="178">
        <f t="array" ref="F81">MAX((表1_86121822242672112110[目标区服]=表2_97131923252773113111[[#This Row],[合区区服]])*(表1_86121822242672112110[目标国家（映射）]=表2_97131923252773113111[[#This Row],[国家]])*表1_86121822242672112110[活跃尖端战力])</f>
        <v>3665477</v>
      </c>
      <c r="G81" s="179">
        <f>SUMIFS(表1_86121822242672112110[活跃总战力],表1_86121822242672112110[目标区服],表2_97131923252773113111[[#This Row],[合区区服]],表1_86121822242672112110[目标国家（映射）],表2_97131923252773113111[[#This Row],[国家]])</f>
        <v>41401291</v>
      </c>
      <c r="H81" s="178">
        <f>SUMIFS(表1_86121822242672112110[活跃实际充值],表1_86121822242672112110[目标区服],表2_97131923252773113111[[#This Row],[合区区服]],表1_86121822242672112110[目标国家（映射）],表2_97131923252773113111[[#This Row],[国家]])</f>
        <v>208478</v>
      </c>
      <c r="I81" s="178">
        <f>SUMIFS(表1_86121822242672112110[活跃虚拟充值],表1_86121822242672112110[目标区服],表2_97131923252773113111[[#This Row],[合区区服]],表1_86121822242672112110[目标国家（映射）],表2_97131923252773113111[[#This Row],[国家]])</f>
        <v>0</v>
      </c>
      <c r="J81" s="178">
        <f>SUMIFS(表1_86121822242672112110[活跃Coin],表1_86121822242672112110[目标区服],表2_97131923252773113111[[#This Row],[合区区服]],表1_86121822242672112110[目标国家（映射）],表2_97131923252773113111[[#This Row],[国家]])</f>
        <v>867113</v>
      </c>
      <c r="K81" s="178">
        <f>SUMIFS(表1_86121822242672112110[共计补偿Coin],表1_86121822242672112110[目标区服],表2_97131923252773113111[[#This Row],[合区区服]],表1_86121822242672112110[目标国家（映射）],表2_97131923252773113111[[#This Row],[国家]])</f>
        <v>42000</v>
      </c>
      <c r="L81" s="178">
        <f>表2_97131923252773113111[[#This Row],[活跃Coin]]+表2_97131923252773113111[[#This Row],[共计补偿Coin]]</f>
        <v>909113</v>
      </c>
      <c r="M81" s="178">
        <f>SUMIFS(表1_86121822242672112110[综合国力],表1_86121822242672112110[目标区服],表2_97131923252773113111[[#This Row],[合区区服]],表1_86121822242672112110[目标国家（映射）],表2_97131923252773113111[[#This Row],[国家]])</f>
        <v>19769</v>
      </c>
      <c r="N81" s="178">
        <f t="array" ref="N81">MAX((表1_86121822242672112110[目标区服]=表2_97131923252773113111[[#This Row],[合区区服]])*(表1_86121822242672112110[目标国家（映射）]=表2_97131923252773113111[[#This Row],[国家]])*表1_86121822242672112110[单将最高战力])</f>
        <v>1021117</v>
      </c>
    </row>
    <row r="82" ht="15" spans="1:14">
      <c r="A82" s="178" t="s">
        <v>270</v>
      </c>
      <c r="B82" s="178" t="s">
        <v>27</v>
      </c>
      <c r="C82" s="178">
        <f>COUNTIFS(表1_86121822242672112110[目标区服],表2_97131923252773113111[[#This Row],[合区区服]],表1_86121822242672112110[目标国家（映射）],表2_97131923252773113111[[#This Row],[国家]])</f>
        <v>3</v>
      </c>
      <c r="D82" s="178">
        <f>SUMIFS(表1_86121822242672112110[活跃高战玩家数],表1_86121822242672112110[目标区服],表2_97131923252773113111[[#This Row],[合区区服]],表1_86121822242672112110[目标国家（映射）],表2_97131923252773113111[[#This Row],[国家]])</f>
        <v>9</v>
      </c>
      <c r="E82" s="178">
        <f>SUMIFS(表1_86121822242672112110[活跃中坚玩家数],表1_86121822242672112110[目标区服],表2_97131923252773113111[[#This Row],[合区区服]],表1_86121822242672112110[目标国家（映射）],表2_97131923252773113111[[#This Row],[国家]])</f>
        <v>48</v>
      </c>
      <c r="F82" s="178">
        <f t="array" ref="F82">MAX((表1_86121822242672112110[目标区服]=表2_97131923252773113111[[#This Row],[合区区服]])*(表1_86121822242672112110[目标国家（映射）]=表2_97131923252773113111[[#This Row],[国家]])*表1_86121822242672112110[活跃尖端战力])</f>
        <v>3641142</v>
      </c>
      <c r="G82" s="179">
        <f>SUMIFS(表1_86121822242672112110[活跃总战力],表1_86121822242672112110[目标区服],表2_97131923252773113111[[#This Row],[合区区服]],表1_86121822242672112110[目标国家（映射）],表2_97131923252773113111[[#This Row],[国家]])</f>
        <v>43328038</v>
      </c>
      <c r="H82" s="178">
        <f>SUMIFS(表1_86121822242672112110[活跃实际充值],表1_86121822242672112110[目标区服],表2_97131923252773113111[[#This Row],[合区区服]],表1_86121822242672112110[目标国家（映射）],表2_97131923252773113111[[#This Row],[国家]])</f>
        <v>77710</v>
      </c>
      <c r="I82" s="178">
        <f>SUMIFS(表1_86121822242672112110[活跃虚拟充值],表1_86121822242672112110[目标区服],表2_97131923252773113111[[#This Row],[合区区服]],表1_86121822242672112110[目标国家（映射）],表2_97131923252773113111[[#This Row],[国家]])</f>
        <v>76086</v>
      </c>
      <c r="J82" s="178">
        <f>SUMIFS(表1_86121822242672112110[活跃Coin],表1_86121822242672112110[目标区服],表2_97131923252773113111[[#This Row],[合区区服]],表1_86121822242672112110[目标国家（映射）],表2_97131923252773113111[[#This Row],[国家]])</f>
        <v>1176014</v>
      </c>
      <c r="K82" s="178">
        <f>SUMIFS(表1_86121822242672112110[共计补偿Coin],表1_86121822242672112110[目标区服],表2_97131923252773113111[[#This Row],[合区区服]],表1_86121822242672112110[目标国家（映射）],表2_97131923252773113111[[#This Row],[国家]])</f>
        <v>57000</v>
      </c>
      <c r="L82" s="178">
        <f>表2_97131923252773113111[[#This Row],[活跃Coin]]+表2_97131923252773113111[[#This Row],[共计补偿Coin]]</f>
        <v>1233014</v>
      </c>
      <c r="M82" s="178">
        <f>SUMIFS(表1_86121822242672112110[综合国力],表1_86121822242672112110[目标区服],表2_97131923252773113111[[#This Row],[合区区服]],表1_86121822242672112110[目标国家（映射）],表2_97131923252773113111[[#This Row],[国家]])</f>
        <v>19855</v>
      </c>
      <c r="N82" s="178">
        <f t="array" ref="N82">MAX((表1_86121822242672112110[目标区服]=表2_97131923252773113111[[#This Row],[合区区服]])*(表1_86121822242672112110[目标国家（映射）]=表2_97131923252773113111[[#This Row],[国家]])*表1_86121822242672112110[单将最高战力])</f>
        <v>1056205</v>
      </c>
    </row>
    <row r="85" ht="27" spans="2:14">
      <c r="B85" s="49"/>
      <c r="C85" s="50" t="s">
        <v>9</v>
      </c>
      <c r="D85" s="50" t="s">
        <v>10</v>
      </c>
      <c r="E85" s="50" t="s">
        <v>11</v>
      </c>
      <c r="F85" s="50" t="s">
        <v>12</v>
      </c>
      <c r="G85" s="50" t="s">
        <v>13</v>
      </c>
      <c r="H85" s="50" t="s">
        <v>14</v>
      </c>
      <c r="I85" s="274" t="s">
        <v>15</v>
      </c>
      <c r="J85" s="189" t="s">
        <v>18</v>
      </c>
      <c r="K85" s="189" t="s">
        <v>19</v>
      </c>
      <c r="L85" s="189" t="s">
        <v>20</v>
      </c>
      <c r="M85" s="189" t="s">
        <v>21</v>
      </c>
      <c r="N85" s="189" t="s">
        <v>82</v>
      </c>
    </row>
    <row r="86" spans="1:14">
      <c r="A86">
        <v>5258</v>
      </c>
      <c r="B86" s="190" t="s">
        <v>25</v>
      </c>
      <c r="C86" s="190">
        <v>5</v>
      </c>
      <c r="D86" s="190">
        <v>147</v>
      </c>
      <c r="E86" s="190">
        <v>5</v>
      </c>
      <c r="F86" s="190">
        <v>25</v>
      </c>
      <c r="G86" s="190">
        <v>124229</v>
      </c>
      <c r="H86" s="190">
        <v>3262599</v>
      </c>
      <c r="I86" s="190">
        <v>26698025</v>
      </c>
      <c r="J86" s="353">
        <v>115334</v>
      </c>
      <c r="K86" s="353">
        <v>0</v>
      </c>
      <c r="L86" s="353">
        <v>863710</v>
      </c>
      <c r="M86" s="353">
        <v>12415</v>
      </c>
      <c r="N86" s="190">
        <v>1163606</v>
      </c>
    </row>
    <row r="87" spans="2:14">
      <c r="B87" s="190" t="s">
        <v>26</v>
      </c>
      <c r="C87" s="190">
        <v>4</v>
      </c>
      <c r="D87" s="190">
        <v>201</v>
      </c>
      <c r="E87" s="190">
        <v>4</v>
      </c>
      <c r="F87" s="190">
        <v>25</v>
      </c>
      <c r="G87" s="190">
        <v>120148</v>
      </c>
      <c r="H87" s="190">
        <v>3436340</v>
      </c>
      <c r="I87" s="190">
        <v>26511875</v>
      </c>
      <c r="J87" s="190">
        <v>125350</v>
      </c>
      <c r="K87" s="190">
        <v>0</v>
      </c>
      <c r="L87" s="190">
        <v>569835</v>
      </c>
      <c r="M87" s="190">
        <v>13143</v>
      </c>
      <c r="N87" s="190">
        <v>1233264</v>
      </c>
    </row>
    <row r="88" spans="2:14">
      <c r="B88" s="190" t="s">
        <v>27</v>
      </c>
      <c r="C88" s="190">
        <v>0</v>
      </c>
      <c r="D88" s="190">
        <v>47</v>
      </c>
      <c r="E88" s="190">
        <v>1</v>
      </c>
      <c r="F88" s="190">
        <v>15</v>
      </c>
      <c r="G88" s="190">
        <v>58756</v>
      </c>
      <c r="H88" s="190">
        <v>1817949</v>
      </c>
      <c r="I88" s="190">
        <v>11814069</v>
      </c>
      <c r="J88" s="190">
        <v>25032</v>
      </c>
      <c r="K88" s="190">
        <v>0</v>
      </c>
      <c r="L88" s="190">
        <v>167739</v>
      </c>
      <c r="M88" s="190">
        <v>4597</v>
      </c>
      <c r="N88" s="190">
        <v>510254</v>
      </c>
    </row>
    <row r="89" spans="1:14">
      <c r="A89">
        <v>5259</v>
      </c>
      <c r="B89" s="190" t="s">
        <v>25</v>
      </c>
      <c r="C89" s="190">
        <v>0</v>
      </c>
      <c r="D89" s="190">
        <v>40</v>
      </c>
      <c r="E89" s="190">
        <v>1</v>
      </c>
      <c r="F89" s="190">
        <v>13</v>
      </c>
      <c r="G89" s="190">
        <v>56046</v>
      </c>
      <c r="H89" s="190">
        <v>1298765</v>
      </c>
      <c r="I89" s="190">
        <v>7709037</v>
      </c>
      <c r="J89" s="190">
        <v>3110</v>
      </c>
      <c r="K89" s="190">
        <v>0</v>
      </c>
      <c r="L89" s="190">
        <v>115635</v>
      </c>
      <c r="M89" s="190">
        <v>2901</v>
      </c>
      <c r="N89" s="190">
        <v>354253</v>
      </c>
    </row>
    <row r="90" spans="2:14">
      <c r="B90" s="190" t="s">
        <v>26</v>
      </c>
      <c r="C90" s="190">
        <v>0</v>
      </c>
      <c r="D90" s="190">
        <v>50</v>
      </c>
      <c r="E90" s="190">
        <v>1</v>
      </c>
      <c r="F90" s="190">
        <v>16</v>
      </c>
      <c r="G90" s="190">
        <v>63548</v>
      </c>
      <c r="H90" s="190">
        <v>1649048</v>
      </c>
      <c r="I90" s="190">
        <v>9349649</v>
      </c>
      <c r="J90" s="190">
        <v>5940</v>
      </c>
      <c r="K90" s="190">
        <v>0</v>
      </c>
      <c r="L90" s="190">
        <v>84193</v>
      </c>
      <c r="M90" s="190">
        <v>3622</v>
      </c>
      <c r="N90" s="190">
        <v>675905</v>
      </c>
    </row>
    <row r="91" spans="2:14">
      <c r="B91" s="190" t="s">
        <v>27</v>
      </c>
      <c r="C91" s="190">
        <v>9</v>
      </c>
      <c r="D91" s="190">
        <v>305</v>
      </c>
      <c r="E91" s="190">
        <v>8</v>
      </c>
      <c r="F91" s="190">
        <v>18</v>
      </c>
      <c r="G91" s="190">
        <v>149713</v>
      </c>
      <c r="H91" s="190">
        <v>2909701</v>
      </c>
      <c r="I91" s="190">
        <v>22674283</v>
      </c>
      <c r="J91" s="190">
        <v>73714</v>
      </c>
      <c r="K91" s="190">
        <v>0</v>
      </c>
      <c r="L91" s="190">
        <v>919547</v>
      </c>
      <c r="M91" s="190">
        <v>12546</v>
      </c>
      <c r="N91" s="190">
        <v>901999</v>
      </c>
    </row>
    <row r="92" spans="1:14">
      <c r="A92">
        <v>5260</v>
      </c>
      <c r="B92" s="190" t="s">
        <v>25</v>
      </c>
      <c r="C92" s="190">
        <v>8</v>
      </c>
      <c r="D92" s="190">
        <v>276</v>
      </c>
      <c r="E92" s="190">
        <v>8</v>
      </c>
      <c r="F92" s="190">
        <v>15</v>
      </c>
      <c r="G92" s="190">
        <v>137798</v>
      </c>
      <c r="H92" s="190">
        <v>2697827</v>
      </c>
      <c r="I92" s="190">
        <v>18539723</v>
      </c>
      <c r="J92" s="190">
        <v>84582</v>
      </c>
      <c r="K92" s="190">
        <v>0</v>
      </c>
      <c r="L92" s="190">
        <v>320923</v>
      </c>
      <c r="M92" s="190">
        <v>11498</v>
      </c>
      <c r="N92" s="190">
        <v>817417</v>
      </c>
    </row>
    <row r="93" spans="2:14">
      <c r="B93" s="190" t="s">
        <v>26</v>
      </c>
      <c r="C93" s="190">
        <v>1</v>
      </c>
      <c r="D93" s="190">
        <v>60</v>
      </c>
      <c r="E93" s="190">
        <v>2</v>
      </c>
      <c r="F93" s="190">
        <v>16</v>
      </c>
      <c r="G93" s="190">
        <v>91117</v>
      </c>
      <c r="H93" s="190">
        <v>1374960</v>
      </c>
      <c r="I93" s="190">
        <v>9447825</v>
      </c>
      <c r="J93" s="190">
        <v>5372</v>
      </c>
      <c r="K93" s="190">
        <v>0</v>
      </c>
      <c r="L93" s="190">
        <v>148875</v>
      </c>
      <c r="M93" s="190">
        <v>3710</v>
      </c>
      <c r="N93" s="190">
        <v>386947</v>
      </c>
    </row>
    <row r="94" spans="2:14">
      <c r="B94" s="190" t="s">
        <v>27</v>
      </c>
      <c r="C94" s="190">
        <v>0</v>
      </c>
      <c r="D94" s="190">
        <v>59</v>
      </c>
      <c r="E94" s="190">
        <v>0</v>
      </c>
      <c r="F94" s="190">
        <v>9</v>
      </c>
      <c r="G94" s="190">
        <v>36074</v>
      </c>
      <c r="H94" s="190">
        <v>716452</v>
      </c>
      <c r="I94" s="190">
        <v>3487316</v>
      </c>
      <c r="J94" s="190">
        <v>1860</v>
      </c>
      <c r="K94" s="190">
        <v>0</v>
      </c>
      <c r="L94" s="190">
        <v>66910</v>
      </c>
      <c r="M94" s="190">
        <v>1924</v>
      </c>
      <c r="N94" s="190">
        <v>224086</v>
      </c>
    </row>
    <row r="95" spans="1:14">
      <c r="A95">
        <v>5261</v>
      </c>
      <c r="B95" s="190" t="s">
        <v>25</v>
      </c>
      <c r="C95" s="190">
        <v>4</v>
      </c>
      <c r="D95" s="190">
        <v>107</v>
      </c>
      <c r="E95" s="190">
        <v>2</v>
      </c>
      <c r="F95" s="190">
        <v>15</v>
      </c>
      <c r="G95" s="190">
        <v>63230</v>
      </c>
      <c r="H95" s="190">
        <v>1708509</v>
      </c>
      <c r="I95" s="190">
        <v>11263854</v>
      </c>
      <c r="J95" s="190">
        <v>24960</v>
      </c>
      <c r="K95" s="190">
        <v>0</v>
      </c>
      <c r="L95" s="190">
        <v>146623</v>
      </c>
      <c r="M95" s="190">
        <v>5443</v>
      </c>
      <c r="N95" s="190">
        <v>512016</v>
      </c>
    </row>
    <row r="96" spans="2:14">
      <c r="B96" s="190" t="s">
        <v>26</v>
      </c>
      <c r="C96" s="190">
        <v>3</v>
      </c>
      <c r="D96" s="190">
        <v>134</v>
      </c>
      <c r="E96" s="190">
        <v>3</v>
      </c>
      <c r="F96" s="190">
        <v>21</v>
      </c>
      <c r="G96" s="190">
        <v>96656</v>
      </c>
      <c r="H96" s="190">
        <v>1851498</v>
      </c>
      <c r="I96" s="190">
        <v>17309617</v>
      </c>
      <c r="J96" s="190">
        <v>34434</v>
      </c>
      <c r="K96" s="190">
        <v>0</v>
      </c>
      <c r="L96" s="190">
        <v>300812</v>
      </c>
      <c r="M96" s="190">
        <v>6889</v>
      </c>
      <c r="N96" s="190">
        <v>562098</v>
      </c>
    </row>
    <row r="97" spans="2:14">
      <c r="B97" s="190" t="s">
        <v>27</v>
      </c>
      <c r="C97" s="190">
        <v>2</v>
      </c>
      <c r="D97" s="190">
        <v>154</v>
      </c>
      <c r="E97" s="190">
        <v>5</v>
      </c>
      <c r="F97" s="190">
        <v>22</v>
      </c>
      <c r="G97" s="190">
        <v>132098</v>
      </c>
      <c r="H97" s="190">
        <v>2485857</v>
      </c>
      <c r="I97" s="190">
        <v>22862980</v>
      </c>
      <c r="J97" s="190">
        <v>55596</v>
      </c>
      <c r="K97" s="190">
        <v>0</v>
      </c>
      <c r="L97" s="190">
        <v>513670</v>
      </c>
      <c r="M97" s="190">
        <v>9097</v>
      </c>
      <c r="N97" s="190">
        <v>639001</v>
      </c>
    </row>
    <row r="98" spans="1:14">
      <c r="A98">
        <v>5262</v>
      </c>
      <c r="B98" s="190" t="s">
        <v>25</v>
      </c>
      <c r="C98" s="190">
        <v>4</v>
      </c>
      <c r="D98" s="190">
        <v>121</v>
      </c>
      <c r="E98" s="190">
        <v>3</v>
      </c>
      <c r="F98" s="190">
        <v>19</v>
      </c>
      <c r="G98" s="190">
        <v>100323</v>
      </c>
      <c r="H98" s="190">
        <v>1979906</v>
      </c>
      <c r="I98" s="190">
        <v>13950159</v>
      </c>
      <c r="J98" s="190">
        <v>9156</v>
      </c>
      <c r="K98" s="190">
        <v>0</v>
      </c>
      <c r="L98" s="190">
        <v>299305</v>
      </c>
      <c r="M98" s="190">
        <v>5910</v>
      </c>
      <c r="N98" s="190">
        <v>546792</v>
      </c>
    </row>
    <row r="99" spans="2:14">
      <c r="B99" s="190" t="s">
        <v>26</v>
      </c>
      <c r="C99" s="190">
        <v>4</v>
      </c>
      <c r="D99" s="190">
        <v>199</v>
      </c>
      <c r="E99" s="190">
        <v>7</v>
      </c>
      <c r="F99" s="190">
        <v>20</v>
      </c>
      <c r="G99" s="190">
        <v>146146</v>
      </c>
      <c r="H99" s="190">
        <v>2259902</v>
      </c>
      <c r="I99" s="190">
        <v>20297467</v>
      </c>
      <c r="J99" s="190">
        <v>55956</v>
      </c>
      <c r="K99" s="190">
        <v>0</v>
      </c>
      <c r="L99" s="190">
        <v>604983</v>
      </c>
      <c r="M99" s="190">
        <v>9391</v>
      </c>
      <c r="N99" s="190">
        <v>648105</v>
      </c>
    </row>
    <row r="100" spans="2:14">
      <c r="B100" s="190" t="s">
        <v>27</v>
      </c>
      <c r="C100" s="190">
        <v>1</v>
      </c>
      <c r="D100" s="190">
        <v>75</v>
      </c>
      <c r="E100" s="190">
        <v>0</v>
      </c>
      <c r="F100" s="190">
        <v>15</v>
      </c>
      <c r="G100" s="190">
        <v>46008</v>
      </c>
      <c r="H100" s="190">
        <v>806977</v>
      </c>
      <c r="I100" s="190">
        <v>6499446</v>
      </c>
      <c r="J100" s="190">
        <v>1620</v>
      </c>
      <c r="K100" s="190">
        <v>0</v>
      </c>
      <c r="L100" s="190">
        <v>111573</v>
      </c>
      <c r="M100" s="190">
        <v>2641</v>
      </c>
      <c r="N100" s="190">
        <v>228625</v>
      </c>
    </row>
    <row r="101" spans="1:14">
      <c r="A101">
        <v>5263</v>
      </c>
      <c r="B101" s="190" t="s">
        <v>25</v>
      </c>
      <c r="C101" s="190">
        <v>2</v>
      </c>
      <c r="D101" s="190">
        <v>95</v>
      </c>
      <c r="E101" s="190">
        <v>2</v>
      </c>
      <c r="F101" s="190">
        <v>15</v>
      </c>
      <c r="G101" s="190">
        <v>70204</v>
      </c>
      <c r="H101" s="190">
        <v>1451964</v>
      </c>
      <c r="I101" s="190">
        <v>8849822</v>
      </c>
      <c r="J101" s="190">
        <v>5528</v>
      </c>
      <c r="K101" s="190">
        <v>27330</v>
      </c>
      <c r="L101" s="190">
        <v>339273</v>
      </c>
      <c r="M101" s="190">
        <v>4446</v>
      </c>
      <c r="N101" s="190">
        <v>460017</v>
      </c>
    </row>
    <row r="102" spans="2:14">
      <c r="B102" s="190" t="s">
        <v>26</v>
      </c>
      <c r="C102" s="190">
        <v>5</v>
      </c>
      <c r="D102" s="190">
        <v>217</v>
      </c>
      <c r="E102" s="190">
        <v>6</v>
      </c>
      <c r="F102" s="190">
        <v>11</v>
      </c>
      <c r="G102" s="190">
        <v>101074</v>
      </c>
      <c r="H102" s="190">
        <v>3168489</v>
      </c>
      <c r="I102" s="190">
        <v>17611900</v>
      </c>
      <c r="J102" s="190">
        <v>93528</v>
      </c>
      <c r="K102" s="190">
        <v>0</v>
      </c>
      <c r="L102" s="190">
        <v>470214</v>
      </c>
      <c r="M102" s="190">
        <v>11145</v>
      </c>
      <c r="N102" s="190">
        <v>855198</v>
      </c>
    </row>
    <row r="103" spans="2:14">
      <c r="B103" s="190" t="s">
        <v>27</v>
      </c>
      <c r="C103" s="190">
        <v>2</v>
      </c>
      <c r="D103" s="190">
        <v>83</v>
      </c>
      <c r="E103" s="190">
        <v>2</v>
      </c>
      <c r="F103" s="190">
        <v>13</v>
      </c>
      <c r="G103" s="190">
        <v>77599</v>
      </c>
      <c r="H103" s="190">
        <v>1609126</v>
      </c>
      <c r="I103" s="190">
        <v>9251238</v>
      </c>
      <c r="J103" s="190">
        <v>15566</v>
      </c>
      <c r="K103" s="190">
        <v>0</v>
      </c>
      <c r="L103" s="190">
        <v>137609</v>
      </c>
      <c r="M103" s="190">
        <v>4488</v>
      </c>
      <c r="N103" s="190">
        <v>482764</v>
      </c>
    </row>
    <row r="104" spans="1:14">
      <c r="A104">
        <v>5264</v>
      </c>
      <c r="B104" s="190" t="s">
        <v>25</v>
      </c>
      <c r="C104" s="190">
        <v>3</v>
      </c>
      <c r="D104" s="190">
        <v>108</v>
      </c>
      <c r="E104" s="190">
        <v>3</v>
      </c>
      <c r="F104" s="190">
        <v>10</v>
      </c>
      <c r="G104" s="190">
        <v>74967</v>
      </c>
      <c r="H104" s="190">
        <v>2196484</v>
      </c>
      <c r="I104" s="190">
        <v>12120817</v>
      </c>
      <c r="J104" s="190">
        <v>44083</v>
      </c>
      <c r="K104" s="190">
        <v>0</v>
      </c>
      <c r="L104" s="190">
        <v>242769</v>
      </c>
      <c r="M104" s="190">
        <v>6607</v>
      </c>
      <c r="N104" s="190">
        <v>706614</v>
      </c>
    </row>
    <row r="105" spans="2:14">
      <c r="B105" s="190" t="s">
        <v>26</v>
      </c>
      <c r="C105" s="190">
        <v>3</v>
      </c>
      <c r="D105" s="190">
        <v>151</v>
      </c>
      <c r="E105" s="190">
        <v>2</v>
      </c>
      <c r="F105" s="190">
        <v>21</v>
      </c>
      <c r="G105" s="190">
        <v>91664</v>
      </c>
      <c r="H105" s="190">
        <v>1607711</v>
      </c>
      <c r="I105" s="190">
        <v>13966000</v>
      </c>
      <c r="J105" s="190">
        <v>35186</v>
      </c>
      <c r="K105" s="190">
        <v>0</v>
      </c>
      <c r="L105" s="190">
        <v>241257</v>
      </c>
      <c r="M105" s="190">
        <v>6448</v>
      </c>
      <c r="N105" s="190">
        <v>444905</v>
      </c>
    </row>
    <row r="106" spans="2:14">
      <c r="B106" s="190" t="s">
        <v>27</v>
      </c>
      <c r="C106" s="190">
        <v>3</v>
      </c>
      <c r="D106" s="190">
        <v>136</v>
      </c>
      <c r="E106" s="190">
        <v>5</v>
      </c>
      <c r="F106" s="190">
        <v>20</v>
      </c>
      <c r="G106" s="190">
        <v>121601</v>
      </c>
      <c r="H106" s="190">
        <v>2736619</v>
      </c>
      <c r="I106" s="190">
        <v>20430547</v>
      </c>
      <c r="J106" s="190">
        <v>83458</v>
      </c>
      <c r="K106" s="190">
        <v>0</v>
      </c>
      <c r="L106" s="190">
        <v>531231</v>
      </c>
      <c r="M106" s="190">
        <v>9817</v>
      </c>
      <c r="N106" s="190">
        <v>702004</v>
      </c>
    </row>
    <row r="107" spans="1:14">
      <c r="A107">
        <v>5265</v>
      </c>
      <c r="B107" s="190" t="s">
        <v>25</v>
      </c>
      <c r="C107" s="190">
        <v>4</v>
      </c>
      <c r="D107" s="190">
        <v>162</v>
      </c>
      <c r="E107" s="190">
        <v>5</v>
      </c>
      <c r="F107" s="190">
        <v>13</v>
      </c>
      <c r="G107" s="190">
        <v>98483</v>
      </c>
      <c r="H107" s="190">
        <v>2377180</v>
      </c>
      <c r="I107" s="190">
        <v>12197006</v>
      </c>
      <c r="J107" s="190">
        <v>38936</v>
      </c>
      <c r="K107" s="190">
        <v>0</v>
      </c>
      <c r="L107" s="190">
        <v>368513</v>
      </c>
      <c r="M107" s="190">
        <v>7461</v>
      </c>
      <c r="N107" s="190">
        <v>671109</v>
      </c>
    </row>
    <row r="108" spans="2:14">
      <c r="B108" s="190" t="s">
        <v>26</v>
      </c>
      <c r="C108" s="190">
        <v>3</v>
      </c>
      <c r="D108" s="190">
        <v>162</v>
      </c>
      <c r="E108" s="190">
        <v>4</v>
      </c>
      <c r="F108" s="190">
        <v>16</v>
      </c>
      <c r="G108" s="190">
        <v>102713</v>
      </c>
      <c r="H108" s="190">
        <v>1731713</v>
      </c>
      <c r="I108" s="190">
        <v>11032295</v>
      </c>
      <c r="J108" s="190">
        <v>11222</v>
      </c>
      <c r="K108" s="190">
        <v>0</v>
      </c>
      <c r="L108" s="190">
        <v>182318</v>
      </c>
      <c r="M108" s="190">
        <v>5696</v>
      </c>
      <c r="N108" s="190">
        <v>590940</v>
      </c>
    </row>
    <row r="109" spans="2:14">
      <c r="B109" s="190" t="s">
        <v>27</v>
      </c>
      <c r="C109" s="190">
        <v>2</v>
      </c>
      <c r="D109" s="190">
        <v>71</v>
      </c>
      <c r="E109" s="190">
        <v>1</v>
      </c>
      <c r="F109" s="190">
        <v>7</v>
      </c>
      <c r="G109" s="190">
        <v>42254</v>
      </c>
      <c r="H109" s="190">
        <v>1151475</v>
      </c>
      <c r="I109" s="190">
        <v>4163959</v>
      </c>
      <c r="J109" s="190">
        <v>2064</v>
      </c>
      <c r="K109" s="190">
        <v>0</v>
      </c>
      <c r="L109" s="190">
        <v>109708</v>
      </c>
      <c r="M109" s="190">
        <v>2805</v>
      </c>
      <c r="N109" s="190">
        <v>440938</v>
      </c>
    </row>
    <row r="110" spans="1:14">
      <c r="A110">
        <v>5266</v>
      </c>
      <c r="B110" s="190" t="s">
        <v>25</v>
      </c>
      <c r="C110" s="190">
        <v>4</v>
      </c>
      <c r="D110" s="190">
        <v>166</v>
      </c>
      <c r="E110" s="190">
        <v>3</v>
      </c>
      <c r="F110" s="190">
        <v>15</v>
      </c>
      <c r="G110" s="190">
        <v>92224</v>
      </c>
      <c r="H110" s="190">
        <v>2180711</v>
      </c>
      <c r="I110" s="190">
        <v>13422909</v>
      </c>
      <c r="J110" s="190">
        <v>45685</v>
      </c>
      <c r="K110" s="190">
        <v>0</v>
      </c>
      <c r="L110" s="190">
        <v>268679</v>
      </c>
      <c r="M110" s="190">
        <v>7549</v>
      </c>
      <c r="N110" s="190">
        <v>683755</v>
      </c>
    </row>
    <row r="111" spans="2:14">
      <c r="B111" s="190" t="s">
        <v>26</v>
      </c>
      <c r="C111" s="190">
        <v>2</v>
      </c>
      <c r="D111" s="190">
        <v>117</v>
      </c>
      <c r="E111" s="190">
        <v>1</v>
      </c>
      <c r="F111" s="190">
        <v>18</v>
      </c>
      <c r="G111" s="190">
        <v>74365</v>
      </c>
      <c r="H111" s="190">
        <v>1406299</v>
      </c>
      <c r="I111" s="190">
        <v>10228327</v>
      </c>
      <c r="J111" s="190">
        <v>13060</v>
      </c>
      <c r="K111" s="190">
        <v>0</v>
      </c>
      <c r="L111" s="190">
        <v>279359</v>
      </c>
      <c r="M111" s="190">
        <v>4702</v>
      </c>
      <c r="N111" s="190">
        <v>497918</v>
      </c>
    </row>
    <row r="112" spans="2:14">
      <c r="B112" s="190" t="s">
        <v>27</v>
      </c>
      <c r="C112" s="190">
        <v>3</v>
      </c>
      <c r="D112" s="190">
        <v>112</v>
      </c>
      <c r="E112" s="190">
        <v>6</v>
      </c>
      <c r="F112" s="190">
        <v>11</v>
      </c>
      <c r="G112" s="190">
        <v>109256</v>
      </c>
      <c r="H112" s="190">
        <v>2477140</v>
      </c>
      <c r="I112" s="190">
        <v>15331888</v>
      </c>
      <c r="J112" s="190">
        <v>49629</v>
      </c>
      <c r="K112" s="190">
        <v>0</v>
      </c>
      <c r="L112" s="190">
        <v>292858</v>
      </c>
      <c r="M112" s="190">
        <v>7611</v>
      </c>
      <c r="N112" s="190">
        <v>755456</v>
      </c>
    </row>
    <row r="113" spans="1:14">
      <c r="A113">
        <v>5267</v>
      </c>
      <c r="B113" s="190" t="s">
        <v>25</v>
      </c>
      <c r="C113" s="190">
        <v>6</v>
      </c>
      <c r="D113" s="190">
        <v>240</v>
      </c>
      <c r="E113" s="190">
        <v>7</v>
      </c>
      <c r="F113" s="190">
        <v>19</v>
      </c>
      <c r="G113" s="190">
        <v>144216</v>
      </c>
      <c r="H113" s="190">
        <v>2076363</v>
      </c>
      <c r="I113" s="190">
        <v>17201458</v>
      </c>
      <c r="J113" s="190">
        <v>31786</v>
      </c>
      <c r="K113" s="190">
        <v>0</v>
      </c>
      <c r="L113" s="190">
        <v>171744</v>
      </c>
      <c r="M113" s="190">
        <v>8557</v>
      </c>
      <c r="N113" s="190">
        <v>608361</v>
      </c>
    </row>
    <row r="114" spans="2:14">
      <c r="B114" s="190" t="s">
        <v>26</v>
      </c>
      <c r="C114" s="190">
        <v>0</v>
      </c>
      <c r="D114" s="190">
        <v>43</v>
      </c>
      <c r="E114" s="190">
        <v>0</v>
      </c>
      <c r="F114" s="190">
        <v>15</v>
      </c>
      <c r="G114" s="190">
        <v>42207</v>
      </c>
      <c r="H114" s="190">
        <v>771691</v>
      </c>
      <c r="I114" s="190">
        <v>5141848</v>
      </c>
      <c r="J114" s="190">
        <v>830</v>
      </c>
      <c r="K114" s="190">
        <v>0</v>
      </c>
      <c r="L114" s="190">
        <v>85463</v>
      </c>
      <c r="M114" s="190">
        <v>1994</v>
      </c>
      <c r="N114" s="190">
        <v>237457</v>
      </c>
    </row>
    <row r="115" spans="2:14">
      <c r="B115" s="190" t="s">
        <v>27</v>
      </c>
      <c r="C115" s="190">
        <v>3</v>
      </c>
      <c r="D115" s="190">
        <v>112</v>
      </c>
      <c r="E115" s="190">
        <v>3</v>
      </c>
      <c r="F115" s="190">
        <v>11</v>
      </c>
      <c r="G115" s="190">
        <v>74410</v>
      </c>
      <c r="H115" s="190">
        <v>1369095</v>
      </c>
      <c r="I115" s="190">
        <v>7932774</v>
      </c>
      <c r="J115" s="190">
        <v>11158</v>
      </c>
      <c r="K115" s="190">
        <v>0</v>
      </c>
      <c r="L115" s="190">
        <v>198199</v>
      </c>
      <c r="M115" s="190">
        <v>4388</v>
      </c>
      <c r="N115" s="190">
        <v>407223</v>
      </c>
    </row>
    <row r="116" spans="1:14">
      <c r="A116">
        <v>5268</v>
      </c>
      <c r="B116" s="190" t="s">
        <v>25</v>
      </c>
      <c r="C116" s="190">
        <v>2</v>
      </c>
      <c r="D116" s="190">
        <v>63</v>
      </c>
      <c r="E116" s="190">
        <v>4</v>
      </c>
      <c r="F116" s="190">
        <v>16</v>
      </c>
      <c r="G116" s="190">
        <v>85034</v>
      </c>
      <c r="H116" s="190">
        <v>2300926</v>
      </c>
      <c r="I116" s="190">
        <v>13175749</v>
      </c>
      <c r="J116" s="190">
        <v>37314</v>
      </c>
      <c r="K116" s="190">
        <v>0</v>
      </c>
      <c r="L116" s="190">
        <v>297585</v>
      </c>
      <c r="M116" s="190">
        <v>6141</v>
      </c>
      <c r="N116" s="190">
        <v>647813</v>
      </c>
    </row>
    <row r="117" spans="2:14">
      <c r="B117" s="190" t="s">
        <v>26</v>
      </c>
      <c r="C117" s="190">
        <v>1</v>
      </c>
      <c r="D117" s="190">
        <v>95</v>
      </c>
      <c r="E117" s="190">
        <v>1</v>
      </c>
      <c r="F117" s="190">
        <v>23</v>
      </c>
      <c r="G117" s="190">
        <v>82698</v>
      </c>
      <c r="H117" s="190">
        <v>1393597</v>
      </c>
      <c r="I117" s="190">
        <v>12286703</v>
      </c>
      <c r="J117" s="190">
        <v>22528</v>
      </c>
      <c r="K117" s="190">
        <v>0</v>
      </c>
      <c r="L117" s="190">
        <v>117421</v>
      </c>
      <c r="M117" s="190">
        <v>4820</v>
      </c>
      <c r="N117" s="190">
        <v>606642</v>
      </c>
    </row>
    <row r="118" spans="2:14">
      <c r="B118" s="190" t="s">
        <v>27</v>
      </c>
      <c r="C118" s="190">
        <v>6</v>
      </c>
      <c r="D118" s="190">
        <v>237</v>
      </c>
      <c r="E118" s="190">
        <v>5</v>
      </c>
      <c r="F118" s="190">
        <v>19</v>
      </c>
      <c r="G118" s="190">
        <v>121336</v>
      </c>
      <c r="H118" s="190">
        <v>2726952</v>
      </c>
      <c r="I118" s="190">
        <v>18796605</v>
      </c>
      <c r="J118" s="190">
        <v>73448</v>
      </c>
      <c r="K118" s="190">
        <v>0</v>
      </c>
      <c r="L118" s="190">
        <v>484492</v>
      </c>
      <c r="M118" s="190">
        <v>10628</v>
      </c>
      <c r="N118" s="190">
        <v>679942</v>
      </c>
    </row>
    <row r="119" spans="1:14">
      <c r="A119">
        <v>5269</v>
      </c>
      <c r="B119" s="190" t="s">
        <v>25</v>
      </c>
      <c r="C119" s="190">
        <v>0</v>
      </c>
      <c r="D119" s="190">
        <v>39</v>
      </c>
      <c r="E119" s="190">
        <v>1</v>
      </c>
      <c r="F119" s="190">
        <v>16</v>
      </c>
      <c r="G119" s="190">
        <v>54400</v>
      </c>
      <c r="H119" s="190">
        <v>1403560</v>
      </c>
      <c r="I119" s="190">
        <v>9017272</v>
      </c>
      <c r="J119" s="190">
        <v>24046</v>
      </c>
      <c r="K119" s="190">
        <v>0</v>
      </c>
      <c r="L119" s="190">
        <v>95994</v>
      </c>
      <c r="M119" s="190">
        <v>3736</v>
      </c>
      <c r="N119" s="190">
        <v>505843</v>
      </c>
    </row>
    <row r="120" spans="2:14">
      <c r="B120" s="190" t="s">
        <v>26</v>
      </c>
      <c r="C120" s="190">
        <v>0</v>
      </c>
      <c r="D120" s="190">
        <v>36</v>
      </c>
      <c r="E120" s="190">
        <v>1</v>
      </c>
      <c r="F120" s="190">
        <v>10</v>
      </c>
      <c r="G120" s="190">
        <v>37904</v>
      </c>
      <c r="H120" s="190">
        <v>1053310</v>
      </c>
      <c r="I120" s="190">
        <v>5865008</v>
      </c>
      <c r="J120" s="190">
        <v>11586</v>
      </c>
      <c r="K120" s="190">
        <v>0</v>
      </c>
      <c r="L120" s="190">
        <v>70984</v>
      </c>
      <c r="M120" s="190">
        <v>2572</v>
      </c>
      <c r="N120" s="190">
        <v>310785</v>
      </c>
    </row>
    <row r="121" spans="2:14">
      <c r="B121" s="190" t="s">
        <v>27</v>
      </c>
      <c r="C121" s="190">
        <v>9</v>
      </c>
      <c r="D121" s="190">
        <v>320</v>
      </c>
      <c r="E121" s="190">
        <v>8</v>
      </c>
      <c r="F121" s="190">
        <v>29</v>
      </c>
      <c r="G121" s="190">
        <v>204176</v>
      </c>
      <c r="H121" s="190">
        <v>2803392</v>
      </c>
      <c r="I121" s="190">
        <v>30380676</v>
      </c>
      <c r="J121" s="190">
        <v>168760</v>
      </c>
      <c r="K121" s="190">
        <v>0</v>
      </c>
      <c r="L121" s="190">
        <v>675955</v>
      </c>
      <c r="M121" s="190">
        <v>16363</v>
      </c>
      <c r="N121" s="190">
        <v>946541</v>
      </c>
    </row>
    <row r="122" spans="1:14">
      <c r="A122">
        <v>5270</v>
      </c>
      <c r="B122" s="190" t="s">
        <v>25</v>
      </c>
      <c r="C122" s="190">
        <v>0</v>
      </c>
      <c r="D122" s="190">
        <v>38</v>
      </c>
      <c r="E122" s="190">
        <v>0</v>
      </c>
      <c r="F122" s="190">
        <v>16</v>
      </c>
      <c r="G122" s="190">
        <v>52781</v>
      </c>
      <c r="H122" s="190">
        <v>1249635</v>
      </c>
      <c r="I122" s="190">
        <v>9877326</v>
      </c>
      <c r="J122" s="190">
        <v>10944</v>
      </c>
      <c r="K122" s="190">
        <v>0</v>
      </c>
      <c r="L122" s="190">
        <v>87675</v>
      </c>
      <c r="M122" s="190">
        <v>3253</v>
      </c>
      <c r="N122" s="190">
        <v>398434</v>
      </c>
    </row>
    <row r="123" spans="2:14">
      <c r="B123" s="190" t="s">
        <v>26</v>
      </c>
      <c r="C123" s="190">
        <v>7</v>
      </c>
      <c r="D123" s="190">
        <v>284</v>
      </c>
      <c r="E123" s="190">
        <v>9</v>
      </c>
      <c r="F123" s="190">
        <v>25</v>
      </c>
      <c r="G123" s="190">
        <v>182765</v>
      </c>
      <c r="H123" s="190">
        <v>2254115</v>
      </c>
      <c r="I123" s="190">
        <v>29353572</v>
      </c>
      <c r="J123" s="190">
        <v>53014</v>
      </c>
      <c r="K123" s="190">
        <v>0</v>
      </c>
      <c r="L123" s="190">
        <v>450275</v>
      </c>
      <c r="M123" s="190">
        <v>11458</v>
      </c>
      <c r="N123" s="190">
        <v>731593</v>
      </c>
    </row>
    <row r="124" spans="2:14">
      <c r="B124" s="190" t="s">
        <v>27</v>
      </c>
      <c r="C124" s="190">
        <v>2</v>
      </c>
      <c r="D124" s="190">
        <v>73</v>
      </c>
      <c r="E124" s="190">
        <v>1</v>
      </c>
      <c r="F124" s="190">
        <v>25</v>
      </c>
      <c r="G124" s="190">
        <v>86339</v>
      </c>
      <c r="H124" s="190">
        <v>1676609</v>
      </c>
      <c r="I124" s="190">
        <v>16490751</v>
      </c>
      <c r="J124" s="190">
        <v>32346</v>
      </c>
      <c r="K124" s="190">
        <v>0</v>
      </c>
      <c r="L124" s="190">
        <v>193893</v>
      </c>
      <c r="M124" s="190">
        <v>5754</v>
      </c>
      <c r="N124" s="190">
        <v>527578</v>
      </c>
    </row>
    <row r="125" spans="1:14">
      <c r="A125">
        <v>5271</v>
      </c>
      <c r="B125" s="190" t="s">
        <v>25</v>
      </c>
      <c r="C125" s="190">
        <v>2</v>
      </c>
      <c r="D125" s="190">
        <v>94</v>
      </c>
      <c r="E125" s="190">
        <v>3</v>
      </c>
      <c r="F125" s="190">
        <v>20</v>
      </c>
      <c r="G125" s="190">
        <v>81052</v>
      </c>
      <c r="H125" s="190">
        <v>1289760</v>
      </c>
      <c r="I125" s="190">
        <v>11900479</v>
      </c>
      <c r="J125" s="190">
        <v>18066</v>
      </c>
      <c r="K125" s="190">
        <v>0</v>
      </c>
      <c r="L125" s="190">
        <v>207507</v>
      </c>
      <c r="M125" s="190">
        <v>4670</v>
      </c>
      <c r="N125" s="190">
        <v>411374</v>
      </c>
    </row>
    <row r="126" spans="2:14">
      <c r="B126" s="190" t="s">
        <v>26</v>
      </c>
      <c r="C126" s="190">
        <v>6</v>
      </c>
      <c r="D126" s="190">
        <v>221</v>
      </c>
      <c r="E126" s="190">
        <v>6</v>
      </c>
      <c r="F126" s="190">
        <v>23</v>
      </c>
      <c r="G126" s="190">
        <v>161245</v>
      </c>
      <c r="H126" s="190">
        <v>2290297</v>
      </c>
      <c r="I126" s="190">
        <v>21976930</v>
      </c>
      <c r="J126" s="190">
        <v>42988</v>
      </c>
      <c r="K126" s="190">
        <v>0</v>
      </c>
      <c r="L126" s="190">
        <v>649293</v>
      </c>
      <c r="M126" s="190">
        <v>9718</v>
      </c>
      <c r="N126" s="190">
        <v>641962</v>
      </c>
    </row>
    <row r="127" spans="2:14">
      <c r="B127" s="190" t="s">
        <v>27</v>
      </c>
      <c r="C127" s="190">
        <v>1</v>
      </c>
      <c r="D127" s="190">
        <v>80</v>
      </c>
      <c r="E127" s="190">
        <v>1</v>
      </c>
      <c r="F127" s="190">
        <v>18</v>
      </c>
      <c r="G127" s="190">
        <v>67608</v>
      </c>
      <c r="H127" s="190">
        <v>1246565</v>
      </c>
      <c r="I127" s="190">
        <v>9887681</v>
      </c>
      <c r="J127" s="190">
        <v>5920</v>
      </c>
      <c r="K127" s="190">
        <v>0</v>
      </c>
      <c r="L127" s="190">
        <v>182750</v>
      </c>
      <c r="M127" s="190">
        <v>3742</v>
      </c>
      <c r="N127" s="190">
        <v>385763</v>
      </c>
    </row>
    <row r="128" spans="1:14">
      <c r="A128">
        <v>5272</v>
      </c>
      <c r="B128" s="190" t="s">
        <v>25</v>
      </c>
      <c r="C128" s="190">
        <v>0</v>
      </c>
      <c r="D128" s="190">
        <v>15</v>
      </c>
      <c r="E128" s="190">
        <v>0</v>
      </c>
      <c r="F128" s="190">
        <v>6</v>
      </c>
      <c r="G128" s="190">
        <v>21637</v>
      </c>
      <c r="H128" s="190">
        <v>718920</v>
      </c>
      <c r="I128" s="190">
        <v>3013996</v>
      </c>
      <c r="J128" s="190">
        <v>2542</v>
      </c>
      <c r="K128" s="190">
        <v>0</v>
      </c>
      <c r="L128" s="190">
        <v>25120</v>
      </c>
      <c r="M128" s="190">
        <v>1367</v>
      </c>
      <c r="N128" s="190">
        <v>193182</v>
      </c>
    </row>
    <row r="129" spans="2:14">
      <c r="B129" s="190" t="s">
        <v>26</v>
      </c>
      <c r="C129" s="190">
        <v>6</v>
      </c>
      <c r="D129" s="190">
        <v>268</v>
      </c>
      <c r="E129" s="190">
        <v>6</v>
      </c>
      <c r="F129" s="190">
        <v>23</v>
      </c>
      <c r="G129" s="190">
        <v>154723</v>
      </c>
      <c r="H129" s="190">
        <v>3614347</v>
      </c>
      <c r="I129" s="190">
        <v>25343894</v>
      </c>
      <c r="J129" s="190">
        <v>123136</v>
      </c>
      <c r="K129" s="190">
        <v>0</v>
      </c>
      <c r="L129" s="190">
        <v>470798</v>
      </c>
      <c r="M129" s="190">
        <v>14131</v>
      </c>
      <c r="N129" s="190">
        <v>1061340</v>
      </c>
    </row>
    <row r="130" spans="2:14">
      <c r="B130" s="190" t="s">
        <v>27</v>
      </c>
      <c r="C130" s="190">
        <v>3</v>
      </c>
      <c r="D130" s="190">
        <v>112</v>
      </c>
      <c r="E130" s="190">
        <v>4</v>
      </c>
      <c r="F130" s="190">
        <v>12</v>
      </c>
      <c r="G130" s="190">
        <v>103255</v>
      </c>
      <c r="H130" s="190">
        <v>2968519</v>
      </c>
      <c r="I130" s="190">
        <v>16063149</v>
      </c>
      <c r="J130" s="190">
        <v>58956</v>
      </c>
      <c r="K130" s="190">
        <v>0</v>
      </c>
      <c r="L130" s="190">
        <v>378682</v>
      </c>
      <c r="M130" s="190">
        <v>8469</v>
      </c>
      <c r="N130" s="190">
        <v>892578</v>
      </c>
    </row>
    <row r="131" spans="1:14">
      <c r="A131">
        <v>5273</v>
      </c>
      <c r="B131" s="190" t="s">
        <v>25</v>
      </c>
      <c r="C131" s="190">
        <v>0</v>
      </c>
      <c r="D131" s="190">
        <v>65</v>
      </c>
      <c r="E131" s="190">
        <v>1</v>
      </c>
      <c r="F131" s="190">
        <v>16</v>
      </c>
      <c r="G131" s="190">
        <v>62428</v>
      </c>
      <c r="H131" s="190">
        <v>2054534</v>
      </c>
      <c r="I131" s="190">
        <v>11430267</v>
      </c>
      <c r="J131" s="190">
        <v>66534</v>
      </c>
      <c r="K131" s="190">
        <v>0</v>
      </c>
      <c r="L131" s="190">
        <v>117159</v>
      </c>
      <c r="M131" s="190">
        <v>6214</v>
      </c>
      <c r="N131" s="190">
        <v>624826</v>
      </c>
    </row>
    <row r="132" spans="2:14">
      <c r="B132" s="190" t="s">
        <v>26</v>
      </c>
      <c r="C132" s="190">
        <v>6</v>
      </c>
      <c r="D132" s="190">
        <v>225</v>
      </c>
      <c r="E132" s="190">
        <v>5</v>
      </c>
      <c r="F132" s="190">
        <v>25</v>
      </c>
      <c r="G132" s="190">
        <v>138859</v>
      </c>
      <c r="H132" s="190">
        <v>2510560</v>
      </c>
      <c r="I132" s="190">
        <v>23598492</v>
      </c>
      <c r="J132" s="190">
        <v>86154</v>
      </c>
      <c r="K132" s="190">
        <v>0</v>
      </c>
      <c r="L132" s="190">
        <v>435691</v>
      </c>
      <c r="M132" s="190">
        <v>11217</v>
      </c>
      <c r="N132" s="190">
        <v>673861</v>
      </c>
    </row>
    <row r="133" spans="2:14">
      <c r="B133" s="190" t="s">
        <v>27</v>
      </c>
      <c r="C133" s="190">
        <v>3</v>
      </c>
      <c r="D133" s="190">
        <v>105</v>
      </c>
      <c r="E133" s="190">
        <v>4</v>
      </c>
      <c r="F133" s="190">
        <v>15</v>
      </c>
      <c r="G133" s="190">
        <v>85215</v>
      </c>
      <c r="H133" s="190">
        <v>2332307</v>
      </c>
      <c r="I133" s="190">
        <v>14954524</v>
      </c>
      <c r="J133" s="190">
        <v>58616</v>
      </c>
      <c r="K133" s="190">
        <v>0</v>
      </c>
      <c r="L133" s="190">
        <v>382996</v>
      </c>
      <c r="M133" s="190">
        <v>7553</v>
      </c>
      <c r="N133" s="190">
        <v>670598</v>
      </c>
    </row>
    <row r="134" spans="1:14">
      <c r="A134">
        <v>5274</v>
      </c>
      <c r="B134" s="190" t="s">
        <v>25</v>
      </c>
      <c r="C134" s="190">
        <v>0</v>
      </c>
      <c r="D134" s="190">
        <v>30</v>
      </c>
      <c r="E134" s="190">
        <v>0</v>
      </c>
      <c r="F134" s="190">
        <v>8</v>
      </c>
      <c r="G134" s="190">
        <v>25912</v>
      </c>
      <c r="H134" s="190">
        <v>730224</v>
      </c>
      <c r="I134" s="190">
        <v>3641630</v>
      </c>
      <c r="J134" s="190">
        <v>3462</v>
      </c>
      <c r="K134" s="190">
        <v>0</v>
      </c>
      <c r="L134" s="190">
        <v>39171</v>
      </c>
      <c r="M134" s="190">
        <v>1647</v>
      </c>
      <c r="N134" s="190">
        <v>275352</v>
      </c>
    </row>
    <row r="135" spans="2:14">
      <c r="B135" s="190" t="s">
        <v>26</v>
      </c>
      <c r="C135" s="190">
        <v>0</v>
      </c>
      <c r="D135" s="190">
        <v>47</v>
      </c>
      <c r="E135" s="190">
        <v>1</v>
      </c>
      <c r="F135" s="190">
        <v>14</v>
      </c>
      <c r="G135" s="190">
        <v>64649</v>
      </c>
      <c r="H135" s="190">
        <v>1583468</v>
      </c>
      <c r="I135" s="190">
        <v>8796032</v>
      </c>
      <c r="J135" s="190">
        <v>5490</v>
      </c>
      <c r="K135" s="190">
        <v>0</v>
      </c>
      <c r="L135" s="190">
        <v>152713</v>
      </c>
      <c r="M135" s="190">
        <v>3497</v>
      </c>
      <c r="N135" s="190">
        <v>454742</v>
      </c>
    </row>
    <row r="136" spans="2:14">
      <c r="B136" s="190" t="s">
        <v>27</v>
      </c>
      <c r="C136" s="190">
        <v>9</v>
      </c>
      <c r="D136" s="190">
        <v>318</v>
      </c>
      <c r="E136" s="190">
        <v>9</v>
      </c>
      <c r="F136" s="190">
        <v>24</v>
      </c>
      <c r="G136" s="190">
        <v>181503</v>
      </c>
      <c r="H136" s="190">
        <v>3641142</v>
      </c>
      <c r="I136" s="190">
        <v>30693337</v>
      </c>
      <c r="J136" s="190">
        <v>65994</v>
      </c>
      <c r="K136" s="190">
        <v>76086</v>
      </c>
      <c r="L136" s="190">
        <v>1047435</v>
      </c>
      <c r="M136" s="190">
        <v>14962</v>
      </c>
      <c r="N136" s="190">
        <v>1056205</v>
      </c>
    </row>
    <row r="137" spans="1:14">
      <c r="A137">
        <v>5275</v>
      </c>
      <c r="B137" s="190" t="s">
        <v>25</v>
      </c>
      <c r="C137" s="190">
        <v>5</v>
      </c>
      <c r="D137" s="190">
        <v>240</v>
      </c>
      <c r="E137" s="190">
        <v>6</v>
      </c>
      <c r="F137" s="190">
        <v>22</v>
      </c>
      <c r="G137" s="190">
        <v>157186</v>
      </c>
      <c r="H137" s="190">
        <v>1995420</v>
      </c>
      <c r="I137" s="190">
        <v>19400344</v>
      </c>
      <c r="J137" s="190">
        <v>29934</v>
      </c>
      <c r="K137" s="190">
        <v>0</v>
      </c>
      <c r="L137" s="190">
        <v>300094</v>
      </c>
      <c r="M137" s="190">
        <v>8669</v>
      </c>
      <c r="N137" s="190">
        <v>502142</v>
      </c>
    </row>
    <row r="138" spans="2:14">
      <c r="B138" s="190" t="s">
        <v>26</v>
      </c>
      <c r="C138" s="190">
        <v>2</v>
      </c>
      <c r="D138" s="190">
        <v>86</v>
      </c>
      <c r="E138" s="190">
        <v>1</v>
      </c>
      <c r="F138" s="190">
        <v>13</v>
      </c>
      <c r="G138" s="190">
        <v>52656</v>
      </c>
      <c r="H138" s="190">
        <v>1472910</v>
      </c>
      <c r="I138" s="190">
        <v>7212990</v>
      </c>
      <c r="J138" s="190">
        <v>22774</v>
      </c>
      <c r="K138" s="190">
        <v>0</v>
      </c>
      <c r="L138" s="190">
        <v>101119</v>
      </c>
      <c r="M138" s="190">
        <v>4251</v>
      </c>
      <c r="N138" s="190">
        <v>550692</v>
      </c>
    </row>
    <row r="139" spans="2:14">
      <c r="B139" s="190" t="s">
        <v>27</v>
      </c>
      <c r="C139" s="190">
        <v>2</v>
      </c>
      <c r="D139" s="190">
        <v>69</v>
      </c>
      <c r="E139" s="190">
        <v>2</v>
      </c>
      <c r="F139" s="190">
        <v>15</v>
      </c>
      <c r="G139" s="190">
        <v>73195</v>
      </c>
      <c r="H139" s="190">
        <v>1237803</v>
      </c>
      <c r="I139" s="190">
        <v>9003808</v>
      </c>
      <c r="J139" s="190">
        <v>9282</v>
      </c>
      <c r="K139" s="190">
        <v>0</v>
      </c>
      <c r="L139" s="190">
        <v>148368</v>
      </c>
      <c r="M139" s="190">
        <v>3746</v>
      </c>
      <c r="N139" s="190">
        <v>370077</v>
      </c>
    </row>
    <row r="140" spans="1:14">
      <c r="A140">
        <v>5276</v>
      </c>
      <c r="B140" s="190" t="s">
        <v>25</v>
      </c>
      <c r="C140" s="190">
        <v>0</v>
      </c>
      <c r="D140" s="190">
        <v>23</v>
      </c>
      <c r="E140" s="190">
        <v>0</v>
      </c>
      <c r="F140" s="190">
        <v>12</v>
      </c>
      <c r="G140" s="190">
        <v>24767</v>
      </c>
      <c r="H140" s="190">
        <v>898990</v>
      </c>
      <c r="I140" s="190">
        <v>5249184</v>
      </c>
      <c r="J140" s="190">
        <v>14504</v>
      </c>
      <c r="K140" s="190">
        <v>0</v>
      </c>
      <c r="L140" s="190">
        <v>177153</v>
      </c>
      <c r="M140" s="190">
        <v>2301</v>
      </c>
      <c r="N140" s="190">
        <v>316464</v>
      </c>
    </row>
    <row r="141" spans="2:14">
      <c r="B141" s="190" t="s">
        <v>26</v>
      </c>
      <c r="C141" s="190">
        <v>9</v>
      </c>
      <c r="D141" s="190">
        <v>323</v>
      </c>
      <c r="E141" s="190">
        <v>9</v>
      </c>
      <c r="F141" s="190">
        <v>33</v>
      </c>
      <c r="G141" s="190">
        <v>229248</v>
      </c>
      <c r="H141" s="190">
        <v>3665477</v>
      </c>
      <c r="I141" s="190">
        <v>41401291</v>
      </c>
      <c r="J141" s="190">
        <v>208478</v>
      </c>
      <c r="K141" s="190">
        <v>0</v>
      </c>
      <c r="L141" s="190">
        <v>867113</v>
      </c>
      <c r="M141" s="190">
        <v>19769</v>
      </c>
      <c r="N141" s="190">
        <v>1021117</v>
      </c>
    </row>
    <row r="142" spans="2:14">
      <c r="B142" s="190" t="s">
        <v>27</v>
      </c>
      <c r="C142" s="190">
        <v>0</v>
      </c>
      <c r="D142" s="190">
        <v>49</v>
      </c>
      <c r="E142" s="190">
        <v>0</v>
      </c>
      <c r="F142" s="190">
        <v>16</v>
      </c>
      <c r="G142" s="190">
        <v>51882</v>
      </c>
      <c r="H142" s="190">
        <v>1305134</v>
      </c>
      <c r="I142" s="190">
        <v>8993071</v>
      </c>
      <c r="J142" s="190">
        <v>8254</v>
      </c>
      <c r="K142" s="190">
        <v>0</v>
      </c>
      <c r="L142" s="190">
        <v>89408</v>
      </c>
      <c r="M142" s="190">
        <v>3246</v>
      </c>
      <c r="N142" s="190">
        <v>501134</v>
      </c>
    </row>
  </sheetData>
  <conditionalFormatting sqref="Q56">
    <cfRule type="cellIs" dxfId="38" priority="228" operator="equal">
      <formula>配置!$D$4</formula>
    </cfRule>
    <cfRule type="cellIs" dxfId="37" priority="229" operator="equal">
      <formula>配置!$D$2</formula>
    </cfRule>
  </conditionalFormatting>
  <conditionalFormatting sqref="Q58">
    <cfRule type="cellIs" dxfId="38" priority="209" operator="equal">
      <formula>配置!$D$4</formula>
    </cfRule>
    <cfRule type="cellIs" dxfId="39" priority="210" operator="equal">
      <formula>配置!$D$3</formula>
    </cfRule>
    <cfRule type="cellIs" dxfId="37" priority="211" operator="equal">
      <formula>配置!$D$2</formula>
    </cfRule>
    <cfRule type="cellIs" dxfId="38" priority="214" operator="equal">
      <formula>配置!$D$4</formula>
    </cfRule>
    <cfRule type="cellIs" dxfId="37" priority="215" operator="equal">
      <formula>配置!$D$2</formula>
    </cfRule>
  </conditionalFormatting>
  <conditionalFormatting sqref="F62:F64">
    <cfRule type="dataBar" priority="3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{bc7733f1-a022-4d06-a268-8edbeea51ffd}</x14:id>
        </ext>
      </extLst>
    </cfRule>
  </conditionalFormatting>
  <conditionalFormatting sqref="F65:F67">
    <cfRule type="dataBar" priority="33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{f440d851-217a-49f3-9f58-6cd51bb1cb8d}</x14:id>
        </ext>
      </extLst>
    </cfRule>
  </conditionalFormatting>
  <conditionalFormatting sqref="F68:F70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{27365cc0-7db0-4d5a-9fa3-b1f0725356b8}</x14:id>
        </ext>
      </extLst>
    </cfRule>
  </conditionalFormatting>
  <conditionalFormatting sqref="F71:F73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{11ce01a3-c8d3-40da-a2c9-493df7ff4017}</x14:id>
        </ext>
      </extLst>
    </cfRule>
  </conditionalFormatting>
  <conditionalFormatting sqref="F74:F76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{c612191d-ac38-4aa9-ad50-01162813a95b}</x14:id>
        </ext>
      </extLst>
    </cfRule>
  </conditionalFormatting>
  <conditionalFormatting sqref="F77:F79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{75ad3543-07a8-4508-ab4d-1c55fb033b78}</x14:id>
        </ext>
      </extLst>
    </cfRule>
  </conditionalFormatting>
  <conditionalFormatting sqref="F80:F82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{3e73da19-6856-44f1-a5f2-f7c206a68040}</x14:id>
        </ext>
      </extLst>
    </cfRule>
  </conditionalFormatting>
  <conditionalFormatting sqref="G62:G64">
    <cfRule type="dataBar" priority="3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{829db1f4-aaeb-477b-b09d-03318df3628a}</x14:id>
        </ext>
      </extLst>
    </cfRule>
  </conditionalFormatting>
  <conditionalFormatting sqref="G65:G67">
    <cfRule type="dataBar" priority="33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{ff94c3a3-654d-440e-beb7-09c385c2e88b}</x14:id>
        </ext>
      </extLst>
    </cfRule>
  </conditionalFormatting>
  <conditionalFormatting sqref="G68:G70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{c45d8cde-06cf-412f-8265-6b7370cf2cfc}</x14:id>
        </ext>
      </extLst>
    </cfRule>
  </conditionalFormatting>
  <conditionalFormatting sqref="G71:G73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{3e729d24-6aeb-4f5b-a570-61172967c827}</x14:id>
        </ext>
      </extLst>
    </cfRule>
  </conditionalFormatting>
  <conditionalFormatting sqref="G74:G76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{08274853-6332-49dd-9e80-097a6624d61c}</x14:id>
        </ext>
      </extLst>
    </cfRule>
  </conditionalFormatting>
  <conditionalFormatting sqref="G77:G79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{987f6583-c5fe-41ec-8616-9c8d724b33ed}</x14:id>
        </ext>
      </extLst>
    </cfRule>
  </conditionalFormatting>
  <conditionalFormatting sqref="G80:G82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{dba06100-4386-4dcd-a6de-f76f008170bf}</x14:id>
        </ext>
      </extLst>
    </cfRule>
  </conditionalFormatting>
  <conditionalFormatting sqref="N62:N67">
    <cfRule type="dataBar" priority="3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{2ee2adbf-36f5-4843-ace5-3669628560c6}</x14:id>
        </ext>
      </extLst>
    </cfRule>
  </conditionalFormatting>
  <conditionalFormatting sqref="N68:N70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{6b4ec251-7852-4f07-bac6-a6c1e539fbbe}</x14:id>
        </ext>
      </extLst>
    </cfRule>
  </conditionalFormatting>
  <conditionalFormatting sqref="N71:N73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{171f7f80-f158-4771-a567-a9fc6bc981a2}</x14:id>
        </ext>
      </extLst>
    </cfRule>
  </conditionalFormatting>
  <conditionalFormatting sqref="N74:N76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{15e4bb5c-1ad1-409a-aa2f-6c9281f0b086}</x14:id>
        </ext>
      </extLst>
    </cfRule>
  </conditionalFormatting>
  <conditionalFormatting sqref="N77:N79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{af53c800-370a-44ff-8924-e68e9378f8c1}</x14:id>
        </ext>
      </extLst>
    </cfRule>
  </conditionalFormatting>
  <conditionalFormatting sqref="N80:N8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{74c364fd-495a-4ee5-abae-ed7ac09e4538}</x14:id>
        </ext>
      </extLst>
    </cfRule>
  </conditionalFormatting>
  <conditionalFormatting sqref="O2:O5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{bd5441c7-83f0-4f98-b099-7655d5c2f225}</x14:id>
        </ext>
      </extLst>
    </cfRule>
  </conditionalFormatting>
  <conditionalFormatting sqref="P2:P5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{10bed006-132d-47db-80a4-cae2ff3f5d38}</x14:id>
        </ext>
      </extLst>
    </cfRule>
  </conditionalFormatting>
  <conditionalFormatting sqref="P62:P80">
    <cfRule type="cellIs" dxfId="37" priority="3" operator="equal">
      <formula>$S$74</formula>
    </cfRule>
  </conditionalFormatting>
  <conditionalFormatting sqref="Q2:Q13">
    <cfRule type="cellIs" dxfId="38" priority="333" operator="equal">
      <formula>配置!$D$4</formula>
    </cfRule>
    <cfRule type="cellIs" dxfId="39" priority="334" operator="equal">
      <formula>配置!$D$3</formula>
    </cfRule>
    <cfRule type="cellIs" dxfId="37" priority="335" operator="equal">
      <formula>配置!$D$2</formula>
    </cfRule>
  </conditionalFormatting>
  <conditionalFormatting sqref="Q14:Q16">
    <cfRule type="cellIs" dxfId="38" priority="321" operator="equal">
      <formula>配置!$D$4</formula>
    </cfRule>
    <cfRule type="cellIs" dxfId="39" priority="322" operator="equal">
      <formula>配置!$D$3</formula>
    </cfRule>
    <cfRule type="cellIs" dxfId="37" priority="323" operator="equal">
      <formula>配置!$D$2</formula>
    </cfRule>
  </conditionalFormatting>
  <conditionalFormatting sqref="Q17:Q19">
    <cfRule type="cellIs" dxfId="38" priority="314" operator="equal">
      <formula>配置!$D$4</formula>
    </cfRule>
    <cfRule type="cellIs" dxfId="39" priority="315" operator="equal">
      <formula>配置!$D$3</formula>
    </cfRule>
    <cfRule type="cellIs" dxfId="37" priority="316" operator="equal">
      <formula>配置!$D$2</formula>
    </cfRule>
  </conditionalFormatting>
  <conditionalFormatting sqref="Q20:Q22">
    <cfRule type="cellIs" dxfId="38" priority="307" operator="equal">
      <formula>配置!$D$4</formula>
    </cfRule>
    <cfRule type="cellIs" dxfId="39" priority="308" operator="equal">
      <formula>配置!$D$3</formula>
    </cfRule>
    <cfRule type="cellIs" dxfId="37" priority="309" operator="equal">
      <formula>配置!$D$2</formula>
    </cfRule>
  </conditionalFormatting>
  <conditionalFormatting sqref="Q23:Q25">
    <cfRule type="cellIs" dxfId="38" priority="300" operator="equal">
      <formula>配置!$D$4</formula>
    </cfRule>
    <cfRule type="cellIs" dxfId="39" priority="301" operator="equal">
      <formula>配置!$D$3</formula>
    </cfRule>
    <cfRule type="cellIs" dxfId="37" priority="302" operator="equal">
      <formula>配置!$D$2</formula>
    </cfRule>
  </conditionalFormatting>
  <conditionalFormatting sqref="Q26:Q28">
    <cfRule type="cellIs" dxfId="38" priority="293" operator="equal">
      <formula>配置!$D$4</formula>
    </cfRule>
    <cfRule type="cellIs" dxfId="39" priority="294" operator="equal">
      <formula>配置!$D$3</formula>
    </cfRule>
    <cfRule type="cellIs" dxfId="37" priority="295" operator="equal">
      <formula>配置!$D$2</formula>
    </cfRule>
  </conditionalFormatting>
  <conditionalFormatting sqref="Q29:Q31">
    <cfRule type="cellIs" dxfId="38" priority="286" operator="equal">
      <formula>配置!$D$4</formula>
    </cfRule>
    <cfRule type="cellIs" dxfId="39" priority="287" operator="equal">
      <formula>配置!$D$3</formula>
    </cfRule>
    <cfRule type="cellIs" dxfId="37" priority="288" operator="equal">
      <formula>配置!$D$2</formula>
    </cfRule>
  </conditionalFormatting>
  <conditionalFormatting sqref="Q32:Q34">
    <cfRule type="cellIs" dxfId="38" priority="279" operator="equal">
      <formula>配置!$D$4</formula>
    </cfRule>
    <cfRule type="cellIs" dxfId="39" priority="280" operator="equal">
      <formula>配置!$D$3</formula>
    </cfRule>
    <cfRule type="cellIs" dxfId="37" priority="281" operator="equal">
      <formula>配置!$D$2</formula>
    </cfRule>
  </conditionalFormatting>
  <conditionalFormatting sqref="Q35:Q37">
    <cfRule type="cellIs" dxfId="38" priority="272" operator="equal">
      <formula>配置!$D$4</formula>
    </cfRule>
    <cfRule type="cellIs" dxfId="39" priority="273" operator="equal">
      <formula>配置!$D$3</formula>
    </cfRule>
    <cfRule type="cellIs" dxfId="37" priority="274" operator="equal">
      <formula>配置!$D$2</formula>
    </cfRule>
  </conditionalFormatting>
  <conditionalFormatting sqref="Q38:Q40">
    <cfRule type="cellIs" dxfId="38" priority="265" operator="equal">
      <formula>配置!$D$4</formula>
    </cfRule>
    <cfRule type="cellIs" dxfId="39" priority="266" operator="equal">
      <formula>配置!$D$3</formula>
    </cfRule>
    <cfRule type="cellIs" dxfId="37" priority="267" operator="equal">
      <formula>配置!$D$2</formula>
    </cfRule>
  </conditionalFormatting>
  <conditionalFormatting sqref="Q41:Q43">
    <cfRule type="cellIs" dxfId="38" priority="258" operator="equal">
      <formula>配置!$D$4</formula>
    </cfRule>
    <cfRule type="cellIs" dxfId="39" priority="259" operator="equal">
      <formula>配置!$D$3</formula>
    </cfRule>
    <cfRule type="cellIs" dxfId="37" priority="260" operator="equal">
      <formula>配置!$D$2</formula>
    </cfRule>
  </conditionalFormatting>
  <conditionalFormatting sqref="Q44:Q46">
    <cfRule type="cellIs" dxfId="38" priority="251" operator="equal">
      <formula>配置!$D$4</formula>
    </cfRule>
    <cfRule type="cellIs" dxfId="39" priority="252" operator="equal">
      <formula>配置!$D$3</formula>
    </cfRule>
    <cfRule type="cellIs" dxfId="37" priority="253" operator="equal">
      <formula>配置!$D$2</formula>
    </cfRule>
  </conditionalFormatting>
  <conditionalFormatting sqref="Q47:Q49">
    <cfRule type="cellIs" dxfId="38" priority="244" operator="equal">
      <formula>配置!$D$4</formula>
    </cfRule>
    <cfRule type="cellIs" dxfId="39" priority="245" operator="equal">
      <formula>配置!$D$3</formula>
    </cfRule>
    <cfRule type="cellIs" dxfId="37" priority="246" operator="equal">
      <formula>配置!$D$2</formula>
    </cfRule>
  </conditionalFormatting>
  <conditionalFormatting sqref="Q50:Q52">
    <cfRule type="cellIs" dxfId="38" priority="237" operator="equal">
      <formula>配置!$D$4</formula>
    </cfRule>
    <cfRule type="cellIs" dxfId="39" priority="238" operator="equal">
      <formula>配置!$D$3</formula>
    </cfRule>
    <cfRule type="cellIs" dxfId="37" priority="239" operator="equal">
      <formula>配置!$D$2</formula>
    </cfRule>
  </conditionalFormatting>
  <conditionalFormatting sqref="Q53:Q55">
    <cfRule type="cellIs" dxfId="38" priority="230" operator="equal">
      <formula>配置!$D$4</formula>
    </cfRule>
    <cfRule type="cellIs" dxfId="39" priority="231" operator="equal">
      <formula>配置!$D$3</formula>
    </cfRule>
    <cfRule type="cellIs" dxfId="37" priority="232" operator="equal">
      <formula>配置!$D$2</formula>
    </cfRule>
  </conditionalFormatting>
  <conditionalFormatting sqref="Q56:Q57">
    <cfRule type="cellIs" dxfId="38" priority="223" operator="equal">
      <formula>配置!$D$4</formula>
    </cfRule>
    <cfRule type="cellIs" dxfId="39" priority="224" operator="equal">
      <formula>配置!$D$3</formula>
    </cfRule>
    <cfRule type="cellIs" dxfId="37" priority="225" operator="equal">
      <formula>配置!$D$2</formula>
    </cfRule>
  </conditionalFormatting>
  <conditionalFormatting sqref="R62:R68">
    <cfRule type="cellIs" dxfId="37" priority="6" operator="equal">
      <formula>$S$74</formula>
    </cfRule>
  </conditionalFormatting>
  <conditionalFormatting sqref="O59:O60 Q1:R1 Q2 Q4:Q5 Q7:Q8 Q10:Q11 Q13">
    <cfRule type="cellIs" dxfId="37" priority="343" operator="equal">
      <formula>配置!$D$2</formula>
    </cfRule>
  </conditionalFormatting>
  <conditionalFormatting sqref="Q2 Q4:Q5 Q7:Q8 Q10:Q11 Q13">
    <cfRule type="cellIs" dxfId="38" priority="342" operator="equal">
      <formula>配置!$D$4</formula>
    </cfRule>
  </conditionalFormatting>
  <conditionalFormatting sqref="Q14 Q16">
    <cfRule type="cellIs" dxfId="38" priority="326" operator="equal">
      <formula>配置!$D$4</formula>
    </cfRule>
    <cfRule type="cellIs" dxfId="37" priority="327" operator="equal">
      <formula>配置!$D$2</formula>
    </cfRule>
  </conditionalFormatting>
  <conditionalFormatting sqref="Q17 Q19">
    <cfRule type="cellIs" dxfId="38" priority="319" operator="equal">
      <formula>配置!$D$4</formula>
    </cfRule>
    <cfRule type="cellIs" dxfId="37" priority="320" operator="equal">
      <formula>配置!$D$2</formula>
    </cfRule>
  </conditionalFormatting>
  <conditionalFormatting sqref="Q20 Q22">
    <cfRule type="cellIs" dxfId="38" priority="312" operator="equal">
      <formula>配置!$D$4</formula>
    </cfRule>
    <cfRule type="cellIs" dxfId="37" priority="313" operator="equal">
      <formula>配置!$D$2</formula>
    </cfRule>
  </conditionalFormatting>
  <conditionalFormatting sqref="Q23 Q25">
    <cfRule type="cellIs" dxfId="38" priority="305" operator="equal">
      <formula>配置!$D$4</formula>
    </cfRule>
    <cfRule type="cellIs" dxfId="37" priority="306" operator="equal">
      <formula>配置!$D$2</formula>
    </cfRule>
  </conditionalFormatting>
  <conditionalFormatting sqref="Q26 Q28">
    <cfRule type="cellIs" dxfId="38" priority="298" operator="equal">
      <formula>配置!$D$4</formula>
    </cfRule>
    <cfRule type="cellIs" dxfId="37" priority="299" operator="equal">
      <formula>配置!$D$2</formula>
    </cfRule>
  </conditionalFormatting>
  <conditionalFormatting sqref="Q29 Q31">
    <cfRule type="cellIs" dxfId="38" priority="291" operator="equal">
      <formula>配置!$D$4</formula>
    </cfRule>
    <cfRule type="cellIs" dxfId="37" priority="292" operator="equal">
      <formula>配置!$D$2</formula>
    </cfRule>
  </conditionalFormatting>
  <conditionalFormatting sqref="Q32 Q34">
    <cfRule type="cellIs" dxfId="38" priority="284" operator="equal">
      <formula>配置!$D$4</formula>
    </cfRule>
    <cfRule type="cellIs" dxfId="37" priority="285" operator="equal">
      <formula>配置!$D$2</formula>
    </cfRule>
  </conditionalFormatting>
  <conditionalFormatting sqref="Q35 Q37">
    <cfRule type="cellIs" dxfId="38" priority="277" operator="equal">
      <formula>配置!$D$4</formula>
    </cfRule>
    <cfRule type="cellIs" dxfId="37" priority="278" operator="equal">
      <formula>配置!$D$2</formula>
    </cfRule>
  </conditionalFormatting>
  <conditionalFormatting sqref="Q38 Q40">
    <cfRule type="cellIs" dxfId="38" priority="270" operator="equal">
      <formula>配置!$D$4</formula>
    </cfRule>
    <cfRule type="cellIs" dxfId="37" priority="271" operator="equal">
      <formula>配置!$D$2</formula>
    </cfRule>
  </conditionalFormatting>
  <conditionalFormatting sqref="Q41 Q43">
    <cfRule type="cellIs" dxfId="38" priority="263" operator="equal">
      <formula>配置!$D$4</formula>
    </cfRule>
    <cfRule type="cellIs" dxfId="37" priority="264" operator="equal">
      <formula>配置!$D$2</formula>
    </cfRule>
  </conditionalFormatting>
  <conditionalFormatting sqref="Q44 Q46">
    <cfRule type="cellIs" dxfId="38" priority="256" operator="equal">
      <formula>配置!$D$4</formula>
    </cfRule>
    <cfRule type="cellIs" dxfId="37" priority="257" operator="equal">
      <formula>配置!$D$2</formula>
    </cfRule>
  </conditionalFormatting>
  <conditionalFormatting sqref="Q47 Q49">
    <cfRule type="cellIs" dxfId="38" priority="249" operator="equal">
      <formula>配置!$D$4</formula>
    </cfRule>
    <cfRule type="cellIs" dxfId="37" priority="250" operator="equal">
      <formula>配置!$D$2</formula>
    </cfRule>
  </conditionalFormatting>
  <conditionalFormatting sqref="Q50 Q52">
    <cfRule type="cellIs" dxfId="38" priority="242" operator="equal">
      <formula>配置!$D$4</formula>
    </cfRule>
    <cfRule type="cellIs" dxfId="37" priority="243" operator="equal">
      <formula>配置!$D$2</formula>
    </cfRule>
  </conditionalFormatting>
  <conditionalFormatting sqref="Q53 Q55">
    <cfRule type="cellIs" dxfId="38" priority="235" operator="equal">
      <formula>配置!$D$4</formula>
    </cfRule>
    <cfRule type="cellIs" dxfId="37" priority="236" operator="equal">
      <formula>配置!$D$2</formula>
    </cfRule>
  </conditionalFormatting>
  <dataValidations count="1">
    <dataValidation type="list" allowBlank="1" showInputMessage="1" showErrorMessage="1" sqref="Q58 Q2:Q13 Q14:Q16 Q17:Q19 Q20:Q22 Q23:Q25 Q26:Q28 Q29:Q31 Q32:Q34 Q35:Q37 Q38:Q40 Q41:Q43 Q44:Q46 Q47:Q49 Q50:Q52 Q53:Q55 Q56:Q57">
      <formula1>配置!$D$2:$D$4</formula1>
    </dataValidation>
  </dataValidations>
  <pageMargins left="0.75" right="0.75" top="1" bottom="1" header="0.5" footer="0.5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7733f1-a022-4d06-a268-8edbeea51f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F62:F64</xm:sqref>
        </x14:conditionalFormatting>
        <x14:conditionalFormatting xmlns:xm="http://schemas.microsoft.com/office/excel/2006/main">
          <x14:cfRule type="dataBar" id="{f440d851-217a-49f3-9f58-6cd51bb1cb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F65:F67</xm:sqref>
        </x14:conditionalFormatting>
        <x14:conditionalFormatting xmlns:xm="http://schemas.microsoft.com/office/excel/2006/main">
          <x14:cfRule type="dataBar" id="{27365cc0-7db0-4d5a-9fa3-b1f0725356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F68:F70</xm:sqref>
        </x14:conditionalFormatting>
        <x14:conditionalFormatting xmlns:xm="http://schemas.microsoft.com/office/excel/2006/main">
          <x14:cfRule type="dataBar" id="{11ce01a3-c8d3-40da-a2c9-493df7ff40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F71:F73</xm:sqref>
        </x14:conditionalFormatting>
        <x14:conditionalFormatting xmlns:xm="http://schemas.microsoft.com/office/excel/2006/main">
          <x14:cfRule type="dataBar" id="{c612191d-ac38-4aa9-ad50-01162813a9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F74:F76</xm:sqref>
        </x14:conditionalFormatting>
        <x14:conditionalFormatting xmlns:xm="http://schemas.microsoft.com/office/excel/2006/main">
          <x14:cfRule type="dataBar" id="{75ad3543-07a8-4508-ab4d-1c55fb033b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F77:F79</xm:sqref>
        </x14:conditionalFormatting>
        <x14:conditionalFormatting xmlns:xm="http://schemas.microsoft.com/office/excel/2006/main">
          <x14:cfRule type="dataBar" id="{3e73da19-6856-44f1-a5f2-f7c206a680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F80:F82</xm:sqref>
        </x14:conditionalFormatting>
        <x14:conditionalFormatting xmlns:xm="http://schemas.microsoft.com/office/excel/2006/main">
          <x14:cfRule type="dataBar" id="{829db1f4-aaeb-477b-b09d-03318df362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G62:G64</xm:sqref>
        </x14:conditionalFormatting>
        <x14:conditionalFormatting xmlns:xm="http://schemas.microsoft.com/office/excel/2006/main">
          <x14:cfRule type="dataBar" id="{ff94c3a3-654d-440e-beb7-09c385c2e8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G65:G67</xm:sqref>
        </x14:conditionalFormatting>
        <x14:conditionalFormatting xmlns:xm="http://schemas.microsoft.com/office/excel/2006/main">
          <x14:cfRule type="dataBar" id="{c45d8cde-06cf-412f-8265-6b7370cf2c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G68:G70</xm:sqref>
        </x14:conditionalFormatting>
        <x14:conditionalFormatting xmlns:xm="http://schemas.microsoft.com/office/excel/2006/main">
          <x14:cfRule type="dataBar" id="{3e729d24-6aeb-4f5b-a570-61172967c8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G71:G73</xm:sqref>
        </x14:conditionalFormatting>
        <x14:conditionalFormatting xmlns:xm="http://schemas.microsoft.com/office/excel/2006/main">
          <x14:cfRule type="dataBar" id="{08274853-6332-49dd-9e80-097a6624d6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G74:G76</xm:sqref>
        </x14:conditionalFormatting>
        <x14:conditionalFormatting xmlns:xm="http://schemas.microsoft.com/office/excel/2006/main">
          <x14:cfRule type="dataBar" id="{987f6583-c5fe-41ec-8616-9c8d724b33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G77:G79</xm:sqref>
        </x14:conditionalFormatting>
        <x14:conditionalFormatting xmlns:xm="http://schemas.microsoft.com/office/excel/2006/main">
          <x14:cfRule type="dataBar" id="{dba06100-4386-4dcd-a6de-f76f008170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G80:G82</xm:sqref>
        </x14:conditionalFormatting>
        <x14:conditionalFormatting xmlns:xm="http://schemas.microsoft.com/office/excel/2006/main">
          <x14:cfRule type="dataBar" id="{2ee2adbf-36f5-4843-ace5-3669628560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N62:N67</xm:sqref>
        </x14:conditionalFormatting>
        <x14:conditionalFormatting xmlns:xm="http://schemas.microsoft.com/office/excel/2006/main">
          <x14:cfRule type="dataBar" id="{6b4ec251-7852-4f07-bac6-a6c1e539fb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N68:N70</xm:sqref>
        </x14:conditionalFormatting>
        <x14:conditionalFormatting xmlns:xm="http://schemas.microsoft.com/office/excel/2006/main">
          <x14:cfRule type="dataBar" id="{171f7f80-f158-4771-a567-a9fc6bc981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N71:N73</xm:sqref>
        </x14:conditionalFormatting>
        <x14:conditionalFormatting xmlns:xm="http://schemas.microsoft.com/office/excel/2006/main">
          <x14:cfRule type="dataBar" id="{15e4bb5c-1ad1-409a-aa2f-6c9281f0b08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N74:N76</xm:sqref>
        </x14:conditionalFormatting>
        <x14:conditionalFormatting xmlns:xm="http://schemas.microsoft.com/office/excel/2006/main">
          <x14:cfRule type="dataBar" id="{af53c800-370a-44ff-8924-e68e9378f8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N77:N79</xm:sqref>
        </x14:conditionalFormatting>
        <x14:conditionalFormatting xmlns:xm="http://schemas.microsoft.com/office/excel/2006/main">
          <x14:cfRule type="dataBar" id="{74c364fd-495a-4ee5-abae-ed7ac09e45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N80:N82</xm:sqref>
        </x14:conditionalFormatting>
        <x14:conditionalFormatting xmlns:xm="http://schemas.microsoft.com/office/excel/2006/main">
          <x14:cfRule type="dataBar" id="{bd5441c7-83f0-4f98-b099-7655d5c2f2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O2:O58</xm:sqref>
        </x14:conditionalFormatting>
        <x14:conditionalFormatting xmlns:xm="http://schemas.microsoft.com/office/excel/2006/main">
          <x14:cfRule type="dataBar" id="{10bed006-132d-47db-80a4-cae2ff3f5d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P2:P58</xm:sqref>
        </x14:conditionalFormatting>
      </x14:conditionalFormatting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2"/>
  <sheetViews>
    <sheetView workbookViewId="0">
      <selection activeCell="H42" sqref="H42"/>
    </sheetView>
  </sheetViews>
  <sheetFormatPr defaultColWidth="9" defaultRowHeight="13.5"/>
  <cols>
    <col min="7" max="7" width="10.625" customWidth="1"/>
    <col min="9" max="9" width="9.375"/>
    <col min="14" max="14" width="9.375"/>
    <col min="16" max="16" width="10.375" customWidth="1"/>
  </cols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12" customFormat="1" ht="14.25" customHeight="1" spans="1:25">
      <c r="A2" s="91">
        <v>220</v>
      </c>
      <c r="B2" s="91">
        <f>VLOOKUP(表1_86121822242672112110106[[#This Row],[区服]],$P$35:$Q$44,2,FALSE)</f>
        <v>42</v>
      </c>
      <c r="C2" s="92" t="s">
        <v>271</v>
      </c>
      <c r="D2" s="313" t="str">
        <f>表1_86121822242672112110106[[#This Row],[目标国家]]</f>
        <v>魏</v>
      </c>
      <c r="E2" s="94">
        <f>(VLOOKUP(表1_86121822242672112110106[[#This Row],[目标区服]],$R$35:$S$38,2,FALSE)-表1_86121822242672112110106[[#This Row],[开服天数]])*配置!$B$1</f>
        <v>1000</v>
      </c>
      <c r="F2" s="94">
        <f>表1_86121822242672112110106[[#This Row],[补偿Coin]]*(表1_86121822242672112110106[[#This Row],[活跃高战玩家数]]+表1_86121822242672112110106[[#This Row],[活跃中坚玩家数]])</f>
        <v>27000</v>
      </c>
      <c r="G2" s="94">
        <f>(VLOOKUP(表1_86121822242672112110106[[#This Row],[目标区服]],$R$35:$S$38,2,FALSE)-表1_86121822242672112110106[[#This Row],[开服天数]])*配置!$B$2</f>
        <v>10</v>
      </c>
      <c r="H2" s="93" t="s">
        <v>25</v>
      </c>
      <c r="I2" s="93">
        <f>IF(表1_86121822242672112110106[[#This Row],[原国家]]="魏",0,IF(表1_86121822242672112110106[[#This Row],[原国家]]="蜀",1,2))</f>
        <v>0</v>
      </c>
      <c r="J2" s="325">
        <v>4</v>
      </c>
      <c r="K2" s="325">
        <v>161</v>
      </c>
      <c r="L2" s="325">
        <v>5</v>
      </c>
      <c r="M2" s="325">
        <v>22</v>
      </c>
      <c r="N2" s="325">
        <v>120970</v>
      </c>
      <c r="O2" s="326">
        <v>4073220</v>
      </c>
      <c r="P2" s="326">
        <v>31311165</v>
      </c>
      <c r="Q2" s="137" t="s">
        <v>25</v>
      </c>
      <c r="R2" s="93">
        <f>IF(表1_86121822242672112110106[[#This Row],[目标国家]]="魏",0,IF(表1_86121822242672112110106[[#This Row],[目标国家]]="蜀",1,2))</f>
        <v>0</v>
      </c>
      <c r="S2" s="325">
        <v>135202</v>
      </c>
      <c r="T2" s="325">
        <v>0</v>
      </c>
      <c r="U2" s="325">
        <v>896208</v>
      </c>
      <c r="V2" s="325">
        <v>14323</v>
      </c>
      <c r="W2" s="336">
        <v>1149750</v>
      </c>
      <c r="X2" s="140" t="str">
        <f>"{"&amp;"'coin':"&amp;表1_86121822242672112110106[[#This Row],[补偿Coin]]&amp;",'"&amp;配置!$A$2&amp;"':"&amp;表1_86121822242672112110106[[#This Row],[补偿辎重]]&amp;"},"</f>
        <v>{'coin':1000,'item036':10},</v>
      </c>
      <c r="Y2" s="138" t="str">
        <f>"      '"&amp;表1_86121822242672112110106[[#This Row],[区服]]&amp;"':{"</f>
        <v>      '220':{</v>
      </c>
    </row>
    <row r="3" s="312" customFormat="1" ht="14.25" customHeight="1" spans="1:25">
      <c r="A3" s="91">
        <v>220</v>
      </c>
      <c r="B3" s="91">
        <f>VLOOKUP(表1_86121822242672112110106[[#This Row],[区服]],$P$35:$Q$44,2,FALSE)</f>
        <v>42</v>
      </c>
      <c r="C3" s="92" t="s">
        <v>271</v>
      </c>
      <c r="D3" s="93" t="str">
        <f>表1_86121822242672112110106[[#This Row],[目标国家]]</f>
        <v>蜀</v>
      </c>
      <c r="E3" s="95">
        <f>(VLOOKUP(表1_86121822242672112110106[[#This Row],[目标区服]],$R$35:$S$38,2,FALSE)-表1_86121822242672112110106[[#This Row],[开服天数]])*配置!$B$1</f>
        <v>1000</v>
      </c>
      <c r="F3" s="95">
        <f>表1_86121822242672112110106[[#This Row],[补偿Coin]]*(表1_86121822242672112110106[[#This Row],[活跃高战玩家数]]+表1_86121822242672112110106[[#This Row],[活跃中坚玩家数]])</f>
        <v>41000</v>
      </c>
      <c r="G3" s="95">
        <f>(VLOOKUP(表1_86121822242672112110106[[#This Row],[目标区服]],$R$35:$S$38,2,FALSE)-表1_86121822242672112110106[[#This Row],[开服天数]])*配置!$B$2</f>
        <v>10</v>
      </c>
      <c r="H3" s="93" t="s">
        <v>26</v>
      </c>
      <c r="I3" s="93">
        <f>IF(表1_86121822242672112110106[[#This Row],[原国家]]="魏",0,IF(表1_86121822242672112110106[[#This Row],[原国家]]="蜀",1,2))</f>
        <v>1</v>
      </c>
      <c r="J3" s="325">
        <v>4</v>
      </c>
      <c r="K3" s="325">
        <v>178</v>
      </c>
      <c r="L3" s="325">
        <v>5</v>
      </c>
      <c r="M3" s="325">
        <v>36</v>
      </c>
      <c r="N3" s="325">
        <v>155408</v>
      </c>
      <c r="O3" s="326">
        <v>3464484</v>
      </c>
      <c r="P3" s="326">
        <v>40020960</v>
      </c>
      <c r="Q3" s="137" t="s">
        <v>26</v>
      </c>
      <c r="R3" s="93">
        <f>IF(表1_86121822242672112110106[[#This Row],[目标国家]]="魏",0,IF(表1_86121822242672112110106[[#This Row],[目标国家]]="蜀",1,2))</f>
        <v>1</v>
      </c>
      <c r="S3" s="325">
        <v>158132</v>
      </c>
      <c r="T3" s="325">
        <v>0</v>
      </c>
      <c r="U3" s="325">
        <v>1170028</v>
      </c>
      <c r="V3" s="325">
        <v>15752</v>
      </c>
      <c r="W3" s="336">
        <v>1084077</v>
      </c>
      <c r="X3" s="140" t="str">
        <f>"{"&amp;"'coin':"&amp;表1_86121822242672112110106[[#This Row],[补偿Coin]]&amp;",'"&amp;配置!$A$2&amp;"':"&amp;表1_86121822242672112110106[[#This Row],[补偿辎重]]&amp;"},"</f>
        <v>{'coin':1000,'item036':10},</v>
      </c>
      <c r="Y3" s="138" t="str">
        <f>"            'to_zone':'"&amp;表1_86121822242672112110106[[#This Row],[目标区服]]&amp;"',
            'reward':"&amp;表1_86121822242672112110106[[#This Row],[辅助导出]]&amp;"
            'country':["&amp;R2&amp;","&amp;R3&amp;","&amp;R4&amp;"],"</f>
        <v>            'to_zone':'h1_97',
            'reward':{'coin':1000,'item036':10},
            'country':[0,1,2],</v>
      </c>
    </row>
    <row r="4" s="312" customFormat="1" ht="14.25" customHeight="1" spans="1:25">
      <c r="A4" s="91">
        <v>220</v>
      </c>
      <c r="B4" s="91">
        <f>VLOOKUP(表1_86121822242672112110106[[#This Row],[区服]],$P$35:$Q$44,2,FALSE)</f>
        <v>42</v>
      </c>
      <c r="C4" s="92" t="s">
        <v>271</v>
      </c>
      <c r="D4" s="93" t="str">
        <f>表1_86121822242672112110106[[#This Row],[目标国家]]</f>
        <v>吴</v>
      </c>
      <c r="E4" s="95">
        <f>(VLOOKUP(表1_86121822242672112110106[[#This Row],[目标区服]],$R$35:$S$38,2,FALSE)-表1_86121822242672112110106[[#This Row],[开服天数]])*配置!$B$1</f>
        <v>1000</v>
      </c>
      <c r="F4" s="95">
        <f>表1_86121822242672112110106[[#This Row],[补偿Coin]]*(表1_86121822242672112110106[[#This Row],[活跃高战玩家数]]+表1_86121822242672112110106[[#This Row],[活跃中坚玩家数]])</f>
        <v>20000</v>
      </c>
      <c r="G4" s="95">
        <f>(VLOOKUP(表1_86121822242672112110106[[#This Row],[目标区服]],$R$35:$S$38,2,FALSE)-表1_86121822242672112110106[[#This Row],[开服天数]])*配置!$B$2</f>
        <v>10</v>
      </c>
      <c r="H4" s="93" t="s">
        <v>27</v>
      </c>
      <c r="I4" s="93">
        <f>IF(表1_86121822242672112110106[[#This Row],[原国家]]="魏",0,IF(表1_86121822242672112110106[[#This Row],[原国家]]="蜀",1,2))</f>
        <v>2</v>
      </c>
      <c r="J4" s="325">
        <v>1</v>
      </c>
      <c r="K4" s="325">
        <v>56</v>
      </c>
      <c r="L4" s="325">
        <v>0</v>
      </c>
      <c r="M4" s="325">
        <v>20</v>
      </c>
      <c r="N4" s="325">
        <v>50715</v>
      </c>
      <c r="O4" s="326">
        <v>1979106</v>
      </c>
      <c r="P4" s="326">
        <v>15673157</v>
      </c>
      <c r="Q4" s="137" t="s">
        <v>27</v>
      </c>
      <c r="R4" s="93">
        <f>IF(表1_86121822242672112110106[[#This Row],[目标国家]]="魏",0,IF(表1_86121822242672112110106[[#This Row],[目标国家]]="蜀",1,2))</f>
        <v>2</v>
      </c>
      <c r="S4" s="325">
        <v>22464</v>
      </c>
      <c r="T4" s="325">
        <v>0</v>
      </c>
      <c r="U4" s="325">
        <v>296778</v>
      </c>
      <c r="V4" s="325">
        <v>5282</v>
      </c>
      <c r="W4" s="325">
        <v>694190</v>
      </c>
      <c r="X4" s="140" t="str">
        <f>"{"&amp;"'coin':"&amp;表1_86121822242672112110106[[#This Row],[补偿Coin]]&amp;",'"&amp;配置!$A$2&amp;"':"&amp;表1_86121822242672112110106[[#This Row],[补偿辎重]]&amp;"},"</f>
        <v>{'coin':1000,'item036':10},</v>
      </c>
      <c r="Y4" s="138" t="str">
        <f>"      },"</f>
        <v>      },</v>
      </c>
    </row>
    <row r="5" s="312" customFormat="1" ht="14.25" customHeight="1" spans="1:25">
      <c r="A5" s="314">
        <v>221</v>
      </c>
      <c r="B5" s="91">
        <f>VLOOKUP(表1_86121822242672112110106[[#This Row],[区服]],$P$35:$Q$44,2,FALSE)</f>
        <v>41</v>
      </c>
      <c r="C5" s="92" t="s">
        <v>271</v>
      </c>
      <c r="D5" s="93" t="str">
        <f>表1_86121822242672112110106[[#This Row],[目标国家]]</f>
        <v>蜀</v>
      </c>
      <c r="E5" s="95">
        <f>(VLOOKUP(表1_86121822242672112110106[[#This Row],[目标区服]],$R$35:$S$38,2,FALSE)-表1_86121822242672112110106[[#This Row],[开服天数]])*配置!$B$1</f>
        <v>1500</v>
      </c>
      <c r="F5" s="95">
        <f>表1_86121822242672112110106[[#This Row],[补偿Coin]]*(表1_86121822242672112110106[[#This Row],[活跃高战玩家数]]+表1_86121822242672112110106[[#This Row],[活跃中坚玩家数]])</f>
        <v>36000</v>
      </c>
      <c r="G5" s="95">
        <f>(VLOOKUP(表1_86121822242672112110106[[#This Row],[目标区服]],$R$35:$S$38,2,FALSE)-表1_86121822242672112110106[[#This Row],[开服天数]])*配置!$B$2</f>
        <v>15</v>
      </c>
      <c r="H5" s="93" t="s">
        <v>25</v>
      </c>
      <c r="I5" s="93">
        <f>IF(表1_86121822242672112110106[[#This Row],[原国家]]="魏",0,IF(表1_86121822242672112110106[[#This Row],[原国家]]="蜀",1,2))</f>
        <v>0</v>
      </c>
      <c r="J5" s="325">
        <v>3</v>
      </c>
      <c r="K5" s="325">
        <v>108</v>
      </c>
      <c r="L5" s="325">
        <v>4</v>
      </c>
      <c r="M5" s="325">
        <v>20</v>
      </c>
      <c r="N5" s="325">
        <v>99515</v>
      </c>
      <c r="O5" s="326">
        <v>2759279</v>
      </c>
      <c r="P5" s="326">
        <v>24697514</v>
      </c>
      <c r="Q5" s="137" t="s">
        <v>26</v>
      </c>
      <c r="R5" s="93">
        <f>IF(表1_86121822242672112110106[[#This Row],[目标国家]]="魏",0,IF(表1_86121822242672112110106[[#This Row],[目标国家]]="蜀",1,2))</f>
        <v>1</v>
      </c>
      <c r="S5" s="325">
        <v>44668</v>
      </c>
      <c r="T5" s="325">
        <v>0</v>
      </c>
      <c r="U5" s="325">
        <v>247054</v>
      </c>
      <c r="V5" s="325">
        <v>8570</v>
      </c>
      <c r="W5" s="325">
        <v>797539</v>
      </c>
      <c r="X5" s="140" t="str">
        <f>"{"&amp;"'coin':"&amp;表1_86121822242672112110106[[#This Row],[补偿Coin]]&amp;",'"&amp;配置!$A$2&amp;"':"&amp;表1_86121822242672112110106[[#This Row],[补偿辎重]]&amp;"},"</f>
        <v>{'coin':1500,'item036':15},</v>
      </c>
      <c r="Y5" s="138" t="str">
        <f>"      '"&amp;表1_86121822242672112110106[[#This Row],[区服]]&amp;"':{"</f>
        <v>      '221':{</v>
      </c>
    </row>
    <row r="6" s="312" customFormat="1" ht="14.25" customHeight="1" spans="1:25">
      <c r="A6" s="314">
        <v>221</v>
      </c>
      <c r="B6" s="91">
        <f>VLOOKUP(表1_86121822242672112110106[[#This Row],[区服]],$P$35:$Q$44,2,FALSE)</f>
        <v>41</v>
      </c>
      <c r="C6" s="92" t="s">
        <v>271</v>
      </c>
      <c r="D6" s="93" t="str">
        <f>表1_86121822242672112110106[[#This Row],[目标国家]]</f>
        <v>魏</v>
      </c>
      <c r="E6" s="95">
        <f>(VLOOKUP(表1_86121822242672112110106[[#This Row],[目标区服]],$R$35:$S$38,2,FALSE)-表1_86121822242672112110106[[#This Row],[开服天数]])*配置!$B$1</f>
        <v>1500</v>
      </c>
      <c r="F6" s="95">
        <f>表1_86121822242672112110106[[#This Row],[补偿Coin]]*(表1_86121822242672112110106[[#This Row],[活跃高战玩家数]]+表1_86121822242672112110106[[#This Row],[活跃中坚玩家数]])</f>
        <v>43500</v>
      </c>
      <c r="G6" s="95">
        <f>(VLOOKUP(表1_86121822242672112110106[[#This Row],[目标区服]],$R$35:$S$38,2,FALSE)-表1_86121822242672112110106[[#This Row],[开服天数]])*配置!$B$2</f>
        <v>15</v>
      </c>
      <c r="H6" s="93" t="s">
        <v>26</v>
      </c>
      <c r="I6" s="93">
        <f>IF(表1_86121822242672112110106[[#This Row],[原国家]]="魏",0,IF(表1_86121822242672112110106[[#This Row],[原国家]]="蜀",1,2))</f>
        <v>1</v>
      </c>
      <c r="J6" s="325">
        <v>2</v>
      </c>
      <c r="K6" s="325">
        <v>117</v>
      </c>
      <c r="L6" s="325">
        <v>2</v>
      </c>
      <c r="M6" s="325">
        <v>27</v>
      </c>
      <c r="N6" s="325">
        <v>84955</v>
      </c>
      <c r="O6" s="326">
        <v>3434055</v>
      </c>
      <c r="P6" s="326">
        <v>27251634</v>
      </c>
      <c r="Q6" s="137" t="s">
        <v>25</v>
      </c>
      <c r="R6" s="93">
        <f>IF(表1_86121822242672112110106[[#This Row],[目标国家]]="魏",0,IF(表1_86121822242672112110106[[#This Row],[目标国家]]="蜀",1,2))</f>
        <v>0</v>
      </c>
      <c r="S6" s="325">
        <v>108478</v>
      </c>
      <c r="T6" s="325">
        <v>0</v>
      </c>
      <c r="U6" s="325">
        <v>823630</v>
      </c>
      <c r="V6" s="325">
        <v>11620</v>
      </c>
      <c r="W6" s="325">
        <v>998018</v>
      </c>
      <c r="X6" s="140" t="str">
        <f>"{"&amp;"'coin':"&amp;表1_86121822242672112110106[[#This Row],[补偿Coin]]&amp;",'"&amp;配置!$A$2&amp;"':"&amp;表1_86121822242672112110106[[#This Row],[补偿辎重]]&amp;"},"</f>
        <v>{'coin':1500,'item036':15},</v>
      </c>
      <c r="Y6" s="138" t="str">
        <f>"            'to_zone':'"&amp;表1_86121822242672112110106[[#This Row],[目标区服]]&amp;"',
            'reward':"&amp;表1_86121822242672112110106[[#This Row],[辅助导出]]&amp;"
            'country':["&amp;R5&amp;","&amp;R6&amp;","&amp;R7&amp;"],"</f>
        <v>            'to_zone':'h1_97',
            'reward':{'coin':1500,'item036':15},
            'country':[1,0,2],</v>
      </c>
    </row>
    <row r="7" s="312" customFormat="1" ht="14.25" customHeight="1" spans="1:25">
      <c r="A7" s="314">
        <v>221</v>
      </c>
      <c r="B7" s="91">
        <f>VLOOKUP(表1_86121822242672112110106[[#This Row],[区服]],$P$35:$Q$44,2,FALSE)</f>
        <v>41</v>
      </c>
      <c r="C7" s="92" t="s">
        <v>271</v>
      </c>
      <c r="D7" s="93" t="str">
        <f>表1_86121822242672112110106[[#This Row],[目标国家]]</f>
        <v>吴</v>
      </c>
      <c r="E7" s="95">
        <f>(VLOOKUP(表1_86121822242672112110106[[#This Row],[目标区服]],$R$35:$S$38,2,FALSE)-表1_86121822242672112110106[[#This Row],[开服天数]])*配置!$B$1</f>
        <v>1500</v>
      </c>
      <c r="F7" s="95">
        <f>表1_86121822242672112110106[[#This Row],[补偿Coin]]*(表1_86121822242672112110106[[#This Row],[活跃高战玩家数]]+表1_86121822242672112110106[[#This Row],[活跃中坚玩家数]])</f>
        <v>64500</v>
      </c>
      <c r="G7" s="95">
        <f>(VLOOKUP(表1_86121822242672112110106[[#This Row],[目标区服]],$R$35:$S$38,2,FALSE)-表1_86121822242672112110106[[#This Row],[开服天数]])*配置!$B$2</f>
        <v>15</v>
      </c>
      <c r="H7" s="93" t="s">
        <v>27</v>
      </c>
      <c r="I7" s="93">
        <f>IF(表1_86121822242672112110106[[#This Row],[原国家]]="魏",0,IF(表1_86121822242672112110106[[#This Row],[原国家]]="蜀",1,2))</f>
        <v>2</v>
      </c>
      <c r="J7" s="325">
        <v>4</v>
      </c>
      <c r="K7" s="325">
        <v>170</v>
      </c>
      <c r="L7" s="325">
        <v>4</v>
      </c>
      <c r="M7" s="325">
        <v>39</v>
      </c>
      <c r="N7" s="325">
        <v>152340</v>
      </c>
      <c r="O7" s="326">
        <v>3306499</v>
      </c>
      <c r="P7" s="326">
        <v>42978534</v>
      </c>
      <c r="Q7" s="137" t="s">
        <v>27</v>
      </c>
      <c r="R7" s="93">
        <f>IF(表1_86121822242672112110106[[#This Row],[目标国家]]="魏",0,IF(表1_86121822242672112110106[[#This Row],[目标国家]]="蜀",1,2))</f>
        <v>2</v>
      </c>
      <c r="S7" s="325">
        <v>175874</v>
      </c>
      <c r="T7" s="325">
        <v>0</v>
      </c>
      <c r="U7" s="325">
        <v>684220</v>
      </c>
      <c r="V7" s="325">
        <v>16084</v>
      </c>
      <c r="W7" s="336">
        <v>1182032</v>
      </c>
      <c r="X7" s="140" t="str">
        <f>"{"&amp;"'coin':"&amp;表1_86121822242672112110106[[#This Row],[补偿Coin]]&amp;",'"&amp;配置!$A$2&amp;"':"&amp;表1_86121822242672112110106[[#This Row],[补偿辎重]]&amp;"},"</f>
        <v>{'coin':1500,'item036':15},</v>
      </c>
      <c r="Y7" s="138" t="str">
        <f>"      },"</f>
        <v>      },</v>
      </c>
    </row>
    <row r="8" s="312" customFormat="1" ht="14.25" customHeight="1" spans="1:25">
      <c r="A8" s="257">
        <v>222</v>
      </c>
      <c r="B8" s="150">
        <f>VLOOKUP(表1_86121822242672112110106[[#This Row],[区服]],$P$35:$Q$44,2,FALSE)</f>
        <v>40</v>
      </c>
      <c r="C8" s="151" t="s">
        <v>272</v>
      </c>
      <c r="D8" s="152" t="str">
        <f>表1_86121822242672112110106[[#This Row],[目标国家]]</f>
        <v>魏</v>
      </c>
      <c r="E8" s="154">
        <f>(VLOOKUP(表1_86121822242672112110106[[#This Row],[目标区服]],$R$35:$S$38,2,FALSE)-表1_86121822242672112110106[[#This Row],[开服天数]])*配置!$B$1</f>
        <v>1000</v>
      </c>
      <c r="F8" s="154">
        <f>表1_86121822242672112110106[[#This Row],[补偿Coin]]*(表1_86121822242672112110106[[#This Row],[活跃高战玩家数]]+表1_86121822242672112110106[[#This Row],[活跃中坚玩家数]])</f>
        <v>23000</v>
      </c>
      <c r="G8" s="258">
        <f>(VLOOKUP(表1_86121822242672112110106[[#This Row],[目标区服]],$R$35:$S$38,2,FALSE)-表1_86121822242672112110106[[#This Row],[开服天数]])*配置!$B$2</f>
        <v>10</v>
      </c>
      <c r="H8" s="152" t="s">
        <v>25</v>
      </c>
      <c r="I8" s="267">
        <f>IF(表1_86121822242672112110106[[#This Row],[原国家]]="魏",0,IF(表1_86121822242672112110106[[#This Row],[原国家]]="蜀",1,2))</f>
        <v>0</v>
      </c>
      <c r="J8" s="327">
        <v>2</v>
      </c>
      <c r="K8" s="327">
        <v>113</v>
      </c>
      <c r="L8" s="327">
        <v>3</v>
      </c>
      <c r="M8" s="327">
        <v>20</v>
      </c>
      <c r="N8" s="327">
        <v>88925</v>
      </c>
      <c r="O8" s="328">
        <v>3355184</v>
      </c>
      <c r="P8" s="328">
        <v>22319186</v>
      </c>
      <c r="Q8" s="193" t="s">
        <v>25</v>
      </c>
      <c r="R8" s="152">
        <f>IF(表1_86121822242672112110106[[#This Row],[目标国家]]="魏",0,IF(表1_86121822242672112110106[[#This Row],[目标国家]]="蜀",1,2))</f>
        <v>0</v>
      </c>
      <c r="S8" s="327">
        <v>79648</v>
      </c>
      <c r="T8" s="327">
        <v>0</v>
      </c>
      <c r="U8" s="327">
        <v>693996</v>
      </c>
      <c r="V8" s="327">
        <v>10098</v>
      </c>
      <c r="W8" s="337">
        <v>1063357</v>
      </c>
      <c r="X8" s="277" t="str">
        <f>"{"&amp;"'coin':"&amp;表1_86121822242672112110106[[#This Row],[补偿Coin]]&amp;",'"&amp;配置!$A$2&amp;"':"&amp;表1_86121822242672112110106[[#This Row],[补偿辎重]]&amp;"},"</f>
        <v>{'coin':1000,'item036':10},</v>
      </c>
      <c r="Y8" s="277" t="str">
        <f>"      '"&amp;表1_86121822242672112110106[[#This Row],[区服]]&amp;"':{"</f>
        <v>      '222':{</v>
      </c>
    </row>
    <row r="9" s="312" customFormat="1" ht="14.25" customHeight="1" spans="1:25">
      <c r="A9" s="257">
        <v>222</v>
      </c>
      <c r="B9" s="150">
        <f>VLOOKUP(表1_86121822242672112110106[[#This Row],[区服]],$P$35:$Q$44,2,FALSE)</f>
        <v>40</v>
      </c>
      <c r="C9" s="151" t="s">
        <v>272</v>
      </c>
      <c r="D9" s="152" t="str">
        <f>表1_86121822242672112110106[[#This Row],[目标国家]]</f>
        <v>蜀</v>
      </c>
      <c r="E9" s="154">
        <f>(VLOOKUP(表1_86121822242672112110106[[#This Row],[目标区服]],$R$35:$S$38,2,FALSE)-表1_86121822242672112110106[[#This Row],[开服天数]])*配置!$B$1</f>
        <v>1000</v>
      </c>
      <c r="F9" s="154">
        <f>表1_86121822242672112110106[[#This Row],[补偿Coin]]*(表1_86121822242672112110106[[#This Row],[活跃高战玩家数]]+表1_86121822242672112110106[[#This Row],[活跃中坚玩家数]])</f>
        <v>41000</v>
      </c>
      <c r="G9" s="258">
        <f>(VLOOKUP(表1_86121822242672112110106[[#This Row],[目标区服]],$R$35:$S$38,2,FALSE)-表1_86121822242672112110106[[#This Row],[开服天数]])*配置!$B$2</f>
        <v>10</v>
      </c>
      <c r="H9" s="152" t="s">
        <v>26</v>
      </c>
      <c r="I9" s="267">
        <f>IF(表1_86121822242672112110106[[#This Row],[原国家]]="魏",0,IF(表1_86121822242672112110106[[#This Row],[原国家]]="蜀",1,2))</f>
        <v>1</v>
      </c>
      <c r="J9" s="327">
        <v>4</v>
      </c>
      <c r="K9" s="327">
        <v>174</v>
      </c>
      <c r="L9" s="327">
        <v>6</v>
      </c>
      <c r="M9" s="327">
        <v>35</v>
      </c>
      <c r="N9" s="327">
        <v>140352</v>
      </c>
      <c r="O9" s="328">
        <v>3364680</v>
      </c>
      <c r="P9" s="328">
        <v>35896725</v>
      </c>
      <c r="Q9" s="193" t="s">
        <v>26</v>
      </c>
      <c r="R9" s="152">
        <f>IF(表1_86121822242672112110106[[#This Row],[目标国家]]="魏",0,IF(表1_86121822242672112110106[[#This Row],[目标国家]]="蜀",1,2))</f>
        <v>1</v>
      </c>
      <c r="S9" s="327">
        <v>91678</v>
      </c>
      <c r="T9" s="327">
        <v>0</v>
      </c>
      <c r="U9" s="327">
        <v>723781</v>
      </c>
      <c r="V9" s="327">
        <v>12908</v>
      </c>
      <c r="W9" s="337">
        <v>893702</v>
      </c>
      <c r="X9" s="277" t="str">
        <f>"{"&amp;"'coin':"&amp;表1_86121822242672112110106[[#This Row],[补偿Coin]]&amp;",'"&amp;配置!$A$2&amp;"':"&amp;表1_86121822242672112110106[[#This Row],[补偿辎重]]&amp;"},"</f>
        <v>{'coin':1000,'item036':10},</v>
      </c>
      <c r="Y9" s="277" t="str">
        <f>"            'to_zone':'"&amp;表1_86121822242672112110106[[#This Row],[目标区服]]&amp;"',
            'reward':"&amp;表1_86121822242672112110106[[#This Row],[辅助导出]]&amp;"
            'country':["&amp;R8&amp;","&amp;R9&amp;","&amp;R10&amp;"],"</f>
        <v>            'to_zone':'h1_98',
            'reward':{'coin':1000,'item036':10},
            'country':[0,1,0],</v>
      </c>
    </row>
    <row r="10" s="312" customFormat="1" ht="14.25" customHeight="1" spans="1:25">
      <c r="A10" s="257">
        <v>222</v>
      </c>
      <c r="B10" s="150">
        <f>VLOOKUP(表1_86121822242672112110106[[#This Row],[区服]],$P$35:$Q$44,2,FALSE)</f>
        <v>40</v>
      </c>
      <c r="C10" s="151" t="s">
        <v>272</v>
      </c>
      <c r="D10" s="152" t="str">
        <f>表1_86121822242672112110106[[#This Row],[目标国家]]</f>
        <v>魏</v>
      </c>
      <c r="E10" s="154">
        <f>(VLOOKUP(表1_86121822242672112110106[[#This Row],[目标区服]],$R$35:$S$38,2,FALSE)-表1_86121822242672112110106[[#This Row],[开服天数]])*配置!$B$1</f>
        <v>1000</v>
      </c>
      <c r="F10" s="154">
        <f>表1_86121822242672112110106[[#This Row],[补偿Coin]]*(表1_86121822242672112110106[[#This Row],[活跃高战玩家数]]+表1_86121822242672112110106[[#This Row],[活跃中坚玩家数]])</f>
        <v>27000</v>
      </c>
      <c r="G10" s="258">
        <f>(VLOOKUP(表1_86121822242672112110106[[#This Row],[目标区服]],$R$35:$S$38,2,FALSE)-表1_86121822242672112110106[[#This Row],[开服天数]])*配置!$B$2</f>
        <v>10</v>
      </c>
      <c r="H10" s="152" t="s">
        <v>27</v>
      </c>
      <c r="I10" s="267">
        <f>IF(表1_86121822242672112110106[[#This Row],[原国家]]="魏",0,IF(表1_86121822242672112110106[[#This Row],[原国家]]="蜀",1,2))</f>
        <v>2</v>
      </c>
      <c r="J10" s="327">
        <v>3</v>
      </c>
      <c r="K10" s="327">
        <v>108</v>
      </c>
      <c r="L10" s="327">
        <v>1</v>
      </c>
      <c r="M10" s="327">
        <v>26</v>
      </c>
      <c r="N10" s="327">
        <v>96771</v>
      </c>
      <c r="O10" s="328">
        <v>2280989</v>
      </c>
      <c r="P10" s="328">
        <v>22318951</v>
      </c>
      <c r="Q10" s="193" t="s">
        <v>25</v>
      </c>
      <c r="R10" s="152">
        <f>IF(表1_86121822242672112110106[[#This Row],[目标国家]]="魏",0,IF(表1_86121822242672112110106[[#This Row],[目标国家]]="蜀",1,2))</f>
        <v>0</v>
      </c>
      <c r="S10" s="327">
        <v>31580</v>
      </c>
      <c r="T10" s="327">
        <v>0</v>
      </c>
      <c r="U10" s="327">
        <v>310276</v>
      </c>
      <c r="V10" s="327">
        <v>7479</v>
      </c>
      <c r="W10" s="327">
        <v>678921</v>
      </c>
      <c r="X10" s="277" t="str">
        <f>"{"&amp;"'coin':"&amp;表1_86121822242672112110106[[#This Row],[补偿Coin]]&amp;",'"&amp;配置!$A$2&amp;"':"&amp;表1_86121822242672112110106[[#This Row],[补偿辎重]]&amp;"},"</f>
        <v>{'coin':1000,'item036':10},</v>
      </c>
      <c r="Y10" s="277" t="str">
        <f>"      },"</f>
        <v>      },</v>
      </c>
    </row>
    <row r="11" s="312" customFormat="1" ht="14.25" customHeight="1" spans="1:25">
      <c r="A11" s="257">
        <v>223</v>
      </c>
      <c r="B11" s="150">
        <f>VLOOKUP(表1_86121822242672112110106[[#This Row],[区服]],$P$35:$Q$44,2,FALSE)</f>
        <v>39</v>
      </c>
      <c r="C11" s="151" t="s">
        <v>272</v>
      </c>
      <c r="D11" s="152" t="str">
        <f>表1_86121822242672112110106[[#This Row],[目标国家]]</f>
        <v>魏</v>
      </c>
      <c r="E11" s="154">
        <f>(VLOOKUP(表1_86121822242672112110106[[#This Row],[目标区服]],$R$35:$S$38,2,FALSE)-表1_86121822242672112110106[[#This Row],[开服天数]])*配置!$B$1</f>
        <v>1500</v>
      </c>
      <c r="F11" s="154">
        <f>表1_86121822242672112110106[[#This Row],[补偿Coin]]*(表1_86121822242672112110106[[#This Row],[活跃高战玩家数]]+表1_86121822242672112110106[[#This Row],[活跃中坚玩家数]])</f>
        <v>37500</v>
      </c>
      <c r="G11" s="258">
        <f>(VLOOKUP(表1_86121822242672112110106[[#This Row],[目标区服]],$R$35:$S$38,2,FALSE)-表1_86121822242672112110106[[#This Row],[开服天数]])*配置!$B$2</f>
        <v>15</v>
      </c>
      <c r="H11" s="152" t="s">
        <v>25</v>
      </c>
      <c r="I11" s="267">
        <f>IF(表1_86121822242672112110106[[#This Row],[原国家]]="魏",0,IF(表1_86121822242672112110106[[#This Row],[原国家]]="蜀",1,2))</f>
        <v>0</v>
      </c>
      <c r="J11" s="327">
        <v>0</v>
      </c>
      <c r="K11" s="327">
        <v>36</v>
      </c>
      <c r="L11" s="327">
        <v>1</v>
      </c>
      <c r="M11" s="327">
        <v>24</v>
      </c>
      <c r="N11" s="327">
        <v>68616</v>
      </c>
      <c r="O11" s="328">
        <v>2632639</v>
      </c>
      <c r="P11" s="328">
        <v>21556987</v>
      </c>
      <c r="Q11" s="193" t="s">
        <v>25</v>
      </c>
      <c r="R11" s="152">
        <f>IF(表1_86121822242672112110106[[#This Row],[目标国家]]="魏",0,IF(表1_86121822242672112110106[[#This Row],[目标国家]]="蜀",1,2))</f>
        <v>0</v>
      </c>
      <c r="S11" s="327">
        <v>58172</v>
      </c>
      <c r="T11" s="327">
        <v>0</v>
      </c>
      <c r="U11" s="327">
        <v>314325</v>
      </c>
      <c r="V11" s="327">
        <v>7393</v>
      </c>
      <c r="W11" s="327">
        <v>793974</v>
      </c>
      <c r="X11" s="277" t="str">
        <f>"{"&amp;"'coin':"&amp;表1_86121822242672112110106[[#This Row],[补偿Coin]]&amp;",'"&amp;配置!$A$2&amp;"':"&amp;表1_86121822242672112110106[[#This Row],[补偿辎重]]&amp;"},"</f>
        <v>{'coin':1500,'item036':15},</v>
      </c>
      <c r="Y11" s="277" t="str">
        <f>"      '"&amp;表1_86121822242672112110106[[#This Row],[区服]]&amp;"':{"</f>
        <v>      '223':{</v>
      </c>
    </row>
    <row r="12" s="312" customFormat="1" ht="14.25" customHeight="1" spans="1:25">
      <c r="A12" s="257">
        <v>223</v>
      </c>
      <c r="B12" s="150">
        <f>VLOOKUP(表1_86121822242672112110106[[#This Row],[区服]],$P$35:$Q$44,2,FALSE)</f>
        <v>39</v>
      </c>
      <c r="C12" s="151" t="s">
        <v>272</v>
      </c>
      <c r="D12" s="152" t="str">
        <f>表1_86121822242672112110106[[#This Row],[目标国家]]</f>
        <v>蜀</v>
      </c>
      <c r="E12" s="154">
        <f>(VLOOKUP(表1_86121822242672112110106[[#This Row],[目标区服]],$R$35:$S$38,2,FALSE)-表1_86121822242672112110106[[#This Row],[开服天数]])*配置!$B$1</f>
        <v>1500</v>
      </c>
      <c r="F12" s="154">
        <f>表1_86121822242672112110106[[#This Row],[补偿Coin]]*(表1_86121822242672112110106[[#This Row],[活跃高战玩家数]]+表1_86121822242672112110106[[#This Row],[活跃中坚玩家数]])</f>
        <v>36000</v>
      </c>
      <c r="G12" s="258">
        <f>(VLOOKUP(表1_86121822242672112110106[[#This Row],[目标区服]],$R$35:$S$38,2,FALSE)-表1_86121822242672112110106[[#This Row],[开服天数]])*配置!$B$2</f>
        <v>15</v>
      </c>
      <c r="H12" s="152" t="s">
        <v>26</v>
      </c>
      <c r="I12" s="267">
        <f>IF(表1_86121822242672112110106[[#This Row],[原国家]]="魏",0,IF(表1_86121822242672112110106[[#This Row],[原国家]]="蜀",1,2))</f>
        <v>1</v>
      </c>
      <c r="J12" s="327">
        <v>0</v>
      </c>
      <c r="K12" s="327">
        <v>71</v>
      </c>
      <c r="L12" s="327">
        <v>3</v>
      </c>
      <c r="M12" s="327">
        <v>21</v>
      </c>
      <c r="N12" s="327">
        <v>72536</v>
      </c>
      <c r="O12" s="328">
        <v>3180329</v>
      </c>
      <c r="P12" s="328">
        <v>22212123</v>
      </c>
      <c r="Q12" s="193" t="s">
        <v>26</v>
      </c>
      <c r="R12" s="152">
        <f>IF(表1_86121822242672112110106[[#This Row],[目标国家]]="魏",0,IF(表1_86121822242672112110106[[#This Row],[目标国家]]="蜀",1,2))</f>
        <v>1</v>
      </c>
      <c r="S12" s="327">
        <v>83839</v>
      </c>
      <c r="T12" s="327">
        <v>1394</v>
      </c>
      <c r="U12" s="327">
        <v>502511</v>
      </c>
      <c r="V12" s="327">
        <v>9254</v>
      </c>
      <c r="W12" s="327">
        <v>850814</v>
      </c>
      <c r="X12" s="277" t="str">
        <f>"{"&amp;"'coin':"&amp;表1_86121822242672112110106[[#This Row],[补偿Coin]]&amp;",'"&amp;配置!$A$2&amp;"':"&amp;表1_86121822242672112110106[[#This Row],[补偿辎重]]&amp;"},"</f>
        <v>{'coin':1500,'item036':15},</v>
      </c>
      <c r="Y12" s="277" t="str">
        <f>"            'to_zone':'"&amp;表1_86121822242672112110106[[#This Row],[目标区服]]&amp;"',
            'reward':"&amp;表1_86121822242672112110106[[#This Row],[辅助导出]]&amp;"
            'country':["&amp;R11&amp;","&amp;R12&amp;","&amp;R13&amp;"],"</f>
        <v>            'to_zone':'h1_98',
            'reward':{'coin':1500,'item036':15},
            'country':[0,1,2],</v>
      </c>
    </row>
    <row r="13" s="312" customFormat="1" ht="14.25" customHeight="1" spans="1:25">
      <c r="A13" s="257">
        <v>223</v>
      </c>
      <c r="B13" s="150">
        <f>VLOOKUP(表1_86121822242672112110106[[#This Row],[区服]],$P$35:$Q$44,2,FALSE)</f>
        <v>39</v>
      </c>
      <c r="C13" s="151" t="s">
        <v>272</v>
      </c>
      <c r="D13" s="152" t="str">
        <f>表1_86121822242672112110106[[#This Row],[目标国家]]</f>
        <v>吴</v>
      </c>
      <c r="E13" s="154">
        <f>(VLOOKUP(表1_86121822242672112110106[[#This Row],[目标区服]],$R$35:$S$38,2,FALSE)-表1_86121822242672112110106[[#This Row],[开服天数]])*配置!$B$1</f>
        <v>1500</v>
      </c>
      <c r="F13" s="154">
        <f>表1_86121822242672112110106[[#This Row],[补偿Coin]]*(表1_86121822242672112110106[[#This Row],[活跃高战玩家数]]+表1_86121822242672112110106[[#This Row],[活跃中坚玩家数]])</f>
        <v>66000</v>
      </c>
      <c r="G13" s="258">
        <f>(VLOOKUP(表1_86121822242672112110106[[#This Row],[目标区服]],$R$35:$S$38,2,FALSE)-表1_86121822242672112110106[[#This Row],[开服天数]])*配置!$B$2</f>
        <v>15</v>
      </c>
      <c r="H13" s="152" t="s">
        <v>27</v>
      </c>
      <c r="I13" s="267">
        <f>IF(表1_86121822242672112110106[[#This Row],[原国家]]="魏",0,IF(表1_86121822242672112110106[[#This Row],[原国家]]="蜀",1,2))</f>
        <v>2</v>
      </c>
      <c r="J13" s="327">
        <v>9</v>
      </c>
      <c r="K13" s="327">
        <v>288</v>
      </c>
      <c r="L13" s="327">
        <v>6</v>
      </c>
      <c r="M13" s="327">
        <v>38</v>
      </c>
      <c r="N13" s="327">
        <v>188542</v>
      </c>
      <c r="O13" s="328">
        <v>3749182</v>
      </c>
      <c r="P13" s="328">
        <v>48740072</v>
      </c>
      <c r="Q13" s="193" t="s">
        <v>27</v>
      </c>
      <c r="R13" s="152">
        <f>IF(表1_86121822242672112110106[[#This Row],[目标国家]]="魏",0,IF(表1_86121822242672112110106[[#This Row],[目标国家]]="蜀",1,2))</f>
        <v>2</v>
      </c>
      <c r="S13" s="327">
        <v>195742</v>
      </c>
      <c r="T13" s="327">
        <v>40</v>
      </c>
      <c r="U13" s="327">
        <v>1139911</v>
      </c>
      <c r="V13" s="327">
        <v>19788</v>
      </c>
      <c r="W13" s="337">
        <v>1083946</v>
      </c>
      <c r="X13" s="277" t="str">
        <f>"{"&amp;"'coin':"&amp;表1_86121822242672112110106[[#This Row],[补偿Coin]]&amp;",'"&amp;配置!$A$2&amp;"':"&amp;表1_86121822242672112110106[[#This Row],[补偿辎重]]&amp;"},"</f>
        <v>{'coin':1500,'item036':15},</v>
      </c>
      <c r="Y13" s="277" t="str">
        <f>"      },"</f>
        <v>      },</v>
      </c>
    </row>
    <row r="14" s="312" customFormat="1" ht="14.25" customHeight="1" spans="1:25">
      <c r="A14" s="86">
        <v>224</v>
      </c>
      <c r="B14" s="86">
        <f>VLOOKUP(表1_86121822242672112110106[[#This Row],[区服]],$P$35:$Q$44,2,FALSE)</f>
        <v>38</v>
      </c>
      <c r="C14" s="87" t="s">
        <v>273</v>
      </c>
      <c r="D14" s="315" t="str">
        <f>表1_86121822242672112110106[[#This Row],[目标国家]]</f>
        <v>吴</v>
      </c>
      <c r="E14" s="89">
        <f>(VLOOKUP(表1_86121822242672112110106[[#This Row],[目标区服]],$R$35:$S$38,2,FALSE)-表1_86121822242672112110106[[#This Row],[开服天数]])*配置!$B$1</f>
        <v>1000</v>
      </c>
      <c r="F14" s="89">
        <f>表1_86121822242672112110106[[#This Row],[补偿Coin]]*(表1_86121822242672112110106[[#This Row],[活跃高战玩家数]]+表1_86121822242672112110106[[#This Row],[活跃中坚玩家数]])</f>
        <v>25000</v>
      </c>
      <c r="G14" s="89">
        <f>(VLOOKUP(表1_86121822242672112110106[[#This Row],[目标区服]],$R$35:$S$38,2,FALSE)-表1_86121822242672112110106[[#This Row],[开服天数]])*配置!$B$2</f>
        <v>10</v>
      </c>
      <c r="H14" s="88" t="s">
        <v>25</v>
      </c>
      <c r="I14" s="88">
        <f>IF(表1_86121822242672112110106[[#This Row],[原国家]]="魏",0,IF(表1_86121822242672112110106[[#This Row],[原国家]]="蜀",1,2))</f>
        <v>0</v>
      </c>
      <c r="J14" s="329">
        <v>2</v>
      </c>
      <c r="K14" s="329">
        <v>111</v>
      </c>
      <c r="L14" s="329">
        <v>2</v>
      </c>
      <c r="M14" s="329">
        <v>23</v>
      </c>
      <c r="N14" s="329">
        <v>74678</v>
      </c>
      <c r="O14" s="330">
        <v>2624524</v>
      </c>
      <c r="P14" s="330">
        <v>20798213</v>
      </c>
      <c r="Q14" s="132" t="s">
        <v>27</v>
      </c>
      <c r="R14" s="88">
        <f>IF(表1_86121822242672112110106[[#This Row],[目标国家]]="魏",0,IF(表1_86121822242672112110106[[#This Row],[目标国家]]="蜀",1,2))</f>
        <v>2</v>
      </c>
      <c r="S14" s="329">
        <v>74344</v>
      </c>
      <c r="T14" s="329">
        <v>0</v>
      </c>
      <c r="U14" s="329">
        <v>315100</v>
      </c>
      <c r="V14" s="329">
        <v>8775</v>
      </c>
      <c r="W14" s="329">
        <v>911798</v>
      </c>
      <c r="X14" s="134" t="str">
        <f>"{"&amp;"'coin':"&amp;表1_86121822242672112110106[[#This Row],[补偿Coin]]&amp;",'"&amp;配置!$A$2&amp;"':"&amp;表1_86121822242672112110106[[#This Row],[补偿辎重]]&amp;"},"</f>
        <v>{'coin':1000,'item036':10},</v>
      </c>
      <c r="Y14" s="136" t="str">
        <f>"      '"&amp;表1_86121822242672112110106[[#This Row],[区服]]&amp;"':{"</f>
        <v>      '224':{</v>
      </c>
    </row>
    <row r="15" s="312" customFormat="1" ht="14.25" customHeight="1" spans="1:25">
      <c r="A15" s="86">
        <v>224</v>
      </c>
      <c r="B15" s="86">
        <f>VLOOKUP(表1_86121822242672112110106[[#This Row],[区服]],$P$35:$Q$44,2,FALSE)</f>
        <v>38</v>
      </c>
      <c r="C15" s="87" t="s">
        <v>273</v>
      </c>
      <c r="D15" s="88" t="str">
        <f>表1_86121822242672112110106[[#This Row],[目标国家]]</f>
        <v>魏</v>
      </c>
      <c r="E15" s="90">
        <f>(VLOOKUP(表1_86121822242672112110106[[#This Row],[目标区服]],$R$35:$S$38,2,FALSE)-表1_86121822242672112110106[[#This Row],[开服天数]])*配置!$B$1</f>
        <v>1000</v>
      </c>
      <c r="F15" s="90">
        <f>表1_86121822242672112110106[[#This Row],[补偿Coin]]*(表1_86121822242672112110106[[#This Row],[活跃高战玩家数]]+表1_86121822242672112110106[[#This Row],[活跃中坚玩家数]])</f>
        <v>38000</v>
      </c>
      <c r="G15" s="90">
        <f>(VLOOKUP(表1_86121822242672112110106[[#This Row],[目标区服]],$R$35:$S$38,2,FALSE)-表1_86121822242672112110106[[#This Row],[开服天数]])*配置!$B$2</f>
        <v>10</v>
      </c>
      <c r="H15" s="88" t="s">
        <v>26</v>
      </c>
      <c r="I15" s="88">
        <f>IF(表1_86121822242672112110106[[#This Row],[原国家]]="魏",0,IF(表1_86121822242672112110106[[#This Row],[原国家]]="蜀",1,2))</f>
        <v>1</v>
      </c>
      <c r="J15" s="329">
        <v>4</v>
      </c>
      <c r="K15" s="329">
        <v>143</v>
      </c>
      <c r="L15" s="329">
        <v>5</v>
      </c>
      <c r="M15" s="329">
        <v>33</v>
      </c>
      <c r="N15" s="329">
        <v>150955</v>
      </c>
      <c r="O15" s="330">
        <v>3384694</v>
      </c>
      <c r="P15" s="330">
        <v>36241450</v>
      </c>
      <c r="Q15" s="132" t="s">
        <v>25</v>
      </c>
      <c r="R15" s="88">
        <f>IF(表1_86121822242672112110106[[#This Row],[目标国家]]="魏",0,IF(表1_86121822242672112110106[[#This Row],[目标国家]]="蜀",1,2))</f>
        <v>0</v>
      </c>
      <c r="S15" s="329">
        <v>106604</v>
      </c>
      <c r="T15" s="329">
        <v>80</v>
      </c>
      <c r="U15" s="329">
        <v>516756</v>
      </c>
      <c r="V15" s="329">
        <v>13050</v>
      </c>
      <c r="W15" s="338">
        <v>1024192</v>
      </c>
      <c r="X15" s="134" t="str">
        <f>"{"&amp;"'coin':"&amp;表1_86121822242672112110106[[#This Row],[补偿Coin]]&amp;",'"&amp;配置!$A$2&amp;"':"&amp;表1_86121822242672112110106[[#This Row],[补偿辎重]]&amp;"},"</f>
        <v>{'coin':1000,'item036':10},</v>
      </c>
      <c r="Y15" s="136" t="str">
        <f>"            'to_zone':'"&amp;表1_86121822242672112110106[[#This Row],[目标区服]]&amp;"',
            'reward':"&amp;表1_86121822242672112110106[[#This Row],[辅助导出]]&amp;"
            'country':["&amp;R14&amp;","&amp;R15&amp;","&amp;R16&amp;"],"</f>
        <v>            'to_zone':'h1_99',
            'reward':{'coin':1000,'item036':10},
            'country':[2,0,2],</v>
      </c>
    </row>
    <row r="16" s="312" customFormat="1" ht="14.25" customHeight="1" spans="1:25">
      <c r="A16" s="86">
        <v>224</v>
      </c>
      <c r="B16" s="86">
        <f>VLOOKUP(表1_86121822242672112110106[[#This Row],[区服]],$P$35:$Q$44,2,FALSE)</f>
        <v>38</v>
      </c>
      <c r="C16" s="87" t="s">
        <v>273</v>
      </c>
      <c r="D16" s="88" t="str">
        <f>表1_86121822242672112110106[[#This Row],[目标国家]]</f>
        <v>吴</v>
      </c>
      <c r="E16" s="90">
        <f>(VLOOKUP(表1_86121822242672112110106[[#This Row],[目标区服]],$R$35:$S$38,2,FALSE)-表1_86121822242672112110106[[#This Row],[开服天数]])*配置!$B$1</f>
        <v>1000</v>
      </c>
      <c r="F16" s="90">
        <f>表1_86121822242672112110106[[#This Row],[补偿Coin]]*(表1_86121822242672112110106[[#This Row],[活跃高战玩家数]]+表1_86121822242672112110106[[#This Row],[活跃中坚玩家数]])</f>
        <v>25000</v>
      </c>
      <c r="G16" s="90">
        <f>(VLOOKUP(表1_86121822242672112110106[[#This Row],[目标区服]],$R$35:$S$38,2,FALSE)-表1_86121822242672112110106[[#This Row],[开服天数]])*配置!$B$2</f>
        <v>10</v>
      </c>
      <c r="H16" s="88" t="s">
        <v>27</v>
      </c>
      <c r="I16" s="88">
        <f>IF(表1_86121822242672112110106[[#This Row],[原国家]]="魏",0,IF(表1_86121822242672112110106[[#This Row],[原国家]]="蜀",1,2))</f>
        <v>2</v>
      </c>
      <c r="J16" s="329">
        <v>3</v>
      </c>
      <c r="K16" s="329">
        <v>141</v>
      </c>
      <c r="L16" s="329">
        <v>3</v>
      </c>
      <c r="M16" s="329">
        <v>22</v>
      </c>
      <c r="N16" s="329">
        <v>100243</v>
      </c>
      <c r="O16" s="330">
        <v>3494440</v>
      </c>
      <c r="P16" s="330">
        <v>23852886</v>
      </c>
      <c r="Q16" s="132" t="s">
        <v>27</v>
      </c>
      <c r="R16" s="88">
        <f>IF(表1_86121822242672112110106[[#This Row],[目标国家]]="魏",0,IF(表1_86121822242672112110106[[#This Row],[目标国家]]="蜀",1,2))</f>
        <v>2</v>
      </c>
      <c r="S16" s="329">
        <v>69216</v>
      </c>
      <c r="T16" s="329">
        <v>0</v>
      </c>
      <c r="U16" s="329">
        <v>400806</v>
      </c>
      <c r="V16" s="329">
        <v>10367</v>
      </c>
      <c r="W16" s="338">
        <v>1111018</v>
      </c>
      <c r="X16" s="134" t="str">
        <f>"{"&amp;"'coin':"&amp;表1_86121822242672112110106[[#This Row],[补偿Coin]]&amp;",'"&amp;配置!$A$2&amp;"':"&amp;表1_86121822242672112110106[[#This Row],[补偿辎重]]&amp;"},"</f>
        <v>{'coin':1000,'item036':10},</v>
      </c>
      <c r="Y16" s="136" t="str">
        <f>"      },"</f>
        <v>      },</v>
      </c>
    </row>
    <row r="17" s="312" customFormat="1" ht="14.25" customHeight="1" spans="1:25">
      <c r="A17" s="86">
        <v>225</v>
      </c>
      <c r="B17" s="86">
        <f>VLOOKUP(表1_86121822242672112110106[[#This Row],[区服]],$P$35:$Q$44,2,FALSE)</f>
        <v>37</v>
      </c>
      <c r="C17" s="87" t="s">
        <v>273</v>
      </c>
      <c r="D17" s="315" t="str">
        <f>表1_86121822242672112110106[[#This Row],[目标国家]]</f>
        <v>蜀</v>
      </c>
      <c r="E17" s="89">
        <f>(VLOOKUP(表1_86121822242672112110106[[#This Row],[目标区服]],$R$35:$S$38,2,FALSE)-表1_86121822242672112110106[[#This Row],[开服天数]])*配置!$B$1</f>
        <v>1500</v>
      </c>
      <c r="F17" s="89">
        <f>表1_86121822242672112110106[[#This Row],[补偿Coin]]*(表1_86121822242672112110106[[#This Row],[活跃高战玩家数]]+表1_86121822242672112110106[[#This Row],[活跃中坚玩家数]])</f>
        <v>33000</v>
      </c>
      <c r="G17" s="89">
        <f>(VLOOKUP(表1_86121822242672112110106[[#This Row],[目标区服]],$R$35:$S$38,2,FALSE)-表1_86121822242672112110106[[#This Row],[开服天数]])*配置!$B$2</f>
        <v>15</v>
      </c>
      <c r="H17" s="88" t="s">
        <v>25</v>
      </c>
      <c r="I17" s="88">
        <f>IF(表1_86121822242672112110106[[#This Row],[原国家]]="魏",0,IF(表1_86121822242672112110106[[#This Row],[原国家]]="蜀",1,2))</f>
        <v>0</v>
      </c>
      <c r="J17" s="329">
        <v>0</v>
      </c>
      <c r="K17" s="329">
        <v>64</v>
      </c>
      <c r="L17" s="329">
        <v>2</v>
      </c>
      <c r="M17" s="329">
        <v>20</v>
      </c>
      <c r="N17" s="329">
        <v>55153</v>
      </c>
      <c r="O17" s="330">
        <v>1640593</v>
      </c>
      <c r="P17" s="330">
        <v>14322001</v>
      </c>
      <c r="Q17" s="132" t="s">
        <v>26</v>
      </c>
      <c r="R17" s="88">
        <f>IF(表1_86121822242672112110106[[#This Row],[目标国家]]="魏",0,IF(表1_86121822242672112110106[[#This Row],[目标国家]]="蜀",1,2))</f>
        <v>1</v>
      </c>
      <c r="S17" s="329">
        <v>33732</v>
      </c>
      <c r="T17" s="329">
        <v>0</v>
      </c>
      <c r="U17" s="329">
        <v>152489</v>
      </c>
      <c r="V17" s="329">
        <v>5076</v>
      </c>
      <c r="W17" s="329">
        <v>578234</v>
      </c>
      <c r="X17" s="134" t="str">
        <f>"{"&amp;"'coin':"&amp;表1_86121822242672112110106[[#This Row],[补偿Coin]]&amp;",'"&amp;配置!$A$2&amp;"':"&amp;表1_86121822242672112110106[[#This Row],[补偿辎重]]&amp;"},"</f>
        <v>{'coin':1500,'item036':15},</v>
      </c>
      <c r="Y17" s="136" t="str">
        <f>"      '"&amp;表1_86121822242672112110106[[#This Row],[区服]]&amp;"':{"</f>
        <v>      '225':{</v>
      </c>
    </row>
    <row r="18" s="312" customFormat="1" ht="14.25" customHeight="1" spans="1:25">
      <c r="A18" s="86">
        <v>225</v>
      </c>
      <c r="B18" s="86">
        <f>VLOOKUP(表1_86121822242672112110106[[#This Row],[区服]],$P$35:$Q$44,2,FALSE)</f>
        <v>37</v>
      </c>
      <c r="C18" s="87" t="s">
        <v>273</v>
      </c>
      <c r="D18" s="88" t="str">
        <f>表1_86121822242672112110106[[#This Row],[目标国家]]</f>
        <v>蜀</v>
      </c>
      <c r="E18" s="90">
        <f>(VLOOKUP(表1_86121822242672112110106[[#This Row],[目标区服]],$R$35:$S$38,2,FALSE)-表1_86121822242672112110106[[#This Row],[开服天数]])*配置!$B$1</f>
        <v>1500</v>
      </c>
      <c r="F18" s="90">
        <f>表1_86121822242672112110106[[#This Row],[补偿Coin]]*(表1_86121822242672112110106[[#This Row],[活跃高战玩家数]]+表1_86121822242672112110106[[#This Row],[活跃中坚玩家数]])</f>
        <v>57000</v>
      </c>
      <c r="G18" s="90">
        <f>(VLOOKUP(表1_86121822242672112110106[[#This Row],[目标区服]],$R$35:$S$38,2,FALSE)-表1_86121822242672112110106[[#This Row],[开服天数]])*配置!$B$2</f>
        <v>15</v>
      </c>
      <c r="H18" s="88" t="s">
        <v>26</v>
      </c>
      <c r="I18" s="88">
        <f>IF(表1_86121822242672112110106[[#This Row],[原国家]]="魏",0,IF(表1_86121822242672112110106[[#This Row],[原国家]]="蜀",1,2))</f>
        <v>1</v>
      </c>
      <c r="J18" s="329">
        <v>9</v>
      </c>
      <c r="K18" s="329">
        <v>279</v>
      </c>
      <c r="L18" s="329">
        <v>4</v>
      </c>
      <c r="M18" s="329">
        <v>34</v>
      </c>
      <c r="N18" s="329">
        <v>174278</v>
      </c>
      <c r="O18" s="330">
        <v>3980911</v>
      </c>
      <c r="P18" s="330">
        <v>36062616</v>
      </c>
      <c r="Q18" s="132" t="s">
        <v>26</v>
      </c>
      <c r="R18" s="88">
        <f>IF(表1_86121822242672112110106[[#This Row],[目标国家]]="魏",0,IF(表1_86121822242672112110106[[#This Row],[目标国家]]="蜀",1,2))</f>
        <v>1</v>
      </c>
      <c r="S18" s="329">
        <v>203762</v>
      </c>
      <c r="T18" s="329">
        <v>0</v>
      </c>
      <c r="U18" s="329">
        <v>1543726</v>
      </c>
      <c r="V18" s="329">
        <v>19033</v>
      </c>
      <c r="W18" s="338">
        <v>1183377</v>
      </c>
      <c r="X18" s="134" t="str">
        <f>"{"&amp;"'coin':"&amp;表1_86121822242672112110106[[#This Row],[补偿Coin]]&amp;",'"&amp;配置!$A$2&amp;"':"&amp;表1_86121822242672112110106[[#This Row],[补偿辎重]]&amp;"},"</f>
        <v>{'coin':1500,'item036':15},</v>
      </c>
      <c r="Y18" s="136" t="str">
        <f>"            'to_zone':'"&amp;表1_86121822242672112110106[[#This Row],[目标区服]]&amp;"',
            'reward':"&amp;表1_86121822242672112110106[[#This Row],[辅助导出]]&amp;"
            'country':["&amp;R17&amp;","&amp;R18&amp;","&amp;R19&amp;"],"</f>
        <v>            'to_zone':'h1_99',
            'reward':{'coin':1500,'item036':15},
            'country':[1,1,0],</v>
      </c>
    </row>
    <row r="19" s="312" customFormat="1" ht="14.25" customHeight="1" spans="1:25">
      <c r="A19" s="86">
        <v>225</v>
      </c>
      <c r="B19" s="86">
        <f>VLOOKUP(表1_86121822242672112110106[[#This Row],[区服]],$P$35:$Q$44,2,FALSE)</f>
        <v>37</v>
      </c>
      <c r="C19" s="87" t="s">
        <v>273</v>
      </c>
      <c r="D19" s="88" t="str">
        <f>表1_86121822242672112110106[[#This Row],[目标国家]]</f>
        <v>魏</v>
      </c>
      <c r="E19" s="90">
        <f>(VLOOKUP(表1_86121822242672112110106[[#This Row],[目标区服]],$R$35:$S$38,2,FALSE)-表1_86121822242672112110106[[#This Row],[开服天数]])*配置!$B$1</f>
        <v>1500</v>
      </c>
      <c r="F19" s="90">
        <f>表1_86121822242672112110106[[#This Row],[补偿Coin]]*(表1_86121822242672112110106[[#This Row],[活跃高战玩家数]]+表1_86121822242672112110106[[#This Row],[活跃中坚玩家数]])</f>
        <v>33000</v>
      </c>
      <c r="G19" s="90">
        <f>(VLOOKUP(表1_86121822242672112110106[[#This Row],[目标区服]],$R$35:$S$38,2,FALSE)-表1_86121822242672112110106[[#This Row],[开服天数]])*配置!$B$2</f>
        <v>15</v>
      </c>
      <c r="H19" s="88" t="s">
        <v>27</v>
      </c>
      <c r="I19" s="88">
        <f>IF(表1_86121822242672112110106[[#This Row],[原国家]]="魏",0,IF(表1_86121822242672112110106[[#This Row],[原国家]]="蜀",1,2))</f>
        <v>2</v>
      </c>
      <c r="J19" s="329">
        <v>0</v>
      </c>
      <c r="K19" s="329">
        <v>52</v>
      </c>
      <c r="L19" s="329">
        <v>3</v>
      </c>
      <c r="M19" s="329">
        <v>19</v>
      </c>
      <c r="N19" s="329">
        <v>68882</v>
      </c>
      <c r="O19" s="330">
        <v>2017581</v>
      </c>
      <c r="P19" s="330">
        <v>15150904</v>
      </c>
      <c r="Q19" s="132" t="s">
        <v>25</v>
      </c>
      <c r="R19" s="88">
        <f>IF(表1_86121822242672112110106[[#This Row],[目标国家]]="魏",0,IF(表1_86121822242672112110106[[#This Row],[目标国家]]="蜀",1,2))</f>
        <v>0</v>
      </c>
      <c r="S19" s="329">
        <v>40996</v>
      </c>
      <c r="T19" s="329">
        <v>0</v>
      </c>
      <c r="U19" s="329">
        <v>451939</v>
      </c>
      <c r="V19" s="329">
        <v>5852</v>
      </c>
      <c r="W19" s="329">
        <v>608154</v>
      </c>
      <c r="X19" s="134" t="str">
        <f>"{"&amp;"'coin':"&amp;表1_86121822242672112110106[[#This Row],[补偿Coin]]&amp;",'"&amp;配置!$A$2&amp;"':"&amp;表1_86121822242672112110106[[#This Row],[补偿辎重]]&amp;"},"</f>
        <v>{'coin':1500,'item036':15},</v>
      </c>
      <c r="Y19" s="136" t="str">
        <f>"      },"</f>
        <v>      },</v>
      </c>
    </row>
    <row r="20" s="312" customFormat="1" ht="14.25" customHeight="1" spans="1:25">
      <c r="A20" s="91">
        <v>226</v>
      </c>
      <c r="B20" s="91">
        <f>VLOOKUP(表1_86121822242672112110106[[#This Row],[区服]],$P$35:$Q$44,2,FALSE)</f>
        <v>36</v>
      </c>
      <c r="C20" s="92" t="s">
        <v>274</v>
      </c>
      <c r="D20" s="313" t="str">
        <f>表1_86121822242672112110106[[#This Row],[目标国家]]</f>
        <v>魏</v>
      </c>
      <c r="E20" s="94">
        <f>(VLOOKUP(表1_86121822242672112110106[[#This Row],[目标区服]],$R$35:$S$38,2,FALSE)-表1_86121822242672112110106[[#This Row],[开服天数]])*配置!$B$1</f>
        <v>1000</v>
      </c>
      <c r="F20" s="94">
        <f>表1_86121822242672112110106[[#This Row],[补偿Coin]]*(表1_86121822242672112110106[[#This Row],[活跃高战玩家数]]+表1_86121822242672112110106[[#This Row],[活跃中坚玩家数]])</f>
        <v>44000</v>
      </c>
      <c r="G20" s="94">
        <f>(VLOOKUP(表1_86121822242672112110106[[#This Row],[目标区服]],$R$35:$S$38,2,FALSE)-表1_86121822242672112110106[[#This Row],[开服天数]])*配置!$B$2</f>
        <v>10</v>
      </c>
      <c r="H20" s="93" t="s">
        <v>25</v>
      </c>
      <c r="I20" s="93">
        <f>IF(表1_86121822242672112110106[[#This Row],[原国家]]="魏",0,IF(表1_86121822242672112110106[[#This Row],[原国家]]="蜀",1,2))</f>
        <v>0</v>
      </c>
      <c r="J20" s="325">
        <v>9</v>
      </c>
      <c r="K20" s="325">
        <v>338</v>
      </c>
      <c r="L20" s="325">
        <v>9</v>
      </c>
      <c r="M20" s="325">
        <v>35</v>
      </c>
      <c r="N20" s="325">
        <v>216742</v>
      </c>
      <c r="O20" s="326">
        <v>3340532</v>
      </c>
      <c r="P20" s="326">
        <v>41516410</v>
      </c>
      <c r="Q20" s="137" t="s">
        <v>25</v>
      </c>
      <c r="R20" s="93">
        <f>IF(表1_86121822242672112110106[[#This Row],[目标国家]]="魏",0,IF(表1_86121822242672112110106[[#This Row],[目标国家]]="蜀",1,2))</f>
        <v>0</v>
      </c>
      <c r="S20" s="325">
        <v>154071</v>
      </c>
      <c r="T20" s="325">
        <v>0</v>
      </c>
      <c r="U20" s="325">
        <v>1130709</v>
      </c>
      <c r="V20" s="325">
        <v>18043</v>
      </c>
      <c r="W20" s="336">
        <v>1245591</v>
      </c>
      <c r="X20" s="140" t="str">
        <f>"{"&amp;"'coin':"&amp;表1_86121822242672112110106[[#This Row],[补偿Coin]]&amp;",'"&amp;配置!$A$2&amp;"':"&amp;表1_86121822242672112110106[[#This Row],[补偿辎重]]&amp;"},"</f>
        <v>{'coin':1000,'item036':10},</v>
      </c>
      <c r="Y20" s="138" t="str">
        <f>"      '"&amp;表1_86121822242672112110106[[#This Row],[区服]]&amp;"':{"</f>
        <v>      '226':{</v>
      </c>
    </row>
    <row r="21" s="312" customFormat="1" ht="14.25" customHeight="1" spans="1:25">
      <c r="A21" s="91">
        <v>226</v>
      </c>
      <c r="B21" s="91">
        <f>VLOOKUP(表1_86121822242672112110106[[#This Row],[区服]],$P$35:$Q$44,2,FALSE)</f>
        <v>36</v>
      </c>
      <c r="C21" s="92" t="s">
        <v>274</v>
      </c>
      <c r="D21" s="93" t="str">
        <f>表1_86121822242672112110106[[#This Row],[目标国家]]</f>
        <v>蜀</v>
      </c>
      <c r="E21" s="94">
        <f>(VLOOKUP(表1_86121822242672112110106[[#This Row],[目标区服]],$R$35:$S$38,2,FALSE)-表1_86121822242672112110106[[#This Row],[开服天数]])*配置!$B$1</f>
        <v>1000</v>
      </c>
      <c r="F21" s="95">
        <f>表1_86121822242672112110106[[#This Row],[补偿Coin]]*(表1_86121822242672112110106[[#This Row],[活跃高战玩家数]]+表1_86121822242672112110106[[#This Row],[活跃中坚玩家数]])</f>
        <v>22000</v>
      </c>
      <c r="G21" s="95">
        <f>(VLOOKUP(表1_86121822242672112110106[[#This Row],[目标区服]],$R$35:$S$38,2,FALSE)-表1_86121822242672112110106[[#This Row],[开服天数]])*配置!$B$2</f>
        <v>10</v>
      </c>
      <c r="H21" s="93" t="s">
        <v>26</v>
      </c>
      <c r="I21" s="93">
        <f>IF(表1_86121822242672112110106[[#This Row],[原国家]]="魏",0,IF(表1_86121822242672112110106[[#This Row],[原国家]]="蜀",1,2))</f>
        <v>1</v>
      </c>
      <c r="J21" s="325">
        <v>0</v>
      </c>
      <c r="K21" s="325">
        <v>25</v>
      </c>
      <c r="L21" s="325">
        <v>1</v>
      </c>
      <c r="M21" s="325">
        <v>21</v>
      </c>
      <c r="N21" s="325">
        <v>65904</v>
      </c>
      <c r="O21" s="326">
        <v>2196191</v>
      </c>
      <c r="P21" s="326">
        <v>16070784</v>
      </c>
      <c r="Q21" s="137" t="s">
        <v>26</v>
      </c>
      <c r="R21" s="93">
        <f>IF(表1_86121822242672112110106[[#This Row],[目标国家]]="魏",0,IF(表1_86121822242672112110106[[#This Row],[目标国家]]="蜀",1,2))</f>
        <v>1</v>
      </c>
      <c r="S21" s="325">
        <v>172200</v>
      </c>
      <c r="T21" s="325">
        <v>0</v>
      </c>
      <c r="U21" s="325">
        <v>337406</v>
      </c>
      <c r="V21" s="325">
        <v>9717</v>
      </c>
      <c r="W21" s="325">
        <v>871607</v>
      </c>
      <c r="X21" s="140" t="str">
        <f>"{"&amp;"'coin':"&amp;表1_86121822242672112110106[[#This Row],[补偿Coin]]&amp;",'"&amp;配置!$A$2&amp;"':"&amp;表1_86121822242672112110106[[#This Row],[补偿辎重]]&amp;"},"</f>
        <v>{'coin':1000,'item036':10},</v>
      </c>
      <c r="Y21" s="138" t="str">
        <f>"            'to_zone':'"&amp;表1_86121822242672112110106[[#This Row],[目标区服]]&amp;"',
            'reward':"&amp;表1_86121822242672112110106[[#This Row],[辅助导出]]&amp;"
            'country':["&amp;R20&amp;","&amp;R21&amp;","&amp;R22&amp;"],"</f>
        <v>            'to_zone':'h1_100',
            'reward':{'coin':1000,'item036':10},
            'country':[0,1,0],</v>
      </c>
    </row>
    <row r="22" s="312" customFormat="1" ht="14.25" customHeight="1" spans="1:25">
      <c r="A22" s="91">
        <v>226</v>
      </c>
      <c r="B22" s="91">
        <f>VLOOKUP(表1_86121822242672112110106[[#This Row],[区服]],$P$35:$Q$44,2,FALSE)</f>
        <v>36</v>
      </c>
      <c r="C22" s="92" t="s">
        <v>274</v>
      </c>
      <c r="D22" s="93" t="str">
        <f>表1_86121822242672112110106[[#This Row],[目标国家]]</f>
        <v>魏</v>
      </c>
      <c r="E22" s="94">
        <f>(VLOOKUP(表1_86121822242672112110106[[#This Row],[目标区服]],$R$35:$S$38,2,FALSE)-表1_86121822242672112110106[[#This Row],[开服天数]])*配置!$B$1</f>
        <v>1000</v>
      </c>
      <c r="F22" s="95">
        <f>表1_86121822242672112110106[[#This Row],[补偿Coin]]*(表1_86121822242672112110106[[#This Row],[活跃高战玩家数]]+表1_86121822242672112110106[[#This Row],[活跃中坚玩家数]])</f>
        <v>14000</v>
      </c>
      <c r="G22" s="95">
        <f>(VLOOKUP(表1_86121822242672112110106[[#This Row],[目标区服]],$R$35:$S$38,2,FALSE)-表1_86121822242672112110106[[#This Row],[开服天数]])*配置!$B$2</f>
        <v>10</v>
      </c>
      <c r="H22" s="93" t="s">
        <v>27</v>
      </c>
      <c r="I22" s="93">
        <f>IF(表1_86121822242672112110106[[#This Row],[原国家]]="魏",0,IF(表1_86121822242672112110106[[#This Row],[原国家]]="蜀",1,2))</f>
        <v>2</v>
      </c>
      <c r="J22" s="325">
        <v>0</v>
      </c>
      <c r="K22" s="325">
        <v>32</v>
      </c>
      <c r="L22" s="325">
        <v>0</v>
      </c>
      <c r="M22" s="325">
        <v>14</v>
      </c>
      <c r="N22" s="325">
        <v>23080</v>
      </c>
      <c r="O22" s="326">
        <v>936983</v>
      </c>
      <c r="P22" s="326">
        <v>7858073</v>
      </c>
      <c r="Q22" s="137" t="s">
        <v>25</v>
      </c>
      <c r="R22" s="93">
        <f>IF(表1_86121822242672112110106[[#This Row],[目标国家]]="魏",0,IF(表1_86121822242672112110106[[#This Row],[目标国家]]="蜀",1,2))</f>
        <v>0</v>
      </c>
      <c r="S22" s="325">
        <v>20650</v>
      </c>
      <c r="T22" s="325">
        <v>0</v>
      </c>
      <c r="U22" s="325">
        <v>62697</v>
      </c>
      <c r="V22" s="325">
        <v>2809</v>
      </c>
      <c r="W22" s="325">
        <v>329082</v>
      </c>
      <c r="X22" s="140" t="str">
        <f>"{"&amp;"'coin':"&amp;表1_86121822242672112110106[[#This Row],[补偿Coin]]&amp;",'"&amp;配置!$A$2&amp;"':"&amp;表1_86121822242672112110106[[#This Row],[补偿辎重]]&amp;"},"</f>
        <v>{'coin':1000,'item036':10},</v>
      </c>
      <c r="Y22" s="138" t="str">
        <f>"      },"</f>
        <v>      },</v>
      </c>
    </row>
    <row r="23" s="312" customFormat="1" ht="14.25" customHeight="1" spans="1:25">
      <c r="A23" s="91">
        <v>227</v>
      </c>
      <c r="B23" s="91">
        <f>VLOOKUP(表1_86121822242672112110106[[#This Row],[区服]],$P$35:$Q$44,2,FALSE)</f>
        <v>35</v>
      </c>
      <c r="C23" s="92" t="s">
        <v>274</v>
      </c>
      <c r="D23" s="313" t="str">
        <f>表1_86121822242672112110106[[#This Row],[目标国家]]</f>
        <v>蜀</v>
      </c>
      <c r="E23" s="94">
        <f>(VLOOKUP(表1_86121822242672112110106[[#This Row],[目标区服]],$R$35:$S$38,2,FALSE)-表1_86121822242672112110106[[#This Row],[开服天数]])*配置!$B$1</f>
        <v>1500</v>
      </c>
      <c r="F23" s="94">
        <f>表1_86121822242672112110106[[#This Row],[补偿Coin]]*(表1_86121822242672112110106[[#This Row],[活跃高战玩家数]]+表1_86121822242672112110106[[#This Row],[活跃中坚玩家数]])</f>
        <v>39000</v>
      </c>
      <c r="G23" s="94">
        <f>(VLOOKUP(表1_86121822242672112110106[[#This Row],[目标区服]],$R$35:$S$38,2,FALSE)-表1_86121822242672112110106[[#This Row],[开服天数]])*配置!$B$2</f>
        <v>15</v>
      </c>
      <c r="H23" s="93" t="s">
        <v>25</v>
      </c>
      <c r="I23" s="93">
        <f>IF(表1_86121822242672112110106[[#This Row],[原国家]]="魏",0,IF(表1_86121822242672112110106[[#This Row],[原国家]]="蜀",1,2))</f>
        <v>0</v>
      </c>
      <c r="J23" s="325">
        <v>3</v>
      </c>
      <c r="K23" s="325">
        <v>82</v>
      </c>
      <c r="L23" s="325">
        <v>2</v>
      </c>
      <c r="M23" s="325">
        <v>24</v>
      </c>
      <c r="N23" s="325">
        <v>84815</v>
      </c>
      <c r="O23" s="326">
        <v>3307857</v>
      </c>
      <c r="P23" s="326">
        <v>24755274</v>
      </c>
      <c r="Q23" s="137" t="s">
        <v>26</v>
      </c>
      <c r="R23" s="93">
        <f>IF(表1_86121822242672112110106[[#This Row],[目标国家]]="魏",0,IF(表1_86121822242672112110106[[#This Row],[目标国家]]="蜀",1,2))</f>
        <v>1</v>
      </c>
      <c r="S23" s="325">
        <v>102624</v>
      </c>
      <c r="T23" s="325">
        <v>0</v>
      </c>
      <c r="U23" s="325">
        <v>388369</v>
      </c>
      <c r="V23" s="325">
        <v>10600</v>
      </c>
      <c r="W23" s="336">
        <v>1044336</v>
      </c>
      <c r="X23" s="140" t="str">
        <f>"{"&amp;"'coin':"&amp;表1_86121822242672112110106[[#This Row],[补偿Coin]]&amp;",'"&amp;配置!$A$2&amp;"':"&amp;表1_86121822242672112110106[[#This Row],[补偿辎重]]&amp;"},"</f>
        <v>{'coin':1500,'item036':15},</v>
      </c>
      <c r="Y23" s="138" t="str">
        <f>"      '"&amp;表1_86121822242672112110106[[#This Row],[区服]]&amp;"':{"</f>
        <v>      '227':{</v>
      </c>
    </row>
    <row r="24" s="312" customFormat="1" ht="14.25" customHeight="1" spans="1:25">
      <c r="A24" s="91">
        <v>227</v>
      </c>
      <c r="B24" s="91">
        <f>VLOOKUP(表1_86121822242672112110106[[#This Row],[区服]],$P$35:$Q$44,2,FALSE)</f>
        <v>35</v>
      </c>
      <c r="C24" s="92" t="s">
        <v>274</v>
      </c>
      <c r="D24" s="93" t="str">
        <f>表1_86121822242672112110106[[#This Row],[目标国家]]</f>
        <v>蜀</v>
      </c>
      <c r="E24" s="94">
        <f>(VLOOKUP(表1_86121822242672112110106[[#This Row],[目标区服]],$R$35:$S$38,2,FALSE)-表1_86121822242672112110106[[#This Row],[开服天数]])*配置!$B$1</f>
        <v>1500</v>
      </c>
      <c r="F24" s="95">
        <f>表1_86121822242672112110106[[#This Row],[补偿Coin]]*(表1_86121822242672112110106[[#This Row],[活跃高战玩家数]]+表1_86121822242672112110106[[#This Row],[活跃中坚玩家数]])</f>
        <v>21000</v>
      </c>
      <c r="G24" s="95">
        <f>(VLOOKUP(表1_86121822242672112110106[[#This Row],[目标区服]],$R$35:$S$38,2,FALSE)-表1_86121822242672112110106[[#This Row],[开服天数]])*配置!$B$2</f>
        <v>15</v>
      </c>
      <c r="H24" s="93" t="s">
        <v>26</v>
      </c>
      <c r="I24" s="93">
        <f>IF(表1_86121822242672112110106[[#This Row],[原国家]]="魏",0,IF(表1_86121822242672112110106[[#This Row],[原国家]]="蜀",1,2))</f>
        <v>1</v>
      </c>
      <c r="J24" s="325">
        <v>2</v>
      </c>
      <c r="K24" s="325">
        <v>91</v>
      </c>
      <c r="L24" s="325">
        <v>3</v>
      </c>
      <c r="M24" s="325">
        <v>11</v>
      </c>
      <c r="N24" s="325">
        <v>48100</v>
      </c>
      <c r="O24" s="326">
        <v>3108564</v>
      </c>
      <c r="P24" s="326">
        <v>15025964</v>
      </c>
      <c r="Q24" s="137" t="s">
        <v>26</v>
      </c>
      <c r="R24" s="93">
        <f>IF(表1_86121822242672112110106[[#This Row],[目标国家]]="魏",0,IF(表1_86121822242672112110106[[#This Row],[目标国家]]="蜀",1,2))</f>
        <v>1</v>
      </c>
      <c r="S24" s="325">
        <v>129160</v>
      </c>
      <c r="T24" s="325">
        <v>0</v>
      </c>
      <c r="U24" s="325">
        <v>266296</v>
      </c>
      <c r="V24" s="325">
        <v>9969</v>
      </c>
      <c r="W24" s="325">
        <v>988071</v>
      </c>
      <c r="X24" s="140" t="str">
        <f>"{"&amp;"'coin':"&amp;表1_86121822242672112110106[[#This Row],[补偿Coin]]&amp;",'"&amp;配置!$A$2&amp;"':"&amp;表1_86121822242672112110106[[#This Row],[补偿辎重]]&amp;"},"</f>
        <v>{'coin':1500,'item036':15},</v>
      </c>
      <c r="Y24" s="138" t="str">
        <f>"            'to_zone':'"&amp;表1_86121822242672112110106[[#This Row],[目标区服]]&amp;"',
            'reward':"&amp;表1_86121822242672112110106[[#This Row],[辅助导出]]&amp;"
            'country':["&amp;R23&amp;","&amp;R24&amp;","&amp;R25&amp;"],"</f>
        <v>            'to_zone':'h1_100',
            'reward':{'coin':1500,'item036':15},
            'country':[1,1,2],</v>
      </c>
    </row>
    <row r="25" s="312" customFormat="1" ht="14.25" customHeight="1" spans="1:25">
      <c r="A25" s="91">
        <v>227</v>
      </c>
      <c r="B25" s="91">
        <f>VLOOKUP(表1_86121822242672112110106[[#This Row],[区服]],$P$35:$Q$44,2,FALSE)</f>
        <v>35</v>
      </c>
      <c r="C25" s="92" t="s">
        <v>274</v>
      </c>
      <c r="D25" s="93" t="str">
        <f>表1_86121822242672112110106[[#This Row],[目标国家]]</f>
        <v>吴</v>
      </c>
      <c r="E25" s="94">
        <f>(VLOOKUP(表1_86121822242672112110106[[#This Row],[目标区服]],$R$35:$S$38,2,FALSE)-表1_86121822242672112110106[[#This Row],[开服天数]])*配置!$B$1</f>
        <v>1500</v>
      </c>
      <c r="F25" s="95">
        <f>表1_86121822242672112110106[[#This Row],[补偿Coin]]*(表1_86121822242672112110106[[#This Row],[活跃高战玩家数]]+表1_86121822242672112110106[[#This Row],[活跃中坚玩家数]])</f>
        <v>76500</v>
      </c>
      <c r="G25" s="95">
        <f>(VLOOKUP(表1_86121822242672112110106[[#This Row],[目标区服]],$R$35:$S$38,2,FALSE)-表1_86121822242672112110106[[#This Row],[开服天数]])*配置!$B$2</f>
        <v>15</v>
      </c>
      <c r="H25" s="93" t="s">
        <v>27</v>
      </c>
      <c r="I25" s="93">
        <f>IF(表1_86121822242672112110106[[#This Row],[原国家]]="魏",0,IF(表1_86121822242672112110106[[#This Row],[原国家]]="蜀",1,2))</f>
        <v>2</v>
      </c>
      <c r="J25" s="325">
        <v>4</v>
      </c>
      <c r="K25" s="325">
        <v>222</v>
      </c>
      <c r="L25" s="325">
        <v>5</v>
      </c>
      <c r="M25" s="325">
        <v>46</v>
      </c>
      <c r="N25" s="325">
        <v>195278</v>
      </c>
      <c r="O25" s="326">
        <v>4225051</v>
      </c>
      <c r="P25" s="326">
        <v>54877309</v>
      </c>
      <c r="Q25" s="137" t="s">
        <v>27</v>
      </c>
      <c r="R25" s="93">
        <f>IF(表1_86121822242672112110106[[#This Row],[目标国家]]="魏",0,IF(表1_86121822242672112110106[[#This Row],[目标国家]]="蜀",1,2))</f>
        <v>2</v>
      </c>
      <c r="S25" s="325">
        <v>228654</v>
      </c>
      <c r="T25" s="325">
        <v>0</v>
      </c>
      <c r="U25" s="325">
        <v>562508</v>
      </c>
      <c r="V25" s="325">
        <v>20450</v>
      </c>
      <c r="W25" s="336">
        <v>1192963</v>
      </c>
      <c r="X25" s="140" t="str">
        <f>"{"&amp;"'coin':"&amp;表1_86121822242672112110106[[#This Row],[补偿Coin]]&amp;",'"&amp;配置!$A$2&amp;"':"&amp;表1_86121822242672112110106[[#This Row],[补偿辎重]]&amp;"},"</f>
        <v>{'coin':1500,'item036':15},</v>
      </c>
      <c r="Y25" s="138" t="str">
        <f>"      },"</f>
        <v>      },</v>
      </c>
    </row>
    <row r="26" s="312" customFormat="1" ht="14.25" customHeight="1" spans="1:25">
      <c r="A26" s="316">
        <v>228</v>
      </c>
      <c r="B26" s="316">
        <f>VLOOKUP(表1_86121822242672112110106[[#This Row],[区服]],$P$35:$Q$44,2,FALSE)</f>
        <v>34</v>
      </c>
      <c r="C26" s="317" t="s">
        <v>275</v>
      </c>
      <c r="D26" s="318" t="str">
        <f>表1_86121822242672112110106[[#This Row],[目标国家]]</f>
        <v>魏</v>
      </c>
      <c r="E26" s="319">
        <f>(VLOOKUP(表1_86121822242672112110106[[#This Row],[目标区服]],$R$35:$S$39,2,FALSE)-表1_86121822242672112110106[[#This Row],[开服天数]])*配置!$B$1</f>
        <v>1000</v>
      </c>
      <c r="F26" s="319">
        <f>表1_86121822242672112110106[[#This Row],[补偿Coin]]*(表1_86121822242672112110106[[#This Row],[活跃高战玩家数]]+表1_86121822242672112110106[[#This Row],[活跃中坚玩家数]])</f>
        <v>12000</v>
      </c>
      <c r="G26" s="319">
        <f>(VLOOKUP(表1_86121822242672112110106[[#This Row],[目标区服]],$R$35:$S$39,2,FALSE)-表1_86121822242672112110106[[#This Row],[开服天数]])*配置!$B$2</f>
        <v>10</v>
      </c>
      <c r="H26" s="320" t="s">
        <v>25</v>
      </c>
      <c r="I26" s="320">
        <f>IF(表1_86121822242672112110106[[#This Row],[原国家]]="魏",0,IF(表1_86121822242672112110106[[#This Row],[原国家]]="蜀",1,2))</f>
        <v>0</v>
      </c>
      <c r="J26" s="331">
        <v>0</v>
      </c>
      <c r="K26" s="331">
        <v>38</v>
      </c>
      <c r="L26" s="331">
        <v>1</v>
      </c>
      <c r="M26" s="331">
        <v>11</v>
      </c>
      <c r="N26" s="331">
        <v>54511</v>
      </c>
      <c r="O26" s="332">
        <v>1351960</v>
      </c>
      <c r="P26" s="332">
        <v>7467357</v>
      </c>
      <c r="Q26" s="339" t="s">
        <v>25</v>
      </c>
      <c r="R26" s="320">
        <f>IF(表1_86121822242672112110106[[#This Row],[目标国家]]="魏",0,IF(表1_86121822242672112110106[[#This Row],[目标国家]]="蜀",1,2))</f>
        <v>0</v>
      </c>
      <c r="S26" s="331">
        <v>8370</v>
      </c>
      <c r="T26" s="331">
        <v>0</v>
      </c>
      <c r="U26" s="331">
        <v>115883</v>
      </c>
      <c r="V26" s="331">
        <v>3060</v>
      </c>
      <c r="W26" s="331">
        <v>412083</v>
      </c>
      <c r="X26" s="340" t="str">
        <f>"{"&amp;"'coin':"&amp;表1_86121822242672112110106[[#This Row],[补偿Coin]]&amp;",'"&amp;配置!$A$2&amp;"':"&amp;表1_86121822242672112110106[[#This Row],[补偿辎重]]&amp;"},"</f>
        <v>{'coin':1000,'item036':10},</v>
      </c>
      <c r="Y26" s="343" t="str">
        <f>"      '"&amp;表1_86121822242672112110106[[#This Row],[区服]]&amp;"':{"</f>
        <v>      '228':{</v>
      </c>
    </row>
    <row r="27" s="312" customFormat="1" ht="14.25" customHeight="1" spans="1:25">
      <c r="A27" s="316">
        <v>228</v>
      </c>
      <c r="B27" s="316">
        <f>VLOOKUP(表1_86121822242672112110106[[#This Row],[区服]],$P$35:$Q$44,2,FALSE)</f>
        <v>34</v>
      </c>
      <c r="C27" s="317" t="s">
        <v>275</v>
      </c>
      <c r="D27" s="320" t="str">
        <f>表1_86121822242672112110106[[#This Row],[目标国家]]</f>
        <v>魏</v>
      </c>
      <c r="E27" s="319">
        <f>(VLOOKUP(表1_86121822242672112110106[[#This Row],[目标区服]],$R$35:$S$39,2,FALSE)-表1_86121822242672112110106[[#This Row],[开服天数]])*配置!$B$1</f>
        <v>1000</v>
      </c>
      <c r="F27" s="319">
        <f>表1_86121822242672112110106[[#This Row],[补偿Coin]]*(表1_86121822242672112110106[[#This Row],[活跃高战玩家数]]+表1_86121822242672112110106[[#This Row],[活跃中坚玩家数]])</f>
        <v>24000</v>
      </c>
      <c r="G27" s="319">
        <f>(VLOOKUP(表1_86121822242672112110106[[#This Row],[目标区服]],$R$35:$S$39,2,FALSE)-表1_86121822242672112110106[[#This Row],[开服天数]])*配置!$B$2</f>
        <v>10</v>
      </c>
      <c r="H27" s="320" t="s">
        <v>26</v>
      </c>
      <c r="I27" s="320">
        <f>IF(表1_86121822242672112110106[[#This Row],[原国家]]="魏",0,IF(表1_86121822242672112110106[[#This Row],[原国家]]="蜀",1,2))</f>
        <v>1</v>
      </c>
      <c r="J27" s="331">
        <v>1</v>
      </c>
      <c r="K27" s="331">
        <v>101</v>
      </c>
      <c r="L27" s="331">
        <v>2</v>
      </c>
      <c r="M27" s="331">
        <v>22</v>
      </c>
      <c r="N27" s="331">
        <v>89595</v>
      </c>
      <c r="O27" s="332">
        <v>2587496</v>
      </c>
      <c r="P27" s="332">
        <v>15383168</v>
      </c>
      <c r="Q27" s="339" t="s">
        <v>25</v>
      </c>
      <c r="R27" s="320">
        <f>IF(表1_86121822242672112110106[[#This Row],[目标国家]]="魏",0,IF(表1_86121822242672112110106[[#This Row],[目标国家]]="蜀",1,2))</f>
        <v>0</v>
      </c>
      <c r="S27" s="331">
        <v>76062</v>
      </c>
      <c r="T27" s="331">
        <v>0</v>
      </c>
      <c r="U27" s="331">
        <v>440913</v>
      </c>
      <c r="V27" s="331">
        <v>8186</v>
      </c>
      <c r="W27" s="341">
        <v>917284</v>
      </c>
      <c r="X27" s="340" t="str">
        <f>"{"&amp;"'coin':"&amp;表1_86121822242672112110106[[#This Row],[补偿Coin]]&amp;",'"&amp;配置!$A$2&amp;"':"&amp;表1_86121822242672112110106[[#This Row],[补偿辎重]]&amp;"},"</f>
        <v>{'coin':1000,'item036':10},</v>
      </c>
      <c r="Y27" s="343" t="str">
        <f>"            'to_zone':'"&amp;表1_86121822242672112110106[[#This Row],[目标区服]]&amp;"',
            'reward':"&amp;表1_86121822242672112110106[[#This Row],[辅助导出]]&amp;"
            'country':["&amp;R26&amp;","&amp;R27&amp;","&amp;R28&amp;"],"</f>
        <v>            'to_zone':'h1_101',
            'reward':{'coin':1000,'item036':10},
            'country':[0,0,2],</v>
      </c>
    </row>
    <row r="28" s="312" customFormat="1" ht="14.25" customHeight="1" spans="1:25">
      <c r="A28" s="316">
        <v>228</v>
      </c>
      <c r="B28" s="316">
        <f>VLOOKUP(表1_86121822242672112110106[[#This Row],[区服]],$P$35:$Q$44,2,FALSE)</f>
        <v>34</v>
      </c>
      <c r="C28" s="317" t="s">
        <v>275</v>
      </c>
      <c r="D28" s="320" t="str">
        <f>表1_86121822242672112110106[[#This Row],[目标国家]]</f>
        <v>吴</v>
      </c>
      <c r="E28" s="319">
        <f>(VLOOKUP(表1_86121822242672112110106[[#This Row],[目标区服]],$R$35:$S$39,2,FALSE)-表1_86121822242672112110106[[#This Row],[开服天数]])*配置!$B$1</f>
        <v>1000</v>
      </c>
      <c r="F28" s="319">
        <f>表1_86121822242672112110106[[#This Row],[补偿Coin]]*(表1_86121822242672112110106[[#This Row],[活跃高战玩家数]]+表1_86121822242672112110106[[#This Row],[活跃中坚玩家数]])</f>
        <v>32000</v>
      </c>
      <c r="G28" s="319">
        <f>(VLOOKUP(表1_86121822242672112110106[[#This Row],[目标区服]],$R$35:$S$39,2,FALSE)-表1_86121822242672112110106[[#This Row],[开服天数]])*配置!$B$2</f>
        <v>10</v>
      </c>
      <c r="H28" s="320" t="s">
        <v>27</v>
      </c>
      <c r="I28" s="320">
        <f>IF(表1_86121822242672112110106[[#This Row],[原国家]]="魏",0,IF(表1_86121822242672112110106[[#This Row],[原国家]]="蜀",1,2))</f>
        <v>2</v>
      </c>
      <c r="J28" s="331">
        <v>8</v>
      </c>
      <c r="K28" s="331">
        <v>256</v>
      </c>
      <c r="L28" s="331">
        <v>7</v>
      </c>
      <c r="M28" s="331">
        <v>25</v>
      </c>
      <c r="N28" s="331">
        <v>162445</v>
      </c>
      <c r="O28" s="332">
        <v>3430768</v>
      </c>
      <c r="P28" s="332">
        <v>27055856</v>
      </c>
      <c r="Q28" s="339" t="s">
        <v>27</v>
      </c>
      <c r="R28" s="320">
        <f>IF(表1_86121822242672112110106[[#This Row],[目标国家]]="魏",0,IF(表1_86121822242672112110106[[#This Row],[目标国家]]="蜀",1,2))</f>
        <v>2</v>
      </c>
      <c r="S28" s="331">
        <v>229196</v>
      </c>
      <c r="T28" s="331">
        <v>30</v>
      </c>
      <c r="U28" s="331">
        <v>523241</v>
      </c>
      <c r="V28" s="331">
        <v>17446</v>
      </c>
      <c r="W28" s="341">
        <v>991920</v>
      </c>
      <c r="X28" s="340" t="str">
        <f>"{"&amp;"'coin':"&amp;表1_86121822242672112110106[[#This Row],[补偿Coin]]&amp;",'"&amp;配置!$A$2&amp;"':"&amp;表1_86121822242672112110106[[#This Row],[补偿辎重]]&amp;"},"</f>
        <v>{'coin':1000,'item036':10},</v>
      </c>
      <c r="Y28" s="343" t="str">
        <f>"      },"</f>
        <v>      },</v>
      </c>
    </row>
    <row r="29" s="312" customFormat="1" ht="14.25" customHeight="1" spans="1:25">
      <c r="A29" s="316">
        <v>229</v>
      </c>
      <c r="B29" s="316">
        <f>VLOOKUP(表1_86121822242672112110106[[#This Row],[区服]],$P$35:$Q$44,2,FALSE)</f>
        <v>34</v>
      </c>
      <c r="C29" s="317" t="s">
        <v>275</v>
      </c>
      <c r="D29" s="318" t="str">
        <f>表1_86121822242672112110106[[#This Row],[目标国家]]</f>
        <v>魏</v>
      </c>
      <c r="E29" s="319">
        <f>(VLOOKUP(表1_86121822242672112110106[[#This Row],[目标区服]],$R$35:$S$39,2,FALSE)-表1_86121822242672112110106[[#This Row],[开服天数]])*配置!$B$1</f>
        <v>1000</v>
      </c>
      <c r="F29" s="319">
        <f>表1_86121822242672112110106[[#This Row],[补偿Coin]]*(表1_86121822242672112110106[[#This Row],[活跃高战玩家数]]+表1_86121822242672112110106[[#This Row],[活跃中坚玩家数]])</f>
        <v>15000</v>
      </c>
      <c r="G29" s="319">
        <f>(VLOOKUP(表1_86121822242672112110106[[#This Row],[目标区服]],$R$35:$S$39,2,FALSE)-表1_86121822242672112110106[[#This Row],[开服天数]])*配置!$B$2</f>
        <v>10</v>
      </c>
      <c r="H29" s="320" t="s">
        <v>25</v>
      </c>
      <c r="I29" s="320">
        <f>IF(表1_86121822242672112110106[[#This Row],[原国家]]="魏",0,IF(表1_86121822242672112110106[[#This Row],[原国家]]="蜀",1,2))</f>
        <v>0</v>
      </c>
      <c r="J29" s="331">
        <v>0</v>
      </c>
      <c r="K29" s="331">
        <v>18</v>
      </c>
      <c r="L29" s="331">
        <v>0</v>
      </c>
      <c r="M29" s="331">
        <v>15</v>
      </c>
      <c r="N29" s="331">
        <v>46515</v>
      </c>
      <c r="O29" s="332">
        <v>1049369</v>
      </c>
      <c r="P29" s="332">
        <v>6997349</v>
      </c>
      <c r="Q29" s="339" t="s">
        <v>25</v>
      </c>
      <c r="R29" s="320">
        <f>IF(表1_86121822242672112110106[[#This Row],[目标国家]]="魏",0,IF(表1_86121822242672112110106[[#This Row],[目标国家]]="蜀",1,2))</f>
        <v>0</v>
      </c>
      <c r="S29" s="331">
        <v>5864</v>
      </c>
      <c r="T29" s="331">
        <v>0</v>
      </c>
      <c r="U29" s="331">
        <v>37991</v>
      </c>
      <c r="V29" s="331">
        <v>2356</v>
      </c>
      <c r="W29" s="331">
        <v>336331</v>
      </c>
      <c r="X29" s="340" t="str">
        <f>"{"&amp;"'coin':"&amp;表1_86121822242672112110106[[#This Row],[补偿Coin]]&amp;",'"&amp;配置!$A$2&amp;"':"&amp;表1_86121822242672112110106[[#This Row],[补偿辎重]]&amp;"},"</f>
        <v>{'coin':1000,'item036':10},</v>
      </c>
      <c r="Y29" s="343" t="str">
        <f>"      '"&amp;表1_86121822242672112110106[[#This Row],[区服]]&amp;"':{"</f>
        <v>      '229':{</v>
      </c>
    </row>
    <row r="30" s="312" customFormat="1" ht="14.25" customHeight="1" spans="1:25">
      <c r="A30" s="316">
        <v>229</v>
      </c>
      <c r="B30" s="316">
        <f>VLOOKUP(表1_86121822242672112110106[[#This Row],[区服]],$P$35:$Q$44,2,FALSE)</f>
        <v>34</v>
      </c>
      <c r="C30" s="317" t="s">
        <v>275</v>
      </c>
      <c r="D30" s="320" t="str">
        <f>表1_86121822242672112110106[[#This Row],[目标国家]]</f>
        <v>蜀</v>
      </c>
      <c r="E30" s="319">
        <f>(VLOOKUP(表1_86121822242672112110106[[#This Row],[目标区服]],$R$35:$S$39,2,FALSE)-表1_86121822242672112110106[[#This Row],[开服天数]])*配置!$B$1</f>
        <v>1000</v>
      </c>
      <c r="F30" s="319">
        <f>表1_86121822242672112110106[[#This Row],[补偿Coin]]*(表1_86121822242672112110106[[#This Row],[活跃高战玩家数]]+表1_86121822242672112110106[[#This Row],[活跃中坚玩家数]])</f>
        <v>36000</v>
      </c>
      <c r="G30" s="319">
        <f>(VLOOKUP(表1_86121822242672112110106[[#This Row],[目标区服]],$R$35:$S$39,2,FALSE)-表1_86121822242672112110106[[#This Row],[开服天数]])*配置!$B$2</f>
        <v>10</v>
      </c>
      <c r="H30" s="320" t="s">
        <v>26</v>
      </c>
      <c r="I30" s="320">
        <f>IF(表1_86121822242672112110106[[#This Row],[原国家]]="魏",0,IF(表1_86121822242672112110106[[#This Row],[原国家]]="蜀",1,2))</f>
        <v>1</v>
      </c>
      <c r="J30" s="331">
        <v>8</v>
      </c>
      <c r="K30" s="331">
        <v>315</v>
      </c>
      <c r="L30" s="331">
        <v>10</v>
      </c>
      <c r="M30" s="331">
        <v>26</v>
      </c>
      <c r="N30" s="331">
        <v>182605</v>
      </c>
      <c r="O30" s="332">
        <v>2318784</v>
      </c>
      <c r="P30" s="332">
        <v>26810836</v>
      </c>
      <c r="Q30" s="339" t="s">
        <v>26</v>
      </c>
      <c r="R30" s="320">
        <f>IF(表1_86121822242672112110106[[#This Row],[目标国家]]="魏",0,IF(表1_86121822242672112110106[[#This Row],[目标国家]]="蜀",1,2))</f>
        <v>1</v>
      </c>
      <c r="S30" s="331">
        <v>58664</v>
      </c>
      <c r="T30" s="331">
        <v>0</v>
      </c>
      <c r="U30" s="331">
        <v>264238</v>
      </c>
      <c r="V30" s="331">
        <v>11754</v>
      </c>
      <c r="W30" s="341">
        <v>659559</v>
      </c>
      <c r="X30" s="340" t="str">
        <f>"{"&amp;"'coin':"&amp;表1_86121822242672112110106[[#This Row],[补偿Coin]]&amp;",'"&amp;配置!$A$2&amp;"':"&amp;表1_86121822242672112110106[[#This Row],[补偿辎重]]&amp;"},"</f>
        <v>{'coin':1000,'item036':10},</v>
      </c>
      <c r="Y30" s="343" t="str">
        <f>"            'to_zone':'"&amp;表1_86121822242672112110106[[#This Row],[目标区服]]&amp;"',
            'reward':"&amp;表1_86121822242672112110106[[#This Row],[辅助导出]]&amp;"
            'country':["&amp;R29&amp;","&amp;R30&amp;","&amp;R31&amp;"],"</f>
        <v>            'to_zone':'h1_101',
            'reward':{'coin':1000,'item036':10},
            'country':[0,1,1],</v>
      </c>
    </row>
    <row r="31" s="312" customFormat="1" ht="14.25" customHeight="1" spans="1:25">
      <c r="A31" s="316">
        <v>229</v>
      </c>
      <c r="B31" s="316">
        <f>VLOOKUP(表1_86121822242672112110106[[#This Row],[区服]],$P$35:$Q$44,2,FALSE)</f>
        <v>34</v>
      </c>
      <c r="C31" s="317" t="s">
        <v>275</v>
      </c>
      <c r="D31" s="320" t="str">
        <f>表1_86121822242672112110106[[#This Row],[目标国家]]</f>
        <v>蜀</v>
      </c>
      <c r="E31" s="319">
        <f>(VLOOKUP(表1_86121822242672112110106[[#This Row],[目标区服]],$R$35:$S$39,2,FALSE)-表1_86121822242672112110106[[#This Row],[开服天数]])*配置!$B$1</f>
        <v>1000</v>
      </c>
      <c r="F31" s="319">
        <f>表1_86121822242672112110106[[#This Row],[补偿Coin]]*(表1_86121822242672112110106[[#This Row],[活跃高战玩家数]]+表1_86121822242672112110106[[#This Row],[活跃中坚玩家数]])</f>
        <v>23000</v>
      </c>
      <c r="G31" s="319">
        <f>(VLOOKUP(表1_86121822242672112110106[[#This Row],[目标区服]],$R$35:$S$39,2,FALSE)-表1_86121822242672112110106[[#This Row],[开服天数]])*配置!$B$2</f>
        <v>10</v>
      </c>
      <c r="H31" s="320" t="s">
        <v>27</v>
      </c>
      <c r="I31" s="320">
        <f>IF(表1_86121822242672112110106[[#This Row],[原国家]]="魏",0,IF(表1_86121822242672112110106[[#This Row],[原国家]]="蜀",1,2))</f>
        <v>2</v>
      </c>
      <c r="J31" s="331">
        <v>1</v>
      </c>
      <c r="K31" s="331">
        <v>62</v>
      </c>
      <c r="L31" s="331">
        <v>0</v>
      </c>
      <c r="M31" s="331">
        <v>23</v>
      </c>
      <c r="N31" s="331">
        <v>87462</v>
      </c>
      <c r="O31" s="332">
        <v>1584481</v>
      </c>
      <c r="P31" s="332">
        <v>12290314</v>
      </c>
      <c r="Q31" s="339" t="s">
        <v>26</v>
      </c>
      <c r="R31" s="320">
        <f>IF(表1_86121822242672112110106[[#This Row],[目标国家]]="魏",0,IF(表1_86121822242672112110106[[#This Row],[目标国家]]="蜀",1,2))</f>
        <v>1</v>
      </c>
      <c r="S31" s="331">
        <v>10742</v>
      </c>
      <c r="T31" s="331">
        <v>0</v>
      </c>
      <c r="U31" s="331">
        <v>121160</v>
      </c>
      <c r="V31" s="331">
        <v>4353</v>
      </c>
      <c r="W31" s="331">
        <v>519896</v>
      </c>
      <c r="X31" s="340" t="str">
        <f>"{"&amp;"'coin':"&amp;表1_86121822242672112110106[[#This Row],[补偿Coin]]&amp;",'"&amp;配置!$A$2&amp;"':"&amp;表1_86121822242672112110106[[#This Row],[补偿辎重]]&amp;"},"</f>
        <v>{'coin':1000,'item036':10},</v>
      </c>
      <c r="Y31" s="343" t="str">
        <f>"      },"</f>
        <v>      },</v>
      </c>
    </row>
    <row r="34" ht="37.5" customHeight="1" spans="1:19">
      <c r="A34" s="36" t="s">
        <v>28</v>
      </c>
      <c r="B34" s="37" t="s">
        <v>29</v>
      </c>
      <c r="C34" s="38" t="s">
        <v>30</v>
      </c>
      <c r="D34" s="38" t="s">
        <v>31</v>
      </c>
      <c r="E34" s="38" t="s">
        <v>32</v>
      </c>
      <c r="F34" s="38" t="s">
        <v>33</v>
      </c>
      <c r="G34" s="38" t="s">
        <v>15</v>
      </c>
      <c r="H34" s="37" t="s">
        <v>18</v>
      </c>
      <c r="I34" s="37" t="s">
        <v>19</v>
      </c>
      <c r="J34" s="37" t="s">
        <v>20</v>
      </c>
      <c r="K34" s="38" t="s">
        <v>35</v>
      </c>
      <c r="L34" s="38" t="s">
        <v>36</v>
      </c>
      <c r="M34" s="38" t="s">
        <v>37</v>
      </c>
      <c r="N34" s="38" t="s">
        <v>88</v>
      </c>
      <c r="P34" s="51" t="s">
        <v>0</v>
      </c>
      <c r="Q34" s="51" t="s">
        <v>1</v>
      </c>
      <c r="R34" s="51"/>
      <c r="S34" s="51" t="s">
        <v>38</v>
      </c>
    </row>
    <row r="35" ht="15.75" customHeight="1" spans="1:19">
      <c r="A35" s="178" t="s">
        <v>271</v>
      </c>
      <c r="B35" s="178" t="s">
        <v>25</v>
      </c>
      <c r="C35" s="178">
        <f>COUNTIFS(表1_86121822242672112110106[目标区服],表2_97131923252773113111107[[#This Row],[合区区服]],表1_86121822242672112110106[目标国家（映射）],表2_97131923252773113111107[[#This Row],[国家]])</f>
        <v>2</v>
      </c>
      <c r="D35" s="178">
        <f>SUMIFS(表1_86121822242672112110106[活跃高战玩家数],表1_86121822242672112110106[目标区服],表2_97131923252773113111107[[#This Row],[合区区服]],表1_86121822242672112110106[目标国家（映射）],表2_97131923252773113111107[[#This Row],[国家]])</f>
        <v>7</v>
      </c>
      <c r="E35" s="178">
        <f>SUMIFS(表1_86121822242672112110106[活跃中坚玩家数],表1_86121822242672112110106[目标区服],表2_97131923252773113111107[[#This Row],[合区区服]],表1_86121822242672112110106[目标国家（映射）],表2_97131923252773113111107[[#This Row],[国家]])</f>
        <v>49</v>
      </c>
      <c r="F35" s="178">
        <f t="array" ref="F35">MAX((表1_86121822242672112110106[目标区服]=表2_97131923252773113111107[[#This Row],[合区区服]])*(表1_86121822242672112110106[目标国家（映射）]=表2_97131923252773113111107[[#This Row],[国家]])*表1_86121822242672112110106[活跃尖端战力])</f>
        <v>4073220</v>
      </c>
      <c r="G35" s="179">
        <f>SUMIFS(表1_86121822242672112110106[活跃总战力],表1_86121822242672112110106[目标区服],表2_97131923252773113111107[[#This Row],[合区区服]],表1_86121822242672112110106[目标国家（映射）],表2_97131923252773113111107[[#This Row],[国家]])</f>
        <v>58562799</v>
      </c>
      <c r="H35" s="178">
        <f>SUMIFS(表1_86121822242672112110106[活跃实际充值],表1_86121822242672112110106[目标区服],表2_97131923252773113111107[[#This Row],[合区区服]],表1_86121822242672112110106[目标国家（映射）],表2_97131923252773113111107[[#This Row],[国家]])</f>
        <v>243680</v>
      </c>
      <c r="I35" s="178">
        <f>SUMIFS(表1_86121822242672112110106[活跃虚拟充值],表1_86121822242672112110106[目标区服],表2_97131923252773113111107[[#This Row],[合区区服]],表1_86121822242672112110106[目标国家（映射）],表2_97131923252773113111107[[#This Row],[国家]])</f>
        <v>0</v>
      </c>
      <c r="J35" s="178">
        <f>SUMIFS(表1_86121822242672112110106[活跃Coin],表1_86121822242672112110106[目标区服],表2_97131923252773113111107[[#This Row],[合区区服]],表1_86121822242672112110106[目标国家（映射）],表2_97131923252773113111107[[#This Row],[国家]])</f>
        <v>1719838</v>
      </c>
      <c r="K35" s="178">
        <f>SUMIFS(表1_86121822242672112110106[共计补偿Coin],表1_86121822242672112110106[目标区服],表2_97131923252773113111107[[#This Row],[合区区服]],表1_86121822242672112110106[目标国家（映射）],表2_97131923252773113111107[[#This Row],[国家]])</f>
        <v>70500</v>
      </c>
      <c r="L35" s="178">
        <f>表2_97131923252773113111107[[#This Row],[活跃Coin]]+表2_97131923252773113111107[[#This Row],[共计补偿Coin]]</f>
        <v>1790338</v>
      </c>
      <c r="M35" s="178">
        <f>SUMIFS(表1_86121822242672112110106[综合国力],表1_86121822242672112110106[目标区服],表2_97131923252773113111107[[#This Row],[合区区服]],表1_86121822242672112110106[目标国家（映射）],表2_97131923252773113111107[[#This Row],[国家]])</f>
        <v>25943</v>
      </c>
      <c r="N35" s="178">
        <f t="array" ref="N35">MAX((表1_86121822242672112110106[目标区服]=表2_97131923252773113111107[[#This Row],[合区区服]])*(表1_86121822242672112110106[目标国家（映射）]=表2_97131923252773113111107[[#This Row],[国家]])*表1_86121822242672112110106[单将最高战力])</f>
        <v>1149750</v>
      </c>
      <c r="P35" s="335">
        <v>220</v>
      </c>
      <c r="Q35" s="335">
        <v>42</v>
      </c>
      <c r="R35" s="51" t="s">
        <v>271</v>
      </c>
      <c r="S35" s="51">
        <v>44</v>
      </c>
    </row>
    <row r="36" ht="15" spans="1:19">
      <c r="A36" s="178" t="s">
        <v>271</v>
      </c>
      <c r="B36" s="178" t="s">
        <v>26</v>
      </c>
      <c r="C36" s="178">
        <f>COUNTIFS(表1_86121822242672112110106[目标区服],表2_97131923252773113111107[[#This Row],[合区区服]],表1_86121822242672112110106[目标国家（映射）],表2_97131923252773113111107[[#This Row],[国家]])</f>
        <v>2</v>
      </c>
      <c r="D36" s="178">
        <f>SUMIFS(表1_86121822242672112110106[活跃高战玩家数],表1_86121822242672112110106[目标区服],表2_97131923252773113111107[[#This Row],[合区区服]],表1_86121822242672112110106[目标国家（映射）],表2_97131923252773113111107[[#This Row],[国家]])</f>
        <v>9</v>
      </c>
      <c r="E36" s="178">
        <f>SUMIFS(表1_86121822242672112110106[活跃中坚玩家数],表1_86121822242672112110106[目标区服],表2_97131923252773113111107[[#This Row],[合区区服]],表1_86121822242672112110106[目标国家（映射）],表2_97131923252773113111107[[#This Row],[国家]])</f>
        <v>56</v>
      </c>
      <c r="F36" s="178">
        <f t="array" ref="F36">MAX((表1_86121822242672112110106[目标区服]=表2_97131923252773113111107[[#This Row],[合区区服]])*(表1_86121822242672112110106[目标国家（映射）]=表2_97131923252773113111107[[#This Row],[国家]])*表1_86121822242672112110106[活跃尖端战力])</f>
        <v>3464484</v>
      </c>
      <c r="G36" s="179">
        <f>SUMIFS(表1_86121822242672112110106[活跃总战力],表1_86121822242672112110106[目标区服],表2_97131923252773113111107[[#This Row],[合区区服]],表1_86121822242672112110106[目标国家（映射）],表2_97131923252773113111107[[#This Row],[国家]])</f>
        <v>64718474</v>
      </c>
      <c r="H36" s="178">
        <f>SUMIFS(表1_86121822242672112110106[活跃实际充值],表1_86121822242672112110106[目标区服],表2_97131923252773113111107[[#This Row],[合区区服]],表1_86121822242672112110106[目标国家（映射）],表2_97131923252773113111107[[#This Row],[国家]])</f>
        <v>202800</v>
      </c>
      <c r="I36" s="178">
        <f>SUMIFS(表1_86121822242672112110106[活跃虚拟充值],表1_86121822242672112110106[目标区服],表2_97131923252773113111107[[#This Row],[合区区服]],表1_86121822242672112110106[目标国家（映射）],表2_97131923252773113111107[[#This Row],[国家]])</f>
        <v>0</v>
      </c>
      <c r="J36" s="178">
        <f>SUMIFS(表1_86121822242672112110106[活跃Coin],表1_86121822242672112110106[目标区服],表2_97131923252773113111107[[#This Row],[合区区服]],表1_86121822242672112110106[目标国家（映射）],表2_97131923252773113111107[[#This Row],[国家]])</f>
        <v>1417082</v>
      </c>
      <c r="K36" s="178">
        <f>SUMIFS(表1_86121822242672112110106[共计补偿Coin],表1_86121822242672112110106[目标区服],表2_97131923252773113111107[[#This Row],[合区区服]],表1_86121822242672112110106[目标国家（映射）],表2_97131923252773113111107[[#This Row],[国家]])</f>
        <v>77000</v>
      </c>
      <c r="L36" s="178">
        <f>表2_97131923252773113111107[[#This Row],[活跃Coin]]+表2_97131923252773113111107[[#This Row],[共计补偿Coin]]</f>
        <v>1494082</v>
      </c>
      <c r="M36" s="178">
        <f>SUMIFS(表1_86121822242672112110106[综合国力],表1_86121822242672112110106[目标区服],表2_97131923252773113111107[[#This Row],[合区区服]],表1_86121822242672112110106[目标国家（映射）],表2_97131923252773113111107[[#This Row],[国家]])</f>
        <v>24322</v>
      </c>
      <c r="N36" s="178">
        <f t="array" ref="N36">MAX((表1_86121822242672112110106[目标区服]=表2_97131923252773113111107[[#This Row],[合区区服]])*(表1_86121822242672112110106[目标国家（映射）]=表2_97131923252773113111107[[#This Row],[国家]])*表1_86121822242672112110106[单将最高战力])</f>
        <v>1084077</v>
      </c>
      <c r="P36" s="335">
        <v>221</v>
      </c>
      <c r="Q36" s="335">
        <v>41</v>
      </c>
      <c r="R36" s="51" t="s">
        <v>272</v>
      </c>
      <c r="S36" s="51">
        <v>42</v>
      </c>
    </row>
    <row r="37" ht="15" spans="1:19">
      <c r="A37" s="178" t="s">
        <v>271</v>
      </c>
      <c r="B37" s="178" t="s">
        <v>27</v>
      </c>
      <c r="C37" s="178">
        <f>COUNTIFS(表1_86121822242672112110106[目标区服],表2_97131923252773113111107[[#This Row],[合区区服]],表1_86121822242672112110106[目标国家（映射）],表2_97131923252773113111107[[#This Row],[国家]])</f>
        <v>2</v>
      </c>
      <c r="D37" s="178">
        <f>SUMIFS(表1_86121822242672112110106[活跃高战玩家数],表1_86121822242672112110106[目标区服],表2_97131923252773113111107[[#This Row],[合区区服]],表1_86121822242672112110106[目标国家（映射）],表2_97131923252773113111107[[#This Row],[国家]])</f>
        <v>4</v>
      </c>
      <c r="E37" s="178">
        <f>SUMIFS(表1_86121822242672112110106[活跃中坚玩家数],表1_86121822242672112110106[目标区服],表2_97131923252773113111107[[#This Row],[合区区服]],表1_86121822242672112110106[目标国家（映射）],表2_97131923252773113111107[[#This Row],[国家]])</f>
        <v>59</v>
      </c>
      <c r="F37" s="178">
        <f t="array" ref="F37">MAX((表1_86121822242672112110106[目标区服]=表2_97131923252773113111107[[#This Row],[合区区服]])*(表1_86121822242672112110106[目标国家（映射）]=表2_97131923252773113111107[[#This Row],[国家]])*表1_86121822242672112110106[活跃尖端战力])</f>
        <v>3306499</v>
      </c>
      <c r="G37" s="179">
        <f>SUMIFS(表1_86121822242672112110106[活跃总战力],表1_86121822242672112110106[目标区服],表2_97131923252773113111107[[#This Row],[合区区服]],表1_86121822242672112110106[目标国家（映射）],表2_97131923252773113111107[[#This Row],[国家]])</f>
        <v>58651691</v>
      </c>
      <c r="H37" s="178">
        <f>SUMIFS(表1_86121822242672112110106[活跃实际充值],表1_86121822242672112110106[目标区服],表2_97131923252773113111107[[#This Row],[合区区服]],表1_86121822242672112110106[目标国家（映射）],表2_97131923252773113111107[[#This Row],[国家]])</f>
        <v>198338</v>
      </c>
      <c r="I37" s="178">
        <f>SUMIFS(表1_86121822242672112110106[活跃虚拟充值],表1_86121822242672112110106[目标区服],表2_97131923252773113111107[[#This Row],[合区区服]],表1_86121822242672112110106[目标国家（映射）],表2_97131923252773113111107[[#This Row],[国家]])</f>
        <v>0</v>
      </c>
      <c r="J37" s="178">
        <f>SUMIFS(表1_86121822242672112110106[活跃Coin],表1_86121822242672112110106[目标区服],表2_97131923252773113111107[[#This Row],[合区区服]],表1_86121822242672112110106[目标国家（映射）],表2_97131923252773113111107[[#This Row],[国家]])</f>
        <v>980998</v>
      </c>
      <c r="K37" s="178">
        <f>SUMIFS(表1_86121822242672112110106[共计补偿Coin],表1_86121822242672112110106[目标区服],表2_97131923252773113111107[[#This Row],[合区区服]],表1_86121822242672112110106[目标国家（映射）],表2_97131923252773113111107[[#This Row],[国家]])</f>
        <v>84500</v>
      </c>
      <c r="L37" s="178">
        <f>表2_97131923252773113111107[[#This Row],[活跃Coin]]+表2_97131923252773113111107[[#This Row],[共计补偿Coin]]</f>
        <v>1065498</v>
      </c>
      <c r="M37" s="178">
        <f>SUMIFS(表1_86121822242672112110106[综合国力],表1_86121822242672112110106[目标区服],表2_97131923252773113111107[[#This Row],[合区区服]],表1_86121822242672112110106[目标国家（映射）],表2_97131923252773113111107[[#This Row],[国家]])</f>
        <v>21366</v>
      </c>
      <c r="N37" s="178">
        <f t="array" ref="N37">MAX((表1_86121822242672112110106[目标区服]=表2_97131923252773113111107[[#This Row],[合区区服]])*(表1_86121822242672112110106[目标国家（映射）]=表2_97131923252773113111107[[#This Row],[国家]])*表1_86121822242672112110106[单将最高战力])</f>
        <v>1182032</v>
      </c>
      <c r="P37" s="335">
        <v>222</v>
      </c>
      <c r="Q37" s="335">
        <v>40</v>
      </c>
      <c r="R37" s="51" t="s">
        <v>273</v>
      </c>
      <c r="S37" s="51">
        <v>40</v>
      </c>
    </row>
    <row r="38" ht="15" spans="1:19">
      <c r="A38" s="186" t="s">
        <v>272</v>
      </c>
      <c r="B38" s="186" t="s">
        <v>25</v>
      </c>
      <c r="C38" s="186">
        <f>COUNTIFS(表1_86121822242672112110106[目标区服],表2_97131923252773113111107[[#This Row],[合区区服]],表1_86121822242672112110106[目标国家（映射）],表2_97131923252773113111107[[#This Row],[国家]])</f>
        <v>3</v>
      </c>
      <c r="D38" s="186">
        <f>SUMIFS(表1_86121822242672112110106[活跃高战玩家数],表1_86121822242672112110106[目标区服],表2_97131923252773113111107[[#This Row],[合区区服]],表1_86121822242672112110106[目标国家（映射）],表2_97131923252773113111107[[#This Row],[国家]])</f>
        <v>5</v>
      </c>
      <c r="E38" s="186">
        <f>SUMIFS(表1_86121822242672112110106[活跃中坚玩家数],表1_86121822242672112110106[目标区服],表2_97131923252773113111107[[#This Row],[合区区服]],表1_86121822242672112110106[目标国家（映射）],表2_97131923252773113111107[[#This Row],[国家]])</f>
        <v>70</v>
      </c>
      <c r="F38" s="186">
        <f t="array" ref="F38">MAX((表1_86121822242672112110106[目标区服]=表2_97131923252773113111107[[#This Row],[合区区服]])*(表1_86121822242672112110106[目标国家（映射）]=表2_97131923252773113111107[[#This Row],[国家]])*表1_86121822242672112110106[活跃尖端战力])</f>
        <v>3355184</v>
      </c>
      <c r="G38" s="187">
        <f>SUMIFS(表1_86121822242672112110106[活跃总战力],表1_86121822242672112110106[目标区服],表2_97131923252773113111107[[#This Row],[合区区服]],表1_86121822242672112110106[目标国家（映射）],表2_97131923252773113111107[[#This Row],[国家]])</f>
        <v>66195124</v>
      </c>
      <c r="H38" s="186">
        <f>SUMIFS(表1_86121822242672112110106[活跃实际充值],表1_86121822242672112110106[目标区服],表2_97131923252773113111107[[#This Row],[合区区服]],表1_86121822242672112110106[目标国家（映射）],表2_97131923252773113111107[[#This Row],[国家]])</f>
        <v>169400</v>
      </c>
      <c r="I38" s="186">
        <f>SUMIFS(表1_86121822242672112110106[活跃虚拟充值],表1_86121822242672112110106[目标区服],表2_97131923252773113111107[[#This Row],[合区区服]],表1_86121822242672112110106[目标国家（映射）],表2_97131923252773113111107[[#This Row],[国家]])</f>
        <v>0</v>
      </c>
      <c r="J38" s="186">
        <f>SUMIFS(表1_86121822242672112110106[活跃Coin],表1_86121822242672112110106[目标区服],表2_97131923252773113111107[[#This Row],[合区区服]],表1_86121822242672112110106[目标国家（映射）],表2_97131923252773113111107[[#This Row],[国家]])</f>
        <v>1318597</v>
      </c>
      <c r="K38" s="186">
        <f>SUMIFS(表1_86121822242672112110106[共计补偿Coin],表1_86121822242672112110106[目标区服],表2_97131923252773113111107[[#This Row],[合区区服]],表1_86121822242672112110106[目标国家（映射）],表2_97131923252773113111107[[#This Row],[国家]])</f>
        <v>87500</v>
      </c>
      <c r="L38" s="186">
        <f>表2_97131923252773113111107[[#This Row],[活跃Coin]]+表2_97131923252773113111107[[#This Row],[共计补偿Coin]]</f>
        <v>1406097</v>
      </c>
      <c r="M38" s="186">
        <f>SUMIFS(表1_86121822242672112110106[综合国力],表1_86121822242672112110106[目标区服],表2_97131923252773113111107[[#This Row],[合区区服]],表1_86121822242672112110106[目标国家（映射）],表2_97131923252773113111107[[#This Row],[国家]])</f>
        <v>24970</v>
      </c>
      <c r="N38" s="186">
        <f t="array" ref="N38">MAX((表1_86121822242672112110106[目标区服]=表2_97131923252773113111107[[#This Row],[合区区服]])*(表1_86121822242672112110106[目标国家（映射）]=表2_97131923252773113111107[[#This Row],[国家]])*表1_86121822242672112110106[单将最高战力])</f>
        <v>1063357</v>
      </c>
      <c r="P38" s="335">
        <v>223</v>
      </c>
      <c r="Q38" s="335">
        <v>39</v>
      </c>
      <c r="R38" s="51" t="s">
        <v>274</v>
      </c>
      <c r="S38" s="51">
        <v>38</v>
      </c>
    </row>
    <row r="39" ht="15" spans="1:19">
      <c r="A39" s="186" t="s">
        <v>272</v>
      </c>
      <c r="B39" s="186" t="s">
        <v>26</v>
      </c>
      <c r="C39" s="186">
        <f>COUNTIFS(表1_86121822242672112110106[目标区服],表2_97131923252773113111107[[#This Row],[合区区服]],表1_86121822242672112110106[目标国家（映射）],表2_97131923252773113111107[[#This Row],[国家]])</f>
        <v>2</v>
      </c>
      <c r="D39" s="186">
        <f>SUMIFS(表1_86121822242672112110106[活跃高战玩家数],表1_86121822242672112110106[目标区服],表2_97131923252773113111107[[#This Row],[合区区服]],表1_86121822242672112110106[目标国家（映射）],表2_97131923252773113111107[[#This Row],[国家]])</f>
        <v>9</v>
      </c>
      <c r="E39" s="186">
        <f>SUMIFS(表1_86121822242672112110106[活跃中坚玩家数],表1_86121822242672112110106[目标区服],表2_97131923252773113111107[[#This Row],[合区区服]],表1_86121822242672112110106[目标国家（映射）],表2_97131923252773113111107[[#This Row],[国家]])</f>
        <v>56</v>
      </c>
      <c r="F39" s="186">
        <f t="array" ref="F39">MAX((表1_86121822242672112110106[目标区服]=表2_97131923252773113111107[[#This Row],[合区区服]])*(表1_86121822242672112110106[目标国家（映射）]=表2_97131923252773113111107[[#This Row],[国家]])*表1_86121822242672112110106[活跃尖端战力])</f>
        <v>3364680</v>
      </c>
      <c r="G39" s="187">
        <f>SUMIFS(表1_86121822242672112110106[活跃总战力],表1_86121822242672112110106[目标区服],表2_97131923252773113111107[[#This Row],[合区区服]],表1_86121822242672112110106[目标国家（映射）],表2_97131923252773113111107[[#This Row],[国家]])</f>
        <v>58108848</v>
      </c>
      <c r="H39" s="186">
        <f>SUMIFS(表1_86121822242672112110106[活跃实际充值],表1_86121822242672112110106[目标区服],表2_97131923252773113111107[[#This Row],[合区区服]],表1_86121822242672112110106[目标国家（映射）],表2_97131923252773113111107[[#This Row],[国家]])</f>
        <v>175517</v>
      </c>
      <c r="I39" s="186">
        <f>SUMIFS(表1_86121822242672112110106[活跃虚拟充值],表1_86121822242672112110106[目标区服],表2_97131923252773113111107[[#This Row],[合区区服]],表1_86121822242672112110106[目标国家（映射）],表2_97131923252773113111107[[#This Row],[国家]])</f>
        <v>1394</v>
      </c>
      <c r="J39" s="186">
        <f>SUMIFS(表1_86121822242672112110106[活跃Coin],表1_86121822242672112110106[目标区服],表2_97131923252773113111107[[#This Row],[合区区服]],表1_86121822242672112110106[目标国家（映射）],表2_97131923252773113111107[[#This Row],[国家]])</f>
        <v>1226292</v>
      </c>
      <c r="K39" s="186">
        <f>SUMIFS(表1_86121822242672112110106[共计补偿Coin],表1_86121822242672112110106[目标区服],表2_97131923252773113111107[[#This Row],[合区区服]],表1_86121822242672112110106[目标国家（映射）],表2_97131923252773113111107[[#This Row],[国家]])</f>
        <v>77000</v>
      </c>
      <c r="L39" s="186">
        <f>表2_97131923252773113111107[[#This Row],[活跃Coin]]+表2_97131923252773113111107[[#This Row],[共计补偿Coin]]</f>
        <v>1303292</v>
      </c>
      <c r="M39" s="186">
        <f>SUMIFS(表1_86121822242672112110106[综合国力],表1_86121822242672112110106[目标区服],表2_97131923252773113111107[[#This Row],[合区区服]],表1_86121822242672112110106[目标国家（映射）],表2_97131923252773113111107[[#This Row],[国家]])</f>
        <v>22162</v>
      </c>
      <c r="N39" s="186">
        <f t="array" ref="N39">MAX((表1_86121822242672112110106[目标区服]=表2_97131923252773113111107[[#This Row],[合区区服]])*(表1_86121822242672112110106[目标国家（映射）]=表2_97131923252773113111107[[#This Row],[国家]])*表1_86121822242672112110106[单将最高战力])</f>
        <v>893702</v>
      </c>
      <c r="P39" s="335">
        <v>224</v>
      </c>
      <c r="Q39" s="335">
        <v>38</v>
      </c>
      <c r="R39" s="51" t="s">
        <v>275</v>
      </c>
      <c r="S39" s="51">
        <v>36</v>
      </c>
    </row>
    <row r="40" ht="15" spans="1:17">
      <c r="A40" s="186" t="s">
        <v>272</v>
      </c>
      <c r="B40" s="188" t="s">
        <v>27</v>
      </c>
      <c r="C40" s="188">
        <f>COUNTIFS(表1_86121822242672112110106[目标区服],表2_97131923252773113111107[[#This Row],[合区区服]],表1_86121822242672112110106[目标国家（映射）],表2_97131923252773113111107[[#This Row],[国家]])</f>
        <v>1</v>
      </c>
      <c r="D40" s="188">
        <f>SUMIFS(表1_86121822242672112110106[活跃高战玩家数],表1_86121822242672112110106[目标区服],表2_97131923252773113111107[[#This Row],[合区区服]],表1_86121822242672112110106[目标国家（映射）],表2_97131923252773113111107[[#This Row],[国家]])</f>
        <v>6</v>
      </c>
      <c r="E40" s="188">
        <f>SUMIFS(表1_86121822242672112110106[活跃中坚玩家数],表1_86121822242672112110106[目标区服],表2_97131923252773113111107[[#This Row],[合区区服]],表1_86121822242672112110106[目标国家（映射）],表2_97131923252773113111107[[#This Row],[国家]])</f>
        <v>38</v>
      </c>
      <c r="F40" s="188">
        <f t="array" ref="F40">MAX((表1_86121822242672112110106[目标区服]=表2_97131923252773113111107[[#This Row],[合区区服]])*(表1_86121822242672112110106[目标国家（映射）]=表2_97131923252773113111107[[#This Row],[国家]])*表1_86121822242672112110106[活跃尖端战力])</f>
        <v>3749182</v>
      </c>
      <c r="G40" s="309">
        <f>SUMIFS(表1_86121822242672112110106[活跃总战力],表1_86121822242672112110106[目标区服],表2_97131923252773113111107[[#This Row],[合区区服]],表1_86121822242672112110106[目标国家（映射）],表2_97131923252773113111107[[#This Row],[国家]])</f>
        <v>48740072</v>
      </c>
      <c r="H40" s="188">
        <f>SUMIFS(表1_86121822242672112110106[活跃实际充值],表1_86121822242672112110106[目标区服],表2_97131923252773113111107[[#This Row],[合区区服]],表1_86121822242672112110106[目标国家（映射）],表2_97131923252773113111107[[#This Row],[国家]])</f>
        <v>195742</v>
      </c>
      <c r="I40" s="188">
        <f>SUMIFS(表1_86121822242672112110106[活跃虚拟充值],表1_86121822242672112110106[目标区服],表2_97131923252773113111107[[#This Row],[合区区服]],表1_86121822242672112110106[目标国家（映射）],表2_97131923252773113111107[[#This Row],[国家]])</f>
        <v>40</v>
      </c>
      <c r="J40" s="188">
        <f>SUMIFS(表1_86121822242672112110106[活跃Coin],表1_86121822242672112110106[目标区服],表2_97131923252773113111107[[#This Row],[合区区服]],表1_86121822242672112110106[目标国家（映射）],表2_97131923252773113111107[[#This Row],[国家]])</f>
        <v>1139911</v>
      </c>
      <c r="K40" s="188">
        <f>SUMIFS(表1_86121822242672112110106[共计补偿Coin],表1_86121822242672112110106[目标区服],表2_97131923252773113111107[[#This Row],[合区区服]],表1_86121822242672112110106[目标国家（映射）],表2_97131923252773113111107[[#This Row],[国家]])</f>
        <v>66000</v>
      </c>
      <c r="L40" s="188">
        <f>表2_97131923252773113111107[[#This Row],[活跃Coin]]+表2_97131923252773113111107[[#This Row],[共计补偿Coin]]</f>
        <v>1205911</v>
      </c>
      <c r="M40" s="188">
        <f>SUMIFS(表1_86121822242672112110106[综合国力],表1_86121822242672112110106[目标区服],表2_97131923252773113111107[[#This Row],[合区区服]],表1_86121822242672112110106[目标国家（映射）],表2_97131923252773113111107[[#This Row],[国家]])</f>
        <v>19788</v>
      </c>
      <c r="N40" s="186">
        <f t="array" ref="N40">MAX((表1_86121822242672112110106[目标区服]=表2_97131923252773113111107[[#This Row],[合区区服]])*(表1_86121822242672112110106[目标国家（映射）]=表2_97131923252773113111107[[#This Row],[国家]])*表1_86121822242672112110106[单将最高战力])</f>
        <v>1083946</v>
      </c>
      <c r="P40" s="335">
        <v>225</v>
      </c>
      <c r="Q40" s="335">
        <v>37</v>
      </c>
    </row>
    <row r="41" ht="15" spans="1:17">
      <c r="A41" s="173" t="s">
        <v>273</v>
      </c>
      <c r="B41" s="173" t="s">
        <v>25</v>
      </c>
      <c r="C41" s="173">
        <f>COUNTIFS(表1_86121822242672112110106[目标区服],表2_97131923252773113111107[[#This Row],[合区区服]],表1_86121822242672112110106[目标国家（映射）],表2_97131923252773113111107[[#This Row],[国家]])</f>
        <v>2</v>
      </c>
      <c r="D41" s="173">
        <f>SUMIFS(表1_86121822242672112110106[活跃高战玩家数],表1_86121822242672112110106[目标区服],表2_97131923252773113111107[[#This Row],[合区区服]],表1_86121822242672112110106[目标国家（映射）],表2_97131923252773113111107[[#This Row],[国家]])</f>
        <v>8</v>
      </c>
      <c r="E41" s="173">
        <f>SUMIFS(表1_86121822242672112110106[活跃中坚玩家数],表1_86121822242672112110106[目标区服],表2_97131923252773113111107[[#This Row],[合区区服]],表1_86121822242672112110106[目标国家（映射）],表2_97131923252773113111107[[#This Row],[国家]])</f>
        <v>52</v>
      </c>
      <c r="F41" s="173">
        <f t="array" ref="F41">MAX((表1_86121822242672112110106[目标区服]=表2_97131923252773113111107[[#This Row],[合区区服]])*(表1_86121822242672112110106[目标国家（映射）]=表2_97131923252773113111107[[#This Row],[国家]])*表1_86121822242672112110106[活跃尖端战力])</f>
        <v>3384694</v>
      </c>
      <c r="G41" s="174">
        <f>SUMIFS(表1_86121822242672112110106[活跃总战力],表1_86121822242672112110106[目标区服],表2_97131923252773113111107[[#This Row],[合区区服]],表1_86121822242672112110106[目标国家（映射）],表2_97131923252773113111107[[#This Row],[国家]])</f>
        <v>51392354</v>
      </c>
      <c r="H41" s="173">
        <f>SUMIFS(表1_86121822242672112110106[活跃实际充值],表1_86121822242672112110106[目标区服],表2_97131923252773113111107[[#This Row],[合区区服]],表1_86121822242672112110106[目标国家（映射）],表2_97131923252773113111107[[#This Row],[国家]])</f>
        <v>147600</v>
      </c>
      <c r="I41" s="173">
        <f>SUMIFS(表1_86121822242672112110106[活跃虚拟充值],表1_86121822242672112110106[目标区服],表2_97131923252773113111107[[#This Row],[合区区服]],表1_86121822242672112110106[目标国家（映射）],表2_97131923252773113111107[[#This Row],[国家]])</f>
        <v>80</v>
      </c>
      <c r="J41" s="173">
        <f>SUMIFS(表1_86121822242672112110106[活跃Coin],表1_86121822242672112110106[目标区服],表2_97131923252773113111107[[#This Row],[合区区服]],表1_86121822242672112110106[目标国家（映射）],表2_97131923252773113111107[[#This Row],[国家]])</f>
        <v>968695</v>
      </c>
      <c r="K41" s="173">
        <f>SUMIFS(表1_86121822242672112110106[共计补偿Coin],表1_86121822242672112110106[目标区服],表2_97131923252773113111107[[#This Row],[合区区服]],表1_86121822242672112110106[目标国家（映射）],表2_97131923252773113111107[[#This Row],[国家]])</f>
        <v>71000</v>
      </c>
      <c r="L41" s="173">
        <f>表2_97131923252773113111107[[#This Row],[活跃Coin]]+表2_97131923252773113111107[[#This Row],[共计补偿Coin]]</f>
        <v>1039695</v>
      </c>
      <c r="M41" s="173">
        <f>SUMIFS(表1_86121822242672112110106[综合国力],表1_86121822242672112110106[目标区服],表2_97131923252773113111107[[#This Row],[合区区服]],表1_86121822242672112110106[目标国家（映射）],表2_97131923252773113111107[[#This Row],[国家]])</f>
        <v>18902</v>
      </c>
      <c r="N41" s="173">
        <f t="array" ref="N41">MAX((表1_86121822242672112110106[目标区服]=表2_97131923252773113111107[[#This Row],[合区区服]])*(表1_86121822242672112110106[目标国家（映射）]=表2_97131923252773113111107[[#This Row],[国家]])*表1_86121822242672112110106[单将最高战力])</f>
        <v>1024192</v>
      </c>
      <c r="P41" s="335">
        <v>226</v>
      </c>
      <c r="Q41" s="335">
        <v>36</v>
      </c>
    </row>
    <row r="42" ht="15" spans="1:17">
      <c r="A42" s="173" t="s">
        <v>273</v>
      </c>
      <c r="B42" s="173" t="s">
        <v>26</v>
      </c>
      <c r="C42" s="173">
        <f>COUNTIFS(表1_86121822242672112110106[目标区服],表2_97131923252773113111107[[#This Row],[合区区服]],表1_86121822242672112110106[目标国家（映射）],表2_97131923252773113111107[[#This Row],[国家]])</f>
        <v>2</v>
      </c>
      <c r="D42" s="173">
        <f>SUMIFS(表1_86121822242672112110106[活跃高战玩家数],表1_86121822242672112110106[目标区服],表2_97131923252773113111107[[#This Row],[合区区服]],表1_86121822242672112110106[目标国家（映射）],表2_97131923252773113111107[[#This Row],[国家]])</f>
        <v>6</v>
      </c>
      <c r="E42" s="173">
        <f>SUMIFS(表1_86121822242672112110106[活跃中坚玩家数],表1_86121822242672112110106[目标区服],表2_97131923252773113111107[[#This Row],[合区区服]],表1_86121822242672112110106[目标国家（映射）],表2_97131923252773113111107[[#This Row],[国家]])</f>
        <v>54</v>
      </c>
      <c r="F42" s="173">
        <f t="array" ref="F42">MAX((表1_86121822242672112110106[目标区服]=表2_97131923252773113111107[[#This Row],[合区区服]])*(表1_86121822242672112110106[目标国家（映射）]=表2_97131923252773113111107[[#This Row],[国家]])*表1_86121822242672112110106[活跃尖端战力])</f>
        <v>3980911</v>
      </c>
      <c r="G42" s="174">
        <f>SUMIFS(表1_86121822242672112110106[活跃总战力],表1_86121822242672112110106[目标区服],表2_97131923252773113111107[[#This Row],[合区区服]],表1_86121822242672112110106[目标国家（映射）],表2_97131923252773113111107[[#This Row],[国家]])</f>
        <v>50384617</v>
      </c>
      <c r="H42" s="173">
        <f>SUMIFS(表1_86121822242672112110106[活跃实际充值],表1_86121822242672112110106[目标区服],表2_97131923252773113111107[[#This Row],[合区区服]],表1_86121822242672112110106[目标国家（映射）],表2_97131923252773113111107[[#This Row],[国家]])</f>
        <v>237494</v>
      </c>
      <c r="I42" s="173">
        <f>SUMIFS(表1_86121822242672112110106[活跃虚拟充值],表1_86121822242672112110106[目标区服],表2_97131923252773113111107[[#This Row],[合区区服]],表1_86121822242672112110106[目标国家（映射）],表2_97131923252773113111107[[#This Row],[国家]])</f>
        <v>0</v>
      </c>
      <c r="J42" s="173">
        <f>SUMIFS(表1_86121822242672112110106[活跃Coin],表1_86121822242672112110106[目标区服],表2_97131923252773113111107[[#This Row],[合区区服]],表1_86121822242672112110106[目标国家（映射）],表2_97131923252773113111107[[#This Row],[国家]])</f>
        <v>1696215</v>
      </c>
      <c r="K42" s="173">
        <f>SUMIFS(表1_86121822242672112110106[共计补偿Coin],表1_86121822242672112110106[目标区服],表2_97131923252773113111107[[#This Row],[合区区服]],表1_86121822242672112110106[目标国家（映射）],表2_97131923252773113111107[[#This Row],[国家]])</f>
        <v>90000</v>
      </c>
      <c r="L42" s="173">
        <f>表2_97131923252773113111107[[#This Row],[活跃Coin]]+表2_97131923252773113111107[[#This Row],[共计补偿Coin]]</f>
        <v>1786215</v>
      </c>
      <c r="M42" s="173">
        <f>SUMIFS(表1_86121822242672112110106[综合国力],表1_86121822242672112110106[目标区服],表2_97131923252773113111107[[#This Row],[合区区服]],表1_86121822242672112110106[目标国家（映射）],表2_97131923252773113111107[[#This Row],[国家]])</f>
        <v>24109</v>
      </c>
      <c r="N42" s="173">
        <f t="array" ref="N42">MAX((表1_86121822242672112110106[目标区服]=表2_97131923252773113111107[[#This Row],[合区区服]])*(表1_86121822242672112110106[目标国家（映射）]=表2_97131923252773113111107[[#This Row],[国家]])*表1_86121822242672112110106[单将最高战力])</f>
        <v>1183377</v>
      </c>
      <c r="P42" s="335">
        <v>227</v>
      </c>
      <c r="Q42" s="335">
        <v>35</v>
      </c>
    </row>
    <row r="43" ht="15" spans="1:17">
      <c r="A43" s="173" t="s">
        <v>273</v>
      </c>
      <c r="B43" s="173" t="s">
        <v>27</v>
      </c>
      <c r="C43" s="173">
        <f>COUNTIFS(表1_86121822242672112110106[目标区服],表2_97131923252773113111107[[#This Row],[合区区服]],表1_86121822242672112110106[目标国家（映射）],表2_97131923252773113111107[[#This Row],[国家]])</f>
        <v>2</v>
      </c>
      <c r="D43" s="173">
        <f>SUMIFS(表1_86121822242672112110106[活跃高战玩家数],表1_86121822242672112110106[目标区服],表2_97131923252773113111107[[#This Row],[合区区服]],表1_86121822242672112110106[目标国家（映射）],表2_97131923252773113111107[[#This Row],[国家]])</f>
        <v>5</v>
      </c>
      <c r="E43" s="173">
        <f>SUMIFS(表1_86121822242672112110106[活跃中坚玩家数],表1_86121822242672112110106[目标区服],表2_97131923252773113111107[[#This Row],[合区区服]],表1_86121822242672112110106[目标国家（映射）],表2_97131923252773113111107[[#This Row],[国家]])</f>
        <v>45</v>
      </c>
      <c r="F43" s="173">
        <f t="array" ref="F43">MAX((表1_86121822242672112110106[目标区服]=表2_97131923252773113111107[[#This Row],[合区区服]])*(表1_86121822242672112110106[目标国家（映射）]=表2_97131923252773113111107[[#This Row],[国家]])*表1_86121822242672112110106[活跃尖端战力])</f>
        <v>3494440</v>
      </c>
      <c r="G43" s="174">
        <f>SUMIFS(表1_86121822242672112110106[活跃总战力],表1_86121822242672112110106[目标区服],表2_97131923252773113111107[[#This Row],[合区区服]],表1_86121822242672112110106[目标国家（映射）],表2_97131923252773113111107[[#This Row],[国家]])</f>
        <v>44651099</v>
      </c>
      <c r="H43" s="173">
        <f>SUMIFS(表1_86121822242672112110106[活跃实际充值],表1_86121822242672112110106[目标区服],表2_97131923252773113111107[[#This Row],[合区区服]],表1_86121822242672112110106[目标国家（映射）],表2_97131923252773113111107[[#This Row],[国家]])</f>
        <v>143560</v>
      </c>
      <c r="I43" s="173">
        <f>SUMIFS(表1_86121822242672112110106[活跃虚拟充值],表1_86121822242672112110106[目标区服],表2_97131923252773113111107[[#This Row],[合区区服]],表1_86121822242672112110106[目标国家（映射）],表2_97131923252773113111107[[#This Row],[国家]])</f>
        <v>0</v>
      </c>
      <c r="J43" s="173">
        <f>SUMIFS(表1_86121822242672112110106[活跃Coin],表1_86121822242672112110106[目标区服],表2_97131923252773113111107[[#This Row],[合区区服]],表1_86121822242672112110106[目标国家（映射）],表2_97131923252773113111107[[#This Row],[国家]])</f>
        <v>715906</v>
      </c>
      <c r="K43" s="173">
        <f>SUMIFS(表1_86121822242672112110106[共计补偿Coin],表1_86121822242672112110106[目标区服],表2_97131923252773113111107[[#This Row],[合区区服]],表1_86121822242672112110106[目标国家（映射）],表2_97131923252773113111107[[#This Row],[国家]])</f>
        <v>50000</v>
      </c>
      <c r="L43" s="173">
        <f>表2_97131923252773113111107[[#This Row],[活跃Coin]]+表2_97131923252773113111107[[#This Row],[共计补偿Coin]]</f>
        <v>765906</v>
      </c>
      <c r="M43" s="173">
        <f>SUMIFS(表1_86121822242672112110106[综合国力],表1_86121822242672112110106[目标区服],表2_97131923252773113111107[[#This Row],[合区区服]],表1_86121822242672112110106[目标国家（映射）],表2_97131923252773113111107[[#This Row],[国家]])</f>
        <v>19142</v>
      </c>
      <c r="N43" s="173">
        <f t="array" ref="N43">MAX((表1_86121822242672112110106[目标区服]=表2_97131923252773113111107[[#This Row],[合区区服]])*(表1_86121822242672112110106[目标国家（映射）]=表2_97131923252773113111107[[#This Row],[国家]])*表1_86121822242672112110106[单将最高战力])</f>
        <v>1111018</v>
      </c>
      <c r="P43" s="335">
        <v>228</v>
      </c>
      <c r="Q43" s="335">
        <v>34</v>
      </c>
    </row>
    <row r="44" ht="15" spans="1:17">
      <c r="A44" s="178" t="s">
        <v>274</v>
      </c>
      <c r="B44" s="178" t="s">
        <v>25</v>
      </c>
      <c r="C44" s="178">
        <f>COUNTIFS(表1_86121822242672112110106[目标区服],表2_97131923252773113111107[[#This Row],[合区区服]],表1_86121822242672112110106[目标国家（映射）],表2_97131923252773113111107[[#This Row],[国家]])</f>
        <v>2</v>
      </c>
      <c r="D44" s="178">
        <f>SUMIFS(表1_86121822242672112110106[活跃高战玩家数],表1_86121822242672112110106[目标区服],表2_97131923252773113111107[[#This Row],[合区区服]],表1_86121822242672112110106[目标国家（映射）],表2_97131923252773113111107[[#This Row],[国家]])</f>
        <v>9</v>
      </c>
      <c r="E44" s="178">
        <f>SUMIFS(表1_86121822242672112110106[活跃中坚玩家数],表1_86121822242672112110106[目标区服],表2_97131923252773113111107[[#This Row],[合区区服]],表1_86121822242672112110106[目标国家（映射）],表2_97131923252773113111107[[#This Row],[国家]])</f>
        <v>49</v>
      </c>
      <c r="F44" s="178">
        <f t="array" ref="F44">MAX((表1_86121822242672112110106[目标区服]=表2_97131923252773113111107[[#This Row],[合区区服]])*(表1_86121822242672112110106[目标国家（映射）]=表2_97131923252773113111107[[#This Row],[国家]])*表1_86121822242672112110106[活跃尖端战力])</f>
        <v>3340532</v>
      </c>
      <c r="G44" s="179">
        <f>SUMIFS(表1_86121822242672112110106[活跃总战力],表1_86121822242672112110106[目标区服],表2_97131923252773113111107[[#This Row],[合区区服]],表1_86121822242672112110106[目标国家（映射）],表2_97131923252773113111107[[#This Row],[国家]])</f>
        <v>49374483</v>
      </c>
      <c r="H44" s="178">
        <f>SUMIFS(表1_86121822242672112110106[活跃实际充值],表1_86121822242672112110106[目标区服],表2_97131923252773113111107[[#This Row],[合区区服]],表1_86121822242672112110106[目标国家（映射）],表2_97131923252773113111107[[#This Row],[国家]])</f>
        <v>174721</v>
      </c>
      <c r="I44" s="178">
        <f>SUMIFS(表1_86121822242672112110106[活跃虚拟充值],表1_86121822242672112110106[目标区服],表2_97131923252773113111107[[#This Row],[合区区服]],表1_86121822242672112110106[目标国家（映射）],表2_97131923252773113111107[[#This Row],[国家]])</f>
        <v>0</v>
      </c>
      <c r="J44" s="178">
        <f>SUMIFS(表1_86121822242672112110106[活跃Coin],表1_86121822242672112110106[目标区服],表2_97131923252773113111107[[#This Row],[合区区服]],表1_86121822242672112110106[目标国家（映射）],表2_97131923252773113111107[[#This Row],[国家]])</f>
        <v>1193406</v>
      </c>
      <c r="K44" s="178">
        <f>SUMIFS(表1_86121822242672112110106[共计补偿Coin],表1_86121822242672112110106[目标区服],表2_97131923252773113111107[[#This Row],[合区区服]],表1_86121822242672112110106[目标国家（映射）],表2_97131923252773113111107[[#This Row],[国家]])</f>
        <v>58000</v>
      </c>
      <c r="L44" s="178">
        <f>表2_97131923252773113111107[[#This Row],[活跃Coin]]+表2_97131923252773113111107[[#This Row],[共计补偿Coin]]</f>
        <v>1251406</v>
      </c>
      <c r="M44" s="178">
        <f>SUMIFS(表1_86121822242672112110106[综合国力],表1_86121822242672112110106[目标区服],表2_97131923252773113111107[[#This Row],[合区区服]],表1_86121822242672112110106[目标国家（映射）],表2_97131923252773113111107[[#This Row],[国家]])</f>
        <v>20852</v>
      </c>
      <c r="N44" s="178">
        <f t="array" ref="N44">MAX((表1_86121822242672112110106[目标区服]=表2_97131923252773113111107[[#This Row],[合区区服]])*(表1_86121822242672112110106[目标国家（映射）]=表2_97131923252773113111107[[#This Row],[国家]])*表1_86121822242672112110106[单将最高战力])</f>
        <v>1245591</v>
      </c>
      <c r="P44" s="335">
        <v>229</v>
      </c>
      <c r="Q44" s="335">
        <v>34</v>
      </c>
    </row>
    <row r="45" ht="15" spans="1:14">
      <c r="A45" s="178" t="s">
        <v>274</v>
      </c>
      <c r="B45" s="178" t="s">
        <v>26</v>
      </c>
      <c r="C45" s="178">
        <f>COUNTIFS(表1_86121822242672112110106[目标区服],表2_97131923252773113111107[[#This Row],[合区区服]],表1_86121822242672112110106[目标国家（映射）],表2_97131923252773113111107[[#This Row],[国家]])</f>
        <v>3</v>
      </c>
      <c r="D45" s="178">
        <f>SUMIFS(表1_86121822242672112110106[活跃高战玩家数],表1_86121822242672112110106[目标区服],表2_97131923252773113111107[[#This Row],[合区区服]],表1_86121822242672112110106[目标国家（映射）],表2_97131923252773113111107[[#This Row],[国家]])</f>
        <v>6</v>
      </c>
      <c r="E45" s="178">
        <f>SUMIFS(表1_86121822242672112110106[活跃中坚玩家数],表1_86121822242672112110106[目标区服],表2_97131923252773113111107[[#This Row],[合区区服]],表1_86121822242672112110106[目标国家（映射）],表2_97131923252773113111107[[#This Row],[国家]])</f>
        <v>56</v>
      </c>
      <c r="F45" s="178">
        <f t="array" ref="F45">MAX((表1_86121822242672112110106[目标区服]=表2_97131923252773113111107[[#This Row],[合区区服]])*(表1_86121822242672112110106[目标国家（映射）]=表2_97131923252773113111107[[#This Row],[国家]])*表1_86121822242672112110106[活跃尖端战力])</f>
        <v>3307857</v>
      </c>
      <c r="G45" s="179">
        <f>SUMIFS(表1_86121822242672112110106[活跃总战力],表1_86121822242672112110106[目标区服],表2_97131923252773113111107[[#This Row],[合区区服]],表1_86121822242672112110106[目标国家（映射）],表2_97131923252773113111107[[#This Row],[国家]])</f>
        <v>55852022</v>
      </c>
      <c r="H45" s="178">
        <f>SUMIFS(表1_86121822242672112110106[活跃实际充值],表1_86121822242672112110106[目标区服],表2_97131923252773113111107[[#This Row],[合区区服]],表1_86121822242672112110106[目标国家（映射）],表2_97131923252773113111107[[#This Row],[国家]])</f>
        <v>403984</v>
      </c>
      <c r="I45" s="178">
        <f>SUMIFS(表1_86121822242672112110106[活跃虚拟充值],表1_86121822242672112110106[目标区服],表2_97131923252773113111107[[#This Row],[合区区服]],表1_86121822242672112110106[目标国家（映射）],表2_97131923252773113111107[[#This Row],[国家]])</f>
        <v>0</v>
      </c>
      <c r="J45" s="178">
        <f>SUMIFS(表1_86121822242672112110106[活跃Coin],表1_86121822242672112110106[目标区服],表2_97131923252773113111107[[#This Row],[合区区服]],表1_86121822242672112110106[目标国家（映射）],表2_97131923252773113111107[[#This Row],[国家]])</f>
        <v>992071</v>
      </c>
      <c r="K45" s="178">
        <f>SUMIFS(表1_86121822242672112110106[共计补偿Coin],表1_86121822242672112110106[目标区服],表2_97131923252773113111107[[#This Row],[合区区服]],表1_86121822242672112110106[目标国家（映射）],表2_97131923252773113111107[[#This Row],[国家]])</f>
        <v>82000</v>
      </c>
      <c r="L45" s="178">
        <f>表2_97131923252773113111107[[#This Row],[活跃Coin]]+表2_97131923252773113111107[[#This Row],[共计补偿Coin]]</f>
        <v>1074071</v>
      </c>
      <c r="M45" s="178">
        <f>SUMIFS(表1_86121822242672112110106[综合国力],表1_86121822242672112110106[目标区服],表2_97131923252773113111107[[#This Row],[合区区服]],表1_86121822242672112110106[目标国家（映射）],表2_97131923252773113111107[[#This Row],[国家]])</f>
        <v>30286</v>
      </c>
      <c r="N45" s="178">
        <f t="array" ref="N45">MAX((表1_86121822242672112110106[目标区服]=表2_97131923252773113111107[[#This Row],[合区区服]])*(表1_86121822242672112110106[目标国家（映射）]=表2_97131923252773113111107[[#This Row],[国家]])*表1_86121822242672112110106[单将最高战力])</f>
        <v>1044336</v>
      </c>
    </row>
    <row r="46" ht="15" spans="1:14">
      <c r="A46" s="178" t="s">
        <v>274</v>
      </c>
      <c r="B46" s="178" t="s">
        <v>27</v>
      </c>
      <c r="C46" s="178">
        <f>COUNTIFS(表1_86121822242672112110106[目标区服],表2_97131923252773113111107[[#This Row],[合区区服]],表1_86121822242672112110106[目标国家（映射）],表2_97131923252773113111107[[#This Row],[国家]])</f>
        <v>1</v>
      </c>
      <c r="D46" s="178">
        <f>SUMIFS(表1_86121822242672112110106[活跃高战玩家数],表1_86121822242672112110106[目标区服],表2_97131923252773113111107[[#This Row],[合区区服]],表1_86121822242672112110106[目标国家（映射）],表2_97131923252773113111107[[#This Row],[国家]])</f>
        <v>5</v>
      </c>
      <c r="E46" s="178">
        <f>SUMIFS(表1_86121822242672112110106[活跃中坚玩家数],表1_86121822242672112110106[目标区服],表2_97131923252773113111107[[#This Row],[合区区服]],表1_86121822242672112110106[目标国家（映射）],表2_97131923252773113111107[[#This Row],[国家]])</f>
        <v>46</v>
      </c>
      <c r="F46" s="178">
        <f t="array" ref="F46">MAX((表1_86121822242672112110106[目标区服]=表2_97131923252773113111107[[#This Row],[合区区服]])*(表1_86121822242672112110106[目标国家（映射）]=表2_97131923252773113111107[[#This Row],[国家]])*表1_86121822242672112110106[活跃尖端战力])</f>
        <v>4225051</v>
      </c>
      <c r="G46" s="179">
        <f>SUMIFS(表1_86121822242672112110106[活跃总战力],表1_86121822242672112110106[目标区服],表2_97131923252773113111107[[#This Row],[合区区服]],表1_86121822242672112110106[目标国家（映射）],表2_97131923252773113111107[[#This Row],[国家]])</f>
        <v>54877309</v>
      </c>
      <c r="H46" s="178">
        <f>SUMIFS(表1_86121822242672112110106[活跃实际充值],表1_86121822242672112110106[目标区服],表2_97131923252773113111107[[#This Row],[合区区服]],表1_86121822242672112110106[目标国家（映射）],表2_97131923252773113111107[[#This Row],[国家]])</f>
        <v>228654</v>
      </c>
      <c r="I46" s="178">
        <f>SUMIFS(表1_86121822242672112110106[活跃虚拟充值],表1_86121822242672112110106[目标区服],表2_97131923252773113111107[[#This Row],[合区区服]],表1_86121822242672112110106[目标国家（映射）],表2_97131923252773113111107[[#This Row],[国家]])</f>
        <v>0</v>
      </c>
      <c r="J46" s="178">
        <f>SUMIFS(表1_86121822242672112110106[活跃Coin],表1_86121822242672112110106[目标区服],表2_97131923252773113111107[[#This Row],[合区区服]],表1_86121822242672112110106[目标国家（映射）],表2_97131923252773113111107[[#This Row],[国家]])</f>
        <v>562508</v>
      </c>
      <c r="K46" s="178">
        <f>SUMIFS(表1_86121822242672112110106[共计补偿Coin],表1_86121822242672112110106[目标区服],表2_97131923252773113111107[[#This Row],[合区区服]],表1_86121822242672112110106[目标国家（映射）],表2_97131923252773113111107[[#This Row],[国家]])</f>
        <v>76500</v>
      </c>
      <c r="L46" s="178">
        <f>表2_97131923252773113111107[[#This Row],[活跃Coin]]+表2_97131923252773113111107[[#This Row],[共计补偿Coin]]</f>
        <v>639008</v>
      </c>
      <c r="M46" s="178">
        <f>SUMIFS(表1_86121822242672112110106[综合国力],表1_86121822242672112110106[目标区服],表2_97131923252773113111107[[#This Row],[合区区服]],表1_86121822242672112110106[目标国家（映射）],表2_97131923252773113111107[[#This Row],[国家]])</f>
        <v>20450</v>
      </c>
      <c r="N46" s="178">
        <f t="array" ref="N46">MAX((表1_86121822242672112110106[目标区服]=表2_97131923252773113111107[[#This Row],[合区区服]])*(表1_86121822242672112110106[目标国家（映射）]=表2_97131923252773113111107[[#This Row],[国家]])*表1_86121822242672112110106[单将最高战力])</f>
        <v>1192963</v>
      </c>
    </row>
    <row r="47" ht="15" spans="1:14">
      <c r="A47" s="323" t="s">
        <v>275</v>
      </c>
      <c r="B47" s="323" t="s">
        <v>25</v>
      </c>
      <c r="C47" s="323">
        <f>COUNTIFS(表1_86121822242672112110106[目标区服],表2_97131923252773113111107[[#This Row],[合区区服]],表1_86121822242672112110106[目标国家（映射）],表2_97131923252773113111107[[#This Row],[国家]])</f>
        <v>3</v>
      </c>
      <c r="D47" s="323">
        <f>SUMIFS(表1_86121822242672112110106[活跃高战玩家数],表1_86121822242672112110106[目标区服],表2_97131923252773113111107[[#This Row],[合区区服]],表1_86121822242672112110106[目标国家（映射）],表2_97131923252773113111107[[#This Row],[国家]])</f>
        <v>3</v>
      </c>
      <c r="E47" s="323">
        <f>SUMIFS(表1_86121822242672112110106[活跃中坚玩家数],表1_86121822242672112110106[目标区服],表2_97131923252773113111107[[#This Row],[合区区服]],表1_86121822242672112110106[目标国家（映射）],表2_97131923252773113111107[[#This Row],[国家]])</f>
        <v>48</v>
      </c>
      <c r="F47" s="323">
        <f t="array" ref="F47">MAX((表1_86121822242672112110106[目标区服]=表2_97131923252773113111107[[#This Row],[合区区服]])*(表1_86121822242672112110106[目标国家（映射）]=表2_97131923252773113111107[[#This Row],[国家]])*表1_86121822242672112110106[活跃尖端战力])</f>
        <v>2587496</v>
      </c>
      <c r="G47" s="324">
        <f>SUMIFS(表1_86121822242672112110106[活跃总战力],表1_86121822242672112110106[目标区服],表2_97131923252773113111107[[#This Row],[合区区服]],表1_86121822242672112110106[目标国家（映射）],表2_97131923252773113111107[[#This Row],[国家]])</f>
        <v>29847874</v>
      </c>
      <c r="H47" s="323">
        <f>SUMIFS(表1_86121822242672112110106[活跃实际充值],表1_86121822242672112110106[目标区服],表2_97131923252773113111107[[#This Row],[合区区服]],表1_86121822242672112110106[目标国家（映射）],表2_97131923252773113111107[[#This Row],[国家]])</f>
        <v>90296</v>
      </c>
      <c r="I47" s="323">
        <f>SUMIFS(表1_86121822242672112110106[活跃虚拟充值],表1_86121822242672112110106[目标区服],表2_97131923252773113111107[[#This Row],[合区区服]],表1_86121822242672112110106[目标国家（映射）],表2_97131923252773113111107[[#This Row],[国家]])</f>
        <v>0</v>
      </c>
      <c r="J47" s="323">
        <f>SUMIFS(表1_86121822242672112110106[活跃Coin],表1_86121822242672112110106[目标区服],表2_97131923252773113111107[[#This Row],[合区区服]],表1_86121822242672112110106[目标国家（映射）],表2_97131923252773113111107[[#This Row],[国家]])</f>
        <v>594787</v>
      </c>
      <c r="K47" s="323">
        <f>SUMIFS(表1_86121822242672112110106[共计补偿Coin],表1_86121822242672112110106[目标区服],表2_97131923252773113111107[[#This Row],[合区区服]],表1_86121822242672112110106[目标国家（映射）],表2_97131923252773113111107[[#This Row],[国家]])</f>
        <v>51000</v>
      </c>
      <c r="L47" s="323">
        <f>表2_97131923252773113111107[[#This Row],[活跃Coin]]+表2_97131923252773113111107[[#This Row],[共计补偿Coin]]</f>
        <v>645787</v>
      </c>
      <c r="M47" s="323">
        <f>SUMIFS(表1_86121822242672112110106[综合国力],表1_86121822242672112110106[目标区服],表2_97131923252773113111107[[#This Row],[合区区服]],表1_86121822242672112110106[目标国家（映射）],表2_97131923252773113111107[[#This Row],[国家]])</f>
        <v>13602</v>
      </c>
      <c r="N47" s="323">
        <f t="array" ref="N47">MAX((表1_86121822242672112110106[目标区服]=表2_97131923252773113111107[[#This Row],[合区区服]])*(表1_86121822242672112110106[目标国家（映射）]=表2_97131923252773113111107[[#This Row],[国家]])*表1_86121822242672112110106[单将最高战力])</f>
        <v>917284</v>
      </c>
    </row>
    <row r="48" ht="15" spans="1:14">
      <c r="A48" s="323" t="s">
        <v>275</v>
      </c>
      <c r="B48" s="323" t="s">
        <v>26</v>
      </c>
      <c r="C48" s="323">
        <f>COUNTIFS(表1_86121822242672112110106[目标区服],表2_97131923252773113111107[[#This Row],[合区区服]],表1_86121822242672112110106[目标国家（映射）],表2_97131923252773113111107[[#This Row],[国家]])</f>
        <v>2</v>
      </c>
      <c r="D48" s="323">
        <f>SUMIFS(表1_86121822242672112110106[活跃高战玩家数],表1_86121822242672112110106[目标区服],表2_97131923252773113111107[[#This Row],[合区区服]],表1_86121822242672112110106[目标国家（映射）],表2_97131923252773113111107[[#This Row],[国家]])</f>
        <v>10</v>
      </c>
      <c r="E48" s="323">
        <f>SUMIFS(表1_86121822242672112110106[活跃中坚玩家数],表1_86121822242672112110106[目标区服],表2_97131923252773113111107[[#This Row],[合区区服]],表1_86121822242672112110106[目标国家（映射）],表2_97131923252773113111107[[#This Row],[国家]])</f>
        <v>49</v>
      </c>
      <c r="F48" s="323">
        <f t="array" ref="F48">MAX((表1_86121822242672112110106[目标区服]=表2_97131923252773113111107[[#This Row],[合区区服]])*(表1_86121822242672112110106[目标国家（映射）]=表2_97131923252773113111107[[#This Row],[国家]])*表1_86121822242672112110106[活跃尖端战力])</f>
        <v>2318784</v>
      </c>
      <c r="G48" s="324">
        <f>SUMIFS(表1_86121822242672112110106[活跃总战力],表1_86121822242672112110106[目标区服],表2_97131923252773113111107[[#This Row],[合区区服]],表1_86121822242672112110106[目标国家（映射）],表2_97131923252773113111107[[#This Row],[国家]])</f>
        <v>39101150</v>
      </c>
      <c r="H48" s="323">
        <f>SUMIFS(表1_86121822242672112110106[活跃实际充值],表1_86121822242672112110106[目标区服],表2_97131923252773113111107[[#This Row],[合区区服]],表1_86121822242672112110106[目标国家（映射）],表2_97131923252773113111107[[#This Row],[国家]])</f>
        <v>69406</v>
      </c>
      <c r="I48" s="323">
        <f>SUMIFS(表1_86121822242672112110106[活跃虚拟充值],表1_86121822242672112110106[目标区服],表2_97131923252773113111107[[#This Row],[合区区服]],表1_86121822242672112110106[目标国家（映射）],表2_97131923252773113111107[[#This Row],[国家]])</f>
        <v>0</v>
      </c>
      <c r="J48" s="323">
        <f>SUMIFS(表1_86121822242672112110106[活跃Coin],表1_86121822242672112110106[目标区服],表2_97131923252773113111107[[#This Row],[合区区服]],表1_86121822242672112110106[目标国家（映射）],表2_97131923252773113111107[[#This Row],[国家]])</f>
        <v>385398</v>
      </c>
      <c r="K48" s="323">
        <f>SUMIFS(表1_86121822242672112110106[共计补偿Coin],表1_86121822242672112110106[目标区服],表2_97131923252773113111107[[#This Row],[合区区服]],表1_86121822242672112110106[目标国家（映射）],表2_97131923252773113111107[[#This Row],[国家]])</f>
        <v>59000</v>
      </c>
      <c r="L48" s="323">
        <f>表2_97131923252773113111107[[#This Row],[活跃Coin]]+表2_97131923252773113111107[[#This Row],[共计补偿Coin]]</f>
        <v>444398</v>
      </c>
      <c r="M48" s="323">
        <f>SUMIFS(表1_86121822242672112110106[综合国力],表1_86121822242672112110106[目标区服],表2_97131923252773113111107[[#This Row],[合区区服]],表1_86121822242672112110106[目标国家（映射）],表2_97131923252773113111107[[#This Row],[国家]])</f>
        <v>16107</v>
      </c>
      <c r="N48" s="323">
        <f t="array" ref="N48">MAX((表1_86121822242672112110106[目标区服]=表2_97131923252773113111107[[#This Row],[合区区服]])*(表1_86121822242672112110106[目标国家（映射）]=表2_97131923252773113111107[[#This Row],[国家]])*表1_86121822242672112110106[单将最高战力])</f>
        <v>659559</v>
      </c>
    </row>
    <row r="49" ht="15" spans="1:14">
      <c r="A49" s="323" t="s">
        <v>275</v>
      </c>
      <c r="B49" s="323" t="s">
        <v>27</v>
      </c>
      <c r="C49" s="323">
        <f>COUNTIFS(表1_86121822242672112110106[目标区服],表2_97131923252773113111107[[#This Row],[合区区服]],表1_86121822242672112110106[目标国家（映射）],表2_97131923252773113111107[[#This Row],[国家]])</f>
        <v>1</v>
      </c>
      <c r="D49" s="323">
        <f>SUMIFS(表1_86121822242672112110106[活跃高战玩家数],表1_86121822242672112110106[目标区服],表2_97131923252773113111107[[#This Row],[合区区服]],表1_86121822242672112110106[目标国家（映射）],表2_97131923252773113111107[[#This Row],[国家]])</f>
        <v>7</v>
      </c>
      <c r="E49" s="323">
        <f>SUMIFS(表1_86121822242672112110106[活跃中坚玩家数],表1_86121822242672112110106[目标区服],表2_97131923252773113111107[[#This Row],[合区区服]],表1_86121822242672112110106[目标国家（映射）],表2_97131923252773113111107[[#This Row],[国家]])</f>
        <v>25</v>
      </c>
      <c r="F49" s="323">
        <f t="array" ref="F49">MAX((表1_86121822242672112110106[目标区服]=表2_97131923252773113111107[[#This Row],[合区区服]])*(表1_86121822242672112110106[目标国家（映射）]=表2_97131923252773113111107[[#This Row],[国家]])*表1_86121822242672112110106[活跃尖端战力])</f>
        <v>3430768</v>
      </c>
      <c r="G49" s="324">
        <f>SUMIFS(表1_86121822242672112110106[活跃总战力],表1_86121822242672112110106[目标区服],表2_97131923252773113111107[[#This Row],[合区区服]],表1_86121822242672112110106[目标国家（映射）],表2_97131923252773113111107[[#This Row],[国家]])</f>
        <v>27055856</v>
      </c>
      <c r="H49" s="323">
        <f>SUMIFS(表1_86121822242672112110106[活跃实际充值],表1_86121822242672112110106[目标区服],表2_97131923252773113111107[[#This Row],[合区区服]],表1_86121822242672112110106[目标国家（映射）],表2_97131923252773113111107[[#This Row],[国家]])</f>
        <v>229196</v>
      </c>
      <c r="I49" s="323">
        <f>SUMIFS(表1_86121822242672112110106[活跃虚拟充值],表1_86121822242672112110106[目标区服],表2_97131923252773113111107[[#This Row],[合区区服]],表1_86121822242672112110106[目标国家（映射）],表2_97131923252773113111107[[#This Row],[国家]])</f>
        <v>30</v>
      </c>
      <c r="J49" s="323">
        <f>SUMIFS(表1_86121822242672112110106[活跃Coin],表1_86121822242672112110106[目标区服],表2_97131923252773113111107[[#This Row],[合区区服]],表1_86121822242672112110106[目标国家（映射）],表2_97131923252773113111107[[#This Row],[国家]])</f>
        <v>523241</v>
      </c>
      <c r="K49" s="323">
        <f>SUMIFS(表1_86121822242672112110106[共计补偿Coin],表1_86121822242672112110106[目标区服],表2_97131923252773113111107[[#This Row],[合区区服]],表1_86121822242672112110106[目标国家（映射）],表2_97131923252773113111107[[#This Row],[国家]])</f>
        <v>32000</v>
      </c>
      <c r="L49" s="323">
        <f>表2_97131923252773113111107[[#This Row],[活跃Coin]]+表2_97131923252773113111107[[#This Row],[共计补偿Coin]]</f>
        <v>555241</v>
      </c>
      <c r="M49" s="323">
        <f>SUMIFS(表1_86121822242672112110106[综合国力],表1_86121822242672112110106[目标区服],表2_97131923252773113111107[[#This Row],[合区区服]],表1_86121822242672112110106[目标国家（映射）],表2_97131923252773113111107[[#This Row],[国家]])</f>
        <v>17446</v>
      </c>
      <c r="N49" s="323">
        <f t="array" ref="N49">MAX((表1_86121822242672112110106[目标区服]=表2_97131923252773113111107[[#This Row],[合区区服]])*(表1_86121822242672112110106[目标国家（映射）]=表2_97131923252773113111107[[#This Row],[国家]])*表1_86121822242672112110106[单将最高战力])</f>
        <v>991920</v>
      </c>
    </row>
    <row r="52" ht="27" spans="2:14">
      <c r="B52" s="49"/>
      <c r="C52" s="50" t="s">
        <v>9</v>
      </c>
      <c r="D52" s="50" t="s">
        <v>10</v>
      </c>
      <c r="E52" s="50" t="s">
        <v>11</v>
      </c>
      <c r="F52" s="50" t="s">
        <v>12</v>
      </c>
      <c r="G52" s="50" t="s">
        <v>13</v>
      </c>
      <c r="H52" s="50" t="s">
        <v>14</v>
      </c>
      <c r="I52" s="274" t="s">
        <v>15</v>
      </c>
      <c r="J52" s="189" t="s">
        <v>18</v>
      </c>
      <c r="K52" s="189" t="s">
        <v>19</v>
      </c>
      <c r="L52" s="189" t="s">
        <v>20</v>
      </c>
      <c r="M52" s="189" t="s">
        <v>21</v>
      </c>
      <c r="N52" s="189" t="s">
        <v>82</v>
      </c>
    </row>
    <row r="53" spans="1:14">
      <c r="A53">
        <v>220</v>
      </c>
      <c r="B53" s="190" t="s">
        <v>25</v>
      </c>
      <c r="C53" s="190">
        <v>4</v>
      </c>
      <c r="D53" s="190">
        <v>161</v>
      </c>
      <c r="E53" s="190">
        <v>5</v>
      </c>
      <c r="F53" s="190">
        <v>22</v>
      </c>
      <c r="G53" s="190">
        <v>120970</v>
      </c>
      <c r="H53" s="190">
        <v>4073220</v>
      </c>
      <c r="I53" s="190">
        <v>31311165</v>
      </c>
      <c r="J53" s="190">
        <v>135202</v>
      </c>
      <c r="K53" s="190">
        <v>0</v>
      </c>
      <c r="L53" s="190">
        <v>896208</v>
      </c>
      <c r="M53" s="190">
        <v>14323</v>
      </c>
      <c r="N53" s="190">
        <v>1149750</v>
      </c>
    </row>
    <row r="54" spans="2:14">
      <c r="B54" s="190" t="s">
        <v>26</v>
      </c>
      <c r="C54" s="190">
        <v>4</v>
      </c>
      <c r="D54" s="190">
        <v>178</v>
      </c>
      <c r="E54" s="190">
        <v>5</v>
      </c>
      <c r="F54" s="190">
        <v>36</v>
      </c>
      <c r="G54" s="190">
        <v>155408</v>
      </c>
      <c r="H54" s="190">
        <v>3464484</v>
      </c>
      <c r="I54" s="190">
        <v>40020960</v>
      </c>
      <c r="J54" s="190">
        <v>158132</v>
      </c>
      <c r="K54" s="190">
        <v>0</v>
      </c>
      <c r="L54" s="190">
        <v>1170028</v>
      </c>
      <c r="M54" s="190">
        <v>15752</v>
      </c>
      <c r="N54" s="190">
        <v>1084077</v>
      </c>
    </row>
    <row r="55" spans="2:14">
      <c r="B55" s="190" t="s">
        <v>27</v>
      </c>
      <c r="C55" s="190">
        <v>1</v>
      </c>
      <c r="D55" s="190">
        <v>56</v>
      </c>
      <c r="E55" s="190">
        <v>0</v>
      </c>
      <c r="F55" s="190">
        <v>20</v>
      </c>
      <c r="G55" s="190">
        <v>50715</v>
      </c>
      <c r="H55" s="190">
        <v>1979106</v>
      </c>
      <c r="I55" s="190">
        <v>15673157</v>
      </c>
      <c r="J55" s="190">
        <v>22464</v>
      </c>
      <c r="K55" s="190">
        <v>0</v>
      </c>
      <c r="L55" s="190">
        <v>296778</v>
      </c>
      <c r="M55" s="190">
        <v>5282</v>
      </c>
      <c r="N55" s="190">
        <v>694190</v>
      </c>
    </row>
    <row r="56" spans="1:14">
      <c r="A56">
        <v>221</v>
      </c>
      <c r="B56" s="190" t="s">
        <v>25</v>
      </c>
      <c r="C56" s="190">
        <v>3</v>
      </c>
      <c r="D56" s="190">
        <v>108</v>
      </c>
      <c r="E56" s="190">
        <v>4</v>
      </c>
      <c r="F56" s="190">
        <v>20</v>
      </c>
      <c r="G56" s="190">
        <v>99515</v>
      </c>
      <c r="H56" s="190">
        <v>2759279</v>
      </c>
      <c r="I56" s="190">
        <v>24697514</v>
      </c>
      <c r="J56" s="190">
        <v>44668</v>
      </c>
      <c r="K56" s="190">
        <v>0</v>
      </c>
      <c r="L56" s="190">
        <v>247054</v>
      </c>
      <c r="M56" s="190">
        <v>8570</v>
      </c>
      <c r="N56" s="190">
        <v>797539</v>
      </c>
    </row>
    <row r="57" spans="2:14">
      <c r="B57" s="190" t="s">
        <v>26</v>
      </c>
      <c r="C57" s="190">
        <v>2</v>
      </c>
      <c r="D57" s="190">
        <v>117</v>
      </c>
      <c r="E57" s="190">
        <v>2</v>
      </c>
      <c r="F57" s="190">
        <v>27</v>
      </c>
      <c r="G57" s="190">
        <v>84955</v>
      </c>
      <c r="H57" s="190">
        <v>3434055</v>
      </c>
      <c r="I57" s="190">
        <v>27251634</v>
      </c>
      <c r="J57" s="190">
        <v>108478</v>
      </c>
      <c r="K57" s="190">
        <v>0</v>
      </c>
      <c r="L57" s="190">
        <v>823630</v>
      </c>
      <c r="M57" s="190">
        <v>11620</v>
      </c>
      <c r="N57" s="190">
        <v>998018</v>
      </c>
    </row>
    <row r="58" spans="2:14">
      <c r="B58" s="190" t="s">
        <v>27</v>
      </c>
      <c r="C58" s="190">
        <v>4</v>
      </c>
      <c r="D58" s="190">
        <v>170</v>
      </c>
      <c r="E58" s="190">
        <v>4</v>
      </c>
      <c r="F58" s="190">
        <v>39</v>
      </c>
      <c r="G58" s="190">
        <v>152340</v>
      </c>
      <c r="H58" s="190">
        <v>3306499</v>
      </c>
      <c r="I58" s="190">
        <v>42978534</v>
      </c>
      <c r="J58" s="190">
        <v>175874</v>
      </c>
      <c r="K58" s="190">
        <v>0</v>
      </c>
      <c r="L58" s="190">
        <v>684220</v>
      </c>
      <c r="M58" s="190">
        <v>16084</v>
      </c>
      <c r="N58" s="190">
        <v>1182032</v>
      </c>
    </row>
    <row r="59" spans="1:14">
      <c r="A59">
        <v>222</v>
      </c>
      <c r="B59" s="190" t="s">
        <v>25</v>
      </c>
      <c r="C59" s="190">
        <v>2</v>
      </c>
      <c r="D59" s="190">
        <v>113</v>
      </c>
      <c r="E59" s="190">
        <v>3</v>
      </c>
      <c r="F59" s="190">
        <v>20</v>
      </c>
      <c r="G59" s="190">
        <v>88925</v>
      </c>
      <c r="H59" s="190">
        <v>3355184</v>
      </c>
      <c r="I59" s="190">
        <v>22319186</v>
      </c>
      <c r="J59" s="190">
        <v>79648</v>
      </c>
      <c r="K59" s="190">
        <v>0</v>
      </c>
      <c r="L59" s="190">
        <v>693996</v>
      </c>
      <c r="M59" s="190">
        <v>10098</v>
      </c>
      <c r="N59" s="190">
        <v>1063357</v>
      </c>
    </row>
    <row r="60" spans="2:14">
      <c r="B60" s="190" t="s">
        <v>26</v>
      </c>
      <c r="C60" s="190">
        <v>4</v>
      </c>
      <c r="D60" s="190">
        <v>174</v>
      </c>
      <c r="E60" s="190">
        <v>6</v>
      </c>
      <c r="F60" s="190">
        <v>35</v>
      </c>
      <c r="G60" s="190">
        <v>140352</v>
      </c>
      <c r="H60" s="190">
        <v>3364680</v>
      </c>
      <c r="I60" s="190">
        <v>35896725</v>
      </c>
      <c r="J60" s="190">
        <v>91678</v>
      </c>
      <c r="K60" s="190">
        <v>0</v>
      </c>
      <c r="L60" s="190">
        <v>723781</v>
      </c>
      <c r="M60" s="190">
        <v>12908</v>
      </c>
      <c r="N60" s="190">
        <v>893702</v>
      </c>
    </row>
    <row r="61" spans="2:14">
      <c r="B61" s="190" t="s">
        <v>27</v>
      </c>
      <c r="C61" s="190">
        <v>3</v>
      </c>
      <c r="D61" s="190">
        <v>108</v>
      </c>
      <c r="E61" s="190">
        <v>1</v>
      </c>
      <c r="F61" s="190">
        <v>26</v>
      </c>
      <c r="G61" s="190">
        <v>96771</v>
      </c>
      <c r="H61" s="190">
        <v>2280989</v>
      </c>
      <c r="I61" s="190">
        <v>22318951</v>
      </c>
      <c r="J61" s="190">
        <v>31580</v>
      </c>
      <c r="K61" s="190">
        <v>0</v>
      </c>
      <c r="L61" s="190">
        <v>310276</v>
      </c>
      <c r="M61" s="190">
        <v>7479</v>
      </c>
      <c r="N61" s="190">
        <v>678921</v>
      </c>
    </row>
    <row r="62" spans="1:14">
      <c r="A62">
        <v>223</v>
      </c>
      <c r="B62" s="190" t="s">
        <v>25</v>
      </c>
      <c r="C62" s="190">
        <v>0</v>
      </c>
      <c r="D62" s="190">
        <v>36</v>
      </c>
      <c r="E62" s="190">
        <v>1</v>
      </c>
      <c r="F62" s="190">
        <v>24</v>
      </c>
      <c r="G62" s="190">
        <v>68616</v>
      </c>
      <c r="H62" s="190">
        <v>2632639</v>
      </c>
      <c r="I62" s="190">
        <v>21556987</v>
      </c>
      <c r="J62" s="190">
        <v>58172</v>
      </c>
      <c r="K62" s="190">
        <v>0</v>
      </c>
      <c r="L62" s="190">
        <v>314325</v>
      </c>
      <c r="M62" s="190">
        <v>7393</v>
      </c>
      <c r="N62" s="190">
        <v>793974</v>
      </c>
    </row>
    <row r="63" spans="2:14">
      <c r="B63" s="190" t="s">
        <v>26</v>
      </c>
      <c r="C63" s="190">
        <v>0</v>
      </c>
      <c r="D63" s="190">
        <v>71</v>
      </c>
      <c r="E63" s="190">
        <v>3</v>
      </c>
      <c r="F63" s="190">
        <v>21</v>
      </c>
      <c r="G63" s="190">
        <v>72536</v>
      </c>
      <c r="H63" s="190">
        <v>3180329</v>
      </c>
      <c r="I63" s="190">
        <v>22212123</v>
      </c>
      <c r="J63" s="190">
        <v>83839</v>
      </c>
      <c r="K63" s="190">
        <v>1394</v>
      </c>
      <c r="L63" s="190">
        <v>502511</v>
      </c>
      <c r="M63" s="190">
        <v>9254</v>
      </c>
      <c r="N63" s="190">
        <v>850814</v>
      </c>
    </row>
    <row r="64" spans="2:14">
      <c r="B64" s="190" t="s">
        <v>27</v>
      </c>
      <c r="C64" s="190">
        <v>9</v>
      </c>
      <c r="D64" s="190">
        <v>288</v>
      </c>
      <c r="E64" s="190">
        <v>6</v>
      </c>
      <c r="F64" s="190">
        <v>38</v>
      </c>
      <c r="G64" s="190">
        <v>188542</v>
      </c>
      <c r="H64" s="190">
        <v>3749182</v>
      </c>
      <c r="I64" s="190">
        <v>48740072</v>
      </c>
      <c r="J64" s="190">
        <v>195742</v>
      </c>
      <c r="K64" s="190">
        <v>40</v>
      </c>
      <c r="L64" s="190">
        <v>1139911</v>
      </c>
      <c r="M64" s="190">
        <v>19788</v>
      </c>
      <c r="N64" s="190">
        <v>1083946</v>
      </c>
    </row>
    <row r="65" spans="1:14">
      <c r="A65">
        <v>224</v>
      </c>
      <c r="B65" s="190" t="s">
        <v>25</v>
      </c>
      <c r="C65" s="190">
        <v>2</v>
      </c>
      <c r="D65" s="190">
        <v>111</v>
      </c>
      <c r="E65" s="190">
        <v>2</v>
      </c>
      <c r="F65" s="190">
        <v>23</v>
      </c>
      <c r="G65" s="190">
        <v>74678</v>
      </c>
      <c r="H65" s="190">
        <v>2624524</v>
      </c>
      <c r="I65" s="190">
        <v>20798213</v>
      </c>
      <c r="J65" s="190">
        <v>74344</v>
      </c>
      <c r="K65" s="190">
        <v>0</v>
      </c>
      <c r="L65" s="190">
        <v>315100</v>
      </c>
      <c r="M65" s="190">
        <v>8775</v>
      </c>
      <c r="N65" s="190">
        <v>911798</v>
      </c>
    </row>
    <row r="66" spans="2:14">
      <c r="B66" s="190" t="s">
        <v>26</v>
      </c>
      <c r="C66" s="190">
        <v>4</v>
      </c>
      <c r="D66" s="190">
        <v>143</v>
      </c>
      <c r="E66" s="190">
        <v>5</v>
      </c>
      <c r="F66" s="190">
        <v>33</v>
      </c>
      <c r="G66" s="190">
        <v>150955</v>
      </c>
      <c r="H66" s="190">
        <v>3384694</v>
      </c>
      <c r="I66" s="190">
        <v>36241450</v>
      </c>
      <c r="J66" s="190">
        <v>106604</v>
      </c>
      <c r="K66" s="190">
        <v>80</v>
      </c>
      <c r="L66" s="190">
        <v>516756</v>
      </c>
      <c r="M66" s="190">
        <v>13050</v>
      </c>
      <c r="N66" s="190">
        <v>1024192</v>
      </c>
    </row>
    <row r="67" spans="2:14">
      <c r="B67" s="190" t="s">
        <v>27</v>
      </c>
      <c r="C67" s="190">
        <v>3</v>
      </c>
      <c r="D67" s="190">
        <v>141</v>
      </c>
      <c r="E67" s="190">
        <v>3</v>
      </c>
      <c r="F67" s="190">
        <v>22</v>
      </c>
      <c r="G67" s="190">
        <v>100243</v>
      </c>
      <c r="H67" s="190">
        <v>3494440</v>
      </c>
      <c r="I67" s="190">
        <v>23852886</v>
      </c>
      <c r="J67" s="190">
        <v>69216</v>
      </c>
      <c r="K67" s="190">
        <v>0</v>
      </c>
      <c r="L67" s="190">
        <v>400806</v>
      </c>
      <c r="M67" s="190">
        <v>10367</v>
      </c>
      <c r="N67" s="190">
        <v>1111018</v>
      </c>
    </row>
    <row r="68" spans="1:14">
      <c r="A68">
        <v>225</v>
      </c>
      <c r="B68" s="190" t="s">
        <v>25</v>
      </c>
      <c r="C68" s="190">
        <v>0</v>
      </c>
      <c r="D68" s="190">
        <v>64</v>
      </c>
      <c r="E68" s="190">
        <v>2</v>
      </c>
      <c r="F68" s="190">
        <v>20</v>
      </c>
      <c r="G68" s="190">
        <v>55153</v>
      </c>
      <c r="H68" s="190">
        <v>1640593</v>
      </c>
      <c r="I68" s="190">
        <v>14322001</v>
      </c>
      <c r="J68" s="190">
        <v>33732</v>
      </c>
      <c r="K68" s="190">
        <v>0</v>
      </c>
      <c r="L68" s="190">
        <v>152489</v>
      </c>
      <c r="M68" s="190">
        <v>5076</v>
      </c>
      <c r="N68" s="190">
        <v>578234</v>
      </c>
    </row>
    <row r="69" spans="2:14">
      <c r="B69" s="190" t="s">
        <v>26</v>
      </c>
      <c r="C69" s="190">
        <v>9</v>
      </c>
      <c r="D69" s="190">
        <v>279</v>
      </c>
      <c r="E69" s="190">
        <v>4</v>
      </c>
      <c r="F69" s="190">
        <v>34</v>
      </c>
      <c r="G69" s="190">
        <v>174278</v>
      </c>
      <c r="H69" s="190">
        <v>3980911</v>
      </c>
      <c r="I69" s="190">
        <v>36062616</v>
      </c>
      <c r="J69" s="190">
        <v>203762</v>
      </c>
      <c r="K69" s="190">
        <v>0</v>
      </c>
      <c r="L69" s="190">
        <v>1543726</v>
      </c>
      <c r="M69" s="190">
        <v>19033</v>
      </c>
      <c r="N69" s="190">
        <v>1183377</v>
      </c>
    </row>
    <row r="70" spans="2:14">
      <c r="B70" s="190" t="s">
        <v>27</v>
      </c>
      <c r="C70" s="190">
        <v>0</v>
      </c>
      <c r="D70" s="190">
        <v>52</v>
      </c>
      <c r="E70" s="190">
        <v>3</v>
      </c>
      <c r="F70" s="190">
        <v>19</v>
      </c>
      <c r="G70" s="190">
        <v>68882</v>
      </c>
      <c r="H70" s="190">
        <v>2017581</v>
      </c>
      <c r="I70" s="190">
        <v>15150904</v>
      </c>
      <c r="J70" s="190">
        <v>40996</v>
      </c>
      <c r="K70" s="190">
        <v>0</v>
      </c>
      <c r="L70" s="190">
        <v>451939</v>
      </c>
      <c r="M70" s="190">
        <v>5852</v>
      </c>
      <c r="N70" s="190">
        <v>608154</v>
      </c>
    </row>
    <row r="71" spans="1:14">
      <c r="A71">
        <v>226</v>
      </c>
      <c r="B71" s="190" t="s">
        <v>25</v>
      </c>
      <c r="C71" s="190">
        <v>9</v>
      </c>
      <c r="D71" s="190">
        <v>338</v>
      </c>
      <c r="E71" s="190">
        <v>9</v>
      </c>
      <c r="F71" s="190">
        <v>35</v>
      </c>
      <c r="G71" s="190">
        <v>216742</v>
      </c>
      <c r="H71" s="190">
        <v>3340532</v>
      </c>
      <c r="I71" s="190">
        <v>41516410</v>
      </c>
      <c r="J71" s="190">
        <v>154071</v>
      </c>
      <c r="K71" s="190">
        <v>0</v>
      </c>
      <c r="L71" s="190">
        <v>1130709</v>
      </c>
      <c r="M71" s="190">
        <v>18043</v>
      </c>
      <c r="N71" s="190">
        <v>1245591</v>
      </c>
    </row>
    <row r="72" spans="2:14">
      <c r="B72" s="190" t="s">
        <v>26</v>
      </c>
      <c r="C72" s="190">
        <v>0</v>
      </c>
      <c r="D72" s="190">
        <v>25</v>
      </c>
      <c r="E72" s="190">
        <v>1</v>
      </c>
      <c r="F72" s="190">
        <v>21</v>
      </c>
      <c r="G72" s="190">
        <v>65904</v>
      </c>
      <c r="H72" s="190">
        <v>2196191</v>
      </c>
      <c r="I72" s="190">
        <v>16070784</v>
      </c>
      <c r="J72" s="190">
        <v>172200</v>
      </c>
      <c r="K72" s="190">
        <v>0</v>
      </c>
      <c r="L72" s="190">
        <v>337406</v>
      </c>
      <c r="M72" s="190">
        <v>9717</v>
      </c>
      <c r="N72" s="190">
        <v>871607</v>
      </c>
    </row>
    <row r="73" spans="2:14">
      <c r="B73" s="190" t="s">
        <v>27</v>
      </c>
      <c r="C73" s="190">
        <v>0</v>
      </c>
      <c r="D73" s="190">
        <v>32</v>
      </c>
      <c r="E73" s="190">
        <v>0</v>
      </c>
      <c r="F73" s="190">
        <v>14</v>
      </c>
      <c r="G73" s="190">
        <v>23080</v>
      </c>
      <c r="H73" s="190">
        <v>936983</v>
      </c>
      <c r="I73" s="190">
        <v>7858073</v>
      </c>
      <c r="J73" s="190">
        <v>20650</v>
      </c>
      <c r="K73" s="190">
        <v>0</v>
      </c>
      <c r="L73" s="190">
        <v>62697</v>
      </c>
      <c r="M73" s="190">
        <v>2809</v>
      </c>
      <c r="N73" s="190">
        <v>329082</v>
      </c>
    </row>
    <row r="74" spans="1:14">
      <c r="A74">
        <v>227</v>
      </c>
      <c r="B74" s="190" t="s">
        <v>25</v>
      </c>
      <c r="C74" s="190">
        <v>3</v>
      </c>
      <c r="D74" s="190">
        <v>82</v>
      </c>
      <c r="E74" s="190">
        <v>2</v>
      </c>
      <c r="F74" s="190">
        <v>24</v>
      </c>
      <c r="G74" s="190">
        <v>84815</v>
      </c>
      <c r="H74" s="190">
        <v>3307857</v>
      </c>
      <c r="I74" s="190">
        <v>24755274</v>
      </c>
      <c r="J74" s="190">
        <v>102624</v>
      </c>
      <c r="K74" s="190">
        <v>0</v>
      </c>
      <c r="L74" s="190">
        <v>388369</v>
      </c>
      <c r="M74" s="190">
        <v>10600</v>
      </c>
      <c r="N74" s="190">
        <v>1044336</v>
      </c>
    </row>
    <row r="75" spans="2:14">
      <c r="B75" s="190" t="s">
        <v>26</v>
      </c>
      <c r="C75" s="190">
        <v>2</v>
      </c>
      <c r="D75" s="190">
        <v>91</v>
      </c>
      <c r="E75" s="190">
        <v>3</v>
      </c>
      <c r="F75" s="190">
        <v>11</v>
      </c>
      <c r="G75" s="190">
        <v>48100</v>
      </c>
      <c r="H75" s="190">
        <v>3108564</v>
      </c>
      <c r="I75" s="190">
        <v>15025964</v>
      </c>
      <c r="J75" s="190">
        <v>129160</v>
      </c>
      <c r="K75" s="190">
        <v>0</v>
      </c>
      <c r="L75" s="190">
        <v>266296</v>
      </c>
      <c r="M75" s="190">
        <v>9969</v>
      </c>
      <c r="N75" s="190">
        <v>988071</v>
      </c>
    </row>
    <row r="76" spans="2:14">
      <c r="B76" s="190" t="s">
        <v>27</v>
      </c>
      <c r="C76" s="190">
        <v>4</v>
      </c>
      <c r="D76" s="190">
        <v>222</v>
      </c>
      <c r="E76" s="190">
        <v>5</v>
      </c>
      <c r="F76" s="190">
        <v>46</v>
      </c>
      <c r="G76" s="190">
        <v>195278</v>
      </c>
      <c r="H76" s="190">
        <v>4225051</v>
      </c>
      <c r="I76" s="190">
        <v>54877309</v>
      </c>
      <c r="J76" s="190">
        <v>228654</v>
      </c>
      <c r="K76" s="190">
        <v>0</v>
      </c>
      <c r="L76" s="190">
        <v>562508</v>
      </c>
      <c r="M76" s="190">
        <v>20450</v>
      </c>
      <c r="N76" s="190">
        <v>1192963</v>
      </c>
    </row>
    <row r="77" spans="1:14">
      <c r="A77">
        <v>228</v>
      </c>
      <c r="B77" s="190" t="s">
        <v>25</v>
      </c>
      <c r="C77" s="190">
        <v>0</v>
      </c>
      <c r="D77" s="190">
        <v>38</v>
      </c>
      <c r="E77" s="190">
        <v>1</v>
      </c>
      <c r="F77" s="190">
        <v>11</v>
      </c>
      <c r="G77" s="190">
        <v>54511</v>
      </c>
      <c r="H77" s="190">
        <v>1351960</v>
      </c>
      <c r="I77" s="190">
        <v>7467357</v>
      </c>
      <c r="J77" s="190">
        <v>8370</v>
      </c>
      <c r="K77" s="190">
        <v>0</v>
      </c>
      <c r="L77" s="190">
        <v>115883</v>
      </c>
      <c r="M77" s="190">
        <v>3060</v>
      </c>
      <c r="N77" s="190">
        <v>412083</v>
      </c>
    </row>
    <row r="78" spans="2:14">
      <c r="B78" s="190" t="s">
        <v>26</v>
      </c>
      <c r="C78" s="190">
        <v>1</v>
      </c>
      <c r="D78" s="190">
        <v>101</v>
      </c>
      <c r="E78" s="190">
        <v>2</v>
      </c>
      <c r="F78" s="190">
        <v>22</v>
      </c>
      <c r="G78" s="190">
        <v>89595</v>
      </c>
      <c r="H78" s="190">
        <v>2587496</v>
      </c>
      <c r="I78" s="190">
        <v>15383168</v>
      </c>
      <c r="J78" s="190">
        <v>76062</v>
      </c>
      <c r="K78" s="190">
        <v>0</v>
      </c>
      <c r="L78" s="190">
        <v>440913</v>
      </c>
      <c r="M78" s="190">
        <v>8186</v>
      </c>
      <c r="N78" s="190">
        <v>917284</v>
      </c>
    </row>
    <row r="79" spans="2:14">
      <c r="B79" s="190" t="s">
        <v>27</v>
      </c>
      <c r="C79" s="190">
        <v>8</v>
      </c>
      <c r="D79" s="190">
        <v>256</v>
      </c>
      <c r="E79" s="190">
        <v>7</v>
      </c>
      <c r="F79" s="190">
        <v>25</v>
      </c>
      <c r="G79" s="190">
        <v>162445</v>
      </c>
      <c r="H79" s="190">
        <v>3430768</v>
      </c>
      <c r="I79" s="190">
        <v>27055856</v>
      </c>
      <c r="J79" s="190">
        <v>229196</v>
      </c>
      <c r="K79" s="190">
        <v>30</v>
      </c>
      <c r="L79" s="190">
        <v>523241</v>
      </c>
      <c r="M79" s="190">
        <v>17446</v>
      </c>
      <c r="N79" s="190">
        <v>991920</v>
      </c>
    </row>
    <row r="80" spans="1:14">
      <c r="A80">
        <v>229</v>
      </c>
      <c r="B80" s="190" t="s">
        <v>25</v>
      </c>
      <c r="C80" s="190">
        <v>0</v>
      </c>
      <c r="D80" s="190">
        <v>18</v>
      </c>
      <c r="E80" s="190">
        <v>0</v>
      </c>
      <c r="F80" s="190">
        <v>15</v>
      </c>
      <c r="G80" s="190">
        <v>46515</v>
      </c>
      <c r="H80" s="190">
        <v>1049369</v>
      </c>
      <c r="I80" s="190">
        <v>6997349</v>
      </c>
      <c r="J80" s="190">
        <v>5864</v>
      </c>
      <c r="K80" s="190">
        <v>0</v>
      </c>
      <c r="L80" s="190">
        <v>37991</v>
      </c>
      <c r="M80" s="190">
        <v>2356</v>
      </c>
      <c r="N80" s="190">
        <v>336331</v>
      </c>
    </row>
    <row r="81" spans="2:14">
      <c r="B81" s="190" t="s">
        <v>26</v>
      </c>
      <c r="C81" s="190">
        <v>8</v>
      </c>
      <c r="D81" s="190">
        <v>315</v>
      </c>
      <c r="E81" s="190">
        <v>10</v>
      </c>
      <c r="F81" s="190">
        <v>26</v>
      </c>
      <c r="G81" s="190">
        <v>182605</v>
      </c>
      <c r="H81" s="190">
        <v>2318784</v>
      </c>
      <c r="I81" s="190">
        <v>26810836</v>
      </c>
      <c r="J81" s="190">
        <v>58664</v>
      </c>
      <c r="K81" s="190">
        <v>0</v>
      </c>
      <c r="L81" s="190">
        <v>264238</v>
      </c>
      <c r="M81" s="190">
        <v>11754</v>
      </c>
      <c r="N81" s="190">
        <v>659559</v>
      </c>
    </row>
    <row r="82" spans="2:14">
      <c r="B82" s="190" t="s">
        <v>27</v>
      </c>
      <c r="C82" s="190">
        <v>1</v>
      </c>
      <c r="D82" s="190">
        <v>62</v>
      </c>
      <c r="E82" s="190">
        <v>0</v>
      </c>
      <c r="F82" s="190">
        <v>23</v>
      </c>
      <c r="G82" s="190">
        <v>87462</v>
      </c>
      <c r="H82" s="190">
        <v>1584481</v>
      </c>
      <c r="I82" s="190">
        <v>12290314</v>
      </c>
      <c r="J82" s="190">
        <v>10742</v>
      </c>
      <c r="K82" s="190">
        <v>0</v>
      </c>
      <c r="L82" s="190">
        <v>121160</v>
      </c>
      <c r="M82" s="190">
        <v>4353</v>
      </c>
      <c r="N82" s="190">
        <v>519896</v>
      </c>
    </row>
  </sheetData>
  <conditionalFormatting sqref="F35:F37">
    <cfRule type="dataBar" priority="10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{cf16466f-4467-4a2c-92b3-323c3d8821b5}</x14:id>
        </ext>
      </extLst>
    </cfRule>
  </conditionalFormatting>
  <conditionalFormatting sqref="F38:F40">
    <cfRule type="dataBar" priority="10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{4ee040f6-7f6a-47ad-a39a-8e65b1eed8b3}</x14:id>
        </ext>
      </extLst>
    </cfRule>
  </conditionalFormatting>
  <conditionalFormatting sqref="F41:F43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{334c6c57-3143-4db7-8c0e-623abe07a54c}</x14:id>
        </ext>
      </extLst>
    </cfRule>
  </conditionalFormatting>
  <conditionalFormatting sqref="F44:F46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{bd1adf21-9713-4654-bec3-38853b975f85}</x14:id>
        </ext>
      </extLst>
    </cfRule>
  </conditionalFormatting>
  <conditionalFormatting sqref="F47:F49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{7d7960fb-52ef-4e8c-a7ca-97bdd19ab3ca}</x14:id>
        </ext>
      </extLst>
    </cfRule>
  </conditionalFormatting>
  <conditionalFormatting sqref="G35:G37">
    <cfRule type="dataBar" priority="1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{804c634d-eeba-4b64-bf00-6a338c8d9403}</x14:id>
        </ext>
      </extLst>
    </cfRule>
  </conditionalFormatting>
  <conditionalFormatting sqref="G38:G40">
    <cfRule type="dataBar" priority="10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{08a0be8b-b84e-4038-94b0-7c015beb9515}</x14:id>
        </ext>
      </extLst>
    </cfRule>
  </conditionalFormatting>
  <conditionalFormatting sqref="G41:G43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{fa64bacd-1d42-4a68-9a77-9d62b47dc56f}</x14:id>
        </ext>
      </extLst>
    </cfRule>
  </conditionalFormatting>
  <conditionalFormatting sqref="G44:G46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{e2217186-becc-41cd-8a81-aabba5d309f4}</x14:id>
        </ext>
      </extLst>
    </cfRule>
  </conditionalFormatting>
  <conditionalFormatting sqref="G47:G49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{9ac83ba2-1e28-4e2b-a8da-ed6b50632503}</x14:id>
        </ext>
      </extLst>
    </cfRule>
  </conditionalFormatting>
  <conditionalFormatting sqref="N35:N40">
    <cfRule type="dataBar" priority="10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{c539e70f-3eca-42dc-ad42-d0237d33b74d}</x14:id>
        </ext>
      </extLst>
    </cfRule>
  </conditionalFormatting>
  <conditionalFormatting sqref="N41:N43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{6bea6ef3-5e73-4105-bcf8-cb42c44ed51b}</x14:id>
        </ext>
      </extLst>
    </cfRule>
  </conditionalFormatting>
  <conditionalFormatting sqref="N44:N46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{f015ad23-34dc-47b9-ad3e-2bcd3854e808}</x14:id>
        </ext>
      </extLst>
    </cfRule>
  </conditionalFormatting>
  <conditionalFormatting sqref="N47:N49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{a40e1f56-ed28-42f6-820e-2a6460c54cac}</x14:id>
        </ext>
      </extLst>
    </cfRule>
  </conditionalFormatting>
  <conditionalFormatting sqref="O2:O3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{97de4992-9006-490f-bfaf-c09aec8b2e94}</x14:id>
        </ext>
      </extLst>
    </cfRule>
  </conditionalFormatting>
  <conditionalFormatting sqref="P2:P3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{99fb0bab-d1b3-4e42-a646-0c258e51297d}</x14:id>
        </ext>
      </extLst>
    </cfRule>
  </conditionalFormatting>
  <conditionalFormatting sqref="P35:P44">
    <cfRule type="cellIs" dxfId="37" priority="3" operator="equal">
      <formula>$Q$47</formula>
    </cfRule>
  </conditionalFormatting>
  <conditionalFormatting sqref="Q2:Q13">
    <cfRule type="cellIs" dxfId="38" priority="104" operator="equal">
      <formula>配置!$D$4</formula>
    </cfRule>
    <cfRule type="cellIs" dxfId="39" priority="105" operator="equal">
      <formula>配置!$D$3</formula>
    </cfRule>
    <cfRule type="cellIs" dxfId="37" priority="106" operator="equal">
      <formula>配置!$D$2</formula>
    </cfRule>
  </conditionalFormatting>
  <conditionalFormatting sqref="Q14:Q16">
    <cfRule type="cellIs" dxfId="38" priority="98" operator="equal">
      <formula>配置!$D$4</formula>
    </cfRule>
    <cfRule type="cellIs" dxfId="39" priority="99" operator="equal">
      <formula>配置!$D$3</formula>
    </cfRule>
    <cfRule type="cellIs" dxfId="37" priority="100" operator="equal">
      <formula>配置!$D$2</formula>
    </cfRule>
  </conditionalFormatting>
  <conditionalFormatting sqref="Q17:Q19">
    <cfRule type="cellIs" dxfId="38" priority="93" operator="equal">
      <formula>配置!$D$4</formula>
    </cfRule>
    <cfRule type="cellIs" dxfId="39" priority="94" operator="equal">
      <formula>配置!$D$3</formula>
    </cfRule>
    <cfRule type="cellIs" dxfId="37" priority="95" operator="equal">
      <formula>配置!$D$2</formula>
    </cfRule>
  </conditionalFormatting>
  <conditionalFormatting sqref="Q20:Q22">
    <cfRule type="cellIs" dxfId="38" priority="88" operator="equal">
      <formula>配置!$D$4</formula>
    </cfRule>
    <cfRule type="cellIs" dxfId="39" priority="89" operator="equal">
      <formula>配置!$D$3</formula>
    </cfRule>
    <cfRule type="cellIs" dxfId="37" priority="90" operator="equal">
      <formula>配置!$D$2</formula>
    </cfRule>
  </conditionalFormatting>
  <conditionalFormatting sqref="Q23:Q25">
    <cfRule type="cellIs" dxfId="38" priority="83" operator="equal">
      <formula>配置!$D$4</formula>
    </cfRule>
    <cfRule type="cellIs" dxfId="39" priority="84" operator="equal">
      <formula>配置!$D$3</formula>
    </cfRule>
    <cfRule type="cellIs" dxfId="37" priority="85" operator="equal">
      <formula>配置!$D$2</formula>
    </cfRule>
  </conditionalFormatting>
  <conditionalFormatting sqref="Q26:Q28">
    <cfRule type="cellIs" dxfId="38" priority="78" operator="equal">
      <formula>配置!$D$4</formula>
    </cfRule>
    <cfRule type="cellIs" dxfId="39" priority="79" operator="equal">
      <formula>配置!$D$3</formula>
    </cfRule>
    <cfRule type="cellIs" dxfId="37" priority="80" operator="equal">
      <formula>配置!$D$2</formula>
    </cfRule>
  </conditionalFormatting>
  <conditionalFormatting sqref="Q29:Q31">
    <cfRule type="cellIs" dxfId="38" priority="73" operator="equal">
      <formula>配置!$D$4</formula>
    </cfRule>
    <cfRule type="cellIs" dxfId="39" priority="74" operator="equal">
      <formula>配置!$D$3</formula>
    </cfRule>
    <cfRule type="cellIs" dxfId="37" priority="75" operator="equal">
      <formula>配置!$D$2</formula>
    </cfRule>
  </conditionalFormatting>
  <conditionalFormatting sqref="R35:R39">
    <cfRule type="cellIs" dxfId="37" priority="4" operator="equal">
      <formula>$Q$47</formula>
    </cfRule>
  </conditionalFormatting>
  <conditionalFormatting sqref="O32:O33 Q1:R1 Q2 Q4:Q5 Q7:Q8 Q10:Q11 Q13">
    <cfRule type="cellIs" dxfId="37" priority="112" operator="equal">
      <formula>配置!$D$2</formula>
    </cfRule>
  </conditionalFormatting>
  <conditionalFormatting sqref="Q2 Q4:Q5 Q7:Q8 Q10:Q11 Q13">
    <cfRule type="cellIs" dxfId="38" priority="111" operator="equal">
      <formula>配置!$D$4</formula>
    </cfRule>
  </conditionalFormatting>
  <conditionalFormatting sqref="Q14 Q16">
    <cfRule type="cellIs" dxfId="38" priority="101" operator="equal">
      <formula>配置!$D$4</formula>
    </cfRule>
    <cfRule type="cellIs" dxfId="37" priority="102" operator="equal">
      <formula>配置!$D$2</formula>
    </cfRule>
  </conditionalFormatting>
  <conditionalFormatting sqref="Q17 Q19">
    <cfRule type="cellIs" dxfId="38" priority="96" operator="equal">
      <formula>配置!$D$4</formula>
    </cfRule>
    <cfRule type="cellIs" dxfId="37" priority="97" operator="equal">
      <formula>配置!$D$2</formula>
    </cfRule>
  </conditionalFormatting>
  <conditionalFormatting sqref="Q20 Q22">
    <cfRule type="cellIs" dxfId="38" priority="91" operator="equal">
      <formula>配置!$D$4</formula>
    </cfRule>
    <cfRule type="cellIs" dxfId="37" priority="92" operator="equal">
      <formula>配置!$D$2</formula>
    </cfRule>
  </conditionalFormatting>
  <conditionalFormatting sqref="Q23 Q25">
    <cfRule type="cellIs" dxfId="38" priority="86" operator="equal">
      <formula>配置!$D$4</formula>
    </cfRule>
    <cfRule type="cellIs" dxfId="37" priority="87" operator="equal">
      <formula>配置!$D$2</formula>
    </cfRule>
  </conditionalFormatting>
  <conditionalFormatting sqref="Q26 Q28">
    <cfRule type="cellIs" dxfId="38" priority="81" operator="equal">
      <formula>配置!$D$4</formula>
    </cfRule>
    <cfRule type="cellIs" dxfId="37" priority="82" operator="equal">
      <formula>配置!$D$2</formula>
    </cfRule>
  </conditionalFormatting>
  <conditionalFormatting sqref="Q29 Q31">
    <cfRule type="cellIs" dxfId="38" priority="76" operator="equal">
      <formula>配置!$D$4</formula>
    </cfRule>
    <cfRule type="cellIs" dxfId="37" priority="77" operator="equal">
      <formula>配置!$D$2</formula>
    </cfRule>
  </conditionalFormatting>
  <dataValidations count="1">
    <dataValidation type="list" allowBlank="1" showInputMessage="1" showErrorMessage="1" sqref="Q2:Q13 Q14:Q16 Q17:Q19 Q20:Q22 Q23:Q25 Q26:Q28 Q29:Q31">
      <formula1>配置!$D$2:$D$4</formula1>
    </dataValidation>
  </dataValidations>
  <pageMargins left="0.75" right="0.75" top="1" bottom="1" header="0.5" footer="0.5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f16466f-4467-4a2c-92b3-323c3d8821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F35:F37</xm:sqref>
        </x14:conditionalFormatting>
        <x14:conditionalFormatting xmlns:xm="http://schemas.microsoft.com/office/excel/2006/main">
          <x14:cfRule type="dataBar" id="{4ee040f6-7f6a-47ad-a39a-8e65b1eed8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F38:F40</xm:sqref>
        </x14:conditionalFormatting>
        <x14:conditionalFormatting xmlns:xm="http://schemas.microsoft.com/office/excel/2006/main">
          <x14:cfRule type="dataBar" id="{334c6c57-3143-4db7-8c0e-623abe07a5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F41:F43</xm:sqref>
        </x14:conditionalFormatting>
        <x14:conditionalFormatting xmlns:xm="http://schemas.microsoft.com/office/excel/2006/main">
          <x14:cfRule type="dataBar" id="{bd1adf21-9713-4654-bec3-38853b975f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F44:F46</xm:sqref>
        </x14:conditionalFormatting>
        <x14:conditionalFormatting xmlns:xm="http://schemas.microsoft.com/office/excel/2006/main">
          <x14:cfRule type="dataBar" id="{7d7960fb-52ef-4e8c-a7ca-97bdd19ab3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F47:F49</xm:sqref>
        </x14:conditionalFormatting>
        <x14:conditionalFormatting xmlns:xm="http://schemas.microsoft.com/office/excel/2006/main">
          <x14:cfRule type="dataBar" id="{804c634d-eeba-4b64-bf00-6a338c8d94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G35:G37</xm:sqref>
        </x14:conditionalFormatting>
        <x14:conditionalFormatting xmlns:xm="http://schemas.microsoft.com/office/excel/2006/main">
          <x14:cfRule type="dataBar" id="{08a0be8b-b84e-4038-94b0-7c015beb95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G38:G40</xm:sqref>
        </x14:conditionalFormatting>
        <x14:conditionalFormatting xmlns:xm="http://schemas.microsoft.com/office/excel/2006/main">
          <x14:cfRule type="dataBar" id="{fa64bacd-1d42-4a68-9a77-9d62b47dc5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G41:G43</xm:sqref>
        </x14:conditionalFormatting>
        <x14:conditionalFormatting xmlns:xm="http://schemas.microsoft.com/office/excel/2006/main">
          <x14:cfRule type="dataBar" id="{e2217186-becc-41cd-8a81-aabba5d309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G44:G46</xm:sqref>
        </x14:conditionalFormatting>
        <x14:conditionalFormatting xmlns:xm="http://schemas.microsoft.com/office/excel/2006/main">
          <x14:cfRule type="dataBar" id="{9ac83ba2-1e28-4e2b-a8da-ed6b506325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G47:G49</xm:sqref>
        </x14:conditionalFormatting>
        <x14:conditionalFormatting xmlns:xm="http://schemas.microsoft.com/office/excel/2006/main">
          <x14:cfRule type="dataBar" id="{c539e70f-3eca-42dc-ad42-d0237d33b7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N35:N40</xm:sqref>
        </x14:conditionalFormatting>
        <x14:conditionalFormatting xmlns:xm="http://schemas.microsoft.com/office/excel/2006/main">
          <x14:cfRule type="dataBar" id="{6bea6ef3-5e73-4105-bcf8-cb42c44ed5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N41:N43</xm:sqref>
        </x14:conditionalFormatting>
        <x14:conditionalFormatting xmlns:xm="http://schemas.microsoft.com/office/excel/2006/main">
          <x14:cfRule type="dataBar" id="{f015ad23-34dc-47b9-ad3e-2bcd3854e8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N44:N46</xm:sqref>
        </x14:conditionalFormatting>
        <x14:conditionalFormatting xmlns:xm="http://schemas.microsoft.com/office/excel/2006/main">
          <x14:cfRule type="dataBar" id="{a40e1f56-ed28-42f6-820e-2a6460c54c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N47:N49</xm:sqref>
        </x14:conditionalFormatting>
        <x14:conditionalFormatting xmlns:xm="http://schemas.microsoft.com/office/excel/2006/main">
          <x14:cfRule type="dataBar" id="{97de4992-9006-490f-bfaf-c09aec8b2e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O2:O31</xm:sqref>
        </x14:conditionalFormatting>
        <x14:conditionalFormatting xmlns:xm="http://schemas.microsoft.com/office/excel/2006/main">
          <x14:cfRule type="dataBar" id="{99fb0bab-d1b3-4e42-a646-0c258e5129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P2:P31</xm:sqref>
        </x14:conditionalFormatting>
      </x14:conditionalFormatting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97"/>
  <sheetViews>
    <sheetView topLeftCell="A22" workbookViewId="0">
      <selection activeCell="N32" sqref="N32:S37"/>
    </sheetView>
  </sheetViews>
  <sheetFormatPr defaultColWidth="9" defaultRowHeight="13.5"/>
  <cols>
    <col min="7" max="7" width="10.625" customWidth="1"/>
    <col min="9" max="9" width="9.375"/>
    <col min="14" max="14" width="9.375"/>
    <col min="16" max="16" width="10.375" customWidth="1"/>
  </cols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12" customFormat="1" ht="14.25" customHeight="1" spans="1:25">
      <c r="A2" s="91">
        <v>5277</v>
      </c>
      <c r="B2" s="91">
        <f>VLOOKUP(表1_86121822242672112110114[[#This Row],[区服]],$P$41:$Q$52,2,FALSE)</f>
        <v>37</v>
      </c>
      <c r="C2" s="92" t="s">
        <v>276</v>
      </c>
      <c r="D2" s="313" t="str">
        <f>表1_86121822242672112110114[[#This Row],[目标国家]]</f>
        <v>吴</v>
      </c>
      <c r="E2" s="94">
        <f>(VLOOKUP(表1_86121822242672112110114[[#This Row],[目标区服]],$R$41:$S$44,2,FALSE)-表1_86121822242672112110114[[#This Row],[开服天数]])*配置!$B$1</f>
        <v>1000</v>
      </c>
      <c r="F2" s="94">
        <f>表1_86121822242672112110114[[#This Row],[补偿Coin]]*(表1_86121822242672112110114[[#This Row],[活跃高战玩家数]]+表1_86121822242672112110114[[#This Row],[活跃中坚玩家数]])</f>
        <v>32000</v>
      </c>
      <c r="G2" s="94">
        <f>(VLOOKUP(表1_86121822242672112110114[[#This Row],[目标区服]],$R$41:$S$44,2,FALSE)-表1_86121822242672112110114[[#This Row],[开服天数]])*配置!$B$2</f>
        <v>10</v>
      </c>
      <c r="H2" s="93" t="s">
        <v>25</v>
      </c>
      <c r="I2" s="93">
        <f>IF(表1_86121822242672112110114[[#This Row],[原国家]]="魏",0,IF(表1_86121822242672112110114[[#This Row],[原国家]]="蜀",1,2))</f>
        <v>0</v>
      </c>
      <c r="J2" s="325">
        <v>6</v>
      </c>
      <c r="K2" s="325">
        <v>252</v>
      </c>
      <c r="L2" s="325">
        <v>5</v>
      </c>
      <c r="M2" s="325">
        <v>27</v>
      </c>
      <c r="N2" s="325">
        <v>140915</v>
      </c>
      <c r="O2" s="326">
        <v>2443997</v>
      </c>
      <c r="P2" s="326">
        <v>21554002</v>
      </c>
      <c r="Q2" s="137" t="s">
        <v>27</v>
      </c>
      <c r="R2" s="93">
        <f>IF(表1_86121822242672112110114[[#This Row],[目标国家]]="魏",0,IF(表1_86121822242672112110114[[#This Row],[目标国家]]="蜀",1,2))</f>
        <v>2</v>
      </c>
      <c r="S2" s="325">
        <v>44360</v>
      </c>
      <c r="T2" s="325">
        <v>0</v>
      </c>
      <c r="U2" s="325">
        <v>432164</v>
      </c>
      <c r="V2" s="325">
        <v>9970</v>
      </c>
      <c r="W2" s="336">
        <v>659389</v>
      </c>
      <c r="X2" s="140" t="str">
        <f>"{"&amp;"'coin':"&amp;表1_86121822242672112110114[[#This Row],[补偿Coin]]&amp;",'"&amp;配置!$A$2&amp;"':"&amp;表1_86121822242672112110114[[#This Row],[补偿辎重]]&amp;"},"</f>
        <v>{'coin':1000,'item036':10},</v>
      </c>
      <c r="Y2" s="138" t="str">
        <f>"      '"&amp;表1_86121822242672112110114[[#This Row],[区服]]&amp;"':{"</f>
        <v>      '5277':{</v>
      </c>
    </row>
    <row r="3" s="312" customFormat="1" ht="14.25" customHeight="1" spans="1:25">
      <c r="A3" s="91">
        <v>5277</v>
      </c>
      <c r="B3" s="91">
        <f>VLOOKUP(表1_86121822242672112110114[[#This Row],[区服]],$P$41:$Q$52,2,FALSE)</f>
        <v>37</v>
      </c>
      <c r="C3" s="92" t="s">
        <v>276</v>
      </c>
      <c r="D3" s="93" t="str">
        <f>表1_86121822242672112110114[[#This Row],[目标国家]]</f>
        <v>魏</v>
      </c>
      <c r="E3" s="95">
        <f>(VLOOKUP(表1_86121822242672112110114[[#This Row],[目标区服]],$R$41:$S$44,2,FALSE)-表1_86121822242672112110114[[#This Row],[开服天数]])*配置!$B$1</f>
        <v>1000</v>
      </c>
      <c r="F3" s="95">
        <f>表1_86121822242672112110114[[#This Row],[补偿Coin]]*(表1_86121822242672112110114[[#This Row],[活跃高战玩家数]]+表1_86121822242672112110114[[#This Row],[活跃中坚玩家数]])</f>
        <v>15000</v>
      </c>
      <c r="G3" s="95">
        <f>(VLOOKUP(表1_86121822242672112110114[[#This Row],[目标区服]],$R$41:$S$44,2,FALSE)-表1_86121822242672112110114[[#This Row],[开服天数]])*配置!$B$2</f>
        <v>10</v>
      </c>
      <c r="H3" s="93" t="s">
        <v>26</v>
      </c>
      <c r="I3" s="93">
        <f>IF(表1_86121822242672112110114[[#This Row],[原国家]]="魏",0,IF(表1_86121822242672112110114[[#This Row],[原国家]]="蜀",1,2))</f>
        <v>1</v>
      </c>
      <c r="J3" s="325">
        <v>1</v>
      </c>
      <c r="K3" s="325">
        <v>62</v>
      </c>
      <c r="L3" s="325">
        <v>2</v>
      </c>
      <c r="M3" s="325">
        <v>13</v>
      </c>
      <c r="N3" s="325">
        <v>60785</v>
      </c>
      <c r="O3" s="326">
        <v>1406124</v>
      </c>
      <c r="P3" s="326">
        <v>8957662</v>
      </c>
      <c r="Q3" s="137" t="s">
        <v>25</v>
      </c>
      <c r="R3" s="93">
        <f>IF(表1_86121822242672112110114[[#This Row],[目标国家]]="魏",0,IF(表1_86121822242672112110114[[#This Row],[目标国家]]="蜀",1,2))</f>
        <v>0</v>
      </c>
      <c r="S3" s="325">
        <v>25810</v>
      </c>
      <c r="T3" s="325">
        <v>0</v>
      </c>
      <c r="U3" s="325">
        <v>99372</v>
      </c>
      <c r="V3" s="325">
        <v>4149</v>
      </c>
      <c r="W3" s="325">
        <v>423587</v>
      </c>
      <c r="X3" s="140" t="str">
        <f>"{"&amp;"'coin':"&amp;表1_86121822242672112110114[[#This Row],[补偿Coin]]&amp;",'"&amp;配置!$A$2&amp;"':"&amp;表1_86121822242672112110114[[#This Row],[补偿辎重]]&amp;"},"</f>
        <v>{'coin':1000,'item036':10},</v>
      </c>
      <c r="Y3" s="138" t="str">
        <f>"            'to_zone':'"&amp;表1_86121822242672112110114[[#This Row],[目标区服]]&amp;"',
            'reward':"&amp;表1_86121822242672112110114[[#This Row],[辅助导出]]&amp;"
            'country':["&amp;R2&amp;","&amp;R3&amp;","&amp;R4&amp;"],"</f>
        <v>            'to_zone':'h1_614',
            'reward':{'coin':1000,'item036':10},
            'country':[2,0,2],</v>
      </c>
    </row>
    <row r="4" s="312" customFormat="1" ht="14.25" customHeight="1" spans="1:25">
      <c r="A4" s="91">
        <v>5277</v>
      </c>
      <c r="B4" s="91">
        <f>VLOOKUP(表1_86121822242672112110114[[#This Row],[区服]],$P$41:$Q$52,2,FALSE)</f>
        <v>37</v>
      </c>
      <c r="C4" s="92" t="s">
        <v>276</v>
      </c>
      <c r="D4" s="93" t="str">
        <f>表1_86121822242672112110114[[#This Row],[目标国家]]</f>
        <v>吴</v>
      </c>
      <c r="E4" s="95">
        <f>(VLOOKUP(表1_86121822242672112110114[[#This Row],[目标区服]],$R$41:$S$44,2,FALSE)-表1_86121822242672112110114[[#This Row],[开服天数]])*配置!$B$1</f>
        <v>1000</v>
      </c>
      <c r="F4" s="95">
        <f>表1_86121822242672112110114[[#This Row],[补偿Coin]]*(表1_86121822242672112110114[[#This Row],[活跃高战玩家数]]+表1_86121822242672112110114[[#This Row],[活跃中坚玩家数]])</f>
        <v>14000</v>
      </c>
      <c r="G4" s="95">
        <f>(VLOOKUP(表1_86121822242672112110114[[#This Row],[目标区服]],$R$41:$S$44,2,FALSE)-表1_86121822242672112110114[[#This Row],[开服天数]])*配置!$B$2</f>
        <v>10</v>
      </c>
      <c r="H4" s="93" t="s">
        <v>27</v>
      </c>
      <c r="I4" s="93">
        <f>IF(表1_86121822242672112110114[[#This Row],[原国家]]="魏",0,IF(表1_86121822242672112110114[[#This Row],[原国家]]="蜀",1,2))</f>
        <v>2</v>
      </c>
      <c r="J4" s="325">
        <v>2</v>
      </c>
      <c r="K4" s="325">
        <v>81</v>
      </c>
      <c r="L4" s="325">
        <v>2</v>
      </c>
      <c r="M4" s="325">
        <v>12</v>
      </c>
      <c r="N4" s="325">
        <v>61323</v>
      </c>
      <c r="O4" s="326">
        <v>1412942</v>
      </c>
      <c r="P4" s="326">
        <v>8766219</v>
      </c>
      <c r="Q4" s="137" t="s">
        <v>27</v>
      </c>
      <c r="R4" s="93">
        <f>IF(表1_86121822242672112110114[[#This Row],[目标国家]]="魏",0,IF(表1_86121822242672112110114[[#This Row],[目标国家]]="蜀",1,2))</f>
        <v>2</v>
      </c>
      <c r="S4" s="325">
        <v>6308</v>
      </c>
      <c r="T4" s="325">
        <v>0</v>
      </c>
      <c r="U4" s="325">
        <v>81120</v>
      </c>
      <c r="V4" s="325">
        <v>3835</v>
      </c>
      <c r="W4" s="325">
        <v>411904</v>
      </c>
      <c r="X4" s="140" t="str">
        <f>"{"&amp;"'coin':"&amp;表1_86121822242672112110114[[#This Row],[补偿Coin]]&amp;",'"&amp;配置!$A$2&amp;"':"&amp;表1_86121822242672112110114[[#This Row],[补偿辎重]]&amp;"},"</f>
        <v>{'coin':1000,'item036':10},</v>
      </c>
      <c r="Y4" s="138" t="str">
        <f>"      },"</f>
        <v>      },</v>
      </c>
    </row>
    <row r="5" s="312" customFormat="1" ht="14.25" customHeight="1" spans="1:25">
      <c r="A5" s="314">
        <v>5278</v>
      </c>
      <c r="B5" s="91">
        <f>VLOOKUP(表1_86121822242672112110114[[#This Row],[区服]],$P$41:$Q$52,2,FALSE)</f>
        <v>37</v>
      </c>
      <c r="C5" s="92" t="s">
        <v>276</v>
      </c>
      <c r="D5" s="93" t="str">
        <f>表1_86121822242672112110114[[#This Row],[目标国家]]</f>
        <v>魏</v>
      </c>
      <c r="E5" s="95">
        <f>(VLOOKUP(表1_86121822242672112110114[[#This Row],[目标区服]],$R$41:$S$44,2,FALSE)-表1_86121822242672112110114[[#This Row],[开服天数]])*配置!$B$1</f>
        <v>1000</v>
      </c>
      <c r="F5" s="95">
        <f>表1_86121822242672112110114[[#This Row],[补偿Coin]]*(表1_86121822242672112110114[[#This Row],[活跃高战玩家数]]+表1_86121822242672112110114[[#This Row],[活跃中坚玩家数]])</f>
        <v>24000</v>
      </c>
      <c r="G5" s="95">
        <f>(VLOOKUP(表1_86121822242672112110114[[#This Row],[目标区服]],$R$41:$S$44,2,FALSE)-表1_86121822242672112110114[[#This Row],[开服天数]])*配置!$B$2</f>
        <v>10</v>
      </c>
      <c r="H5" s="93" t="s">
        <v>25</v>
      </c>
      <c r="I5" s="93">
        <f>IF(表1_86121822242672112110114[[#This Row],[原国家]]="魏",0,IF(表1_86121822242672112110114[[#This Row],[原国家]]="蜀",1,2))</f>
        <v>0</v>
      </c>
      <c r="J5" s="325">
        <v>4</v>
      </c>
      <c r="K5" s="325">
        <v>148</v>
      </c>
      <c r="L5" s="325">
        <v>7</v>
      </c>
      <c r="M5" s="325">
        <v>17</v>
      </c>
      <c r="N5" s="325">
        <v>140394</v>
      </c>
      <c r="O5" s="326">
        <v>2288836</v>
      </c>
      <c r="P5" s="326">
        <v>20252271</v>
      </c>
      <c r="Q5" s="137" t="s">
        <v>25</v>
      </c>
      <c r="R5" s="93">
        <f>IF(表1_86121822242672112110114[[#This Row],[目标国家]]="魏",0,IF(表1_86121822242672112110114[[#This Row],[目标国家]]="蜀",1,2))</f>
        <v>0</v>
      </c>
      <c r="S5" s="325">
        <v>37086</v>
      </c>
      <c r="T5" s="325">
        <v>0</v>
      </c>
      <c r="U5" s="325">
        <v>388845</v>
      </c>
      <c r="V5" s="325">
        <v>8203</v>
      </c>
      <c r="W5" s="336">
        <v>854773</v>
      </c>
      <c r="X5" s="140" t="str">
        <f>"{"&amp;"'coin':"&amp;表1_86121822242672112110114[[#This Row],[补偿Coin]]&amp;",'"&amp;配置!$A$2&amp;"':"&amp;表1_86121822242672112110114[[#This Row],[补偿辎重]]&amp;"},"</f>
        <v>{'coin':1000,'item036':10},</v>
      </c>
      <c r="Y5" s="138" t="str">
        <f>"      '"&amp;表1_86121822242672112110114[[#This Row],[区服]]&amp;"':{"</f>
        <v>      '5278':{</v>
      </c>
    </row>
    <row r="6" s="312" customFormat="1" ht="14.25" customHeight="1" spans="1:25">
      <c r="A6" s="314">
        <v>5278</v>
      </c>
      <c r="B6" s="91">
        <f>VLOOKUP(表1_86121822242672112110114[[#This Row],[区服]],$P$41:$Q$52,2,FALSE)</f>
        <v>37</v>
      </c>
      <c r="C6" s="92" t="s">
        <v>276</v>
      </c>
      <c r="D6" s="93" t="str">
        <f>表1_86121822242672112110114[[#This Row],[目标国家]]</f>
        <v>蜀</v>
      </c>
      <c r="E6" s="95">
        <f>(VLOOKUP(表1_86121822242672112110114[[#This Row],[目标区服]],$R$41:$S$44,2,FALSE)-表1_86121822242672112110114[[#This Row],[开服天数]])*配置!$B$1</f>
        <v>1000</v>
      </c>
      <c r="F6" s="95">
        <f>表1_86121822242672112110114[[#This Row],[补偿Coin]]*(表1_86121822242672112110114[[#This Row],[活跃高战玩家数]]+表1_86121822242672112110114[[#This Row],[活跃中坚玩家数]])</f>
        <v>30000</v>
      </c>
      <c r="G6" s="95">
        <f>(VLOOKUP(表1_86121822242672112110114[[#This Row],[目标区服]],$R$41:$S$44,2,FALSE)-表1_86121822242672112110114[[#This Row],[开服天数]])*配置!$B$2</f>
        <v>10</v>
      </c>
      <c r="H6" s="93" t="s">
        <v>26</v>
      </c>
      <c r="I6" s="93">
        <f>IF(表1_86121822242672112110114[[#This Row],[原国家]]="魏",0,IF(表1_86121822242672112110114[[#This Row],[原国家]]="蜀",1,2))</f>
        <v>1</v>
      </c>
      <c r="J6" s="325">
        <v>5</v>
      </c>
      <c r="K6" s="325">
        <v>199</v>
      </c>
      <c r="L6" s="325">
        <v>3</v>
      </c>
      <c r="M6" s="325">
        <v>27</v>
      </c>
      <c r="N6" s="325">
        <v>126810</v>
      </c>
      <c r="O6" s="326">
        <v>2343592</v>
      </c>
      <c r="P6" s="326">
        <v>20211910</v>
      </c>
      <c r="Q6" s="137" t="s">
        <v>26</v>
      </c>
      <c r="R6" s="93">
        <f>IF(表1_86121822242672112110114[[#This Row],[目标国家]]="魏",0,IF(表1_86121822242672112110114[[#This Row],[目标国家]]="蜀",1,2))</f>
        <v>1</v>
      </c>
      <c r="S6" s="325">
        <v>102398</v>
      </c>
      <c r="T6" s="325">
        <v>0</v>
      </c>
      <c r="U6" s="325">
        <v>528666</v>
      </c>
      <c r="V6" s="325">
        <v>10825</v>
      </c>
      <c r="W6" s="336">
        <v>930887</v>
      </c>
      <c r="X6" s="140" t="str">
        <f>"{"&amp;"'coin':"&amp;表1_86121822242672112110114[[#This Row],[补偿Coin]]&amp;",'"&amp;配置!$A$2&amp;"':"&amp;表1_86121822242672112110114[[#This Row],[补偿辎重]]&amp;"},"</f>
        <v>{'coin':1000,'item036':10},</v>
      </c>
      <c r="Y6" s="138" t="str">
        <f>"            'to_zone':'"&amp;表1_86121822242672112110114[[#This Row],[目标区服]]&amp;"',
            'reward':"&amp;表1_86121822242672112110114[[#This Row],[辅助导出]]&amp;"
            'country':["&amp;R5&amp;","&amp;R6&amp;","&amp;R7&amp;"],"</f>
        <v>            'to_zone':'h1_614',
            'reward':{'coin':1000,'item036':10},
            'country':[0,1,1],</v>
      </c>
    </row>
    <row r="7" s="312" customFormat="1" ht="14.25" customHeight="1" spans="1:25">
      <c r="A7" s="314">
        <v>5278</v>
      </c>
      <c r="B7" s="91">
        <f>VLOOKUP(表1_86121822242672112110114[[#This Row],[区服]],$P$41:$Q$52,2,FALSE)</f>
        <v>37</v>
      </c>
      <c r="C7" s="92" t="s">
        <v>276</v>
      </c>
      <c r="D7" s="93" t="str">
        <f>表1_86121822242672112110114[[#This Row],[目标国家]]</f>
        <v>蜀</v>
      </c>
      <c r="E7" s="95">
        <f>(VLOOKUP(表1_86121822242672112110114[[#This Row],[目标区服]],$R$41:$S$44,2,FALSE)-表1_86121822242672112110114[[#This Row],[开服天数]])*配置!$B$1</f>
        <v>1000</v>
      </c>
      <c r="F7" s="95">
        <f>表1_86121822242672112110114[[#This Row],[补偿Coin]]*(表1_86121822242672112110114[[#This Row],[活跃高战玩家数]]+表1_86121822242672112110114[[#This Row],[活跃中坚玩家数]])</f>
        <v>11000</v>
      </c>
      <c r="G7" s="95">
        <f>(VLOOKUP(表1_86121822242672112110114[[#This Row],[目标区服]],$R$41:$S$44,2,FALSE)-表1_86121822242672112110114[[#This Row],[开服天数]])*配置!$B$2</f>
        <v>10</v>
      </c>
      <c r="H7" s="93" t="s">
        <v>27</v>
      </c>
      <c r="I7" s="93">
        <f>IF(表1_86121822242672112110114[[#This Row],[原国家]]="魏",0,IF(表1_86121822242672112110114[[#This Row],[原国家]]="蜀",1,2))</f>
        <v>2</v>
      </c>
      <c r="J7" s="325">
        <v>0</v>
      </c>
      <c r="K7" s="325">
        <v>48</v>
      </c>
      <c r="L7" s="325">
        <v>0</v>
      </c>
      <c r="M7" s="325">
        <v>11</v>
      </c>
      <c r="N7" s="325">
        <v>37080</v>
      </c>
      <c r="O7" s="326">
        <v>1097549</v>
      </c>
      <c r="P7" s="326">
        <v>5683718</v>
      </c>
      <c r="Q7" s="137" t="s">
        <v>26</v>
      </c>
      <c r="R7" s="93">
        <f>IF(表1_86121822242672112110114[[#This Row],[目标国家]]="魏",0,IF(表1_86121822242672112110114[[#This Row],[目标国家]]="蜀",1,2))</f>
        <v>1</v>
      </c>
      <c r="S7" s="325">
        <v>3470</v>
      </c>
      <c r="T7" s="325">
        <v>0</v>
      </c>
      <c r="U7" s="325">
        <v>116945</v>
      </c>
      <c r="V7" s="325">
        <v>2493</v>
      </c>
      <c r="W7" s="325">
        <v>341105</v>
      </c>
      <c r="X7" s="140" t="str">
        <f>"{"&amp;"'coin':"&amp;表1_86121822242672112110114[[#This Row],[补偿Coin]]&amp;",'"&amp;配置!$A$2&amp;"':"&amp;表1_86121822242672112110114[[#This Row],[补偿辎重]]&amp;"},"</f>
        <v>{'coin':1000,'item036':10},</v>
      </c>
      <c r="Y7" s="138" t="str">
        <f>"      },"</f>
        <v>      },</v>
      </c>
    </row>
    <row r="8" s="312" customFormat="1" ht="14.25" customHeight="1" spans="1:25">
      <c r="A8" s="257">
        <v>5279</v>
      </c>
      <c r="B8" s="150">
        <f>VLOOKUP(表1_86121822242672112110114[[#This Row],[区服]],$P$41:$Q$52,2,FALSE)</f>
        <v>37</v>
      </c>
      <c r="C8" s="151" t="s">
        <v>277</v>
      </c>
      <c r="D8" s="152" t="str">
        <f>表1_86121822242672112110114[[#This Row],[目标国家]]</f>
        <v>吴</v>
      </c>
      <c r="E8" s="154">
        <f>(VLOOKUP(表1_86121822242672112110114[[#This Row],[目标区服]],$R$41:$S$44,2,FALSE)-表1_86121822242672112110114[[#This Row],[开服天数]])*配置!$B$1</f>
        <v>1000</v>
      </c>
      <c r="F8" s="154">
        <f>表1_86121822242672112110114[[#This Row],[补偿Coin]]*(表1_86121822242672112110114[[#This Row],[活跃高战玩家数]]+表1_86121822242672112110114[[#This Row],[活跃中坚玩家数]])</f>
        <v>21000</v>
      </c>
      <c r="G8" s="258">
        <f>(VLOOKUP(表1_86121822242672112110114[[#This Row],[目标区服]],$R$41:$S$44,2,FALSE)-表1_86121822242672112110114[[#This Row],[开服天数]])*配置!$B$2</f>
        <v>10</v>
      </c>
      <c r="H8" s="152" t="s">
        <v>25</v>
      </c>
      <c r="I8" s="267">
        <f>IF(表1_86121822242672112110114[[#This Row],[原国家]]="魏",0,IF(表1_86121822242672112110114[[#This Row],[原国家]]="蜀",1,2))</f>
        <v>0</v>
      </c>
      <c r="J8" s="327">
        <v>3</v>
      </c>
      <c r="K8" s="327">
        <v>117</v>
      </c>
      <c r="L8" s="327">
        <v>3</v>
      </c>
      <c r="M8" s="327">
        <v>18</v>
      </c>
      <c r="N8" s="327">
        <v>84946</v>
      </c>
      <c r="O8" s="328">
        <v>1812201</v>
      </c>
      <c r="P8" s="328">
        <v>13708202</v>
      </c>
      <c r="Q8" s="193" t="s">
        <v>27</v>
      </c>
      <c r="R8" s="152">
        <f>IF(表1_86121822242672112110114[[#This Row],[目标国家]]="魏",0,IF(表1_86121822242672112110114[[#This Row],[目标国家]]="蜀",1,2))</f>
        <v>2</v>
      </c>
      <c r="S8" s="327">
        <v>34106</v>
      </c>
      <c r="T8" s="327">
        <v>0</v>
      </c>
      <c r="U8" s="327">
        <v>269075</v>
      </c>
      <c r="V8" s="327">
        <v>6235</v>
      </c>
      <c r="W8" s="327">
        <v>501324</v>
      </c>
      <c r="X8" s="277" t="str">
        <f>"{"&amp;"'coin':"&amp;表1_86121822242672112110114[[#This Row],[补偿Coin]]&amp;",'"&amp;配置!$A$2&amp;"':"&amp;表1_86121822242672112110114[[#This Row],[补偿辎重]]&amp;"},"</f>
        <v>{'coin':1000,'item036':10},</v>
      </c>
      <c r="Y8" s="277" t="str">
        <f>"      '"&amp;表1_86121822242672112110114[[#This Row],[区服]]&amp;"':{"</f>
        <v>      '5279':{</v>
      </c>
    </row>
    <row r="9" s="312" customFormat="1" ht="14.25" customHeight="1" spans="1:25">
      <c r="A9" s="257">
        <v>5279</v>
      </c>
      <c r="B9" s="150">
        <f>VLOOKUP(表1_86121822242672112110114[[#This Row],[区服]],$P$41:$Q$52,2,FALSE)</f>
        <v>37</v>
      </c>
      <c r="C9" s="151" t="s">
        <v>277</v>
      </c>
      <c r="D9" s="152" t="str">
        <f>表1_86121822242672112110114[[#This Row],[目标国家]]</f>
        <v>蜀</v>
      </c>
      <c r="E9" s="154">
        <f>(VLOOKUP(表1_86121822242672112110114[[#This Row],[目标区服]],$R$41:$S$44,2,FALSE)-表1_86121822242672112110114[[#This Row],[开服天数]])*配置!$B$1</f>
        <v>1000</v>
      </c>
      <c r="F9" s="154">
        <f>表1_86121822242672112110114[[#This Row],[补偿Coin]]*(表1_86121822242672112110114[[#This Row],[活跃高战玩家数]]+表1_86121822242672112110114[[#This Row],[活跃中坚玩家数]])</f>
        <v>31000</v>
      </c>
      <c r="G9" s="258">
        <f>(VLOOKUP(表1_86121822242672112110114[[#This Row],[目标区服]],$R$41:$S$44,2,FALSE)-表1_86121822242672112110114[[#This Row],[开服天数]])*配置!$B$2</f>
        <v>10</v>
      </c>
      <c r="H9" s="152" t="s">
        <v>26</v>
      </c>
      <c r="I9" s="267">
        <f>IF(表1_86121822242672112110114[[#This Row],[原国家]]="魏",0,IF(表1_86121822242672112110114[[#This Row],[原国家]]="蜀",1,2))</f>
        <v>1</v>
      </c>
      <c r="J9" s="327">
        <v>3</v>
      </c>
      <c r="K9" s="327">
        <v>133</v>
      </c>
      <c r="L9" s="327">
        <v>4</v>
      </c>
      <c r="M9" s="327">
        <v>27</v>
      </c>
      <c r="N9" s="327">
        <v>118106</v>
      </c>
      <c r="O9" s="328">
        <v>1861485</v>
      </c>
      <c r="P9" s="328">
        <v>19413241</v>
      </c>
      <c r="Q9" s="193" t="s">
        <v>26</v>
      </c>
      <c r="R9" s="152">
        <f>IF(表1_86121822242672112110114[[#This Row],[目标国家]]="魏",0,IF(表1_86121822242672112110114[[#This Row],[目标国家]]="蜀",1,2))</f>
        <v>1</v>
      </c>
      <c r="S9" s="327">
        <v>42204</v>
      </c>
      <c r="T9" s="327">
        <v>0</v>
      </c>
      <c r="U9" s="327">
        <v>309687</v>
      </c>
      <c r="V9" s="327">
        <v>7444</v>
      </c>
      <c r="W9" s="337">
        <v>532116</v>
      </c>
      <c r="X9" s="277" t="str">
        <f>"{"&amp;"'coin':"&amp;表1_86121822242672112110114[[#This Row],[补偿Coin]]&amp;",'"&amp;配置!$A$2&amp;"':"&amp;表1_86121822242672112110114[[#This Row],[补偿辎重]]&amp;"},"</f>
        <v>{'coin':1000,'item036':10},</v>
      </c>
      <c r="Y9" s="277" t="str">
        <f>"            'to_zone':'"&amp;表1_86121822242672112110114[[#This Row],[目标区服]]&amp;"',
            'reward':"&amp;表1_86121822242672112110114[[#This Row],[辅助导出]]&amp;"
            'country':["&amp;R8&amp;","&amp;R9&amp;","&amp;R10&amp;"],"</f>
        <v>            'to_zone':'h1_615',
            'reward':{'coin':1000,'item036':10},
            'country':[2,1,1],</v>
      </c>
    </row>
    <row r="10" s="312" customFormat="1" ht="14.25" customHeight="1" spans="1:25">
      <c r="A10" s="257">
        <v>5279</v>
      </c>
      <c r="B10" s="150">
        <f>VLOOKUP(表1_86121822242672112110114[[#This Row],[区服]],$P$41:$Q$52,2,FALSE)</f>
        <v>37</v>
      </c>
      <c r="C10" s="151" t="s">
        <v>277</v>
      </c>
      <c r="D10" s="152" t="str">
        <f>表1_86121822242672112110114[[#This Row],[目标国家]]</f>
        <v>蜀</v>
      </c>
      <c r="E10" s="154">
        <f>(VLOOKUP(表1_86121822242672112110114[[#This Row],[目标区服]],$R$41:$S$44,2,FALSE)-表1_86121822242672112110114[[#This Row],[开服天数]])*配置!$B$1</f>
        <v>1000</v>
      </c>
      <c r="F10" s="154">
        <f>表1_86121822242672112110114[[#This Row],[补偿Coin]]*(表1_86121822242672112110114[[#This Row],[活跃高战玩家数]]+表1_86121822242672112110114[[#This Row],[活跃中坚玩家数]])</f>
        <v>26000</v>
      </c>
      <c r="G10" s="258">
        <f>(VLOOKUP(表1_86121822242672112110114[[#This Row],[目标区服]],$R$41:$S$44,2,FALSE)-表1_86121822242672112110114[[#This Row],[开服天数]])*配置!$B$2</f>
        <v>10</v>
      </c>
      <c r="H10" s="152" t="s">
        <v>27</v>
      </c>
      <c r="I10" s="267">
        <f>IF(表1_86121822242672112110114[[#This Row],[原国家]]="魏",0,IF(表1_86121822242672112110114[[#This Row],[原国家]]="蜀",1,2))</f>
        <v>2</v>
      </c>
      <c r="J10" s="327">
        <v>3</v>
      </c>
      <c r="K10" s="327">
        <v>145</v>
      </c>
      <c r="L10" s="327">
        <v>3</v>
      </c>
      <c r="M10" s="327">
        <v>23</v>
      </c>
      <c r="N10" s="327">
        <v>104708</v>
      </c>
      <c r="O10" s="328">
        <v>1729248</v>
      </c>
      <c r="P10" s="328">
        <v>17019598</v>
      </c>
      <c r="Q10" s="193" t="s">
        <v>26</v>
      </c>
      <c r="R10" s="152">
        <f>IF(表1_86121822242672112110114[[#This Row],[目标国家]]="魏",0,IF(表1_86121822242672112110114[[#This Row],[目标国家]]="蜀",1,2))</f>
        <v>1</v>
      </c>
      <c r="S10" s="327">
        <v>41084</v>
      </c>
      <c r="T10" s="327">
        <v>0</v>
      </c>
      <c r="U10" s="327">
        <v>286278</v>
      </c>
      <c r="V10" s="327">
        <v>7080</v>
      </c>
      <c r="W10" s="327">
        <v>505524</v>
      </c>
      <c r="X10" s="277" t="str">
        <f>"{"&amp;"'coin':"&amp;表1_86121822242672112110114[[#This Row],[补偿Coin]]&amp;",'"&amp;配置!$A$2&amp;"':"&amp;表1_86121822242672112110114[[#This Row],[补偿辎重]]&amp;"},"</f>
        <v>{'coin':1000,'item036':10},</v>
      </c>
      <c r="Y10" s="277" t="str">
        <f>"      },"</f>
        <v>      },</v>
      </c>
    </row>
    <row r="11" s="312" customFormat="1" ht="14.25" customHeight="1" spans="1:25">
      <c r="A11" s="257">
        <v>5280</v>
      </c>
      <c r="B11" s="150">
        <f>VLOOKUP(表1_86121822242672112110114[[#This Row],[区服]],$P$41:$Q$52,2,FALSE)</f>
        <v>37</v>
      </c>
      <c r="C11" s="151" t="s">
        <v>277</v>
      </c>
      <c r="D11" s="152" t="str">
        <f>表1_86121822242672112110114[[#This Row],[目标国家]]</f>
        <v>魏</v>
      </c>
      <c r="E11" s="154">
        <f>(VLOOKUP(表1_86121822242672112110114[[#This Row],[目标区服]],$R$41:$S$44,2,FALSE)-表1_86121822242672112110114[[#This Row],[开服天数]])*配置!$B$1</f>
        <v>1000</v>
      </c>
      <c r="F11" s="154">
        <f>表1_86121822242672112110114[[#This Row],[补偿Coin]]*(表1_86121822242672112110114[[#This Row],[活跃高战玩家数]]+表1_86121822242672112110114[[#This Row],[活跃中坚玩家数]])</f>
        <v>29000</v>
      </c>
      <c r="G11" s="258">
        <f>(VLOOKUP(表1_86121822242672112110114[[#This Row],[目标区服]],$R$41:$S$44,2,FALSE)-表1_86121822242672112110114[[#This Row],[开服天数]])*配置!$B$2</f>
        <v>10</v>
      </c>
      <c r="H11" s="152" t="s">
        <v>25</v>
      </c>
      <c r="I11" s="267">
        <f>IF(表1_86121822242672112110114[[#This Row],[原国家]]="魏",0,IF(表1_86121822242672112110114[[#This Row],[原国家]]="蜀",1,2))</f>
        <v>0</v>
      </c>
      <c r="J11" s="327">
        <v>4</v>
      </c>
      <c r="K11" s="327">
        <v>145</v>
      </c>
      <c r="L11" s="327">
        <v>5</v>
      </c>
      <c r="M11" s="327">
        <v>24</v>
      </c>
      <c r="N11" s="327">
        <v>132125</v>
      </c>
      <c r="O11" s="328">
        <v>2810192</v>
      </c>
      <c r="P11" s="328">
        <v>23775646</v>
      </c>
      <c r="Q11" s="193" t="s">
        <v>25</v>
      </c>
      <c r="R11" s="152">
        <f>IF(表1_86121822242672112110114[[#This Row],[目标国家]]="魏",0,IF(表1_86121822242672112110114[[#This Row],[目标国家]]="蜀",1,2))</f>
        <v>0</v>
      </c>
      <c r="S11" s="327">
        <v>65412</v>
      </c>
      <c r="T11" s="327">
        <v>0</v>
      </c>
      <c r="U11" s="327">
        <v>460761</v>
      </c>
      <c r="V11" s="327">
        <v>9891</v>
      </c>
      <c r="W11" s="337">
        <v>817969</v>
      </c>
      <c r="X11" s="277" t="str">
        <f>"{"&amp;"'coin':"&amp;表1_86121822242672112110114[[#This Row],[补偿Coin]]&amp;",'"&amp;配置!$A$2&amp;"':"&amp;表1_86121822242672112110114[[#This Row],[补偿辎重]]&amp;"},"</f>
        <v>{'coin':1000,'item036':10},</v>
      </c>
      <c r="Y11" s="277" t="str">
        <f>"      '"&amp;表1_86121822242672112110114[[#This Row],[区服]]&amp;"':{"</f>
        <v>      '5280':{</v>
      </c>
    </row>
    <row r="12" s="312" customFormat="1" ht="14.25" customHeight="1" spans="1:25">
      <c r="A12" s="257">
        <v>5280</v>
      </c>
      <c r="B12" s="150">
        <f>VLOOKUP(表1_86121822242672112110114[[#This Row],[区服]],$P$41:$Q$52,2,FALSE)</f>
        <v>37</v>
      </c>
      <c r="C12" s="151" t="s">
        <v>277</v>
      </c>
      <c r="D12" s="152" t="str">
        <f>表1_86121822242672112110114[[#This Row],[目标国家]]</f>
        <v>魏</v>
      </c>
      <c r="E12" s="154">
        <f>(VLOOKUP(表1_86121822242672112110114[[#This Row],[目标区服]],$R$41:$S$44,2,FALSE)-表1_86121822242672112110114[[#This Row],[开服天数]])*配置!$B$1</f>
        <v>1000</v>
      </c>
      <c r="F12" s="154">
        <f>表1_86121822242672112110114[[#This Row],[补偿Coin]]*(表1_86121822242672112110114[[#This Row],[活跃高战玩家数]]+表1_86121822242672112110114[[#This Row],[活跃中坚玩家数]])</f>
        <v>23000</v>
      </c>
      <c r="G12" s="258">
        <f>(VLOOKUP(表1_86121822242672112110114[[#This Row],[目标区服]],$R$41:$S$44,2,FALSE)-表1_86121822242672112110114[[#This Row],[开服天数]])*配置!$B$2</f>
        <v>10</v>
      </c>
      <c r="H12" s="152" t="s">
        <v>26</v>
      </c>
      <c r="I12" s="267">
        <f>IF(表1_86121822242672112110114[[#This Row],[原国家]]="魏",0,IF(表1_86121822242672112110114[[#This Row],[原国家]]="蜀",1,2))</f>
        <v>1</v>
      </c>
      <c r="J12" s="327">
        <v>1</v>
      </c>
      <c r="K12" s="327">
        <v>77</v>
      </c>
      <c r="L12" s="327">
        <v>1</v>
      </c>
      <c r="M12" s="327">
        <v>22</v>
      </c>
      <c r="N12" s="327">
        <v>89303</v>
      </c>
      <c r="O12" s="328">
        <v>1807857</v>
      </c>
      <c r="P12" s="328">
        <v>15436254</v>
      </c>
      <c r="Q12" s="193" t="s">
        <v>25</v>
      </c>
      <c r="R12" s="152">
        <f>IF(表1_86121822242672112110114[[#This Row],[目标国家]]="魏",0,IF(表1_86121822242672112110114[[#This Row],[目标国家]]="蜀",1,2))</f>
        <v>0</v>
      </c>
      <c r="S12" s="327">
        <v>17198</v>
      </c>
      <c r="T12" s="327">
        <v>0</v>
      </c>
      <c r="U12" s="327">
        <v>229541</v>
      </c>
      <c r="V12" s="327">
        <v>5298</v>
      </c>
      <c r="W12" s="344">
        <v>585367</v>
      </c>
      <c r="X12" s="277" t="str">
        <f>"{"&amp;"'coin':"&amp;表1_86121822242672112110114[[#This Row],[补偿Coin]]&amp;",'"&amp;配置!$A$2&amp;"':"&amp;表1_86121822242672112110114[[#This Row],[补偿辎重]]&amp;"},"</f>
        <v>{'coin':1000,'item036':10},</v>
      </c>
      <c r="Y12" s="277" t="str">
        <f>"            'to_zone':'"&amp;表1_86121822242672112110114[[#This Row],[目标区服]]&amp;"',
            'reward':"&amp;表1_86121822242672112110114[[#This Row],[辅助导出]]&amp;"
            'country':["&amp;R11&amp;","&amp;R12&amp;","&amp;R13&amp;"],"</f>
        <v>            'to_zone':'h1_615',
            'reward':{'coin':1000,'item036':10},
            'country':[0,0,2],</v>
      </c>
    </row>
    <row r="13" s="312" customFormat="1" ht="14.25" customHeight="1" spans="1:25">
      <c r="A13" s="257">
        <v>5280</v>
      </c>
      <c r="B13" s="150">
        <f>VLOOKUP(表1_86121822242672112110114[[#This Row],[区服]],$P$41:$Q$52,2,FALSE)</f>
        <v>37</v>
      </c>
      <c r="C13" s="151" t="s">
        <v>277</v>
      </c>
      <c r="D13" s="152" t="str">
        <f>表1_86121822242672112110114[[#This Row],[目标国家]]</f>
        <v>吴</v>
      </c>
      <c r="E13" s="154">
        <f>(VLOOKUP(表1_86121822242672112110114[[#This Row],[目标区服]],$R$41:$S$44,2,FALSE)-表1_86121822242672112110114[[#This Row],[开服天数]])*配置!$B$1</f>
        <v>1000</v>
      </c>
      <c r="F13" s="154">
        <f>表1_86121822242672112110114[[#This Row],[补偿Coin]]*(表1_86121822242672112110114[[#This Row],[活跃高战玩家数]]+表1_86121822242672112110114[[#This Row],[活跃中坚玩家数]])</f>
        <v>24000</v>
      </c>
      <c r="G13" s="258">
        <f>(VLOOKUP(表1_86121822242672112110114[[#This Row],[目标区服]],$R$41:$S$44,2,FALSE)-表1_86121822242672112110114[[#This Row],[开服天数]])*配置!$B$2</f>
        <v>10</v>
      </c>
      <c r="H13" s="152" t="s">
        <v>27</v>
      </c>
      <c r="I13" s="267">
        <f>IF(表1_86121822242672112110114[[#This Row],[原国家]]="魏",0,IF(表1_86121822242672112110114[[#This Row],[原国家]]="蜀",1,2))</f>
        <v>2</v>
      </c>
      <c r="J13" s="327">
        <v>4</v>
      </c>
      <c r="K13" s="327">
        <v>173</v>
      </c>
      <c r="L13" s="327">
        <v>4</v>
      </c>
      <c r="M13" s="327">
        <v>20</v>
      </c>
      <c r="N13" s="327">
        <v>101254</v>
      </c>
      <c r="O13" s="328">
        <v>2537281</v>
      </c>
      <c r="P13" s="328">
        <v>18784500</v>
      </c>
      <c r="Q13" s="193" t="s">
        <v>27</v>
      </c>
      <c r="R13" s="152">
        <f>IF(表1_86121822242672112110114[[#This Row],[目标国家]]="魏",0,IF(表1_86121822242672112110114[[#This Row],[目标国家]]="蜀",1,2))</f>
        <v>2</v>
      </c>
      <c r="S13" s="327">
        <v>107042</v>
      </c>
      <c r="T13" s="327">
        <v>0</v>
      </c>
      <c r="U13" s="327">
        <v>466479</v>
      </c>
      <c r="V13" s="327">
        <v>10496</v>
      </c>
      <c r="W13" s="337">
        <v>846273</v>
      </c>
      <c r="X13" s="277" t="str">
        <f>"{"&amp;"'coin':"&amp;表1_86121822242672112110114[[#This Row],[补偿Coin]]&amp;",'"&amp;配置!$A$2&amp;"':"&amp;表1_86121822242672112110114[[#This Row],[补偿辎重]]&amp;"},"</f>
        <v>{'coin':1000,'item036':10},</v>
      </c>
      <c r="Y13" s="277" t="str">
        <f>"      },"</f>
        <v>      },</v>
      </c>
    </row>
    <row r="14" s="312" customFormat="1" ht="14.25" customHeight="1" spans="1:25">
      <c r="A14" s="86">
        <v>5281</v>
      </c>
      <c r="B14" s="86">
        <f>VLOOKUP(表1_86121822242672112110114[[#This Row],[区服]],$P$41:$Q$52,2,FALSE)</f>
        <v>36</v>
      </c>
      <c r="C14" s="87" t="s">
        <v>278</v>
      </c>
      <c r="D14" s="315" t="str">
        <f>表1_86121822242672112110114[[#This Row],[目标国家]]</f>
        <v>蜀</v>
      </c>
      <c r="E14" s="89">
        <f>(VLOOKUP(表1_86121822242672112110114[[#This Row],[目标区服]],$R$41:$S$44,2,FALSE)-表1_86121822242672112110114[[#This Row],[开服天数]])*配置!$B$1</f>
        <v>1000</v>
      </c>
      <c r="F14" s="89">
        <f>表1_86121822242672112110114[[#This Row],[补偿Coin]]*(表1_86121822242672112110114[[#This Row],[活跃高战玩家数]]+表1_86121822242672112110114[[#This Row],[活跃中坚玩家数]])</f>
        <v>26000</v>
      </c>
      <c r="G14" s="89">
        <f>(VLOOKUP(表1_86121822242672112110114[[#This Row],[目标区服]],$R$41:$S$44,2,FALSE)-表1_86121822242672112110114[[#This Row],[开服天数]])*配置!$B$2</f>
        <v>10</v>
      </c>
      <c r="H14" s="88" t="s">
        <v>25</v>
      </c>
      <c r="I14" s="88">
        <f>IF(表1_86121822242672112110114[[#This Row],[原国家]]="魏",0,IF(表1_86121822242672112110114[[#This Row],[原国家]]="蜀",1,2))</f>
        <v>0</v>
      </c>
      <c r="J14" s="329">
        <v>3</v>
      </c>
      <c r="K14" s="329">
        <v>126</v>
      </c>
      <c r="L14" s="329">
        <v>3</v>
      </c>
      <c r="M14" s="329">
        <v>23</v>
      </c>
      <c r="N14" s="329">
        <v>97393</v>
      </c>
      <c r="O14" s="330">
        <v>1361385</v>
      </c>
      <c r="P14" s="330">
        <v>13058110</v>
      </c>
      <c r="Q14" s="132" t="s">
        <v>26</v>
      </c>
      <c r="R14" s="88">
        <f>IF(表1_86121822242672112110114[[#This Row],[目标国家]]="魏",0,IF(表1_86121822242672112110114[[#This Row],[目标国家]]="蜀",1,2))</f>
        <v>1</v>
      </c>
      <c r="S14" s="329">
        <v>11246</v>
      </c>
      <c r="T14" s="329">
        <v>0</v>
      </c>
      <c r="U14" s="329">
        <v>203614</v>
      </c>
      <c r="V14" s="329">
        <v>5153</v>
      </c>
      <c r="W14" s="329">
        <v>362678</v>
      </c>
      <c r="X14" s="134" t="str">
        <f>"{"&amp;"'coin':"&amp;表1_86121822242672112110114[[#This Row],[补偿Coin]]&amp;",'"&amp;配置!$A$2&amp;"':"&amp;表1_86121822242672112110114[[#This Row],[补偿辎重]]&amp;"},"</f>
        <v>{'coin':1000,'item036':10},</v>
      </c>
      <c r="Y14" s="136" t="str">
        <f>"      '"&amp;表1_86121822242672112110114[[#This Row],[区服]]&amp;"':{"</f>
        <v>      '5281':{</v>
      </c>
    </row>
    <row r="15" s="312" customFormat="1" ht="14.25" customHeight="1" spans="1:25">
      <c r="A15" s="86">
        <v>5281</v>
      </c>
      <c r="B15" s="86">
        <f>VLOOKUP(表1_86121822242672112110114[[#This Row],[区服]],$P$41:$Q$52,2,FALSE)</f>
        <v>36</v>
      </c>
      <c r="C15" s="87" t="s">
        <v>278</v>
      </c>
      <c r="D15" s="88" t="str">
        <f>表1_86121822242672112110114[[#This Row],[目标国家]]</f>
        <v>蜀</v>
      </c>
      <c r="E15" s="90">
        <f>(VLOOKUP(表1_86121822242672112110114[[#This Row],[目标区服]],$R$41:$S$44,2,FALSE)-表1_86121822242672112110114[[#This Row],[开服天数]])*配置!$B$1</f>
        <v>1000</v>
      </c>
      <c r="F15" s="90">
        <f>表1_86121822242672112110114[[#This Row],[补偿Coin]]*(表1_86121822242672112110114[[#This Row],[活跃高战玩家数]]+表1_86121822242672112110114[[#This Row],[活跃中坚玩家数]])</f>
        <v>26000</v>
      </c>
      <c r="G15" s="90">
        <f>(VLOOKUP(表1_86121822242672112110114[[#This Row],[目标区服]],$R$41:$S$44,2,FALSE)-表1_86121822242672112110114[[#This Row],[开服天数]])*配置!$B$2</f>
        <v>10</v>
      </c>
      <c r="H15" s="88" t="s">
        <v>26</v>
      </c>
      <c r="I15" s="88">
        <f>IF(表1_86121822242672112110114[[#This Row],[原国家]]="魏",0,IF(表1_86121822242672112110114[[#This Row],[原国家]]="蜀",1,2))</f>
        <v>1</v>
      </c>
      <c r="J15" s="329">
        <v>4</v>
      </c>
      <c r="K15" s="329">
        <v>187</v>
      </c>
      <c r="L15" s="329">
        <v>7</v>
      </c>
      <c r="M15" s="329">
        <v>19</v>
      </c>
      <c r="N15" s="329">
        <v>144796</v>
      </c>
      <c r="O15" s="330">
        <v>1861067</v>
      </c>
      <c r="P15" s="330">
        <v>18136523</v>
      </c>
      <c r="Q15" s="132" t="s">
        <v>26</v>
      </c>
      <c r="R15" s="88">
        <f>IF(表1_86121822242672112110114[[#This Row],[目标国家]]="魏",0,IF(表1_86121822242672112110114[[#This Row],[目标国家]]="蜀",1,2))</f>
        <v>1</v>
      </c>
      <c r="S15" s="329">
        <v>18762</v>
      </c>
      <c r="T15" s="329">
        <v>0</v>
      </c>
      <c r="U15" s="329">
        <v>260276</v>
      </c>
      <c r="V15" s="329">
        <v>7361</v>
      </c>
      <c r="W15" s="338">
        <v>534040</v>
      </c>
      <c r="X15" s="134" t="str">
        <f>"{"&amp;"'coin':"&amp;表1_86121822242672112110114[[#This Row],[补偿Coin]]&amp;",'"&amp;配置!$A$2&amp;"':"&amp;表1_86121822242672112110114[[#This Row],[补偿辎重]]&amp;"},"</f>
        <v>{'coin':1000,'item036':10},</v>
      </c>
      <c r="Y15" s="136" t="str">
        <f>"            'to_zone':'"&amp;表1_86121822242672112110114[[#This Row],[目标区服]]&amp;"',
            'reward':"&amp;表1_86121822242672112110114[[#This Row],[辅助导出]]&amp;"
            'country':["&amp;R14&amp;","&amp;R15&amp;","&amp;R16&amp;"],"</f>
        <v>            'to_zone':'h1_616',
            'reward':{'coin':1000,'item036':10},
            'country':[1,1,2],</v>
      </c>
    </row>
    <row r="16" s="312" customFormat="1" ht="14.25" customHeight="1" spans="1:25">
      <c r="A16" s="86">
        <v>5281</v>
      </c>
      <c r="B16" s="86">
        <f>VLOOKUP(表1_86121822242672112110114[[#This Row],[区服]],$P$41:$Q$52,2,FALSE)</f>
        <v>36</v>
      </c>
      <c r="C16" s="87" t="s">
        <v>278</v>
      </c>
      <c r="D16" s="88" t="str">
        <f>表1_86121822242672112110114[[#This Row],[目标国家]]</f>
        <v>吴</v>
      </c>
      <c r="E16" s="90">
        <f>(VLOOKUP(表1_86121822242672112110114[[#This Row],[目标区服]],$R$41:$S$44,2,FALSE)-表1_86121822242672112110114[[#This Row],[开服天数]])*配置!$B$1</f>
        <v>1000</v>
      </c>
      <c r="F16" s="90">
        <f>表1_86121822242672112110114[[#This Row],[补偿Coin]]*(表1_86121822242672112110114[[#This Row],[活跃高战玩家数]]+表1_86121822242672112110114[[#This Row],[活跃中坚玩家数]])</f>
        <v>17000</v>
      </c>
      <c r="G16" s="90">
        <f>(VLOOKUP(表1_86121822242672112110114[[#This Row],[目标区服]],$R$41:$S$44,2,FALSE)-表1_86121822242672112110114[[#This Row],[开服天数]])*配置!$B$2</f>
        <v>10</v>
      </c>
      <c r="H16" s="88" t="s">
        <v>27</v>
      </c>
      <c r="I16" s="88">
        <f>IF(表1_86121822242672112110114[[#This Row],[原国家]]="魏",0,IF(表1_86121822242672112110114[[#This Row],[原国家]]="蜀",1,2))</f>
        <v>2</v>
      </c>
      <c r="J16" s="329">
        <v>2</v>
      </c>
      <c r="K16" s="329">
        <v>82</v>
      </c>
      <c r="L16" s="329">
        <v>0</v>
      </c>
      <c r="M16" s="329">
        <v>17</v>
      </c>
      <c r="N16" s="329">
        <v>63930</v>
      </c>
      <c r="O16" s="330">
        <v>1096545</v>
      </c>
      <c r="P16" s="330">
        <v>7970500</v>
      </c>
      <c r="Q16" s="132" t="s">
        <v>27</v>
      </c>
      <c r="R16" s="88">
        <f>IF(表1_86121822242672112110114[[#This Row],[目标国家]]="魏",0,IF(表1_86121822242672112110114[[#This Row],[目标国家]]="蜀",1,2))</f>
        <v>2</v>
      </c>
      <c r="S16" s="329">
        <v>2864</v>
      </c>
      <c r="T16" s="329">
        <v>0</v>
      </c>
      <c r="U16" s="329">
        <v>98892</v>
      </c>
      <c r="V16" s="329">
        <v>3368</v>
      </c>
      <c r="W16" s="329">
        <v>307055</v>
      </c>
      <c r="X16" s="134" t="str">
        <f>"{"&amp;"'coin':"&amp;表1_86121822242672112110114[[#This Row],[补偿Coin]]&amp;",'"&amp;配置!$A$2&amp;"':"&amp;表1_86121822242672112110114[[#This Row],[补偿辎重]]&amp;"},"</f>
        <v>{'coin':1000,'item036':10},</v>
      </c>
      <c r="Y16" s="136" t="str">
        <f>"      },"</f>
        <v>      },</v>
      </c>
    </row>
    <row r="17" s="312" customFormat="1" ht="14.25" customHeight="1" spans="1:25">
      <c r="A17" s="86">
        <v>5282</v>
      </c>
      <c r="B17" s="86">
        <f>VLOOKUP(表1_86121822242672112110114[[#This Row],[区服]],$P$41:$Q$52,2,FALSE)</f>
        <v>36</v>
      </c>
      <c r="C17" s="87" t="s">
        <v>278</v>
      </c>
      <c r="D17" s="315" t="str">
        <f>表1_86121822242672112110114[[#This Row],[目标国家]]</f>
        <v>魏</v>
      </c>
      <c r="E17" s="89">
        <f>(VLOOKUP(表1_86121822242672112110114[[#This Row],[目标区服]],$R$41:$S$44,2,FALSE)-表1_86121822242672112110114[[#This Row],[开服天数]])*配置!$B$1</f>
        <v>1000</v>
      </c>
      <c r="F17" s="89">
        <f>表1_86121822242672112110114[[#This Row],[补偿Coin]]*(表1_86121822242672112110114[[#This Row],[活跃高战玩家数]]+表1_86121822242672112110114[[#This Row],[活跃中坚玩家数]])</f>
        <v>32000</v>
      </c>
      <c r="G17" s="89">
        <f>(VLOOKUP(表1_86121822242672112110114[[#This Row],[目标区服]],$R$41:$S$44,2,FALSE)-表1_86121822242672112110114[[#This Row],[开服天数]])*配置!$B$2</f>
        <v>10</v>
      </c>
      <c r="H17" s="88" t="s">
        <v>25</v>
      </c>
      <c r="I17" s="88">
        <f>IF(表1_86121822242672112110114[[#This Row],[原国家]]="魏",0,IF(表1_86121822242672112110114[[#This Row],[原国家]]="蜀",1,2))</f>
        <v>0</v>
      </c>
      <c r="J17" s="329">
        <v>7</v>
      </c>
      <c r="K17" s="329">
        <v>251</v>
      </c>
      <c r="L17" s="329">
        <v>7</v>
      </c>
      <c r="M17" s="329">
        <v>25</v>
      </c>
      <c r="N17" s="329">
        <v>164301</v>
      </c>
      <c r="O17" s="330">
        <v>2660053</v>
      </c>
      <c r="P17" s="330">
        <v>24367725</v>
      </c>
      <c r="Q17" s="132" t="s">
        <v>25</v>
      </c>
      <c r="R17" s="88">
        <f>IF(表1_86121822242672112110114[[#This Row],[目标国家]]="魏",0,IF(表1_86121822242672112110114[[#This Row],[目标国家]]="蜀",1,2))</f>
        <v>0</v>
      </c>
      <c r="S17" s="329">
        <v>51088</v>
      </c>
      <c r="T17" s="329">
        <v>0</v>
      </c>
      <c r="U17" s="329">
        <v>424536</v>
      </c>
      <c r="V17" s="329">
        <v>10873</v>
      </c>
      <c r="W17" s="338">
        <v>865159</v>
      </c>
      <c r="X17" s="134" t="str">
        <f>"{"&amp;"'coin':"&amp;表1_86121822242672112110114[[#This Row],[补偿Coin]]&amp;",'"&amp;配置!$A$2&amp;"':"&amp;表1_86121822242672112110114[[#This Row],[补偿辎重]]&amp;"},"</f>
        <v>{'coin':1000,'item036':10},</v>
      </c>
      <c r="Y17" s="136" t="str">
        <f>"      '"&amp;表1_86121822242672112110114[[#This Row],[区服]]&amp;"':{"</f>
        <v>      '5282':{</v>
      </c>
    </row>
    <row r="18" s="312" customFormat="1" ht="14.25" customHeight="1" spans="1:25">
      <c r="A18" s="86">
        <v>5282</v>
      </c>
      <c r="B18" s="86">
        <f>VLOOKUP(表1_86121822242672112110114[[#This Row],[区服]],$P$41:$Q$52,2,FALSE)</f>
        <v>36</v>
      </c>
      <c r="C18" s="87" t="s">
        <v>278</v>
      </c>
      <c r="D18" s="88" t="str">
        <f>表1_86121822242672112110114[[#This Row],[目标国家]]</f>
        <v>吴</v>
      </c>
      <c r="E18" s="90">
        <f>(VLOOKUP(表1_86121822242672112110114[[#This Row],[目标区服]],$R$41:$S$44,2,FALSE)-表1_86121822242672112110114[[#This Row],[开服天数]])*配置!$B$1</f>
        <v>1000</v>
      </c>
      <c r="F18" s="90">
        <f>表1_86121822242672112110114[[#This Row],[补偿Coin]]*(表1_86121822242672112110114[[#This Row],[活跃高战玩家数]]+表1_86121822242672112110114[[#This Row],[活跃中坚玩家数]])</f>
        <v>19000</v>
      </c>
      <c r="G18" s="90">
        <f>(VLOOKUP(表1_86121822242672112110114[[#This Row],[目标区服]],$R$41:$S$44,2,FALSE)-表1_86121822242672112110114[[#This Row],[开服天数]])*配置!$B$2</f>
        <v>10</v>
      </c>
      <c r="H18" s="88" t="s">
        <v>26</v>
      </c>
      <c r="I18" s="88">
        <f>IF(表1_86121822242672112110114[[#This Row],[原国家]]="魏",0,IF(表1_86121822242672112110114[[#This Row],[原国家]]="蜀",1,2))</f>
        <v>1</v>
      </c>
      <c r="J18" s="329">
        <v>2</v>
      </c>
      <c r="K18" s="329">
        <v>122</v>
      </c>
      <c r="L18" s="329">
        <v>2</v>
      </c>
      <c r="M18" s="329">
        <v>17</v>
      </c>
      <c r="N18" s="329">
        <v>77957</v>
      </c>
      <c r="O18" s="330">
        <v>1784795</v>
      </c>
      <c r="P18" s="330">
        <v>11633678</v>
      </c>
      <c r="Q18" s="132" t="s">
        <v>27</v>
      </c>
      <c r="R18" s="88">
        <f>IF(表1_86121822242672112110114[[#This Row],[目标国家]]="魏",0,IF(表1_86121822242672112110114[[#This Row],[目标国家]]="蜀",1,2))</f>
        <v>2</v>
      </c>
      <c r="S18" s="329">
        <v>15482</v>
      </c>
      <c r="T18" s="329">
        <v>0</v>
      </c>
      <c r="U18" s="329">
        <v>164148</v>
      </c>
      <c r="V18" s="329">
        <v>5304</v>
      </c>
      <c r="W18" s="338">
        <v>555554</v>
      </c>
      <c r="X18" s="134" t="str">
        <f>"{"&amp;"'coin':"&amp;表1_86121822242672112110114[[#This Row],[补偿Coin]]&amp;",'"&amp;配置!$A$2&amp;"':"&amp;表1_86121822242672112110114[[#This Row],[补偿辎重]]&amp;"},"</f>
        <v>{'coin':1000,'item036':10},</v>
      </c>
      <c r="Y18" s="136" t="str">
        <f>"            'to_zone':'"&amp;表1_86121822242672112110114[[#This Row],[目标区服]]&amp;"',
            'reward':"&amp;表1_86121822242672112110114[[#This Row],[辅助导出]]&amp;"
            'country':["&amp;R17&amp;","&amp;R18&amp;","&amp;R19&amp;"],"</f>
        <v>            'to_zone':'h1_616',
            'reward':{'coin':1000,'item036':10},
            'country':[0,2,2],</v>
      </c>
    </row>
    <row r="19" s="312" customFormat="1" ht="14.25" customHeight="1" spans="1:25">
      <c r="A19" s="86">
        <v>5282</v>
      </c>
      <c r="B19" s="86">
        <f>VLOOKUP(表1_86121822242672112110114[[#This Row],[区服]],$P$41:$Q$52,2,FALSE)</f>
        <v>36</v>
      </c>
      <c r="C19" s="87" t="s">
        <v>278</v>
      </c>
      <c r="D19" s="88" t="str">
        <f>表1_86121822242672112110114[[#This Row],[目标国家]]</f>
        <v>吴</v>
      </c>
      <c r="E19" s="90">
        <f>(VLOOKUP(表1_86121822242672112110114[[#This Row],[目标区服]],$R$41:$S$44,2,FALSE)-表1_86121822242672112110114[[#This Row],[开服天数]])*配置!$B$1</f>
        <v>1000</v>
      </c>
      <c r="F19" s="90">
        <f>表1_86121822242672112110114[[#This Row],[补偿Coin]]*(表1_86121822242672112110114[[#This Row],[活跃高战玩家数]]+表1_86121822242672112110114[[#This Row],[活跃中坚玩家数]])</f>
        <v>12000</v>
      </c>
      <c r="G19" s="90">
        <f>(VLOOKUP(表1_86121822242672112110114[[#This Row],[目标区服]],$R$41:$S$44,2,FALSE)-表1_86121822242672112110114[[#This Row],[开服天数]])*配置!$B$2</f>
        <v>10</v>
      </c>
      <c r="H19" s="88" t="s">
        <v>27</v>
      </c>
      <c r="I19" s="88">
        <f>IF(表1_86121822242672112110114[[#This Row],[原国家]]="魏",0,IF(表1_86121822242672112110114[[#This Row],[原国家]]="蜀",1,2))</f>
        <v>2</v>
      </c>
      <c r="J19" s="329">
        <v>0</v>
      </c>
      <c r="K19" s="329">
        <v>22</v>
      </c>
      <c r="L19" s="329">
        <v>1</v>
      </c>
      <c r="M19" s="329">
        <v>11</v>
      </c>
      <c r="N19" s="329">
        <v>43248</v>
      </c>
      <c r="O19" s="330">
        <v>1110490</v>
      </c>
      <c r="P19" s="330">
        <v>6427740</v>
      </c>
      <c r="Q19" s="132" t="s">
        <v>27</v>
      </c>
      <c r="R19" s="88">
        <f>IF(表1_86121822242672112110114[[#This Row],[目标国家]]="魏",0,IF(表1_86121822242672112110114[[#This Row],[目标国家]]="蜀",1,2))</f>
        <v>2</v>
      </c>
      <c r="S19" s="329">
        <v>13380</v>
      </c>
      <c r="T19" s="329">
        <v>0</v>
      </c>
      <c r="U19" s="329">
        <v>56470</v>
      </c>
      <c r="V19" s="329">
        <v>2619</v>
      </c>
      <c r="W19" s="329">
        <v>364504</v>
      </c>
      <c r="X19" s="134" t="str">
        <f>"{"&amp;"'coin':"&amp;表1_86121822242672112110114[[#This Row],[补偿Coin]]&amp;",'"&amp;配置!$A$2&amp;"':"&amp;表1_86121822242672112110114[[#This Row],[补偿辎重]]&amp;"},"</f>
        <v>{'coin':1000,'item036':10},</v>
      </c>
      <c r="Y19" s="136" t="str">
        <f>"      },"</f>
        <v>      },</v>
      </c>
    </row>
    <row r="20" s="312" customFormat="1" ht="14.25" customHeight="1" spans="1:25">
      <c r="A20" s="316">
        <v>5283</v>
      </c>
      <c r="B20" s="316">
        <f>VLOOKUP(表1_86121822242672112110114[[#This Row],[区服]],$P$41:$Q$52,2,FALSE)</f>
        <v>36</v>
      </c>
      <c r="C20" s="317" t="s">
        <v>279</v>
      </c>
      <c r="D20" s="318" t="str">
        <f>表1_86121822242672112110114[[#This Row],[目标国家]]</f>
        <v>魏</v>
      </c>
      <c r="E20" s="319">
        <f>(VLOOKUP(表1_86121822242672112110114[[#This Row],[目标区服]],$R$41:$S$44,2,FALSE)-表1_86121822242672112110114[[#This Row],[开服天数]])*配置!$B$1</f>
        <v>1000</v>
      </c>
      <c r="F20" s="319">
        <f>表1_86121822242672112110114[[#This Row],[补偿Coin]]*(表1_86121822242672112110114[[#This Row],[活跃高战玩家数]]+表1_86121822242672112110114[[#This Row],[活跃中坚玩家数]])</f>
        <v>27000</v>
      </c>
      <c r="G20" s="319">
        <f>(VLOOKUP(表1_86121822242672112110114[[#This Row],[目标区服]],$R$41:$S$44,2,FALSE)-表1_86121822242672112110114[[#This Row],[开服天数]])*配置!$B$2</f>
        <v>10</v>
      </c>
      <c r="H20" s="320" t="s">
        <v>25</v>
      </c>
      <c r="I20" s="320">
        <f>IF(表1_86121822242672112110114[[#This Row],[原国家]]="魏",0,IF(表1_86121822242672112110114[[#This Row],[原国家]]="蜀",1,2))</f>
        <v>0</v>
      </c>
      <c r="J20" s="331">
        <v>2</v>
      </c>
      <c r="K20" s="331">
        <v>87</v>
      </c>
      <c r="L20" s="331">
        <v>5</v>
      </c>
      <c r="M20" s="331">
        <v>22</v>
      </c>
      <c r="N20" s="331">
        <v>115328</v>
      </c>
      <c r="O20" s="332">
        <v>2097663</v>
      </c>
      <c r="P20" s="332">
        <v>17102115</v>
      </c>
      <c r="Q20" s="339" t="s">
        <v>25</v>
      </c>
      <c r="R20" s="320">
        <f>IF(表1_86121822242672112110114[[#This Row],[目标国家]]="魏",0,IF(表1_86121822242672112110114[[#This Row],[目标国家]]="蜀",1,2))</f>
        <v>0</v>
      </c>
      <c r="S20" s="331">
        <v>36670</v>
      </c>
      <c r="T20" s="331">
        <v>0</v>
      </c>
      <c r="U20" s="331">
        <v>160952</v>
      </c>
      <c r="V20" s="331">
        <v>6635</v>
      </c>
      <c r="W20" s="341">
        <v>630033</v>
      </c>
      <c r="X20" s="340" t="str">
        <f>"{"&amp;"'coin':"&amp;表1_86121822242672112110114[[#This Row],[补偿Coin]]&amp;",'"&amp;配置!$A$2&amp;"':"&amp;表1_86121822242672112110114[[#This Row],[补偿辎重]]&amp;"},"</f>
        <v>{'coin':1000,'item036':10},</v>
      </c>
      <c r="Y20" s="343" t="str">
        <f>"      '"&amp;表1_86121822242672112110114[[#This Row],[区服]]&amp;"':{"</f>
        <v>      '5283':{</v>
      </c>
    </row>
    <row r="21" s="312" customFormat="1" ht="14.25" customHeight="1" spans="1:25">
      <c r="A21" s="316">
        <v>5283</v>
      </c>
      <c r="B21" s="316">
        <f>VLOOKUP(表1_86121822242672112110114[[#This Row],[区服]],$P$41:$Q$52,2,FALSE)</f>
        <v>36</v>
      </c>
      <c r="C21" s="317" t="s">
        <v>279</v>
      </c>
      <c r="D21" s="320" t="str">
        <f>表1_86121822242672112110114[[#This Row],[目标国家]]</f>
        <v>蜀</v>
      </c>
      <c r="E21" s="319">
        <f>(VLOOKUP(表1_86121822242672112110114[[#This Row],[目标区服]],$R$41:$S$44,2,FALSE)-表1_86121822242672112110114[[#This Row],[开服天数]])*配置!$B$1</f>
        <v>1000</v>
      </c>
      <c r="F21" s="321">
        <f>表1_86121822242672112110114[[#This Row],[补偿Coin]]*(表1_86121822242672112110114[[#This Row],[活跃高战玩家数]]+表1_86121822242672112110114[[#This Row],[活跃中坚玩家数]])</f>
        <v>25000</v>
      </c>
      <c r="G21" s="321">
        <f>(VLOOKUP(表1_86121822242672112110114[[#This Row],[目标区服]],$R$41:$S$44,2,FALSE)-表1_86121822242672112110114[[#This Row],[开服天数]])*配置!$B$2</f>
        <v>10</v>
      </c>
      <c r="H21" s="320" t="s">
        <v>26</v>
      </c>
      <c r="I21" s="320">
        <f>IF(表1_86121822242672112110114[[#This Row],[原国家]]="魏",0,IF(表1_86121822242672112110114[[#This Row],[原国家]]="蜀",1,2))</f>
        <v>1</v>
      </c>
      <c r="J21" s="331">
        <v>4</v>
      </c>
      <c r="K21" s="331">
        <v>201</v>
      </c>
      <c r="L21" s="331">
        <v>3</v>
      </c>
      <c r="M21" s="331">
        <v>22</v>
      </c>
      <c r="N21" s="331">
        <v>122447</v>
      </c>
      <c r="O21" s="332">
        <v>2216314</v>
      </c>
      <c r="P21" s="332">
        <v>17354776</v>
      </c>
      <c r="Q21" s="339" t="s">
        <v>26</v>
      </c>
      <c r="R21" s="320">
        <f>IF(表1_86121822242672112110114[[#This Row],[目标国家]]="魏",0,IF(表1_86121822242672112110114[[#This Row],[目标国家]]="蜀",1,2))</f>
        <v>1</v>
      </c>
      <c r="S21" s="331">
        <v>27846</v>
      </c>
      <c r="T21" s="331">
        <v>0</v>
      </c>
      <c r="U21" s="331">
        <v>300238</v>
      </c>
      <c r="V21" s="331">
        <v>7959</v>
      </c>
      <c r="W21" s="341">
        <v>809230</v>
      </c>
      <c r="X21" s="340" t="str">
        <f>"{"&amp;"'coin':"&amp;表1_86121822242672112110114[[#This Row],[补偿Coin]]&amp;",'"&amp;配置!$A$2&amp;"':"&amp;表1_86121822242672112110114[[#This Row],[补偿辎重]]&amp;"},"</f>
        <v>{'coin':1000,'item036':10},</v>
      </c>
      <c r="Y21" s="343" t="str">
        <f>"            'to_zone':'"&amp;表1_86121822242672112110114[[#This Row],[目标区服]]&amp;"',
            'reward':"&amp;表1_86121822242672112110114[[#This Row],[辅助导出]]&amp;"
            'country':["&amp;R20&amp;","&amp;R21&amp;","&amp;R22&amp;"],"</f>
        <v>            'to_zone':'h1_617',
            'reward':{'coin':1000,'item036':10},
            'country':[0,1,0],</v>
      </c>
    </row>
    <row r="22" s="312" customFormat="1" ht="14.25" customHeight="1" spans="1:25">
      <c r="A22" s="316">
        <v>5283</v>
      </c>
      <c r="B22" s="316">
        <f>VLOOKUP(表1_86121822242672112110114[[#This Row],[区服]],$P$41:$Q$52,2,FALSE)</f>
        <v>36</v>
      </c>
      <c r="C22" s="317" t="s">
        <v>279</v>
      </c>
      <c r="D22" s="320" t="str">
        <f>表1_86121822242672112110114[[#This Row],[目标国家]]</f>
        <v>魏</v>
      </c>
      <c r="E22" s="319">
        <f>(VLOOKUP(表1_86121822242672112110114[[#This Row],[目标区服]],$R$41:$S$44,2,FALSE)-表1_86121822242672112110114[[#This Row],[开服天数]])*配置!$B$1</f>
        <v>1000</v>
      </c>
      <c r="F22" s="321">
        <f>表1_86121822242672112110114[[#This Row],[补偿Coin]]*(表1_86121822242672112110114[[#This Row],[活跃高战玩家数]]+表1_86121822242672112110114[[#This Row],[活跃中坚玩家数]])</f>
        <v>27000</v>
      </c>
      <c r="G22" s="321">
        <f>(VLOOKUP(表1_86121822242672112110114[[#This Row],[目标区服]],$R$41:$S$44,2,FALSE)-表1_86121822242672112110114[[#This Row],[开服天数]])*配置!$B$2</f>
        <v>10</v>
      </c>
      <c r="H22" s="320" t="s">
        <v>27</v>
      </c>
      <c r="I22" s="320">
        <f>IF(表1_86121822242672112110114[[#This Row],[原国家]]="魏",0,IF(表1_86121822242672112110114[[#This Row],[原国家]]="蜀",1,2))</f>
        <v>2</v>
      </c>
      <c r="J22" s="331">
        <v>3</v>
      </c>
      <c r="K22" s="331">
        <v>107</v>
      </c>
      <c r="L22" s="331">
        <v>2</v>
      </c>
      <c r="M22" s="331">
        <v>25</v>
      </c>
      <c r="N22" s="331">
        <v>84979</v>
      </c>
      <c r="O22" s="332">
        <v>1730242</v>
      </c>
      <c r="P22" s="332">
        <v>13587794</v>
      </c>
      <c r="Q22" s="339" t="s">
        <v>25</v>
      </c>
      <c r="R22" s="320">
        <f>IF(表1_86121822242672112110114[[#This Row],[目标国家]]="魏",0,IF(表1_86121822242672112110114[[#This Row],[目标国家]]="蜀",1,2))</f>
        <v>0</v>
      </c>
      <c r="S22" s="331">
        <v>20394</v>
      </c>
      <c r="T22" s="331">
        <v>0</v>
      </c>
      <c r="U22" s="331">
        <v>267997</v>
      </c>
      <c r="V22" s="331">
        <v>5629</v>
      </c>
      <c r="W22" s="331">
        <v>562533</v>
      </c>
      <c r="X22" s="340" t="str">
        <f>"{"&amp;"'coin':"&amp;表1_86121822242672112110114[[#This Row],[补偿Coin]]&amp;",'"&amp;配置!$A$2&amp;"':"&amp;表1_86121822242672112110114[[#This Row],[补偿辎重]]&amp;"},"</f>
        <v>{'coin':1000,'item036':10},</v>
      </c>
      <c r="Y22" s="343" t="str">
        <f>"      },"</f>
        <v>      },</v>
      </c>
    </row>
    <row r="23" s="312" customFormat="1" ht="14.25" customHeight="1" spans="1:25">
      <c r="A23" s="316">
        <v>5284</v>
      </c>
      <c r="B23" s="316">
        <f>VLOOKUP(表1_86121822242672112110114[[#This Row],[区服]],$P$41:$Q$52,2,FALSE)</f>
        <v>36</v>
      </c>
      <c r="C23" s="317" t="s">
        <v>279</v>
      </c>
      <c r="D23" s="318" t="str">
        <f>表1_86121822242672112110114[[#This Row],[目标国家]]</f>
        <v>吴</v>
      </c>
      <c r="E23" s="319">
        <f>(VLOOKUP(表1_86121822242672112110114[[#This Row],[目标区服]],$R$41:$S$44,2,FALSE)-表1_86121822242672112110114[[#This Row],[开服天数]])*配置!$B$1</f>
        <v>1000</v>
      </c>
      <c r="F23" s="319">
        <f>表1_86121822242672112110114[[#This Row],[补偿Coin]]*(表1_86121822242672112110114[[#This Row],[活跃高战玩家数]]+表1_86121822242672112110114[[#This Row],[活跃中坚玩家数]])</f>
        <v>26000</v>
      </c>
      <c r="G23" s="319">
        <f>(VLOOKUP(表1_86121822242672112110114[[#This Row],[目标区服]],$R$41:$S$44,2,FALSE)-表1_86121822242672112110114[[#This Row],[开服天数]])*配置!$B$2</f>
        <v>10</v>
      </c>
      <c r="H23" s="320" t="s">
        <v>25</v>
      </c>
      <c r="I23" s="320">
        <f>IF(表1_86121822242672112110114[[#This Row],[原国家]]="魏",0,IF(表1_86121822242672112110114[[#This Row],[原国家]]="蜀",1,2))</f>
        <v>0</v>
      </c>
      <c r="J23" s="331">
        <v>3</v>
      </c>
      <c r="K23" s="331">
        <v>124</v>
      </c>
      <c r="L23" s="331">
        <v>3</v>
      </c>
      <c r="M23" s="331">
        <v>23</v>
      </c>
      <c r="N23" s="331">
        <v>106730</v>
      </c>
      <c r="O23" s="332">
        <v>2548925</v>
      </c>
      <c r="P23" s="332">
        <v>18658250</v>
      </c>
      <c r="Q23" s="339" t="s">
        <v>27</v>
      </c>
      <c r="R23" s="320">
        <f>IF(表1_86121822242672112110114[[#This Row],[目标国家]]="魏",0,IF(表1_86121822242672112110114[[#This Row],[目标国家]]="蜀",1,2))</f>
        <v>2</v>
      </c>
      <c r="S23" s="331">
        <v>47957</v>
      </c>
      <c r="T23" s="331">
        <v>0</v>
      </c>
      <c r="U23" s="331">
        <v>390269</v>
      </c>
      <c r="V23" s="331">
        <v>8122</v>
      </c>
      <c r="W23" s="341">
        <v>664995</v>
      </c>
      <c r="X23" s="340" t="str">
        <f>"{"&amp;"'coin':"&amp;表1_86121822242672112110114[[#This Row],[补偿Coin]]&amp;",'"&amp;配置!$A$2&amp;"':"&amp;表1_86121822242672112110114[[#This Row],[补偿辎重]]&amp;"},"</f>
        <v>{'coin':1000,'item036':10},</v>
      </c>
      <c r="Y23" s="343" t="str">
        <f>"      '"&amp;表1_86121822242672112110114[[#This Row],[区服]]&amp;"':{"</f>
        <v>      '5284':{</v>
      </c>
    </row>
    <row r="24" s="312" customFormat="1" ht="14.25" customHeight="1" spans="1:25">
      <c r="A24" s="316">
        <v>5284</v>
      </c>
      <c r="B24" s="316">
        <f>VLOOKUP(表1_86121822242672112110114[[#This Row],[区服]],$P$41:$Q$52,2,FALSE)</f>
        <v>36</v>
      </c>
      <c r="C24" s="317" t="s">
        <v>279</v>
      </c>
      <c r="D24" s="320" t="str">
        <f>表1_86121822242672112110114[[#This Row],[目标国家]]</f>
        <v>蜀</v>
      </c>
      <c r="E24" s="319">
        <f>(VLOOKUP(表1_86121822242672112110114[[#This Row],[目标区服]],$R$41:$S$44,2,FALSE)-表1_86121822242672112110114[[#This Row],[开服天数]])*配置!$B$1</f>
        <v>1000</v>
      </c>
      <c r="F24" s="321">
        <f>表1_86121822242672112110114[[#This Row],[补偿Coin]]*(表1_86121822242672112110114[[#This Row],[活跃高战玩家数]]+表1_86121822242672112110114[[#This Row],[活跃中坚玩家数]])</f>
        <v>31000</v>
      </c>
      <c r="G24" s="321">
        <f>(VLOOKUP(表1_86121822242672112110114[[#This Row],[目标区服]],$R$41:$S$44,2,FALSE)-表1_86121822242672112110114[[#This Row],[开服天数]])*配置!$B$2</f>
        <v>10</v>
      </c>
      <c r="H24" s="320" t="s">
        <v>26</v>
      </c>
      <c r="I24" s="320">
        <f>IF(表1_86121822242672112110114[[#This Row],[原国家]]="魏",0,IF(表1_86121822242672112110114[[#This Row],[原国家]]="蜀",1,2))</f>
        <v>1</v>
      </c>
      <c r="J24" s="331">
        <v>4</v>
      </c>
      <c r="K24" s="331">
        <v>170</v>
      </c>
      <c r="L24" s="331">
        <v>4</v>
      </c>
      <c r="M24" s="331">
        <v>27</v>
      </c>
      <c r="N24" s="331">
        <v>136165</v>
      </c>
      <c r="O24" s="332">
        <v>2113560</v>
      </c>
      <c r="P24" s="332">
        <v>22303118</v>
      </c>
      <c r="Q24" s="339" t="s">
        <v>26</v>
      </c>
      <c r="R24" s="320">
        <f>IF(表1_86121822242672112110114[[#This Row],[目标国家]]="魏",0,IF(表1_86121822242672112110114[[#This Row],[目标国家]]="蜀",1,2))</f>
        <v>1</v>
      </c>
      <c r="S24" s="331">
        <v>30524</v>
      </c>
      <c r="T24" s="331">
        <v>0</v>
      </c>
      <c r="U24" s="331">
        <v>348405</v>
      </c>
      <c r="V24" s="331">
        <v>8214</v>
      </c>
      <c r="W24" s="331">
        <v>594141</v>
      </c>
      <c r="X24" s="340" t="str">
        <f>"{"&amp;"'coin':"&amp;表1_86121822242672112110114[[#This Row],[补偿Coin]]&amp;",'"&amp;配置!$A$2&amp;"':"&amp;表1_86121822242672112110114[[#This Row],[补偿辎重]]&amp;"},"</f>
        <v>{'coin':1000,'item036':10},</v>
      </c>
      <c r="Y24" s="343" t="str">
        <f>"            'to_zone':'"&amp;表1_86121822242672112110114[[#This Row],[目标区服]]&amp;"',
            'reward':"&amp;表1_86121822242672112110114[[#This Row],[辅助导出]]&amp;"
            'country':["&amp;R23&amp;","&amp;R24&amp;","&amp;R25&amp;"],"</f>
        <v>            'to_zone':'h1_617',
            'reward':{'coin':1000,'item036':10},
            'country':[2,1,2],</v>
      </c>
    </row>
    <row r="25" s="312" customFormat="1" ht="14.25" customHeight="1" spans="1:25">
      <c r="A25" s="316">
        <v>5284</v>
      </c>
      <c r="B25" s="316">
        <f>VLOOKUP(表1_86121822242672112110114[[#This Row],[区服]],$P$41:$Q$52,2,FALSE)</f>
        <v>36</v>
      </c>
      <c r="C25" s="317" t="s">
        <v>279</v>
      </c>
      <c r="D25" s="320" t="str">
        <f>表1_86121822242672112110114[[#This Row],[目标国家]]</f>
        <v>吴</v>
      </c>
      <c r="E25" s="319">
        <f>(VLOOKUP(表1_86121822242672112110114[[#This Row],[目标区服]],$R$41:$S$44,2,FALSE)-表1_86121822242672112110114[[#This Row],[开服天数]])*配置!$B$1</f>
        <v>1000</v>
      </c>
      <c r="F25" s="321">
        <f>表1_86121822242672112110114[[#This Row],[补偿Coin]]*(表1_86121822242672112110114[[#This Row],[活跃高战玩家数]]+表1_86121822242672112110114[[#This Row],[活跃中坚玩家数]])</f>
        <v>19000</v>
      </c>
      <c r="G25" s="321">
        <f>(VLOOKUP(表1_86121822242672112110114[[#This Row],[目标区服]],$R$41:$S$44,2,FALSE)-表1_86121822242672112110114[[#This Row],[开服天数]])*配置!$B$2</f>
        <v>10</v>
      </c>
      <c r="H25" s="320" t="s">
        <v>27</v>
      </c>
      <c r="I25" s="320">
        <f>IF(表1_86121822242672112110114[[#This Row],[原国家]]="魏",0,IF(表1_86121822242672112110114[[#This Row],[原国家]]="蜀",1,2))</f>
        <v>2</v>
      </c>
      <c r="J25" s="331">
        <v>2</v>
      </c>
      <c r="K25" s="331">
        <v>101</v>
      </c>
      <c r="L25" s="331">
        <v>3</v>
      </c>
      <c r="M25" s="331">
        <v>16</v>
      </c>
      <c r="N25" s="331">
        <v>65076</v>
      </c>
      <c r="O25" s="332">
        <v>1576035</v>
      </c>
      <c r="P25" s="332">
        <v>12038830</v>
      </c>
      <c r="Q25" s="339" t="s">
        <v>27</v>
      </c>
      <c r="R25" s="320">
        <f>IF(表1_86121822242672112110114[[#This Row],[目标国家]]="魏",0,IF(表1_86121822242672112110114[[#This Row],[目标国家]]="蜀",1,2))</f>
        <v>2</v>
      </c>
      <c r="S25" s="331">
        <v>25664</v>
      </c>
      <c r="T25" s="331">
        <v>0</v>
      </c>
      <c r="U25" s="331">
        <v>127837</v>
      </c>
      <c r="V25" s="331">
        <v>5149</v>
      </c>
      <c r="W25" s="331">
        <v>488044</v>
      </c>
      <c r="X25" s="340" t="str">
        <f>"{"&amp;"'coin':"&amp;表1_86121822242672112110114[[#This Row],[补偿Coin]]&amp;",'"&amp;配置!$A$2&amp;"':"&amp;表1_86121822242672112110114[[#This Row],[补偿辎重]]&amp;"},"</f>
        <v>{'coin':1000,'item036':10},</v>
      </c>
      <c r="Y25" s="343" t="str">
        <f>"      },"</f>
        <v>      },</v>
      </c>
    </row>
    <row r="26" s="312" customFormat="1" ht="14.25" customHeight="1" spans="1:25">
      <c r="A26" s="91">
        <v>5285</v>
      </c>
      <c r="B26" s="91">
        <f>VLOOKUP(表1_86121822242672112110114[[#This Row],[区服]],$P$41:$Q$52,2,FALSE)</f>
        <v>35</v>
      </c>
      <c r="C26" s="92" t="s">
        <v>280</v>
      </c>
      <c r="D26" s="313" t="str">
        <f>表1_86121822242672112110114[[#This Row],[目标国家]]</f>
        <v>吴</v>
      </c>
      <c r="E26" s="94">
        <f>(VLOOKUP(表1_86121822242672112110114[[#This Row],[目标区服]],$R$41:$S$46,2,FALSE)-表1_86121822242672112110114[[#This Row],[开服天数]])*配置!$B$1</f>
        <v>1000</v>
      </c>
      <c r="F26" s="94">
        <f>表1_86121822242672112110114[[#This Row],[补偿Coin]]*(表1_86121822242672112110114[[#This Row],[活跃高战玩家数]]+表1_86121822242672112110114[[#This Row],[活跃中坚玩家数]])</f>
        <v>23000</v>
      </c>
      <c r="G26" s="94">
        <f>(VLOOKUP(表1_86121822242672112110114[[#This Row],[目标区服]],$R$41:$S$46,2,FALSE)-表1_86121822242672112110114[[#This Row],[开服天数]])*配置!$B$2</f>
        <v>10</v>
      </c>
      <c r="H26" s="93" t="s">
        <v>25</v>
      </c>
      <c r="I26" s="93">
        <f>IF(表1_86121822242672112110114[[#This Row],[原国家]]="魏",0,IF(表1_86121822242672112110114[[#This Row],[原国家]]="蜀",1,2))</f>
        <v>0</v>
      </c>
      <c r="J26" s="325">
        <v>3</v>
      </c>
      <c r="K26" s="325">
        <v>107</v>
      </c>
      <c r="L26" s="325">
        <v>2</v>
      </c>
      <c r="M26" s="325">
        <v>21</v>
      </c>
      <c r="N26" s="325">
        <v>97296</v>
      </c>
      <c r="O26" s="326">
        <v>1789336</v>
      </c>
      <c r="P26" s="326">
        <v>13657144</v>
      </c>
      <c r="Q26" s="137" t="s">
        <v>27</v>
      </c>
      <c r="R26" s="93">
        <f>IF(表1_86121822242672112110114[[#This Row],[目标国家]]="魏",0,IF(表1_86121822242672112110114[[#This Row],[目标国家]]="蜀",1,2))</f>
        <v>2</v>
      </c>
      <c r="S26" s="325">
        <v>18826</v>
      </c>
      <c r="T26" s="325">
        <v>0</v>
      </c>
      <c r="U26" s="325">
        <v>287216</v>
      </c>
      <c r="V26" s="325">
        <v>5719</v>
      </c>
      <c r="W26" s="325">
        <v>629185</v>
      </c>
      <c r="X26" s="140" t="str">
        <f>"{"&amp;"'coin':"&amp;表1_86121822242672112110114[[#This Row],[补偿Coin]]&amp;",'"&amp;配置!$A$2&amp;"':"&amp;表1_86121822242672112110114[[#This Row],[补偿辎重]]&amp;"},"</f>
        <v>{'coin':1000,'item036':10},</v>
      </c>
      <c r="Y26" s="138" t="str">
        <f>"      '"&amp;表1_86121822242672112110114[[#This Row],[区服]]&amp;"':{"</f>
        <v>      '5285':{</v>
      </c>
    </row>
    <row r="27" s="312" customFormat="1" ht="14.25" customHeight="1" spans="1:25">
      <c r="A27" s="91">
        <v>5285</v>
      </c>
      <c r="B27" s="91">
        <f>VLOOKUP(表1_86121822242672112110114[[#This Row],[区服]],$P$41:$Q$52,2,FALSE)</f>
        <v>35</v>
      </c>
      <c r="C27" s="92" t="s">
        <v>280</v>
      </c>
      <c r="D27" s="93" t="str">
        <f>表1_86121822242672112110114[[#This Row],[目标国家]]</f>
        <v>魏</v>
      </c>
      <c r="E27" s="94">
        <f>(VLOOKUP(表1_86121822242672112110114[[#This Row],[目标区服]],$R$41:$S$46,2,FALSE)-表1_86121822242672112110114[[#This Row],[开服天数]])*配置!$B$1</f>
        <v>1000</v>
      </c>
      <c r="F27" s="95">
        <f>表1_86121822242672112110114[[#This Row],[补偿Coin]]*(表1_86121822242672112110114[[#This Row],[活跃高战玩家数]]+表1_86121822242672112110114[[#This Row],[活跃中坚玩家数]])</f>
        <v>30000</v>
      </c>
      <c r="G27" s="94">
        <f>(VLOOKUP(表1_86121822242672112110114[[#This Row],[目标区服]],$R$41:$S$46,2,FALSE)-表1_86121822242672112110114[[#This Row],[开服天数]])*配置!$B$2</f>
        <v>10</v>
      </c>
      <c r="H27" s="93" t="s">
        <v>26</v>
      </c>
      <c r="I27" s="93">
        <f>IF(表1_86121822242672112110114[[#This Row],[原国家]]="魏",0,IF(表1_86121822242672112110114[[#This Row],[原国家]]="蜀",1,2))</f>
        <v>1</v>
      </c>
      <c r="J27" s="325">
        <v>3</v>
      </c>
      <c r="K27" s="325">
        <v>152</v>
      </c>
      <c r="L27" s="325">
        <v>4</v>
      </c>
      <c r="M27" s="325">
        <v>26</v>
      </c>
      <c r="N27" s="325">
        <v>123196</v>
      </c>
      <c r="O27" s="326">
        <v>1815369</v>
      </c>
      <c r="P27" s="326">
        <v>17723907</v>
      </c>
      <c r="Q27" s="137" t="s">
        <v>25</v>
      </c>
      <c r="R27" s="93">
        <f>IF(表1_86121822242672112110114[[#This Row],[目标国家]]="魏",0,IF(表1_86121822242672112110114[[#This Row],[目标国家]]="蜀",1,2))</f>
        <v>0</v>
      </c>
      <c r="S27" s="325">
        <v>16862</v>
      </c>
      <c r="T27" s="325">
        <v>0</v>
      </c>
      <c r="U27" s="325">
        <v>264370</v>
      </c>
      <c r="V27" s="325">
        <v>6661</v>
      </c>
      <c r="W27" s="336">
        <v>640729</v>
      </c>
      <c r="X27" s="140" t="str">
        <f>"{"&amp;"'coin':"&amp;表1_86121822242672112110114[[#This Row],[补偿Coin]]&amp;",'"&amp;配置!$A$2&amp;"':"&amp;表1_86121822242672112110114[[#This Row],[补偿辎重]]&amp;"},"</f>
        <v>{'coin':1000,'item036':10},</v>
      </c>
      <c r="Y27" s="138" t="str">
        <f>"            'to_zone':'"&amp;表1_86121822242672112110114[[#This Row],[目标区服]]&amp;"',
            'reward':"&amp;表1_86121822242672112110114[[#This Row],[辅助导出]]&amp;"
            'country':["&amp;R26&amp;","&amp;R27&amp;","&amp;R28&amp;"],"</f>
        <v>            'to_zone':'h1_618',
            'reward':{'coin':1000,'item036':10},
            'country':[2,0,0],</v>
      </c>
    </row>
    <row r="28" s="312" customFormat="1" ht="14.25" customHeight="1" spans="1:25">
      <c r="A28" s="91">
        <v>5285</v>
      </c>
      <c r="B28" s="91">
        <f>VLOOKUP(表1_86121822242672112110114[[#This Row],[区服]],$P$41:$Q$52,2,FALSE)</f>
        <v>35</v>
      </c>
      <c r="C28" s="92" t="s">
        <v>280</v>
      </c>
      <c r="D28" s="93" t="str">
        <f>表1_86121822242672112110114[[#This Row],[目标国家]]</f>
        <v>魏</v>
      </c>
      <c r="E28" s="94">
        <f>(VLOOKUP(表1_86121822242672112110114[[#This Row],[目标区服]],$R$41:$S$46,2,FALSE)-表1_86121822242672112110114[[#This Row],[开服天数]])*配置!$B$1</f>
        <v>1000</v>
      </c>
      <c r="F28" s="95">
        <f>表1_86121822242672112110114[[#This Row],[补偿Coin]]*(表1_86121822242672112110114[[#This Row],[活跃高战玩家数]]+表1_86121822242672112110114[[#This Row],[活跃中坚玩家数]])</f>
        <v>24000</v>
      </c>
      <c r="G28" s="94">
        <f>(VLOOKUP(表1_86121822242672112110114[[#This Row],[目标区服]],$R$41:$S$46,2,FALSE)-表1_86121822242672112110114[[#This Row],[开服天数]])*配置!$B$2</f>
        <v>10</v>
      </c>
      <c r="H28" s="93" t="s">
        <v>27</v>
      </c>
      <c r="I28" s="93">
        <f>IF(表1_86121822242672112110114[[#This Row],[原国家]]="魏",0,IF(表1_86121822242672112110114[[#This Row],[原国家]]="蜀",1,2))</f>
        <v>2</v>
      </c>
      <c r="J28" s="325">
        <v>3</v>
      </c>
      <c r="K28" s="325">
        <v>136</v>
      </c>
      <c r="L28" s="325">
        <v>4</v>
      </c>
      <c r="M28" s="325">
        <v>20</v>
      </c>
      <c r="N28" s="325">
        <v>91060</v>
      </c>
      <c r="O28" s="326">
        <v>2232809</v>
      </c>
      <c r="P28" s="326">
        <v>14495192</v>
      </c>
      <c r="Q28" s="137" t="s">
        <v>25</v>
      </c>
      <c r="R28" s="93">
        <f>IF(表1_86121822242672112110114[[#This Row],[目标国家]]="魏",0,IF(表1_86121822242672112110114[[#This Row],[目标国家]]="蜀",1,2))</f>
        <v>0</v>
      </c>
      <c r="S28" s="325">
        <v>31248</v>
      </c>
      <c r="T28" s="325">
        <v>0</v>
      </c>
      <c r="U28" s="325">
        <v>343748</v>
      </c>
      <c r="V28" s="325">
        <v>6906</v>
      </c>
      <c r="W28" s="325">
        <v>621385</v>
      </c>
      <c r="X28" s="140" t="str">
        <f>"{"&amp;"'coin':"&amp;表1_86121822242672112110114[[#This Row],[补偿Coin]]&amp;",'"&amp;配置!$A$2&amp;"':"&amp;表1_86121822242672112110114[[#This Row],[补偿辎重]]&amp;"},"</f>
        <v>{'coin':1000,'item036':10},</v>
      </c>
      <c r="Y28" s="138" t="str">
        <f>"      },"</f>
        <v>      },</v>
      </c>
    </row>
    <row r="29" s="312" customFormat="1" ht="14.25" customHeight="1" spans="1:25">
      <c r="A29" s="91">
        <v>5286</v>
      </c>
      <c r="B29" s="91">
        <f>VLOOKUP(表1_86121822242672112110114[[#This Row],[区服]],$P$41:$Q$52,2,FALSE)</f>
        <v>35</v>
      </c>
      <c r="C29" s="92" t="s">
        <v>280</v>
      </c>
      <c r="D29" s="313" t="str">
        <f>表1_86121822242672112110114[[#This Row],[目标国家]]</f>
        <v>蜀</v>
      </c>
      <c r="E29" s="94">
        <f>(VLOOKUP(表1_86121822242672112110114[[#This Row],[目标区服]],$R$41:$S$46,2,FALSE)-表1_86121822242672112110114[[#This Row],[开服天数]])*配置!$B$1</f>
        <v>1000</v>
      </c>
      <c r="F29" s="94">
        <f>表1_86121822242672112110114[[#This Row],[补偿Coin]]*(表1_86121822242672112110114[[#This Row],[活跃高战玩家数]]+表1_86121822242672112110114[[#This Row],[活跃中坚玩家数]])</f>
        <v>16000</v>
      </c>
      <c r="G29" s="94">
        <f>(VLOOKUP(表1_86121822242672112110114[[#This Row],[目标区服]],$R$41:$S$46,2,FALSE)-表1_86121822242672112110114[[#This Row],[开服天数]])*配置!$B$2</f>
        <v>10</v>
      </c>
      <c r="H29" s="93" t="s">
        <v>25</v>
      </c>
      <c r="I29" s="93">
        <f>IF(表1_86121822242672112110114[[#This Row],[原国家]]="魏",0,IF(表1_86121822242672112110114[[#This Row],[原国家]]="蜀",1,2))</f>
        <v>0</v>
      </c>
      <c r="J29" s="325">
        <v>1</v>
      </c>
      <c r="K29" s="325">
        <v>71</v>
      </c>
      <c r="L29" s="325">
        <v>0</v>
      </c>
      <c r="M29" s="325">
        <v>16</v>
      </c>
      <c r="N29" s="325">
        <v>38742</v>
      </c>
      <c r="O29" s="326">
        <v>846920</v>
      </c>
      <c r="P29" s="326">
        <v>7611262</v>
      </c>
      <c r="Q29" s="137" t="s">
        <v>26</v>
      </c>
      <c r="R29" s="93">
        <f>IF(表1_86121822242672112110114[[#This Row],[目标国家]]="魏",0,IF(表1_86121822242672112110114[[#This Row],[目标国家]]="蜀",1,2))</f>
        <v>1</v>
      </c>
      <c r="S29" s="325">
        <v>5474</v>
      </c>
      <c r="T29" s="325">
        <v>0</v>
      </c>
      <c r="U29" s="325">
        <v>100493</v>
      </c>
      <c r="V29" s="325">
        <v>2826</v>
      </c>
      <c r="W29" s="325">
        <v>242564</v>
      </c>
      <c r="X29" s="140" t="str">
        <f>"{"&amp;"'coin':"&amp;表1_86121822242672112110114[[#This Row],[补偿Coin]]&amp;",'"&amp;配置!$A$2&amp;"':"&amp;表1_86121822242672112110114[[#This Row],[补偿辎重]]&amp;"},"</f>
        <v>{'coin':1000,'item036':10},</v>
      </c>
      <c r="Y29" s="138" t="str">
        <f>"      '"&amp;表1_86121822242672112110114[[#This Row],[区服]]&amp;"':{"</f>
        <v>      '5286':{</v>
      </c>
    </row>
    <row r="30" s="312" customFormat="1" ht="14.25" customHeight="1" spans="1:25">
      <c r="A30" s="91">
        <v>5286</v>
      </c>
      <c r="B30" s="91">
        <f>VLOOKUP(表1_86121822242672112110114[[#This Row],[区服]],$P$41:$Q$52,2,FALSE)</f>
        <v>35</v>
      </c>
      <c r="C30" s="92" t="s">
        <v>280</v>
      </c>
      <c r="D30" s="93" t="str">
        <f>表1_86121822242672112110114[[#This Row],[目标国家]]</f>
        <v>蜀</v>
      </c>
      <c r="E30" s="94">
        <f>(VLOOKUP(表1_86121822242672112110114[[#This Row],[目标区服]],$R$41:$S$46,2,FALSE)-表1_86121822242672112110114[[#This Row],[开服天数]])*配置!$B$1</f>
        <v>1000</v>
      </c>
      <c r="F30" s="95">
        <f>表1_86121822242672112110114[[#This Row],[补偿Coin]]*(表1_86121822242672112110114[[#This Row],[活跃高战玩家数]]+表1_86121822242672112110114[[#This Row],[活跃中坚玩家数]])</f>
        <v>38000</v>
      </c>
      <c r="G30" s="94">
        <f>(VLOOKUP(表1_86121822242672112110114[[#This Row],[目标区服]],$R$41:$S$46,2,FALSE)-表1_86121822242672112110114[[#This Row],[开服天数]])*配置!$B$2</f>
        <v>10</v>
      </c>
      <c r="H30" s="93" t="s">
        <v>26</v>
      </c>
      <c r="I30" s="93">
        <f>IF(表1_86121822242672112110114[[#This Row],[原国家]]="魏",0,IF(表1_86121822242672112110114[[#This Row],[原国家]]="蜀",1,2))</f>
        <v>1</v>
      </c>
      <c r="J30" s="325">
        <v>5</v>
      </c>
      <c r="K30" s="325">
        <v>195</v>
      </c>
      <c r="L30" s="325">
        <v>8</v>
      </c>
      <c r="M30" s="325">
        <v>30</v>
      </c>
      <c r="N30" s="325">
        <v>178253</v>
      </c>
      <c r="O30" s="326">
        <v>2127450</v>
      </c>
      <c r="P30" s="326">
        <v>27359107</v>
      </c>
      <c r="Q30" s="137" t="s">
        <v>26</v>
      </c>
      <c r="R30" s="93">
        <f>IF(表1_86121822242672112110114[[#This Row],[目标国家]]="魏",0,IF(表1_86121822242672112110114[[#This Row],[目标国家]]="蜀",1,2))</f>
        <v>1</v>
      </c>
      <c r="S30" s="325">
        <v>56528</v>
      </c>
      <c r="T30" s="325">
        <v>0</v>
      </c>
      <c r="U30" s="325">
        <v>386730</v>
      </c>
      <c r="V30" s="325">
        <v>10093</v>
      </c>
      <c r="W30" s="336">
        <v>705945</v>
      </c>
      <c r="X30" s="140" t="str">
        <f>"{"&amp;"'coin':"&amp;表1_86121822242672112110114[[#This Row],[补偿Coin]]&amp;",'"&amp;配置!$A$2&amp;"':"&amp;表1_86121822242672112110114[[#This Row],[补偿辎重]]&amp;"},"</f>
        <v>{'coin':1000,'item036':10},</v>
      </c>
      <c r="Y30" s="138" t="str">
        <f>"            'to_zone':'"&amp;表1_86121822242672112110114[[#This Row],[目标区服]]&amp;"',
            'reward':"&amp;表1_86121822242672112110114[[#This Row],[辅助导出]]&amp;"
            'country':["&amp;R29&amp;","&amp;R30&amp;","&amp;R31&amp;"],"</f>
        <v>            'to_zone':'h1_618',
            'reward':{'coin':1000,'item036':10},
            'country':[1,1,2],</v>
      </c>
    </row>
    <row r="31" s="312" customFormat="1" ht="14.25" customHeight="1" spans="1:25">
      <c r="A31" s="91">
        <v>5286</v>
      </c>
      <c r="B31" s="91">
        <f>VLOOKUP(表1_86121822242672112110114[[#This Row],[区服]],$P$41:$Q$52,2,FALSE)</f>
        <v>35</v>
      </c>
      <c r="C31" s="92" t="s">
        <v>280</v>
      </c>
      <c r="D31" s="93" t="str">
        <f>表1_86121822242672112110114[[#This Row],[目标国家]]</f>
        <v>吴</v>
      </c>
      <c r="E31" s="94">
        <f>(VLOOKUP(表1_86121822242672112110114[[#This Row],[目标区服]],$R$41:$S$46,2,FALSE)-表1_86121822242672112110114[[#This Row],[开服天数]])*配置!$B$1</f>
        <v>1000</v>
      </c>
      <c r="F31" s="95">
        <f>表1_86121822242672112110114[[#This Row],[补偿Coin]]*(表1_86121822242672112110114[[#This Row],[活跃高战玩家数]]+表1_86121822242672112110114[[#This Row],[活跃中坚玩家数]])</f>
        <v>25000</v>
      </c>
      <c r="G31" s="94">
        <f>(VLOOKUP(表1_86121822242672112110114[[#This Row],[目标区服]],$R$41:$S$46,2,FALSE)-表1_86121822242672112110114[[#This Row],[开服天数]])*配置!$B$2</f>
        <v>10</v>
      </c>
      <c r="H31" s="93" t="s">
        <v>27</v>
      </c>
      <c r="I31" s="93">
        <f>IF(表1_86121822242672112110114[[#This Row],[原国家]]="魏",0,IF(表1_86121822242672112110114[[#This Row],[原国家]]="蜀",1,2))</f>
        <v>2</v>
      </c>
      <c r="J31" s="325">
        <v>3</v>
      </c>
      <c r="K31" s="325">
        <v>129</v>
      </c>
      <c r="L31" s="325">
        <v>2</v>
      </c>
      <c r="M31" s="325">
        <v>23</v>
      </c>
      <c r="N31" s="325">
        <v>95970</v>
      </c>
      <c r="O31" s="326">
        <v>2248242</v>
      </c>
      <c r="P31" s="326">
        <v>16259868</v>
      </c>
      <c r="Q31" s="137" t="s">
        <v>27</v>
      </c>
      <c r="R31" s="93">
        <f>IF(表1_86121822242672112110114[[#This Row],[目标国家]]="魏",0,IF(表1_86121822242672112110114[[#This Row],[目标国家]]="蜀",1,2))</f>
        <v>2</v>
      </c>
      <c r="S31" s="325">
        <v>38800</v>
      </c>
      <c r="T31" s="325">
        <v>0</v>
      </c>
      <c r="U31" s="325">
        <v>272604</v>
      </c>
      <c r="V31" s="325">
        <v>7244</v>
      </c>
      <c r="W31" s="336">
        <v>688514</v>
      </c>
      <c r="X31" s="140" t="str">
        <f>"{"&amp;"'coin':"&amp;表1_86121822242672112110114[[#This Row],[补偿Coin]]&amp;",'"&amp;配置!$A$2&amp;"':"&amp;表1_86121822242672112110114[[#This Row],[补偿辎重]]&amp;"},"</f>
        <v>{'coin':1000,'item036':10},</v>
      </c>
      <c r="Y31" s="138" t="str">
        <f>"      },"</f>
        <v>      },</v>
      </c>
    </row>
    <row r="32" s="312" customFormat="1" ht="14.25" customHeight="1" spans="1:25">
      <c r="A32" s="214">
        <v>5287</v>
      </c>
      <c r="B32" s="214">
        <f>VLOOKUP(表1_86121822242672112110114[[#This Row],[区服]],$P$41:$Q$52,2,FALSE)</f>
        <v>35</v>
      </c>
      <c r="C32" s="293" t="s">
        <v>281</v>
      </c>
      <c r="D32" s="322" t="str">
        <f>表1_86121822242672112110114[[#This Row],[目标国家]]</f>
        <v>魏</v>
      </c>
      <c r="E32" s="294">
        <f>(VLOOKUP(表1_86121822242672112110114[[#This Row],[目标区服]],$R$41:$S$46,2,FALSE)-表1_86121822242672112110114[[#This Row],[开服天数]])*配置!$B$1</f>
        <v>1000</v>
      </c>
      <c r="F32" s="294">
        <f>表1_86121822242672112110114[[#This Row],[补偿Coin]]*(表1_86121822242672112110114[[#This Row],[活跃高战玩家数]]+表1_86121822242672112110114[[#This Row],[活跃中坚玩家数]])</f>
        <v>18000</v>
      </c>
      <c r="G32" s="294">
        <f>(VLOOKUP(表1_86121822242672112110114[[#This Row],[目标区服]],$R$41:$S$46,2,FALSE)-表1_86121822242672112110114[[#This Row],[开服天数]])*配置!$B$2</f>
        <v>10</v>
      </c>
      <c r="H32" s="216" t="s">
        <v>25</v>
      </c>
      <c r="I32" s="216">
        <f>IF(表1_86121822242672112110114[[#This Row],[原国家]]="魏",0,IF(表1_86121822242672112110114[[#This Row],[原国家]]="蜀",1,2))</f>
        <v>0</v>
      </c>
      <c r="J32" s="333">
        <v>0</v>
      </c>
      <c r="K32" s="333">
        <v>36</v>
      </c>
      <c r="L32" s="333">
        <v>0</v>
      </c>
      <c r="M32" s="333">
        <v>18</v>
      </c>
      <c r="N32" s="333">
        <v>63306</v>
      </c>
      <c r="O32" s="334">
        <v>771794</v>
      </c>
      <c r="P32" s="334">
        <v>7724208</v>
      </c>
      <c r="Q32" s="247" t="s">
        <v>25</v>
      </c>
      <c r="R32" s="216">
        <f>IF(表1_86121822242672112110114[[#This Row],[目标国家]]="魏",0,IF(表1_86121822242672112110114[[#This Row],[目标国家]]="蜀",1,2))</f>
        <v>0</v>
      </c>
      <c r="S32" s="333">
        <v>8532</v>
      </c>
      <c r="T32" s="333">
        <v>0</v>
      </c>
      <c r="U32" s="333">
        <v>113696</v>
      </c>
      <c r="V32" s="333">
        <v>2533</v>
      </c>
      <c r="W32" s="333">
        <v>312337</v>
      </c>
      <c r="X32" s="249" t="str">
        <f>"{"&amp;"'coin':"&amp;表1_86121822242672112110114[[#This Row],[补偿Coin]]&amp;",'"&amp;配置!$A$2&amp;"':"&amp;表1_86121822242672112110114[[#This Row],[补偿辎重]]&amp;"},"</f>
        <v>{'coin':1000,'item036':10},</v>
      </c>
      <c r="Y32" s="251" t="str">
        <f>"      '"&amp;表1_86121822242672112110114[[#This Row],[区服]]&amp;"':{"</f>
        <v>      '5287':{</v>
      </c>
    </row>
    <row r="33" s="312" customFormat="1" ht="14.25" customHeight="1" spans="1:25">
      <c r="A33" s="214">
        <v>5287</v>
      </c>
      <c r="B33" s="214">
        <f>VLOOKUP(表1_86121822242672112110114[[#This Row],[区服]],$P$41:$Q$52,2,FALSE)</f>
        <v>35</v>
      </c>
      <c r="C33" s="293" t="s">
        <v>281</v>
      </c>
      <c r="D33" s="216" t="str">
        <f>表1_86121822242672112110114[[#This Row],[目标国家]]</f>
        <v>吴</v>
      </c>
      <c r="E33" s="294">
        <f>(VLOOKUP(表1_86121822242672112110114[[#This Row],[目标区服]],$R$41:$S$46,2,FALSE)-表1_86121822242672112110114[[#This Row],[开服天数]])*配置!$B$1</f>
        <v>1000</v>
      </c>
      <c r="F33" s="217">
        <f>表1_86121822242672112110114[[#This Row],[补偿Coin]]*(表1_86121822242672112110114[[#This Row],[活跃高战玩家数]]+表1_86121822242672112110114[[#This Row],[活跃中坚玩家数]])</f>
        <v>28000</v>
      </c>
      <c r="G33" s="294">
        <f>(VLOOKUP(表1_86121822242672112110114[[#This Row],[目标区服]],$R$41:$S$46,2,FALSE)-表1_86121822242672112110114[[#This Row],[开服天数]])*配置!$B$2</f>
        <v>10</v>
      </c>
      <c r="H33" s="216" t="s">
        <v>26</v>
      </c>
      <c r="I33" s="216">
        <f>IF(表1_86121822242672112110114[[#This Row],[原国家]]="魏",0,IF(表1_86121822242672112110114[[#This Row],[原国家]]="蜀",1,2))</f>
        <v>1</v>
      </c>
      <c r="J33" s="333">
        <v>3</v>
      </c>
      <c r="K33" s="333">
        <v>138</v>
      </c>
      <c r="L33" s="333">
        <v>4</v>
      </c>
      <c r="M33" s="333">
        <v>24</v>
      </c>
      <c r="N33" s="333">
        <v>110076</v>
      </c>
      <c r="O33" s="334">
        <v>1808387</v>
      </c>
      <c r="P33" s="334">
        <v>14068874</v>
      </c>
      <c r="Q33" s="247" t="s">
        <v>27</v>
      </c>
      <c r="R33" s="216">
        <f>IF(表1_86121822242672112110114[[#This Row],[目标国家]]="魏",0,IF(表1_86121822242672112110114[[#This Row],[目标国家]]="蜀",1,2))</f>
        <v>2</v>
      </c>
      <c r="S33" s="333">
        <v>33362</v>
      </c>
      <c r="T33" s="333">
        <v>0</v>
      </c>
      <c r="U33" s="333">
        <v>353747</v>
      </c>
      <c r="V33" s="333">
        <v>6623</v>
      </c>
      <c r="W33" s="342">
        <v>692117</v>
      </c>
      <c r="X33" s="249" t="str">
        <f>"{"&amp;"'coin':"&amp;表1_86121822242672112110114[[#This Row],[补偿Coin]]&amp;",'"&amp;配置!$A$2&amp;"':"&amp;表1_86121822242672112110114[[#This Row],[补偿辎重]]&amp;"},"</f>
        <v>{'coin':1000,'item036':10},</v>
      </c>
      <c r="Y33" s="251" t="str">
        <f>"            'to_zone':'"&amp;表1_86121822242672112110114[[#This Row],[目标区服]]&amp;"',
            'reward':"&amp;表1_86121822242672112110114[[#This Row],[辅助导出]]&amp;"
            'country':["&amp;R32&amp;","&amp;R33&amp;","&amp;R34&amp;"],"</f>
        <v>            'to_zone':'h1_619',
            'reward':{'coin':1000,'item036':10},
            'country':[0,2,2],</v>
      </c>
    </row>
    <row r="34" s="312" customFormat="1" ht="14.25" customHeight="1" spans="1:25">
      <c r="A34" s="214">
        <v>5287</v>
      </c>
      <c r="B34" s="214">
        <f>VLOOKUP(表1_86121822242672112110114[[#This Row],[区服]],$P$41:$Q$52,2,FALSE)</f>
        <v>35</v>
      </c>
      <c r="C34" s="293" t="s">
        <v>281</v>
      </c>
      <c r="D34" s="216" t="str">
        <f>表1_86121822242672112110114[[#This Row],[目标国家]]</f>
        <v>吴</v>
      </c>
      <c r="E34" s="294">
        <f>(VLOOKUP(表1_86121822242672112110114[[#This Row],[目标区服]],$R$41:$S$46,2,FALSE)-表1_86121822242672112110114[[#This Row],[开服天数]])*配置!$B$1</f>
        <v>1000</v>
      </c>
      <c r="F34" s="217">
        <f>表1_86121822242672112110114[[#This Row],[补偿Coin]]*(表1_86121822242672112110114[[#This Row],[活跃高战玩家数]]+表1_86121822242672112110114[[#This Row],[活跃中坚玩家数]])</f>
        <v>22000</v>
      </c>
      <c r="G34" s="294">
        <f>(VLOOKUP(表1_86121822242672112110114[[#This Row],[目标区服]],$R$41:$S$46,2,FALSE)-表1_86121822242672112110114[[#This Row],[开服天数]])*配置!$B$2</f>
        <v>10</v>
      </c>
      <c r="H34" s="216" t="s">
        <v>27</v>
      </c>
      <c r="I34" s="216">
        <f>IF(表1_86121822242672112110114[[#This Row],[原国家]]="魏",0,IF(表1_86121822242672112110114[[#This Row],[原国家]]="蜀",1,2))</f>
        <v>2</v>
      </c>
      <c r="J34" s="333">
        <v>6</v>
      </c>
      <c r="K34" s="333">
        <v>221</v>
      </c>
      <c r="L34" s="333">
        <v>6</v>
      </c>
      <c r="M34" s="333">
        <v>16</v>
      </c>
      <c r="N34" s="333">
        <v>115968</v>
      </c>
      <c r="O34" s="334">
        <v>2349960</v>
      </c>
      <c r="P34" s="334">
        <v>14788570</v>
      </c>
      <c r="Q34" s="247" t="s">
        <v>27</v>
      </c>
      <c r="R34" s="216">
        <f>IF(表1_86121822242672112110114[[#This Row],[目标国家]]="魏",0,IF(表1_86121822242672112110114[[#This Row],[目标国家]]="蜀",1,2))</f>
        <v>2</v>
      </c>
      <c r="S34" s="333">
        <v>50887</v>
      </c>
      <c r="T34" s="333">
        <v>0</v>
      </c>
      <c r="U34" s="333">
        <v>249536</v>
      </c>
      <c r="V34" s="333">
        <v>8870</v>
      </c>
      <c r="W34" s="342">
        <v>765948</v>
      </c>
      <c r="X34" s="249" t="str">
        <f>"{"&amp;"'coin':"&amp;表1_86121822242672112110114[[#This Row],[补偿Coin]]&amp;",'"&amp;配置!$A$2&amp;"':"&amp;表1_86121822242672112110114[[#This Row],[补偿辎重]]&amp;"},"</f>
        <v>{'coin':1000,'item036':10},</v>
      </c>
      <c r="Y34" s="251" t="str">
        <f>"      },"</f>
        <v>      },</v>
      </c>
    </row>
    <row r="35" s="312" customFormat="1" ht="14.25" customHeight="1" spans="1:25">
      <c r="A35" s="214">
        <v>5288</v>
      </c>
      <c r="B35" s="214">
        <f>VLOOKUP(表1_86121822242672112110114[[#This Row],[区服]],$P$41:$Q$52,2,FALSE)</f>
        <v>35</v>
      </c>
      <c r="C35" s="293" t="s">
        <v>281</v>
      </c>
      <c r="D35" s="322" t="str">
        <f>表1_86121822242672112110114[[#This Row],[目标国家]]</f>
        <v>蜀</v>
      </c>
      <c r="E35" s="294">
        <f>(VLOOKUP(表1_86121822242672112110114[[#This Row],[目标区服]],$R$41:$S$46,2,FALSE)-表1_86121822242672112110114[[#This Row],[开服天数]])*配置!$B$1</f>
        <v>1000</v>
      </c>
      <c r="F35" s="294">
        <f>表1_86121822242672112110114[[#This Row],[补偿Coin]]*(表1_86121822242672112110114[[#This Row],[活跃高战玩家数]]+表1_86121822242672112110114[[#This Row],[活跃中坚玩家数]])</f>
        <v>35000</v>
      </c>
      <c r="G35" s="294">
        <f>(VLOOKUP(表1_86121822242672112110114[[#This Row],[目标区服]],$R$41:$S$46,2,FALSE)-表1_86121822242672112110114[[#This Row],[开服天数]])*配置!$B$2</f>
        <v>10</v>
      </c>
      <c r="H35" s="216" t="s">
        <v>25</v>
      </c>
      <c r="I35" s="216">
        <f>IF(表1_86121822242672112110114[[#This Row],[原国家]]="魏",0,IF(表1_86121822242672112110114[[#This Row],[原国家]]="蜀",1,2))</f>
        <v>0</v>
      </c>
      <c r="J35" s="333">
        <v>3</v>
      </c>
      <c r="K35" s="333">
        <v>95</v>
      </c>
      <c r="L35" s="333">
        <v>4</v>
      </c>
      <c r="M35" s="333">
        <v>31</v>
      </c>
      <c r="N35" s="333">
        <v>133408</v>
      </c>
      <c r="O35" s="334">
        <v>1813946</v>
      </c>
      <c r="P35" s="334">
        <v>21871099</v>
      </c>
      <c r="Q35" s="247" t="s">
        <v>26</v>
      </c>
      <c r="R35" s="216">
        <f>IF(表1_86121822242672112110114[[#This Row],[目标国家]]="魏",0,IF(表1_86121822242672112110114[[#This Row],[目标国家]]="蜀",1,2))</f>
        <v>1</v>
      </c>
      <c r="S35" s="333">
        <v>58390</v>
      </c>
      <c r="T35" s="333">
        <v>0</v>
      </c>
      <c r="U35" s="333">
        <v>311186</v>
      </c>
      <c r="V35" s="333">
        <v>7825</v>
      </c>
      <c r="W35" s="333">
        <v>506927</v>
      </c>
      <c r="X35" s="249" t="str">
        <f>"{"&amp;"'coin':"&amp;表1_86121822242672112110114[[#This Row],[补偿Coin]]&amp;",'"&amp;配置!$A$2&amp;"':"&amp;表1_86121822242672112110114[[#This Row],[补偿辎重]]&amp;"},"</f>
        <v>{'coin':1000,'item036':10},</v>
      </c>
      <c r="Y35" s="251" t="str">
        <f>"      '"&amp;表1_86121822242672112110114[[#This Row],[区服]]&amp;"':{"</f>
        <v>      '5288':{</v>
      </c>
    </row>
    <row r="36" s="312" customFormat="1" ht="14.25" customHeight="1" spans="1:25">
      <c r="A36" s="214">
        <v>5288</v>
      </c>
      <c r="B36" s="214">
        <f>VLOOKUP(表1_86121822242672112110114[[#This Row],[区服]],$P$41:$Q$52,2,FALSE)</f>
        <v>35</v>
      </c>
      <c r="C36" s="293" t="s">
        <v>281</v>
      </c>
      <c r="D36" s="216" t="str">
        <f>表1_86121822242672112110114[[#This Row],[目标国家]]</f>
        <v>蜀</v>
      </c>
      <c r="E36" s="294">
        <f>(VLOOKUP(表1_86121822242672112110114[[#This Row],[目标区服]],$R$41:$S$46,2,FALSE)-表1_86121822242672112110114[[#This Row],[开服天数]])*配置!$B$1</f>
        <v>1000</v>
      </c>
      <c r="F36" s="217">
        <f>表1_86121822242672112110114[[#This Row],[补偿Coin]]*(表1_86121822242672112110114[[#This Row],[活跃高战玩家数]]+表1_86121822242672112110114[[#This Row],[活跃中坚玩家数]])</f>
        <v>20000</v>
      </c>
      <c r="G36" s="294">
        <f>(VLOOKUP(表1_86121822242672112110114[[#This Row],[目标区服]],$R$41:$S$46,2,FALSE)-表1_86121822242672112110114[[#This Row],[开服天数]])*配置!$B$2</f>
        <v>10</v>
      </c>
      <c r="H36" s="216" t="s">
        <v>26</v>
      </c>
      <c r="I36" s="216">
        <f>IF(表1_86121822242672112110114[[#This Row],[原国家]]="魏",0,IF(表1_86121822242672112110114[[#This Row],[原国家]]="蜀",1,2))</f>
        <v>1</v>
      </c>
      <c r="J36" s="333">
        <v>2</v>
      </c>
      <c r="K36" s="333">
        <v>82</v>
      </c>
      <c r="L36" s="333">
        <v>1</v>
      </c>
      <c r="M36" s="333">
        <v>19</v>
      </c>
      <c r="N36" s="333">
        <v>53634</v>
      </c>
      <c r="O36" s="334">
        <v>1271759</v>
      </c>
      <c r="P36" s="334">
        <v>10191008</v>
      </c>
      <c r="Q36" s="247" t="s">
        <v>26</v>
      </c>
      <c r="R36" s="216">
        <f>IF(表1_86121822242672112110114[[#This Row],[目标国家]]="魏",0,IF(表1_86121822242672112110114[[#This Row],[目标国家]]="蜀",1,2))</f>
        <v>1</v>
      </c>
      <c r="S36" s="333">
        <v>9868</v>
      </c>
      <c r="T36" s="333">
        <v>0</v>
      </c>
      <c r="U36" s="333">
        <v>146277</v>
      </c>
      <c r="V36" s="333">
        <v>3948</v>
      </c>
      <c r="W36" s="333">
        <v>370125</v>
      </c>
      <c r="X36" s="249" t="str">
        <f>"{"&amp;"'coin':"&amp;表1_86121822242672112110114[[#This Row],[补偿Coin]]&amp;",'"&amp;配置!$A$2&amp;"':"&amp;表1_86121822242672112110114[[#This Row],[补偿辎重]]&amp;"},"</f>
        <v>{'coin':1000,'item036':10},</v>
      </c>
      <c r="Y36" s="251" t="str">
        <f>"            'to_zone':'"&amp;表1_86121822242672112110114[[#This Row],[目标区服]]&amp;"',
            'reward':"&amp;表1_86121822242672112110114[[#This Row],[辅助导出]]&amp;"
            'country':["&amp;R35&amp;","&amp;R36&amp;","&amp;R37&amp;"],"</f>
        <v>            'to_zone':'h1_619',
            'reward':{'coin':1000,'item036':10},
            'country':[1,1,0],</v>
      </c>
    </row>
    <row r="37" s="312" customFormat="1" ht="14.25" customHeight="1" spans="1:25">
      <c r="A37" s="214">
        <v>5288</v>
      </c>
      <c r="B37" s="214">
        <f>VLOOKUP(表1_86121822242672112110114[[#This Row],[区服]],$P$41:$Q$52,2,FALSE)</f>
        <v>35</v>
      </c>
      <c r="C37" s="293" t="s">
        <v>281</v>
      </c>
      <c r="D37" s="216" t="str">
        <f>表1_86121822242672112110114[[#This Row],[目标国家]]</f>
        <v>魏</v>
      </c>
      <c r="E37" s="294">
        <f>(VLOOKUP(表1_86121822242672112110114[[#This Row],[目标区服]],$R$41:$S$46,2,FALSE)-表1_86121822242672112110114[[#This Row],[开服天数]])*配置!$B$1</f>
        <v>1000</v>
      </c>
      <c r="F37" s="217">
        <f>表1_86121822242672112110114[[#This Row],[补偿Coin]]*(表1_86121822242672112110114[[#This Row],[活跃高战玩家数]]+表1_86121822242672112110114[[#This Row],[活跃中坚玩家数]])</f>
        <v>27000</v>
      </c>
      <c r="G37" s="294">
        <f>(VLOOKUP(表1_86121822242672112110114[[#This Row],[目标区服]],$R$41:$S$46,2,FALSE)-表1_86121822242672112110114[[#This Row],[开服天数]])*配置!$B$2</f>
        <v>10</v>
      </c>
      <c r="H37" s="216" t="s">
        <v>27</v>
      </c>
      <c r="I37" s="216">
        <f>IF(表1_86121822242672112110114[[#This Row],[原国家]]="魏",0,IF(表1_86121822242672112110114[[#This Row],[原国家]]="蜀",1,2))</f>
        <v>2</v>
      </c>
      <c r="J37" s="333">
        <v>4</v>
      </c>
      <c r="K37" s="333">
        <v>218</v>
      </c>
      <c r="L37" s="333">
        <v>5</v>
      </c>
      <c r="M37" s="333">
        <v>22</v>
      </c>
      <c r="N37" s="333">
        <v>130969</v>
      </c>
      <c r="O37" s="334">
        <v>2388297</v>
      </c>
      <c r="P37" s="334">
        <v>19905015</v>
      </c>
      <c r="Q37" s="247" t="s">
        <v>25</v>
      </c>
      <c r="R37" s="216">
        <f>IF(表1_86121822242672112110114[[#This Row],[目标国家]]="魏",0,IF(表1_86121822242672112110114[[#This Row],[目标国家]]="蜀",1,2))</f>
        <v>0</v>
      </c>
      <c r="S37" s="333">
        <v>49440</v>
      </c>
      <c r="T37" s="333">
        <v>0</v>
      </c>
      <c r="U37" s="333">
        <v>409717</v>
      </c>
      <c r="V37" s="333">
        <v>9301</v>
      </c>
      <c r="W37" s="342">
        <v>737567</v>
      </c>
      <c r="X37" s="249" t="str">
        <f>"{"&amp;"'coin':"&amp;表1_86121822242672112110114[[#This Row],[补偿Coin]]&amp;",'"&amp;配置!$A$2&amp;"':"&amp;表1_86121822242672112110114[[#This Row],[补偿辎重]]&amp;"},"</f>
        <v>{'coin':1000,'item036':10},</v>
      </c>
      <c r="Y37" s="251" t="str">
        <f>"      },"</f>
        <v>      },</v>
      </c>
    </row>
    <row r="40" ht="37.5" customHeight="1" spans="1:19">
      <c r="A40" s="36" t="s">
        <v>28</v>
      </c>
      <c r="B40" s="37" t="s">
        <v>29</v>
      </c>
      <c r="C40" s="38" t="s">
        <v>30</v>
      </c>
      <c r="D40" s="38" t="s">
        <v>31</v>
      </c>
      <c r="E40" s="38" t="s">
        <v>32</v>
      </c>
      <c r="F40" s="38" t="s">
        <v>33</v>
      </c>
      <c r="G40" s="38" t="s">
        <v>15</v>
      </c>
      <c r="H40" s="37" t="s">
        <v>18</v>
      </c>
      <c r="I40" s="37" t="s">
        <v>19</v>
      </c>
      <c r="J40" s="37" t="s">
        <v>20</v>
      </c>
      <c r="K40" s="38" t="s">
        <v>35</v>
      </c>
      <c r="L40" s="38" t="s">
        <v>36</v>
      </c>
      <c r="M40" s="38" t="s">
        <v>37</v>
      </c>
      <c r="N40" s="38" t="s">
        <v>88</v>
      </c>
      <c r="P40" s="51" t="s">
        <v>0</v>
      </c>
      <c r="Q40" s="51" t="s">
        <v>1</v>
      </c>
      <c r="R40" s="51"/>
      <c r="S40" s="51" t="s">
        <v>38</v>
      </c>
    </row>
    <row r="41" ht="15.75" customHeight="1" spans="1:19">
      <c r="A41" s="178" t="s">
        <v>276</v>
      </c>
      <c r="B41" s="178" t="s">
        <v>25</v>
      </c>
      <c r="C41" s="178">
        <f>COUNTIFS(表1_86121822242672112110114[目标区服],表2_97131923252773113111115[[#This Row],[合区区服]],表1_86121822242672112110114[目标国家（映射）],表2_97131923252773113111115[[#This Row],[国家]])</f>
        <v>2</v>
      </c>
      <c r="D41" s="178">
        <f>SUMIFS(表1_86121822242672112110114[活跃高战玩家数],表1_86121822242672112110114[目标区服],表2_97131923252773113111115[[#This Row],[合区区服]],表1_86121822242672112110114[目标国家（映射）],表2_97131923252773113111115[[#This Row],[国家]])</f>
        <v>9</v>
      </c>
      <c r="E41" s="178">
        <f>SUMIFS(表1_86121822242672112110114[活跃中坚玩家数],表1_86121822242672112110114[目标区服],表2_97131923252773113111115[[#This Row],[合区区服]],表1_86121822242672112110114[目标国家（映射）],表2_97131923252773113111115[[#This Row],[国家]])</f>
        <v>30</v>
      </c>
      <c r="F41" s="178">
        <f t="array" ref="F41">MAX((表1_86121822242672112110114[目标区服]=表2_97131923252773113111115[[#This Row],[合区区服]])*(表1_86121822242672112110114[目标国家（映射）]=表2_97131923252773113111115[[#This Row],[国家]])*表1_86121822242672112110114[活跃尖端战力])</f>
        <v>2288836</v>
      </c>
      <c r="G41" s="179">
        <f>SUMIFS(表1_86121822242672112110114[活跃总战力],表1_86121822242672112110114[目标区服],表2_97131923252773113111115[[#This Row],[合区区服]],表1_86121822242672112110114[目标国家（映射）],表2_97131923252773113111115[[#This Row],[国家]])</f>
        <v>29209933</v>
      </c>
      <c r="H41" s="178">
        <f>SUMIFS(表1_86121822242672112110114[活跃实际充值],表1_86121822242672112110114[目标区服],表2_97131923252773113111115[[#This Row],[合区区服]],表1_86121822242672112110114[目标国家（映射）],表2_97131923252773113111115[[#This Row],[国家]])</f>
        <v>62896</v>
      </c>
      <c r="I41" s="178">
        <f>SUMIFS(表1_86121822242672112110114[活跃虚拟充值],表1_86121822242672112110114[目标区服],表2_97131923252773113111115[[#This Row],[合区区服]],表1_86121822242672112110114[目标国家（映射）],表2_97131923252773113111115[[#This Row],[国家]])</f>
        <v>0</v>
      </c>
      <c r="J41" s="178">
        <f>SUMIFS(表1_86121822242672112110114[活跃Coin],表1_86121822242672112110114[目标区服],表2_97131923252773113111115[[#This Row],[合区区服]],表1_86121822242672112110114[目标国家（映射）],表2_97131923252773113111115[[#This Row],[国家]])</f>
        <v>488217</v>
      </c>
      <c r="K41" s="178">
        <f>SUMIFS(表1_86121822242672112110114[共计补偿Coin],表1_86121822242672112110114[目标区服],表2_97131923252773113111115[[#This Row],[合区区服]],表1_86121822242672112110114[目标国家（映射）],表2_97131923252773113111115[[#This Row],[国家]])</f>
        <v>39000</v>
      </c>
      <c r="L41" s="178">
        <f>表2_97131923252773113111115[[#This Row],[活跃Coin]]+表2_97131923252773113111115[[#This Row],[共计补偿Coin]]</f>
        <v>527217</v>
      </c>
      <c r="M41" s="178">
        <f>SUMIFS(表1_86121822242672112110114[综合国力],表1_86121822242672112110114[目标区服],表2_97131923252773113111115[[#This Row],[合区区服]],表1_86121822242672112110114[目标国家（映射）],表2_97131923252773113111115[[#This Row],[国家]])</f>
        <v>12352</v>
      </c>
      <c r="N41" s="178">
        <f t="array" ref="N41">MAX((表1_86121822242672112110114[目标区服]=表2_97131923252773113111115[[#This Row],[合区区服]])*(表1_86121822242672112110114[目标国家（映射）]=表2_97131923252773113111115[[#This Row],[国家]])*表1_86121822242672112110114[单将最高战力])</f>
        <v>854773</v>
      </c>
      <c r="P41" s="335">
        <v>5277</v>
      </c>
      <c r="Q41" s="335">
        <v>37</v>
      </c>
      <c r="R41" s="51" t="s">
        <v>276</v>
      </c>
      <c r="S41" s="51">
        <v>39</v>
      </c>
    </row>
    <row r="42" ht="15" spans="1:19">
      <c r="A42" s="178" t="s">
        <v>276</v>
      </c>
      <c r="B42" s="178" t="s">
        <v>26</v>
      </c>
      <c r="C42" s="178">
        <f>COUNTIFS(表1_86121822242672112110114[目标区服],表2_97131923252773113111115[[#This Row],[合区区服]],表1_86121822242672112110114[目标国家（映射）],表2_97131923252773113111115[[#This Row],[国家]])</f>
        <v>2</v>
      </c>
      <c r="D42" s="178">
        <f>SUMIFS(表1_86121822242672112110114[活跃高战玩家数],表1_86121822242672112110114[目标区服],表2_97131923252773113111115[[#This Row],[合区区服]],表1_86121822242672112110114[目标国家（映射）],表2_97131923252773113111115[[#This Row],[国家]])</f>
        <v>3</v>
      </c>
      <c r="E42" s="178">
        <f>SUMIFS(表1_86121822242672112110114[活跃中坚玩家数],表1_86121822242672112110114[目标区服],表2_97131923252773113111115[[#This Row],[合区区服]],表1_86121822242672112110114[目标国家（映射）],表2_97131923252773113111115[[#This Row],[国家]])</f>
        <v>38</v>
      </c>
      <c r="F42" s="178">
        <f t="array" ref="F42">MAX((表1_86121822242672112110114[目标区服]=表2_97131923252773113111115[[#This Row],[合区区服]])*(表1_86121822242672112110114[目标国家（映射）]=表2_97131923252773113111115[[#This Row],[国家]])*表1_86121822242672112110114[活跃尖端战力])</f>
        <v>2343592</v>
      </c>
      <c r="G42" s="179">
        <f>SUMIFS(表1_86121822242672112110114[活跃总战力],表1_86121822242672112110114[目标区服],表2_97131923252773113111115[[#This Row],[合区区服]],表1_86121822242672112110114[目标国家（映射）],表2_97131923252773113111115[[#This Row],[国家]])</f>
        <v>25895628</v>
      </c>
      <c r="H42" s="178">
        <f>SUMIFS(表1_86121822242672112110114[活跃实际充值],表1_86121822242672112110114[目标区服],表2_97131923252773113111115[[#This Row],[合区区服]],表1_86121822242672112110114[目标国家（映射）],表2_97131923252773113111115[[#This Row],[国家]])</f>
        <v>105868</v>
      </c>
      <c r="I42" s="178">
        <f>SUMIFS(表1_86121822242672112110114[活跃虚拟充值],表1_86121822242672112110114[目标区服],表2_97131923252773113111115[[#This Row],[合区区服]],表1_86121822242672112110114[目标国家（映射）],表2_97131923252773113111115[[#This Row],[国家]])</f>
        <v>0</v>
      </c>
      <c r="J42" s="178">
        <f>SUMIFS(表1_86121822242672112110114[活跃Coin],表1_86121822242672112110114[目标区服],表2_97131923252773113111115[[#This Row],[合区区服]],表1_86121822242672112110114[目标国家（映射）],表2_97131923252773113111115[[#This Row],[国家]])</f>
        <v>645611</v>
      </c>
      <c r="K42" s="178">
        <f>SUMIFS(表1_86121822242672112110114[共计补偿Coin],表1_86121822242672112110114[目标区服],表2_97131923252773113111115[[#This Row],[合区区服]],表1_86121822242672112110114[目标国家（映射）],表2_97131923252773113111115[[#This Row],[国家]])</f>
        <v>41000</v>
      </c>
      <c r="L42" s="178">
        <f>表2_97131923252773113111115[[#This Row],[活跃Coin]]+表2_97131923252773113111115[[#This Row],[共计补偿Coin]]</f>
        <v>686611</v>
      </c>
      <c r="M42" s="178">
        <f>SUMIFS(表1_86121822242672112110114[综合国力],表1_86121822242672112110114[目标区服],表2_97131923252773113111115[[#This Row],[合区区服]],表1_86121822242672112110114[目标国家（映射）],表2_97131923252773113111115[[#This Row],[国家]])</f>
        <v>13318</v>
      </c>
      <c r="N42" s="178">
        <f t="array" ref="N42">MAX((表1_86121822242672112110114[目标区服]=表2_97131923252773113111115[[#This Row],[合区区服]])*(表1_86121822242672112110114[目标国家（映射）]=表2_97131923252773113111115[[#This Row],[国家]])*表1_86121822242672112110114[单将最高战力])</f>
        <v>930887</v>
      </c>
      <c r="P42" s="335">
        <v>5278</v>
      </c>
      <c r="Q42" s="335">
        <v>37</v>
      </c>
      <c r="R42" s="51" t="s">
        <v>277</v>
      </c>
      <c r="S42" s="51">
        <v>39</v>
      </c>
    </row>
    <row r="43" ht="15" spans="1:19">
      <c r="A43" s="178" t="s">
        <v>276</v>
      </c>
      <c r="B43" s="178" t="s">
        <v>27</v>
      </c>
      <c r="C43" s="178">
        <f>COUNTIFS(表1_86121822242672112110114[目标区服],表2_97131923252773113111115[[#This Row],[合区区服]],表1_86121822242672112110114[目标国家（映射）],表2_97131923252773113111115[[#This Row],[国家]])</f>
        <v>2</v>
      </c>
      <c r="D43" s="178">
        <f>SUMIFS(表1_86121822242672112110114[活跃高战玩家数],表1_86121822242672112110114[目标区服],表2_97131923252773113111115[[#This Row],[合区区服]],表1_86121822242672112110114[目标国家（映射）],表2_97131923252773113111115[[#This Row],[国家]])</f>
        <v>7</v>
      </c>
      <c r="E43" s="178">
        <f>SUMIFS(表1_86121822242672112110114[活跃中坚玩家数],表1_86121822242672112110114[目标区服],表2_97131923252773113111115[[#This Row],[合区区服]],表1_86121822242672112110114[目标国家（映射）],表2_97131923252773113111115[[#This Row],[国家]])</f>
        <v>39</v>
      </c>
      <c r="F43" s="178">
        <f t="array" ref="F43">MAX((表1_86121822242672112110114[目标区服]=表2_97131923252773113111115[[#This Row],[合区区服]])*(表1_86121822242672112110114[目标国家（映射）]=表2_97131923252773113111115[[#This Row],[国家]])*表1_86121822242672112110114[活跃尖端战力])</f>
        <v>2443997</v>
      </c>
      <c r="G43" s="179">
        <f>SUMIFS(表1_86121822242672112110114[活跃总战力],表1_86121822242672112110114[目标区服],表2_97131923252773113111115[[#This Row],[合区区服]],表1_86121822242672112110114[目标国家（映射）],表2_97131923252773113111115[[#This Row],[国家]])</f>
        <v>30320221</v>
      </c>
      <c r="H43" s="178">
        <f>SUMIFS(表1_86121822242672112110114[活跃实际充值],表1_86121822242672112110114[目标区服],表2_97131923252773113111115[[#This Row],[合区区服]],表1_86121822242672112110114[目标国家（映射）],表2_97131923252773113111115[[#This Row],[国家]])</f>
        <v>50668</v>
      </c>
      <c r="I43" s="178">
        <f>SUMIFS(表1_86121822242672112110114[活跃虚拟充值],表1_86121822242672112110114[目标区服],表2_97131923252773113111115[[#This Row],[合区区服]],表1_86121822242672112110114[目标国家（映射）],表2_97131923252773113111115[[#This Row],[国家]])</f>
        <v>0</v>
      </c>
      <c r="J43" s="178">
        <f>SUMIFS(表1_86121822242672112110114[活跃Coin],表1_86121822242672112110114[目标区服],表2_97131923252773113111115[[#This Row],[合区区服]],表1_86121822242672112110114[目标国家（映射）],表2_97131923252773113111115[[#This Row],[国家]])</f>
        <v>513284</v>
      </c>
      <c r="K43" s="178">
        <f>SUMIFS(表1_86121822242672112110114[共计补偿Coin],表1_86121822242672112110114[目标区服],表2_97131923252773113111115[[#This Row],[合区区服]],表1_86121822242672112110114[目标国家（映射）],表2_97131923252773113111115[[#This Row],[国家]])</f>
        <v>46000</v>
      </c>
      <c r="L43" s="178">
        <f>表2_97131923252773113111115[[#This Row],[活跃Coin]]+表2_97131923252773113111115[[#This Row],[共计补偿Coin]]</f>
        <v>559284</v>
      </c>
      <c r="M43" s="178">
        <f>SUMIFS(表1_86121822242672112110114[综合国力],表1_86121822242672112110114[目标区服],表2_97131923252773113111115[[#This Row],[合区区服]],表1_86121822242672112110114[目标国家（映射）],表2_97131923252773113111115[[#This Row],[国家]])</f>
        <v>13805</v>
      </c>
      <c r="N43" s="178">
        <f t="array" ref="N43">MAX((表1_86121822242672112110114[目标区服]=表2_97131923252773113111115[[#This Row],[合区区服]])*(表1_86121822242672112110114[目标国家（映射）]=表2_97131923252773113111115[[#This Row],[国家]])*表1_86121822242672112110114[单将最高战力])</f>
        <v>659389</v>
      </c>
      <c r="P43" s="335">
        <v>5279</v>
      </c>
      <c r="Q43" s="335">
        <v>37</v>
      </c>
      <c r="R43" s="51" t="s">
        <v>278</v>
      </c>
      <c r="S43" s="51">
        <v>38</v>
      </c>
    </row>
    <row r="44" ht="15" spans="1:19">
      <c r="A44" s="186" t="s">
        <v>277</v>
      </c>
      <c r="B44" s="186" t="s">
        <v>25</v>
      </c>
      <c r="C44" s="186">
        <f>COUNTIFS(表1_86121822242672112110114[目标区服],表2_97131923252773113111115[[#This Row],[合区区服]],表1_86121822242672112110114[目标国家（映射）],表2_97131923252773113111115[[#This Row],[国家]])</f>
        <v>2</v>
      </c>
      <c r="D44" s="186">
        <f>SUMIFS(表1_86121822242672112110114[活跃高战玩家数],表1_86121822242672112110114[目标区服],表2_97131923252773113111115[[#This Row],[合区区服]],表1_86121822242672112110114[目标国家（映射）],表2_97131923252773113111115[[#This Row],[国家]])</f>
        <v>6</v>
      </c>
      <c r="E44" s="186">
        <f>SUMIFS(表1_86121822242672112110114[活跃中坚玩家数],表1_86121822242672112110114[目标区服],表2_97131923252773113111115[[#This Row],[合区区服]],表1_86121822242672112110114[目标国家（映射）],表2_97131923252773113111115[[#This Row],[国家]])</f>
        <v>46</v>
      </c>
      <c r="F44" s="186">
        <f t="array" ref="F44">MAX((表1_86121822242672112110114[目标区服]=表2_97131923252773113111115[[#This Row],[合区区服]])*(表1_86121822242672112110114[目标国家（映射）]=表2_97131923252773113111115[[#This Row],[国家]])*表1_86121822242672112110114[活跃尖端战力])</f>
        <v>2810192</v>
      </c>
      <c r="G44" s="187">
        <f>SUMIFS(表1_86121822242672112110114[活跃总战力],表1_86121822242672112110114[目标区服],表2_97131923252773113111115[[#This Row],[合区区服]],表1_86121822242672112110114[目标国家（映射）],表2_97131923252773113111115[[#This Row],[国家]])</f>
        <v>39211900</v>
      </c>
      <c r="H44" s="186">
        <f>SUMIFS(表1_86121822242672112110114[活跃实际充值],表1_86121822242672112110114[目标区服],表2_97131923252773113111115[[#This Row],[合区区服]],表1_86121822242672112110114[目标国家（映射）],表2_97131923252773113111115[[#This Row],[国家]])</f>
        <v>82610</v>
      </c>
      <c r="I44" s="186">
        <f>SUMIFS(表1_86121822242672112110114[活跃虚拟充值],表1_86121822242672112110114[目标区服],表2_97131923252773113111115[[#This Row],[合区区服]],表1_86121822242672112110114[目标国家（映射）],表2_97131923252773113111115[[#This Row],[国家]])</f>
        <v>0</v>
      </c>
      <c r="J44" s="186">
        <f>SUMIFS(表1_86121822242672112110114[活跃Coin],表1_86121822242672112110114[目标区服],表2_97131923252773113111115[[#This Row],[合区区服]],表1_86121822242672112110114[目标国家（映射）],表2_97131923252773113111115[[#This Row],[国家]])</f>
        <v>690302</v>
      </c>
      <c r="K44" s="186">
        <f>SUMIFS(表1_86121822242672112110114[共计补偿Coin],表1_86121822242672112110114[目标区服],表2_97131923252773113111115[[#This Row],[合区区服]],表1_86121822242672112110114[目标国家（映射）],表2_97131923252773113111115[[#This Row],[国家]])</f>
        <v>52000</v>
      </c>
      <c r="L44" s="186">
        <f>表2_97131923252773113111115[[#This Row],[活跃Coin]]+表2_97131923252773113111115[[#This Row],[共计补偿Coin]]</f>
        <v>742302</v>
      </c>
      <c r="M44" s="186">
        <f>SUMIFS(表1_86121822242672112110114[综合国力],表1_86121822242672112110114[目标区服],表2_97131923252773113111115[[#This Row],[合区区服]],表1_86121822242672112110114[目标国家（映射）],表2_97131923252773113111115[[#This Row],[国家]])</f>
        <v>15189</v>
      </c>
      <c r="N44" s="186">
        <f t="array" ref="N44">MAX((表1_86121822242672112110114[目标区服]=表2_97131923252773113111115[[#This Row],[合区区服]])*(表1_86121822242672112110114[目标国家（映射）]=表2_97131923252773113111115[[#This Row],[国家]])*表1_86121822242672112110114[单将最高战力])</f>
        <v>817969</v>
      </c>
      <c r="P44" s="335">
        <v>5280</v>
      </c>
      <c r="Q44" s="335">
        <v>37</v>
      </c>
      <c r="R44" s="51" t="s">
        <v>279</v>
      </c>
      <c r="S44" s="51">
        <v>38</v>
      </c>
    </row>
    <row r="45" ht="15" spans="1:19">
      <c r="A45" s="186" t="s">
        <v>277</v>
      </c>
      <c r="B45" s="186" t="s">
        <v>26</v>
      </c>
      <c r="C45" s="186">
        <f>COUNTIFS(表1_86121822242672112110114[目标区服],表2_97131923252773113111115[[#This Row],[合区区服]],表1_86121822242672112110114[目标国家（映射）],表2_97131923252773113111115[[#This Row],[国家]])</f>
        <v>2</v>
      </c>
      <c r="D45" s="186">
        <f>SUMIFS(表1_86121822242672112110114[活跃高战玩家数],表1_86121822242672112110114[目标区服],表2_97131923252773113111115[[#This Row],[合区区服]],表1_86121822242672112110114[目标国家（映射）],表2_97131923252773113111115[[#This Row],[国家]])</f>
        <v>7</v>
      </c>
      <c r="E45" s="186">
        <f>SUMIFS(表1_86121822242672112110114[活跃中坚玩家数],表1_86121822242672112110114[目标区服],表2_97131923252773113111115[[#This Row],[合区区服]],表1_86121822242672112110114[目标国家（映射）],表2_97131923252773113111115[[#This Row],[国家]])</f>
        <v>50</v>
      </c>
      <c r="F45" s="186">
        <f t="array" ref="F45">MAX((表1_86121822242672112110114[目标区服]=表2_97131923252773113111115[[#This Row],[合区区服]])*(表1_86121822242672112110114[目标国家（映射）]=表2_97131923252773113111115[[#This Row],[国家]])*表1_86121822242672112110114[活跃尖端战力])</f>
        <v>1861485</v>
      </c>
      <c r="G45" s="187">
        <f>SUMIFS(表1_86121822242672112110114[活跃总战力],表1_86121822242672112110114[目标区服],表2_97131923252773113111115[[#This Row],[合区区服]],表1_86121822242672112110114[目标国家（映射）],表2_97131923252773113111115[[#This Row],[国家]])</f>
        <v>36432839</v>
      </c>
      <c r="H45" s="186">
        <f>SUMIFS(表1_86121822242672112110114[活跃实际充值],表1_86121822242672112110114[目标区服],表2_97131923252773113111115[[#This Row],[合区区服]],表1_86121822242672112110114[目标国家（映射）],表2_97131923252773113111115[[#This Row],[国家]])</f>
        <v>83288</v>
      </c>
      <c r="I45" s="186">
        <f>SUMIFS(表1_86121822242672112110114[活跃虚拟充值],表1_86121822242672112110114[目标区服],表2_97131923252773113111115[[#This Row],[合区区服]],表1_86121822242672112110114[目标国家（映射）],表2_97131923252773113111115[[#This Row],[国家]])</f>
        <v>0</v>
      </c>
      <c r="J45" s="186">
        <f>SUMIFS(表1_86121822242672112110114[活跃Coin],表1_86121822242672112110114[目标区服],表2_97131923252773113111115[[#This Row],[合区区服]],表1_86121822242672112110114[目标国家（映射）],表2_97131923252773113111115[[#This Row],[国家]])</f>
        <v>595965</v>
      </c>
      <c r="K45" s="186">
        <f>SUMIFS(表1_86121822242672112110114[共计补偿Coin],表1_86121822242672112110114[目标区服],表2_97131923252773113111115[[#This Row],[合区区服]],表1_86121822242672112110114[目标国家（映射）],表2_97131923252773113111115[[#This Row],[国家]])</f>
        <v>57000</v>
      </c>
      <c r="L45" s="186">
        <f>表2_97131923252773113111115[[#This Row],[活跃Coin]]+表2_97131923252773113111115[[#This Row],[共计补偿Coin]]</f>
        <v>652965</v>
      </c>
      <c r="M45" s="186">
        <f>SUMIFS(表1_86121822242672112110114[综合国力],表1_86121822242672112110114[目标区服],表2_97131923252773113111115[[#This Row],[合区区服]],表1_86121822242672112110114[目标国家（映射）],表2_97131923252773113111115[[#This Row],[国家]])</f>
        <v>14524</v>
      </c>
      <c r="N45" s="186">
        <f t="array" ref="N45">MAX((表1_86121822242672112110114[目标区服]=表2_97131923252773113111115[[#This Row],[合区区服]])*(表1_86121822242672112110114[目标国家（映射）]=表2_97131923252773113111115[[#This Row],[国家]])*表1_86121822242672112110114[单将最高战力])</f>
        <v>532116</v>
      </c>
      <c r="P45" s="335">
        <v>5281</v>
      </c>
      <c r="Q45" s="335">
        <v>36</v>
      </c>
      <c r="R45" s="51" t="s">
        <v>280</v>
      </c>
      <c r="S45" s="51">
        <v>37</v>
      </c>
    </row>
    <row r="46" ht="15" spans="1:19">
      <c r="A46" s="186" t="s">
        <v>277</v>
      </c>
      <c r="B46" s="188" t="s">
        <v>27</v>
      </c>
      <c r="C46" s="188">
        <f>COUNTIFS(表1_86121822242672112110114[目标区服],表2_97131923252773113111115[[#This Row],[合区区服]],表1_86121822242672112110114[目标国家（映射）],表2_97131923252773113111115[[#This Row],[国家]])</f>
        <v>2</v>
      </c>
      <c r="D46" s="188">
        <f>SUMIFS(表1_86121822242672112110114[活跃高战玩家数],表1_86121822242672112110114[目标区服],表2_97131923252773113111115[[#This Row],[合区区服]],表1_86121822242672112110114[目标国家（映射）],表2_97131923252773113111115[[#This Row],[国家]])</f>
        <v>7</v>
      </c>
      <c r="E46" s="188">
        <f>SUMIFS(表1_86121822242672112110114[活跃中坚玩家数],表1_86121822242672112110114[目标区服],表2_97131923252773113111115[[#This Row],[合区区服]],表1_86121822242672112110114[目标国家（映射）],表2_97131923252773113111115[[#This Row],[国家]])</f>
        <v>38</v>
      </c>
      <c r="F46" s="188">
        <f t="array" ref="F46">MAX((表1_86121822242672112110114[目标区服]=表2_97131923252773113111115[[#This Row],[合区区服]])*(表1_86121822242672112110114[目标国家（映射）]=表2_97131923252773113111115[[#This Row],[国家]])*表1_86121822242672112110114[活跃尖端战力])</f>
        <v>2537281</v>
      </c>
      <c r="G46" s="309">
        <f>SUMIFS(表1_86121822242672112110114[活跃总战力],表1_86121822242672112110114[目标区服],表2_97131923252773113111115[[#This Row],[合区区服]],表1_86121822242672112110114[目标国家（映射）],表2_97131923252773113111115[[#This Row],[国家]])</f>
        <v>32492702</v>
      </c>
      <c r="H46" s="188">
        <f>SUMIFS(表1_86121822242672112110114[活跃实际充值],表1_86121822242672112110114[目标区服],表2_97131923252773113111115[[#This Row],[合区区服]],表1_86121822242672112110114[目标国家（映射）],表2_97131923252773113111115[[#This Row],[国家]])</f>
        <v>141148</v>
      </c>
      <c r="I46" s="188">
        <f>SUMIFS(表1_86121822242672112110114[活跃虚拟充值],表1_86121822242672112110114[目标区服],表2_97131923252773113111115[[#This Row],[合区区服]],表1_86121822242672112110114[目标国家（映射）],表2_97131923252773113111115[[#This Row],[国家]])</f>
        <v>0</v>
      </c>
      <c r="J46" s="188">
        <f>SUMIFS(表1_86121822242672112110114[活跃Coin],表1_86121822242672112110114[目标区服],表2_97131923252773113111115[[#This Row],[合区区服]],表1_86121822242672112110114[目标国家（映射）],表2_97131923252773113111115[[#This Row],[国家]])</f>
        <v>735554</v>
      </c>
      <c r="K46" s="188">
        <f>SUMIFS(表1_86121822242672112110114[共计补偿Coin],表1_86121822242672112110114[目标区服],表2_97131923252773113111115[[#This Row],[合区区服]],表1_86121822242672112110114[目标国家（映射）],表2_97131923252773113111115[[#This Row],[国家]])</f>
        <v>45000</v>
      </c>
      <c r="L46" s="188">
        <f>表2_97131923252773113111115[[#This Row],[活跃Coin]]+表2_97131923252773113111115[[#This Row],[共计补偿Coin]]</f>
        <v>780554</v>
      </c>
      <c r="M46" s="188">
        <f>SUMIFS(表1_86121822242672112110114[综合国力],表1_86121822242672112110114[目标区服],表2_97131923252773113111115[[#This Row],[合区区服]],表1_86121822242672112110114[目标国家（映射）],表2_97131923252773113111115[[#This Row],[国家]])</f>
        <v>16731</v>
      </c>
      <c r="N46" s="186">
        <f t="array" ref="N46">MAX((表1_86121822242672112110114[目标区服]=表2_97131923252773113111115[[#This Row],[合区区服]])*(表1_86121822242672112110114[目标国家（映射）]=表2_97131923252773113111115[[#This Row],[国家]])*表1_86121822242672112110114[单将最高战力])</f>
        <v>846273</v>
      </c>
      <c r="P46" s="335">
        <v>5282</v>
      </c>
      <c r="Q46" s="335">
        <v>36</v>
      </c>
      <c r="R46" s="51" t="s">
        <v>281</v>
      </c>
      <c r="S46" s="51">
        <v>37</v>
      </c>
    </row>
    <row r="47" ht="15" spans="1:17">
      <c r="A47" s="173" t="s">
        <v>278</v>
      </c>
      <c r="B47" s="173" t="s">
        <v>25</v>
      </c>
      <c r="C47" s="173">
        <f>COUNTIFS(表1_86121822242672112110114[目标区服],表2_97131923252773113111115[[#This Row],[合区区服]],表1_86121822242672112110114[目标国家（映射）],表2_97131923252773113111115[[#This Row],[国家]])</f>
        <v>1</v>
      </c>
      <c r="D47" s="173">
        <f>SUMIFS(表1_86121822242672112110114[活跃高战玩家数],表1_86121822242672112110114[目标区服],表2_97131923252773113111115[[#This Row],[合区区服]],表1_86121822242672112110114[目标国家（映射）],表2_97131923252773113111115[[#This Row],[国家]])</f>
        <v>7</v>
      </c>
      <c r="E47" s="173">
        <f>SUMIFS(表1_86121822242672112110114[活跃中坚玩家数],表1_86121822242672112110114[目标区服],表2_97131923252773113111115[[#This Row],[合区区服]],表1_86121822242672112110114[目标国家（映射）],表2_97131923252773113111115[[#This Row],[国家]])</f>
        <v>25</v>
      </c>
      <c r="F47" s="173">
        <f t="array" ref="F47">MAX((表1_86121822242672112110114[目标区服]=表2_97131923252773113111115[[#This Row],[合区区服]])*(表1_86121822242672112110114[目标国家（映射）]=表2_97131923252773113111115[[#This Row],[国家]])*表1_86121822242672112110114[活跃尖端战力])</f>
        <v>2660053</v>
      </c>
      <c r="G47" s="174">
        <f>SUMIFS(表1_86121822242672112110114[活跃总战力],表1_86121822242672112110114[目标区服],表2_97131923252773113111115[[#This Row],[合区区服]],表1_86121822242672112110114[目标国家（映射）],表2_97131923252773113111115[[#This Row],[国家]])</f>
        <v>24367725</v>
      </c>
      <c r="H47" s="173">
        <f>SUMIFS(表1_86121822242672112110114[活跃实际充值],表1_86121822242672112110114[目标区服],表2_97131923252773113111115[[#This Row],[合区区服]],表1_86121822242672112110114[目标国家（映射）],表2_97131923252773113111115[[#This Row],[国家]])</f>
        <v>51088</v>
      </c>
      <c r="I47" s="173">
        <f>SUMIFS(表1_86121822242672112110114[活跃虚拟充值],表1_86121822242672112110114[目标区服],表2_97131923252773113111115[[#This Row],[合区区服]],表1_86121822242672112110114[目标国家（映射）],表2_97131923252773113111115[[#This Row],[国家]])</f>
        <v>0</v>
      </c>
      <c r="J47" s="173">
        <f>SUMIFS(表1_86121822242672112110114[活跃Coin],表1_86121822242672112110114[目标区服],表2_97131923252773113111115[[#This Row],[合区区服]],表1_86121822242672112110114[目标国家（映射）],表2_97131923252773113111115[[#This Row],[国家]])</f>
        <v>424536</v>
      </c>
      <c r="K47" s="173">
        <f>SUMIFS(表1_86121822242672112110114[共计补偿Coin],表1_86121822242672112110114[目标区服],表2_97131923252773113111115[[#This Row],[合区区服]],表1_86121822242672112110114[目标国家（映射）],表2_97131923252773113111115[[#This Row],[国家]])</f>
        <v>32000</v>
      </c>
      <c r="L47" s="173">
        <f>表2_97131923252773113111115[[#This Row],[活跃Coin]]+表2_97131923252773113111115[[#This Row],[共计补偿Coin]]</f>
        <v>456536</v>
      </c>
      <c r="M47" s="173">
        <f>SUMIFS(表1_86121822242672112110114[综合国力],表1_86121822242672112110114[目标区服],表2_97131923252773113111115[[#This Row],[合区区服]],表1_86121822242672112110114[目标国家（映射）],表2_97131923252773113111115[[#This Row],[国家]])</f>
        <v>10873</v>
      </c>
      <c r="N47" s="173">
        <f t="array" ref="N47">MAX((表1_86121822242672112110114[目标区服]=表2_97131923252773113111115[[#This Row],[合区区服]])*(表1_86121822242672112110114[目标国家（映射）]=表2_97131923252773113111115[[#This Row],[国家]])*表1_86121822242672112110114[单将最高战力])</f>
        <v>865159</v>
      </c>
      <c r="P47" s="335">
        <v>5283</v>
      </c>
      <c r="Q47" s="335">
        <v>36</v>
      </c>
    </row>
    <row r="48" ht="15" spans="1:17">
      <c r="A48" s="173" t="s">
        <v>278</v>
      </c>
      <c r="B48" s="173" t="s">
        <v>26</v>
      </c>
      <c r="C48" s="173">
        <f>COUNTIFS(表1_86121822242672112110114[目标区服],表2_97131923252773113111115[[#This Row],[合区区服]],表1_86121822242672112110114[目标国家（映射）],表2_97131923252773113111115[[#This Row],[国家]])</f>
        <v>2</v>
      </c>
      <c r="D48" s="173">
        <f>SUMIFS(表1_86121822242672112110114[活跃高战玩家数],表1_86121822242672112110114[目标区服],表2_97131923252773113111115[[#This Row],[合区区服]],表1_86121822242672112110114[目标国家（映射）],表2_97131923252773113111115[[#This Row],[国家]])</f>
        <v>10</v>
      </c>
      <c r="E48" s="173">
        <f>SUMIFS(表1_86121822242672112110114[活跃中坚玩家数],表1_86121822242672112110114[目标区服],表2_97131923252773113111115[[#This Row],[合区区服]],表1_86121822242672112110114[目标国家（映射）],表2_97131923252773113111115[[#This Row],[国家]])</f>
        <v>42</v>
      </c>
      <c r="F48" s="173">
        <f t="array" ref="F48">MAX((表1_86121822242672112110114[目标区服]=表2_97131923252773113111115[[#This Row],[合区区服]])*(表1_86121822242672112110114[目标国家（映射）]=表2_97131923252773113111115[[#This Row],[国家]])*表1_86121822242672112110114[活跃尖端战力])</f>
        <v>1861067</v>
      </c>
      <c r="G48" s="174">
        <f>SUMIFS(表1_86121822242672112110114[活跃总战力],表1_86121822242672112110114[目标区服],表2_97131923252773113111115[[#This Row],[合区区服]],表1_86121822242672112110114[目标国家（映射）],表2_97131923252773113111115[[#This Row],[国家]])</f>
        <v>31194633</v>
      </c>
      <c r="H48" s="173">
        <f>SUMIFS(表1_86121822242672112110114[活跃实际充值],表1_86121822242672112110114[目标区服],表2_97131923252773113111115[[#This Row],[合区区服]],表1_86121822242672112110114[目标国家（映射）],表2_97131923252773113111115[[#This Row],[国家]])</f>
        <v>30008</v>
      </c>
      <c r="I48" s="173">
        <f>SUMIFS(表1_86121822242672112110114[活跃虚拟充值],表1_86121822242672112110114[目标区服],表2_97131923252773113111115[[#This Row],[合区区服]],表1_86121822242672112110114[目标国家（映射）],表2_97131923252773113111115[[#This Row],[国家]])</f>
        <v>0</v>
      </c>
      <c r="J48" s="173">
        <f>SUMIFS(表1_86121822242672112110114[活跃Coin],表1_86121822242672112110114[目标区服],表2_97131923252773113111115[[#This Row],[合区区服]],表1_86121822242672112110114[目标国家（映射）],表2_97131923252773113111115[[#This Row],[国家]])</f>
        <v>463890</v>
      </c>
      <c r="K48" s="173">
        <f>SUMIFS(表1_86121822242672112110114[共计补偿Coin],表1_86121822242672112110114[目标区服],表2_97131923252773113111115[[#This Row],[合区区服]],表1_86121822242672112110114[目标国家（映射）],表2_97131923252773113111115[[#This Row],[国家]])</f>
        <v>52000</v>
      </c>
      <c r="L48" s="173">
        <f>表2_97131923252773113111115[[#This Row],[活跃Coin]]+表2_97131923252773113111115[[#This Row],[共计补偿Coin]]</f>
        <v>515890</v>
      </c>
      <c r="M48" s="173">
        <f>SUMIFS(表1_86121822242672112110114[综合国力],表1_86121822242672112110114[目标区服],表2_97131923252773113111115[[#This Row],[合区区服]],表1_86121822242672112110114[目标国家（映射）],表2_97131923252773113111115[[#This Row],[国家]])</f>
        <v>12514</v>
      </c>
      <c r="N48" s="173">
        <f t="array" ref="N48">MAX((表1_86121822242672112110114[目标区服]=表2_97131923252773113111115[[#This Row],[合区区服]])*(表1_86121822242672112110114[目标国家（映射）]=表2_97131923252773113111115[[#This Row],[国家]])*表1_86121822242672112110114[单将最高战力])</f>
        <v>534040</v>
      </c>
      <c r="P48" s="335">
        <v>5284</v>
      </c>
      <c r="Q48" s="335">
        <v>36</v>
      </c>
    </row>
    <row r="49" ht="15" spans="1:17">
      <c r="A49" s="173" t="s">
        <v>278</v>
      </c>
      <c r="B49" s="173" t="s">
        <v>27</v>
      </c>
      <c r="C49" s="173">
        <f>COUNTIFS(表1_86121822242672112110114[目标区服],表2_97131923252773113111115[[#This Row],[合区区服]],表1_86121822242672112110114[目标国家（映射）],表2_97131923252773113111115[[#This Row],[国家]])</f>
        <v>3</v>
      </c>
      <c r="D49" s="173">
        <f>SUMIFS(表1_86121822242672112110114[活跃高战玩家数],表1_86121822242672112110114[目标区服],表2_97131923252773113111115[[#This Row],[合区区服]],表1_86121822242672112110114[目标国家（映射）],表2_97131923252773113111115[[#This Row],[国家]])</f>
        <v>3</v>
      </c>
      <c r="E49" s="173">
        <f>SUMIFS(表1_86121822242672112110114[活跃中坚玩家数],表1_86121822242672112110114[目标区服],表2_97131923252773113111115[[#This Row],[合区区服]],表1_86121822242672112110114[目标国家（映射）],表2_97131923252773113111115[[#This Row],[国家]])</f>
        <v>45</v>
      </c>
      <c r="F49" s="173">
        <f t="array" ref="F49">MAX((表1_86121822242672112110114[目标区服]=表2_97131923252773113111115[[#This Row],[合区区服]])*(表1_86121822242672112110114[目标国家（映射）]=表2_97131923252773113111115[[#This Row],[国家]])*表1_86121822242672112110114[活跃尖端战力])</f>
        <v>1784795</v>
      </c>
      <c r="G49" s="174">
        <f>SUMIFS(表1_86121822242672112110114[活跃总战力],表1_86121822242672112110114[目标区服],表2_97131923252773113111115[[#This Row],[合区区服]],表1_86121822242672112110114[目标国家（映射）],表2_97131923252773113111115[[#This Row],[国家]])</f>
        <v>26031918</v>
      </c>
      <c r="H49" s="173">
        <f>SUMIFS(表1_86121822242672112110114[活跃实际充值],表1_86121822242672112110114[目标区服],表2_97131923252773113111115[[#This Row],[合区区服]],表1_86121822242672112110114[目标国家（映射）],表2_97131923252773113111115[[#This Row],[国家]])</f>
        <v>31726</v>
      </c>
      <c r="I49" s="173">
        <f>SUMIFS(表1_86121822242672112110114[活跃虚拟充值],表1_86121822242672112110114[目标区服],表2_97131923252773113111115[[#This Row],[合区区服]],表1_86121822242672112110114[目标国家（映射）],表2_97131923252773113111115[[#This Row],[国家]])</f>
        <v>0</v>
      </c>
      <c r="J49" s="173">
        <f>SUMIFS(表1_86121822242672112110114[活跃Coin],表1_86121822242672112110114[目标区服],表2_97131923252773113111115[[#This Row],[合区区服]],表1_86121822242672112110114[目标国家（映射）],表2_97131923252773113111115[[#This Row],[国家]])</f>
        <v>319510</v>
      </c>
      <c r="K49" s="173">
        <f>SUMIFS(表1_86121822242672112110114[共计补偿Coin],表1_86121822242672112110114[目标区服],表2_97131923252773113111115[[#This Row],[合区区服]],表1_86121822242672112110114[目标国家（映射）],表2_97131923252773113111115[[#This Row],[国家]])</f>
        <v>48000</v>
      </c>
      <c r="L49" s="173">
        <f>表2_97131923252773113111115[[#This Row],[活跃Coin]]+表2_97131923252773113111115[[#This Row],[共计补偿Coin]]</f>
        <v>367510</v>
      </c>
      <c r="M49" s="173">
        <f>SUMIFS(表1_86121822242672112110114[综合国力],表1_86121822242672112110114[目标区服],表2_97131923252773113111115[[#This Row],[合区区服]],表1_86121822242672112110114[目标国家（映射）],表2_97131923252773113111115[[#This Row],[国家]])</f>
        <v>11291</v>
      </c>
      <c r="N49" s="173">
        <f t="array" ref="N49">MAX((表1_86121822242672112110114[目标区服]=表2_97131923252773113111115[[#This Row],[合区区服]])*(表1_86121822242672112110114[目标国家（映射）]=表2_97131923252773113111115[[#This Row],[国家]])*表1_86121822242672112110114[单将最高战力])</f>
        <v>555554</v>
      </c>
      <c r="P49" s="335">
        <v>5285</v>
      </c>
      <c r="Q49" s="335">
        <v>35</v>
      </c>
    </row>
    <row r="50" ht="15" spans="1:17">
      <c r="A50" s="323" t="s">
        <v>279</v>
      </c>
      <c r="B50" s="323" t="s">
        <v>25</v>
      </c>
      <c r="C50" s="323">
        <f>COUNTIFS(表1_86121822242672112110114[目标区服],表2_97131923252773113111115[[#This Row],[合区区服]],表1_86121822242672112110114[目标国家（映射）],表2_97131923252773113111115[[#This Row],[国家]])</f>
        <v>2</v>
      </c>
      <c r="D50" s="323">
        <f>SUMIFS(表1_86121822242672112110114[活跃高战玩家数],表1_86121822242672112110114[目标区服],表2_97131923252773113111115[[#This Row],[合区区服]],表1_86121822242672112110114[目标国家（映射）],表2_97131923252773113111115[[#This Row],[国家]])</f>
        <v>7</v>
      </c>
      <c r="E50" s="323">
        <f>SUMIFS(表1_86121822242672112110114[活跃中坚玩家数],表1_86121822242672112110114[目标区服],表2_97131923252773113111115[[#This Row],[合区区服]],表1_86121822242672112110114[目标国家（映射）],表2_97131923252773113111115[[#This Row],[国家]])</f>
        <v>47</v>
      </c>
      <c r="F50" s="323">
        <f t="array" ref="F50">MAX((表1_86121822242672112110114[目标区服]=表2_97131923252773113111115[[#This Row],[合区区服]])*(表1_86121822242672112110114[目标国家（映射）]=表2_97131923252773113111115[[#This Row],[国家]])*表1_86121822242672112110114[活跃尖端战力])</f>
        <v>2097663</v>
      </c>
      <c r="G50" s="324">
        <f>SUMIFS(表1_86121822242672112110114[活跃总战力],表1_86121822242672112110114[目标区服],表2_97131923252773113111115[[#This Row],[合区区服]],表1_86121822242672112110114[目标国家（映射）],表2_97131923252773113111115[[#This Row],[国家]])</f>
        <v>30689909</v>
      </c>
      <c r="H50" s="323">
        <f>SUMIFS(表1_86121822242672112110114[活跃实际充值],表1_86121822242672112110114[目标区服],表2_97131923252773113111115[[#This Row],[合区区服]],表1_86121822242672112110114[目标国家（映射）],表2_97131923252773113111115[[#This Row],[国家]])</f>
        <v>57064</v>
      </c>
      <c r="I50" s="323">
        <f>SUMIFS(表1_86121822242672112110114[活跃虚拟充值],表1_86121822242672112110114[目标区服],表2_97131923252773113111115[[#This Row],[合区区服]],表1_86121822242672112110114[目标国家（映射）],表2_97131923252773113111115[[#This Row],[国家]])</f>
        <v>0</v>
      </c>
      <c r="J50" s="323">
        <f>SUMIFS(表1_86121822242672112110114[活跃Coin],表1_86121822242672112110114[目标区服],表2_97131923252773113111115[[#This Row],[合区区服]],表1_86121822242672112110114[目标国家（映射）],表2_97131923252773113111115[[#This Row],[国家]])</f>
        <v>428949</v>
      </c>
      <c r="K50" s="323">
        <f>SUMIFS(表1_86121822242672112110114[共计补偿Coin],表1_86121822242672112110114[目标区服],表2_97131923252773113111115[[#This Row],[合区区服]],表1_86121822242672112110114[目标国家（映射）],表2_97131923252773113111115[[#This Row],[国家]])</f>
        <v>54000</v>
      </c>
      <c r="L50" s="323">
        <f>表2_97131923252773113111115[[#This Row],[活跃Coin]]+表2_97131923252773113111115[[#This Row],[共计补偿Coin]]</f>
        <v>482949</v>
      </c>
      <c r="M50" s="323">
        <f>SUMIFS(表1_86121822242672112110114[综合国力],表1_86121822242672112110114[目标区服],表2_97131923252773113111115[[#This Row],[合区区服]],表1_86121822242672112110114[目标国家（映射）],表2_97131923252773113111115[[#This Row],[国家]])</f>
        <v>12264</v>
      </c>
      <c r="N50" s="323">
        <f t="array" ref="N50">MAX((表1_86121822242672112110114[目标区服]=表2_97131923252773113111115[[#This Row],[合区区服]])*(表1_86121822242672112110114[目标国家（映射）]=表2_97131923252773113111115[[#This Row],[国家]])*表1_86121822242672112110114[单将最高战力])</f>
        <v>630033</v>
      </c>
      <c r="P50" s="335">
        <v>5286</v>
      </c>
      <c r="Q50" s="335">
        <v>35</v>
      </c>
    </row>
    <row r="51" ht="15" spans="1:17">
      <c r="A51" s="323" t="s">
        <v>279</v>
      </c>
      <c r="B51" s="323" t="s">
        <v>26</v>
      </c>
      <c r="C51" s="323">
        <f>COUNTIFS(表1_86121822242672112110114[目标区服],表2_97131923252773113111115[[#This Row],[合区区服]],表1_86121822242672112110114[目标国家（映射）],表2_97131923252773113111115[[#This Row],[国家]])</f>
        <v>2</v>
      </c>
      <c r="D51" s="323">
        <f>SUMIFS(表1_86121822242672112110114[活跃高战玩家数],表1_86121822242672112110114[目标区服],表2_97131923252773113111115[[#This Row],[合区区服]],表1_86121822242672112110114[目标国家（映射）],表2_97131923252773113111115[[#This Row],[国家]])</f>
        <v>7</v>
      </c>
      <c r="E51" s="323">
        <f>SUMIFS(表1_86121822242672112110114[活跃中坚玩家数],表1_86121822242672112110114[目标区服],表2_97131923252773113111115[[#This Row],[合区区服]],表1_86121822242672112110114[目标国家（映射）],表2_97131923252773113111115[[#This Row],[国家]])</f>
        <v>49</v>
      </c>
      <c r="F51" s="323">
        <f t="array" ref="F51">MAX((表1_86121822242672112110114[目标区服]=表2_97131923252773113111115[[#This Row],[合区区服]])*(表1_86121822242672112110114[目标国家（映射）]=表2_97131923252773113111115[[#This Row],[国家]])*表1_86121822242672112110114[活跃尖端战力])</f>
        <v>2216314</v>
      </c>
      <c r="G51" s="324">
        <f>SUMIFS(表1_86121822242672112110114[活跃总战力],表1_86121822242672112110114[目标区服],表2_97131923252773113111115[[#This Row],[合区区服]],表1_86121822242672112110114[目标国家（映射）],表2_97131923252773113111115[[#This Row],[国家]])</f>
        <v>39657894</v>
      </c>
      <c r="H51" s="323">
        <f>SUMIFS(表1_86121822242672112110114[活跃实际充值],表1_86121822242672112110114[目标区服],表2_97131923252773113111115[[#This Row],[合区区服]],表1_86121822242672112110114[目标国家（映射）],表2_97131923252773113111115[[#This Row],[国家]])</f>
        <v>58370</v>
      </c>
      <c r="I51" s="323">
        <f>SUMIFS(表1_86121822242672112110114[活跃虚拟充值],表1_86121822242672112110114[目标区服],表2_97131923252773113111115[[#This Row],[合区区服]],表1_86121822242672112110114[目标国家（映射）],表2_97131923252773113111115[[#This Row],[国家]])</f>
        <v>0</v>
      </c>
      <c r="J51" s="323">
        <f>SUMIFS(表1_86121822242672112110114[活跃Coin],表1_86121822242672112110114[目标区服],表2_97131923252773113111115[[#This Row],[合区区服]],表1_86121822242672112110114[目标国家（映射）],表2_97131923252773113111115[[#This Row],[国家]])</f>
        <v>648643</v>
      </c>
      <c r="K51" s="323">
        <f>SUMIFS(表1_86121822242672112110114[共计补偿Coin],表1_86121822242672112110114[目标区服],表2_97131923252773113111115[[#This Row],[合区区服]],表1_86121822242672112110114[目标国家（映射）],表2_97131923252773113111115[[#This Row],[国家]])</f>
        <v>56000</v>
      </c>
      <c r="L51" s="323">
        <f>表2_97131923252773113111115[[#This Row],[活跃Coin]]+表2_97131923252773113111115[[#This Row],[共计补偿Coin]]</f>
        <v>704643</v>
      </c>
      <c r="M51" s="323">
        <f>SUMIFS(表1_86121822242672112110114[综合国力],表1_86121822242672112110114[目标区服],表2_97131923252773113111115[[#This Row],[合区区服]],表1_86121822242672112110114[目标国家（映射）],表2_97131923252773113111115[[#This Row],[国家]])</f>
        <v>16173</v>
      </c>
      <c r="N51" s="323">
        <f t="array" ref="N51">MAX((表1_86121822242672112110114[目标区服]=表2_97131923252773113111115[[#This Row],[合区区服]])*(表1_86121822242672112110114[目标国家（映射）]=表2_97131923252773113111115[[#This Row],[国家]])*表1_86121822242672112110114[单将最高战力])</f>
        <v>809230</v>
      </c>
      <c r="P51" s="335">
        <v>5287</v>
      </c>
      <c r="Q51" s="335">
        <v>35</v>
      </c>
    </row>
    <row r="52" ht="15" spans="1:17">
      <c r="A52" s="323" t="s">
        <v>279</v>
      </c>
      <c r="B52" s="323" t="s">
        <v>27</v>
      </c>
      <c r="C52" s="323">
        <f>COUNTIFS(表1_86121822242672112110114[目标区服],表2_97131923252773113111115[[#This Row],[合区区服]],表1_86121822242672112110114[目标国家（映射）],表2_97131923252773113111115[[#This Row],[国家]])</f>
        <v>2</v>
      </c>
      <c r="D52" s="323">
        <f>SUMIFS(表1_86121822242672112110114[活跃高战玩家数],表1_86121822242672112110114[目标区服],表2_97131923252773113111115[[#This Row],[合区区服]],表1_86121822242672112110114[目标国家（映射）],表2_97131923252773113111115[[#This Row],[国家]])</f>
        <v>6</v>
      </c>
      <c r="E52" s="323">
        <f>SUMIFS(表1_86121822242672112110114[活跃中坚玩家数],表1_86121822242672112110114[目标区服],表2_97131923252773113111115[[#This Row],[合区区服]],表1_86121822242672112110114[目标国家（映射）],表2_97131923252773113111115[[#This Row],[国家]])</f>
        <v>39</v>
      </c>
      <c r="F52" s="323">
        <f t="array" ref="F52">MAX((表1_86121822242672112110114[目标区服]=表2_97131923252773113111115[[#This Row],[合区区服]])*(表1_86121822242672112110114[目标国家（映射）]=表2_97131923252773113111115[[#This Row],[国家]])*表1_86121822242672112110114[活跃尖端战力])</f>
        <v>2548925</v>
      </c>
      <c r="G52" s="324">
        <f>SUMIFS(表1_86121822242672112110114[活跃总战力],表1_86121822242672112110114[目标区服],表2_97131923252773113111115[[#This Row],[合区区服]],表1_86121822242672112110114[目标国家（映射）],表2_97131923252773113111115[[#This Row],[国家]])</f>
        <v>30697080</v>
      </c>
      <c r="H52" s="323">
        <f>SUMIFS(表1_86121822242672112110114[活跃实际充值],表1_86121822242672112110114[目标区服],表2_97131923252773113111115[[#This Row],[合区区服]],表1_86121822242672112110114[目标国家（映射）],表2_97131923252773113111115[[#This Row],[国家]])</f>
        <v>73621</v>
      </c>
      <c r="I52" s="323">
        <f>SUMIFS(表1_86121822242672112110114[活跃虚拟充值],表1_86121822242672112110114[目标区服],表2_97131923252773113111115[[#This Row],[合区区服]],表1_86121822242672112110114[目标国家（映射）],表2_97131923252773113111115[[#This Row],[国家]])</f>
        <v>0</v>
      </c>
      <c r="J52" s="323">
        <f>SUMIFS(表1_86121822242672112110114[活跃Coin],表1_86121822242672112110114[目标区服],表2_97131923252773113111115[[#This Row],[合区区服]],表1_86121822242672112110114[目标国家（映射）],表2_97131923252773113111115[[#This Row],[国家]])</f>
        <v>518106</v>
      </c>
      <c r="K52" s="323">
        <f>SUMIFS(表1_86121822242672112110114[共计补偿Coin],表1_86121822242672112110114[目标区服],表2_97131923252773113111115[[#This Row],[合区区服]],表1_86121822242672112110114[目标国家（映射）],表2_97131923252773113111115[[#This Row],[国家]])</f>
        <v>45000</v>
      </c>
      <c r="L52" s="323">
        <f>表2_97131923252773113111115[[#This Row],[活跃Coin]]+表2_97131923252773113111115[[#This Row],[共计补偿Coin]]</f>
        <v>563106</v>
      </c>
      <c r="M52" s="323">
        <f>SUMIFS(表1_86121822242672112110114[综合国力],表1_86121822242672112110114[目标区服],表2_97131923252773113111115[[#This Row],[合区区服]],表1_86121822242672112110114[目标国家（映射）],表2_97131923252773113111115[[#This Row],[国家]])</f>
        <v>13271</v>
      </c>
      <c r="N52" s="323">
        <f t="array" ref="N52">MAX((表1_86121822242672112110114[目标区服]=表2_97131923252773113111115[[#This Row],[合区区服]])*(表1_86121822242672112110114[目标国家（映射）]=表2_97131923252773113111115[[#This Row],[国家]])*表1_86121822242672112110114[单将最高战力])</f>
        <v>664995</v>
      </c>
      <c r="P52" s="335">
        <v>5288</v>
      </c>
      <c r="Q52" s="335">
        <v>35</v>
      </c>
    </row>
    <row r="53" ht="15" spans="1:14">
      <c r="A53" s="178" t="s">
        <v>280</v>
      </c>
      <c r="B53" s="178" t="s">
        <v>25</v>
      </c>
      <c r="C53" s="178">
        <f>COUNTIFS(表1_86121822242672112110114[目标区服],表2_97131923252773113111115[[#This Row],[合区区服]],表1_86121822242672112110114[目标国家（映射）],表2_97131923252773113111115[[#This Row],[国家]])</f>
        <v>2</v>
      </c>
      <c r="D53" s="178">
        <f>SUMIFS(表1_86121822242672112110114[活跃高战玩家数],表1_86121822242672112110114[目标区服],表2_97131923252773113111115[[#This Row],[合区区服]],表1_86121822242672112110114[目标国家（映射）],表2_97131923252773113111115[[#This Row],[国家]])</f>
        <v>8</v>
      </c>
      <c r="E53" s="178">
        <f>SUMIFS(表1_86121822242672112110114[活跃中坚玩家数],表1_86121822242672112110114[目标区服],表2_97131923252773113111115[[#This Row],[合区区服]],表1_86121822242672112110114[目标国家（映射）],表2_97131923252773113111115[[#This Row],[国家]])</f>
        <v>46</v>
      </c>
      <c r="F53" s="178">
        <f t="array" ref="F53">MAX((表1_86121822242672112110114[目标区服]=表2_97131923252773113111115[[#This Row],[合区区服]])*(表1_86121822242672112110114[目标国家（映射）]=表2_97131923252773113111115[[#This Row],[国家]])*表1_86121822242672112110114[活跃尖端战力])</f>
        <v>2232809</v>
      </c>
      <c r="G53" s="179">
        <f>SUMIFS(表1_86121822242672112110114[活跃总战力],表1_86121822242672112110114[目标区服],表2_97131923252773113111115[[#This Row],[合区区服]],表1_86121822242672112110114[目标国家（映射）],表2_97131923252773113111115[[#This Row],[国家]])</f>
        <v>32219099</v>
      </c>
      <c r="H53" s="178">
        <f>SUMIFS(表1_86121822242672112110114[活跃实际充值],表1_86121822242672112110114[目标区服],表2_97131923252773113111115[[#This Row],[合区区服]],表1_86121822242672112110114[目标国家（映射）],表2_97131923252773113111115[[#This Row],[国家]])</f>
        <v>48110</v>
      </c>
      <c r="I53" s="178">
        <f>SUMIFS(表1_86121822242672112110114[活跃虚拟充值],表1_86121822242672112110114[目标区服],表2_97131923252773113111115[[#This Row],[合区区服]],表1_86121822242672112110114[目标国家（映射）],表2_97131923252773113111115[[#This Row],[国家]])</f>
        <v>0</v>
      </c>
      <c r="J53" s="178">
        <f>SUMIFS(表1_86121822242672112110114[活跃Coin],表1_86121822242672112110114[目标区服],表2_97131923252773113111115[[#This Row],[合区区服]],表1_86121822242672112110114[目标国家（映射）],表2_97131923252773113111115[[#This Row],[国家]])</f>
        <v>608118</v>
      </c>
      <c r="K53" s="178">
        <f>SUMIFS(表1_86121822242672112110114[共计补偿Coin],表1_86121822242672112110114[目标区服],表2_97131923252773113111115[[#This Row],[合区区服]],表1_86121822242672112110114[目标国家（映射）],表2_97131923252773113111115[[#This Row],[国家]])</f>
        <v>54000</v>
      </c>
      <c r="L53" s="178">
        <f>表2_97131923252773113111115[[#This Row],[活跃Coin]]+表2_97131923252773113111115[[#This Row],[共计补偿Coin]]</f>
        <v>662118</v>
      </c>
      <c r="M53" s="178">
        <f>SUMIFS(表1_86121822242672112110114[综合国力],表1_86121822242672112110114[目标区服],表2_97131923252773113111115[[#This Row],[合区区服]],表1_86121822242672112110114[目标国家（映射）],表2_97131923252773113111115[[#This Row],[国家]])</f>
        <v>13567</v>
      </c>
      <c r="N53" s="178">
        <f t="array" ref="N53">MAX((表1_86121822242672112110114[目标区服]=表2_97131923252773113111115[[#This Row],[合区区服]])*(表1_86121822242672112110114[目标国家（映射）]=表2_97131923252773113111115[[#This Row],[国家]])*表1_86121822242672112110114[单将最高战力])</f>
        <v>640729</v>
      </c>
    </row>
    <row r="54" ht="15" spans="1:14">
      <c r="A54" s="178" t="s">
        <v>280</v>
      </c>
      <c r="B54" s="178" t="s">
        <v>26</v>
      </c>
      <c r="C54" s="178">
        <f>COUNTIFS(表1_86121822242672112110114[目标区服],表2_97131923252773113111115[[#This Row],[合区区服]],表1_86121822242672112110114[目标国家（映射）],表2_97131923252773113111115[[#This Row],[国家]])</f>
        <v>2</v>
      </c>
      <c r="D54" s="178">
        <f>SUMIFS(表1_86121822242672112110114[活跃高战玩家数],表1_86121822242672112110114[目标区服],表2_97131923252773113111115[[#This Row],[合区区服]],表1_86121822242672112110114[目标国家（映射）],表2_97131923252773113111115[[#This Row],[国家]])</f>
        <v>8</v>
      </c>
      <c r="E54" s="178">
        <f>SUMIFS(表1_86121822242672112110114[活跃中坚玩家数],表1_86121822242672112110114[目标区服],表2_97131923252773113111115[[#This Row],[合区区服]],表1_86121822242672112110114[目标国家（映射）],表2_97131923252773113111115[[#This Row],[国家]])</f>
        <v>46</v>
      </c>
      <c r="F54" s="178">
        <f t="array" ref="F54">MAX((表1_86121822242672112110114[目标区服]=表2_97131923252773113111115[[#This Row],[合区区服]])*(表1_86121822242672112110114[目标国家（映射）]=表2_97131923252773113111115[[#This Row],[国家]])*表1_86121822242672112110114[活跃尖端战力])</f>
        <v>2127450</v>
      </c>
      <c r="G54" s="179">
        <f>SUMIFS(表1_86121822242672112110114[活跃总战力],表1_86121822242672112110114[目标区服],表2_97131923252773113111115[[#This Row],[合区区服]],表1_86121822242672112110114[目标国家（映射）],表2_97131923252773113111115[[#This Row],[国家]])</f>
        <v>34970369</v>
      </c>
      <c r="H54" s="178">
        <f>SUMIFS(表1_86121822242672112110114[活跃实际充值],表1_86121822242672112110114[目标区服],表2_97131923252773113111115[[#This Row],[合区区服]],表1_86121822242672112110114[目标国家（映射）],表2_97131923252773113111115[[#This Row],[国家]])</f>
        <v>62002</v>
      </c>
      <c r="I54" s="178">
        <f>SUMIFS(表1_86121822242672112110114[活跃虚拟充值],表1_86121822242672112110114[目标区服],表2_97131923252773113111115[[#This Row],[合区区服]],表1_86121822242672112110114[目标国家（映射）],表2_97131923252773113111115[[#This Row],[国家]])</f>
        <v>0</v>
      </c>
      <c r="J54" s="178">
        <f>SUMIFS(表1_86121822242672112110114[活跃Coin],表1_86121822242672112110114[目标区服],表2_97131923252773113111115[[#This Row],[合区区服]],表1_86121822242672112110114[目标国家（映射）],表2_97131923252773113111115[[#This Row],[国家]])</f>
        <v>487223</v>
      </c>
      <c r="K54" s="178">
        <f>SUMIFS(表1_86121822242672112110114[共计补偿Coin],表1_86121822242672112110114[目标区服],表2_97131923252773113111115[[#This Row],[合区区服]],表1_86121822242672112110114[目标国家（映射）],表2_97131923252773113111115[[#This Row],[国家]])</f>
        <v>54000</v>
      </c>
      <c r="L54" s="178">
        <f>表2_97131923252773113111115[[#This Row],[活跃Coin]]+表2_97131923252773113111115[[#This Row],[共计补偿Coin]]</f>
        <v>541223</v>
      </c>
      <c r="M54" s="178">
        <f>SUMIFS(表1_86121822242672112110114[综合国力],表1_86121822242672112110114[目标区服],表2_97131923252773113111115[[#This Row],[合区区服]],表1_86121822242672112110114[目标国家（映射）],表2_97131923252773113111115[[#This Row],[国家]])</f>
        <v>12919</v>
      </c>
      <c r="N54" s="178">
        <f t="array" ref="N54">MAX((表1_86121822242672112110114[目标区服]=表2_97131923252773113111115[[#This Row],[合区区服]])*(表1_86121822242672112110114[目标国家（映射）]=表2_97131923252773113111115[[#This Row],[国家]])*表1_86121822242672112110114[单将最高战力])</f>
        <v>705945</v>
      </c>
    </row>
    <row r="55" ht="15" spans="1:14">
      <c r="A55" s="178" t="s">
        <v>280</v>
      </c>
      <c r="B55" s="178" t="s">
        <v>27</v>
      </c>
      <c r="C55" s="178">
        <f>COUNTIFS(表1_86121822242672112110114[目标区服],表2_97131923252773113111115[[#This Row],[合区区服]],表1_86121822242672112110114[目标国家（映射）],表2_97131923252773113111115[[#This Row],[国家]])</f>
        <v>2</v>
      </c>
      <c r="D55" s="178">
        <f>SUMIFS(表1_86121822242672112110114[活跃高战玩家数],表1_86121822242672112110114[目标区服],表2_97131923252773113111115[[#This Row],[合区区服]],表1_86121822242672112110114[目标国家（映射）],表2_97131923252773113111115[[#This Row],[国家]])</f>
        <v>4</v>
      </c>
      <c r="E55" s="178">
        <f>SUMIFS(表1_86121822242672112110114[活跃中坚玩家数],表1_86121822242672112110114[目标区服],表2_97131923252773113111115[[#This Row],[合区区服]],表1_86121822242672112110114[目标国家（映射）],表2_97131923252773113111115[[#This Row],[国家]])</f>
        <v>44</v>
      </c>
      <c r="F55" s="178">
        <f t="array" ref="F55">MAX((表1_86121822242672112110114[目标区服]=表2_97131923252773113111115[[#This Row],[合区区服]])*(表1_86121822242672112110114[目标国家（映射）]=表2_97131923252773113111115[[#This Row],[国家]])*表1_86121822242672112110114[活跃尖端战力])</f>
        <v>2248242</v>
      </c>
      <c r="G55" s="179">
        <f>SUMIFS(表1_86121822242672112110114[活跃总战力],表1_86121822242672112110114[目标区服],表2_97131923252773113111115[[#This Row],[合区区服]],表1_86121822242672112110114[目标国家（映射）],表2_97131923252773113111115[[#This Row],[国家]])</f>
        <v>29917012</v>
      </c>
      <c r="H55" s="178">
        <f>SUMIFS(表1_86121822242672112110114[活跃实际充值],表1_86121822242672112110114[目标区服],表2_97131923252773113111115[[#This Row],[合区区服]],表1_86121822242672112110114[目标国家（映射）],表2_97131923252773113111115[[#This Row],[国家]])</f>
        <v>57626</v>
      </c>
      <c r="I55" s="178">
        <f>SUMIFS(表1_86121822242672112110114[活跃虚拟充值],表1_86121822242672112110114[目标区服],表2_97131923252773113111115[[#This Row],[合区区服]],表1_86121822242672112110114[目标国家（映射）],表2_97131923252773113111115[[#This Row],[国家]])</f>
        <v>0</v>
      </c>
      <c r="J55" s="178">
        <f>SUMIFS(表1_86121822242672112110114[活跃Coin],表1_86121822242672112110114[目标区服],表2_97131923252773113111115[[#This Row],[合区区服]],表1_86121822242672112110114[目标国家（映射）],表2_97131923252773113111115[[#This Row],[国家]])</f>
        <v>559820</v>
      </c>
      <c r="K55" s="178">
        <f>SUMIFS(表1_86121822242672112110114[共计补偿Coin],表1_86121822242672112110114[目标区服],表2_97131923252773113111115[[#This Row],[合区区服]],表1_86121822242672112110114[目标国家（映射）],表2_97131923252773113111115[[#This Row],[国家]])</f>
        <v>48000</v>
      </c>
      <c r="L55" s="178">
        <f>表2_97131923252773113111115[[#This Row],[活跃Coin]]+表2_97131923252773113111115[[#This Row],[共计补偿Coin]]</f>
        <v>607820</v>
      </c>
      <c r="M55" s="178">
        <f>SUMIFS(表1_86121822242672112110114[综合国力],表1_86121822242672112110114[目标区服],表2_97131923252773113111115[[#This Row],[合区区服]],表1_86121822242672112110114[目标国家（映射）],表2_97131923252773113111115[[#This Row],[国家]])</f>
        <v>12963</v>
      </c>
      <c r="N55" s="178">
        <f t="array" ref="N55">MAX((表1_86121822242672112110114[目标区服]=表2_97131923252773113111115[[#This Row],[合区区服]])*(表1_86121822242672112110114[目标国家（映射）]=表2_97131923252773113111115[[#This Row],[国家]])*表1_86121822242672112110114[单将最高战力])</f>
        <v>688514</v>
      </c>
    </row>
    <row r="56" ht="15" spans="1:14">
      <c r="A56" s="224" t="s">
        <v>281</v>
      </c>
      <c r="B56" s="224" t="s">
        <v>25</v>
      </c>
      <c r="C56" s="224">
        <f>COUNTIFS(表1_86121822242672112110114[目标区服],表2_97131923252773113111115[[#This Row],[合区区服]],表1_86121822242672112110114[目标国家（映射）],表2_97131923252773113111115[[#This Row],[国家]])</f>
        <v>2</v>
      </c>
      <c r="D56" s="224">
        <f>SUMIFS(表1_86121822242672112110114[活跃高战玩家数],表1_86121822242672112110114[目标区服],表2_97131923252773113111115[[#This Row],[合区区服]],表1_86121822242672112110114[目标国家（映射）],表2_97131923252773113111115[[#This Row],[国家]])</f>
        <v>5</v>
      </c>
      <c r="E56" s="224">
        <f>SUMIFS(表1_86121822242672112110114[活跃中坚玩家数],表1_86121822242672112110114[目标区服],表2_97131923252773113111115[[#This Row],[合区区服]],表1_86121822242672112110114[目标国家（映射）],表2_97131923252773113111115[[#This Row],[国家]])</f>
        <v>40</v>
      </c>
      <c r="F56" s="224">
        <f t="array" ref="F56">MAX((表1_86121822242672112110114[目标区服]=表2_97131923252773113111115[[#This Row],[合区区服]])*(表1_86121822242672112110114[目标国家（映射）]=表2_97131923252773113111115[[#This Row],[国家]])*表1_86121822242672112110114[活跃尖端战力])</f>
        <v>2388297</v>
      </c>
      <c r="G56" s="225">
        <f>SUMIFS(表1_86121822242672112110114[活跃总战力],表1_86121822242672112110114[目标区服],表2_97131923252773113111115[[#This Row],[合区区服]],表1_86121822242672112110114[目标国家（映射）],表2_97131923252773113111115[[#This Row],[国家]])</f>
        <v>27629223</v>
      </c>
      <c r="H56" s="224">
        <f>SUMIFS(表1_86121822242672112110114[活跃实际充值],表1_86121822242672112110114[目标区服],表2_97131923252773113111115[[#This Row],[合区区服]],表1_86121822242672112110114[目标国家（映射）],表2_97131923252773113111115[[#This Row],[国家]])</f>
        <v>57972</v>
      </c>
      <c r="I56" s="224">
        <f>SUMIFS(表1_86121822242672112110114[活跃虚拟充值],表1_86121822242672112110114[目标区服],表2_97131923252773113111115[[#This Row],[合区区服]],表1_86121822242672112110114[目标国家（映射）],表2_97131923252773113111115[[#This Row],[国家]])</f>
        <v>0</v>
      </c>
      <c r="J56" s="224">
        <f>SUMIFS(表1_86121822242672112110114[活跃Coin],表1_86121822242672112110114[目标区服],表2_97131923252773113111115[[#This Row],[合区区服]],表1_86121822242672112110114[目标国家（映射）],表2_97131923252773113111115[[#This Row],[国家]])</f>
        <v>523413</v>
      </c>
      <c r="K56" s="224">
        <f>SUMIFS(表1_86121822242672112110114[共计补偿Coin],表1_86121822242672112110114[目标区服],表2_97131923252773113111115[[#This Row],[合区区服]],表1_86121822242672112110114[目标国家（映射）],表2_97131923252773113111115[[#This Row],[国家]])</f>
        <v>45000</v>
      </c>
      <c r="L56" s="224">
        <f>表2_97131923252773113111115[[#This Row],[活跃Coin]]+表2_97131923252773113111115[[#This Row],[共计补偿Coin]]</f>
        <v>568413</v>
      </c>
      <c r="M56" s="224">
        <f>SUMIFS(表1_86121822242672112110114[综合国力],表1_86121822242672112110114[目标区服],表2_97131923252773113111115[[#This Row],[合区区服]],表1_86121822242672112110114[目标国家（映射）],表2_97131923252773113111115[[#This Row],[国家]])</f>
        <v>11834</v>
      </c>
      <c r="N56" s="224">
        <f t="array" ref="N56">MAX((表1_86121822242672112110114[目标区服]=表2_97131923252773113111115[[#This Row],[合区区服]])*(表1_86121822242672112110114[目标国家（映射）]=表2_97131923252773113111115[[#This Row],[国家]])*表1_86121822242672112110114[单将最高战力])</f>
        <v>737567</v>
      </c>
    </row>
    <row r="57" ht="15" spans="1:14">
      <c r="A57" s="224" t="s">
        <v>281</v>
      </c>
      <c r="B57" s="224" t="s">
        <v>26</v>
      </c>
      <c r="C57" s="224">
        <f>COUNTIFS(表1_86121822242672112110114[目标区服],表2_97131923252773113111115[[#This Row],[合区区服]],表1_86121822242672112110114[目标国家（映射）],表2_97131923252773113111115[[#This Row],[国家]])</f>
        <v>2</v>
      </c>
      <c r="D57" s="224">
        <f>SUMIFS(表1_86121822242672112110114[活跃高战玩家数],表1_86121822242672112110114[目标区服],表2_97131923252773113111115[[#This Row],[合区区服]],表1_86121822242672112110114[目标国家（映射）],表2_97131923252773113111115[[#This Row],[国家]])</f>
        <v>5</v>
      </c>
      <c r="E57" s="224">
        <f>SUMIFS(表1_86121822242672112110114[活跃中坚玩家数],表1_86121822242672112110114[目标区服],表2_97131923252773113111115[[#This Row],[合区区服]],表1_86121822242672112110114[目标国家（映射）],表2_97131923252773113111115[[#This Row],[国家]])</f>
        <v>50</v>
      </c>
      <c r="F57" s="224">
        <f t="array" ref="F57">MAX((表1_86121822242672112110114[目标区服]=表2_97131923252773113111115[[#This Row],[合区区服]])*(表1_86121822242672112110114[目标国家（映射）]=表2_97131923252773113111115[[#This Row],[国家]])*表1_86121822242672112110114[活跃尖端战力])</f>
        <v>1813946</v>
      </c>
      <c r="G57" s="225">
        <f>SUMIFS(表1_86121822242672112110114[活跃总战力],表1_86121822242672112110114[目标区服],表2_97131923252773113111115[[#This Row],[合区区服]],表1_86121822242672112110114[目标国家（映射）],表2_97131923252773113111115[[#This Row],[国家]])</f>
        <v>32062107</v>
      </c>
      <c r="H57" s="224">
        <f>SUMIFS(表1_86121822242672112110114[活跃实际充值],表1_86121822242672112110114[目标区服],表2_97131923252773113111115[[#This Row],[合区区服]],表1_86121822242672112110114[目标国家（映射）],表2_97131923252773113111115[[#This Row],[国家]])</f>
        <v>68258</v>
      </c>
      <c r="I57" s="224">
        <f>SUMIFS(表1_86121822242672112110114[活跃虚拟充值],表1_86121822242672112110114[目标区服],表2_97131923252773113111115[[#This Row],[合区区服]],表1_86121822242672112110114[目标国家（映射）],表2_97131923252773113111115[[#This Row],[国家]])</f>
        <v>0</v>
      </c>
      <c r="J57" s="224">
        <f>SUMIFS(表1_86121822242672112110114[活跃Coin],表1_86121822242672112110114[目标区服],表2_97131923252773113111115[[#This Row],[合区区服]],表1_86121822242672112110114[目标国家（映射）],表2_97131923252773113111115[[#This Row],[国家]])</f>
        <v>457463</v>
      </c>
      <c r="K57" s="224">
        <f>SUMIFS(表1_86121822242672112110114[共计补偿Coin],表1_86121822242672112110114[目标区服],表2_97131923252773113111115[[#This Row],[合区区服]],表1_86121822242672112110114[目标国家（映射）],表2_97131923252773113111115[[#This Row],[国家]])</f>
        <v>55000</v>
      </c>
      <c r="L57" s="224">
        <f>表2_97131923252773113111115[[#This Row],[活跃Coin]]+表2_97131923252773113111115[[#This Row],[共计补偿Coin]]</f>
        <v>512463</v>
      </c>
      <c r="M57" s="224">
        <f>SUMIFS(表1_86121822242672112110114[综合国力],表1_86121822242672112110114[目标区服],表2_97131923252773113111115[[#This Row],[合区区服]],表1_86121822242672112110114[目标国家（映射）],表2_97131923252773113111115[[#This Row],[国家]])</f>
        <v>11773</v>
      </c>
      <c r="N57" s="224">
        <f t="array" ref="N57">MAX((表1_86121822242672112110114[目标区服]=表2_97131923252773113111115[[#This Row],[合区区服]])*(表1_86121822242672112110114[目标国家（映射）]=表2_97131923252773113111115[[#This Row],[国家]])*表1_86121822242672112110114[单将最高战力])</f>
        <v>506927</v>
      </c>
    </row>
    <row r="58" ht="15" spans="1:14">
      <c r="A58" s="224" t="s">
        <v>281</v>
      </c>
      <c r="B58" s="224" t="s">
        <v>27</v>
      </c>
      <c r="C58" s="224">
        <f>COUNTIFS(表1_86121822242672112110114[目标区服],表2_97131923252773113111115[[#This Row],[合区区服]],表1_86121822242672112110114[目标国家（映射）],表2_97131923252773113111115[[#This Row],[国家]])</f>
        <v>2</v>
      </c>
      <c r="D58" s="224">
        <f>SUMIFS(表1_86121822242672112110114[活跃高战玩家数],表1_86121822242672112110114[目标区服],表2_97131923252773113111115[[#This Row],[合区区服]],表1_86121822242672112110114[目标国家（映射）],表2_97131923252773113111115[[#This Row],[国家]])</f>
        <v>10</v>
      </c>
      <c r="E58" s="224">
        <f>SUMIFS(表1_86121822242672112110114[活跃中坚玩家数],表1_86121822242672112110114[目标区服],表2_97131923252773113111115[[#This Row],[合区区服]],表1_86121822242672112110114[目标国家（映射）],表2_97131923252773113111115[[#This Row],[国家]])</f>
        <v>40</v>
      </c>
      <c r="F58" s="224">
        <f t="array" ref="F58">MAX((表1_86121822242672112110114[目标区服]=表2_97131923252773113111115[[#This Row],[合区区服]])*(表1_86121822242672112110114[目标国家（映射）]=表2_97131923252773113111115[[#This Row],[国家]])*表1_86121822242672112110114[活跃尖端战力])</f>
        <v>2349960</v>
      </c>
      <c r="G58" s="225">
        <f>SUMIFS(表1_86121822242672112110114[活跃总战力],表1_86121822242672112110114[目标区服],表2_97131923252773113111115[[#This Row],[合区区服]],表1_86121822242672112110114[目标国家（映射）],表2_97131923252773113111115[[#This Row],[国家]])</f>
        <v>28857444</v>
      </c>
      <c r="H58" s="224">
        <f>SUMIFS(表1_86121822242672112110114[活跃实际充值],表1_86121822242672112110114[目标区服],表2_97131923252773113111115[[#This Row],[合区区服]],表1_86121822242672112110114[目标国家（映射）],表2_97131923252773113111115[[#This Row],[国家]])</f>
        <v>84249</v>
      </c>
      <c r="I58" s="224">
        <f>SUMIFS(表1_86121822242672112110114[活跃虚拟充值],表1_86121822242672112110114[目标区服],表2_97131923252773113111115[[#This Row],[合区区服]],表1_86121822242672112110114[目标国家（映射）],表2_97131923252773113111115[[#This Row],[国家]])</f>
        <v>0</v>
      </c>
      <c r="J58" s="224">
        <f>SUMIFS(表1_86121822242672112110114[活跃Coin],表1_86121822242672112110114[目标区服],表2_97131923252773113111115[[#This Row],[合区区服]],表1_86121822242672112110114[目标国家（映射）],表2_97131923252773113111115[[#This Row],[国家]])</f>
        <v>603283</v>
      </c>
      <c r="K58" s="224">
        <f>SUMIFS(表1_86121822242672112110114[共计补偿Coin],表1_86121822242672112110114[目标区服],表2_97131923252773113111115[[#This Row],[合区区服]],表1_86121822242672112110114[目标国家（映射）],表2_97131923252773113111115[[#This Row],[国家]])</f>
        <v>50000</v>
      </c>
      <c r="L58" s="224">
        <f>表2_97131923252773113111115[[#This Row],[活跃Coin]]+表2_97131923252773113111115[[#This Row],[共计补偿Coin]]</f>
        <v>653283</v>
      </c>
      <c r="M58" s="224">
        <f>SUMIFS(表1_86121822242672112110114[综合国力],表1_86121822242672112110114[目标区服],表2_97131923252773113111115[[#This Row],[合区区服]],表1_86121822242672112110114[目标国家（映射）],表2_97131923252773113111115[[#This Row],[国家]])</f>
        <v>15493</v>
      </c>
      <c r="N58" s="224">
        <f t="array" ref="N58">MAX((表1_86121822242672112110114[目标区服]=表2_97131923252773113111115[[#This Row],[合区区服]])*(表1_86121822242672112110114[目标国家（映射）]=表2_97131923252773113111115[[#This Row],[国家]])*表1_86121822242672112110114[单将最高战力])</f>
        <v>765948</v>
      </c>
    </row>
    <row r="61" ht="27" spans="2:14">
      <c r="B61" s="49"/>
      <c r="C61" s="50" t="s">
        <v>9</v>
      </c>
      <c r="D61" s="50" t="s">
        <v>10</v>
      </c>
      <c r="E61" s="50" t="s">
        <v>11</v>
      </c>
      <c r="F61" s="50" t="s">
        <v>12</v>
      </c>
      <c r="G61" s="50" t="s">
        <v>13</v>
      </c>
      <c r="H61" s="50" t="s">
        <v>14</v>
      </c>
      <c r="I61" s="274" t="s">
        <v>15</v>
      </c>
      <c r="J61" s="189" t="s">
        <v>18</v>
      </c>
      <c r="K61" s="189" t="s">
        <v>19</v>
      </c>
      <c r="L61" s="189" t="s">
        <v>20</v>
      </c>
      <c r="M61" s="189" t="s">
        <v>21</v>
      </c>
      <c r="N61" s="189" t="s">
        <v>82</v>
      </c>
    </row>
    <row r="62" spans="1:14">
      <c r="A62">
        <v>5277</v>
      </c>
      <c r="B62" s="190" t="s">
        <v>25</v>
      </c>
      <c r="C62" s="190">
        <v>6</v>
      </c>
      <c r="D62" s="190">
        <v>252</v>
      </c>
      <c r="E62" s="190">
        <v>5</v>
      </c>
      <c r="F62" s="190">
        <v>27</v>
      </c>
      <c r="G62" s="190">
        <v>140915</v>
      </c>
      <c r="H62" s="190">
        <v>2443997</v>
      </c>
      <c r="I62" s="190">
        <v>21554002</v>
      </c>
      <c r="J62" s="190">
        <v>44360</v>
      </c>
      <c r="K62" s="190">
        <v>0</v>
      </c>
      <c r="L62" s="190">
        <v>432164</v>
      </c>
      <c r="M62" s="190">
        <v>9970</v>
      </c>
      <c r="N62" s="190">
        <v>659389</v>
      </c>
    </row>
    <row r="63" spans="2:14">
      <c r="B63" s="190" t="s">
        <v>26</v>
      </c>
      <c r="C63" s="190">
        <v>1</v>
      </c>
      <c r="D63" s="190">
        <v>62</v>
      </c>
      <c r="E63" s="190">
        <v>2</v>
      </c>
      <c r="F63" s="190">
        <v>13</v>
      </c>
      <c r="G63" s="190">
        <v>60785</v>
      </c>
      <c r="H63" s="190">
        <v>1406124</v>
      </c>
      <c r="I63" s="190">
        <v>8957662</v>
      </c>
      <c r="J63" s="190">
        <v>25810</v>
      </c>
      <c r="K63" s="190">
        <v>0</v>
      </c>
      <c r="L63" s="190">
        <v>99372</v>
      </c>
      <c r="M63" s="190">
        <v>4149</v>
      </c>
      <c r="N63" s="190">
        <v>423587</v>
      </c>
    </row>
    <row r="64" spans="2:14">
      <c r="B64" s="190" t="s">
        <v>27</v>
      </c>
      <c r="C64" s="190">
        <v>2</v>
      </c>
      <c r="D64" s="190">
        <v>81</v>
      </c>
      <c r="E64" s="190">
        <v>2</v>
      </c>
      <c r="F64" s="190">
        <v>12</v>
      </c>
      <c r="G64" s="190">
        <v>61323</v>
      </c>
      <c r="H64" s="190">
        <v>1412942</v>
      </c>
      <c r="I64" s="190">
        <v>8766219</v>
      </c>
      <c r="J64" s="190">
        <v>6308</v>
      </c>
      <c r="K64" s="190">
        <v>0</v>
      </c>
      <c r="L64" s="190">
        <v>81120</v>
      </c>
      <c r="M64" s="190">
        <v>3835</v>
      </c>
      <c r="N64" s="190">
        <v>411904</v>
      </c>
    </row>
    <row r="65" spans="1:14">
      <c r="A65">
        <v>5278</v>
      </c>
      <c r="B65" s="190" t="s">
        <v>25</v>
      </c>
      <c r="C65" s="190">
        <v>4</v>
      </c>
      <c r="D65" s="190">
        <v>148</v>
      </c>
      <c r="E65" s="190">
        <v>7</v>
      </c>
      <c r="F65" s="190">
        <v>17</v>
      </c>
      <c r="G65" s="190">
        <v>140394</v>
      </c>
      <c r="H65" s="190">
        <v>2288836</v>
      </c>
      <c r="I65" s="190">
        <v>20252271</v>
      </c>
      <c r="J65" s="190">
        <v>37086</v>
      </c>
      <c r="K65" s="190">
        <v>0</v>
      </c>
      <c r="L65" s="190">
        <v>388845</v>
      </c>
      <c r="M65" s="190">
        <v>8203</v>
      </c>
      <c r="N65" s="190">
        <v>854773</v>
      </c>
    </row>
    <row r="66" spans="2:14">
      <c r="B66" s="190" t="s">
        <v>26</v>
      </c>
      <c r="C66" s="190">
        <v>5</v>
      </c>
      <c r="D66" s="190">
        <v>199</v>
      </c>
      <c r="E66" s="190">
        <v>3</v>
      </c>
      <c r="F66" s="190">
        <v>27</v>
      </c>
      <c r="G66" s="190">
        <v>126810</v>
      </c>
      <c r="H66" s="190">
        <v>2343592</v>
      </c>
      <c r="I66" s="190">
        <v>20211910</v>
      </c>
      <c r="J66" s="190">
        <v>102398</v>
      </c>
      <c r="K66" s="190">
        <v>0</v>
      </c>
      <c r="L66" s="190">
        <v>528666</v>
      </c>
      <c r="M66" s="190">
        <v>10825</v>
      </c>
      <c r="N66" s="190">
        <v>930887</v>
      </c>
    </row>
    <row r="67" spans="2:14">
      <c r="B67" s="190" t="s">
        <v>27</v>
      </c>
      <c r="C67" s="190">
        <v>0</v>
      </c>
      <c r="D67" s="190">
        <v>48</v>
      </c>
      <c r="E67" s="190">
        <v>0</v>
      </c>
      <c r="F67" s="190">
        <v>11</v>
      </c>
      <c r="G67" s="190">
        <v>37080</v>
      </c>
      <c r="H67" s="190">
        <v>1097549</v>
      </c>
      <c r="I67" s="190">
        <v>5683718</v>
      </c>
      <c r="J67" s="190">
        <v>3470</v>
      </c>
      <c r="K67" s="190">
        <v>0</v>
      </c>
      <c r="L67" s="190">
        <v>116945</v>
      </c>
      <c r="M67" s="190">
        <v>2493</v>
      </c>
      <c r="N67" s="190">
        <v>341105</v>
      </c>
    </row>
    <row r="68" spans="1:14">
      <c r="A68">
        <v>5279</v>
      </c>
      <c r="B68" s="190" t="s">
        <v>25</v>
      </c>
      <c r="C68" s="190">
        <v>3</v>
      </c>
      <c r="D68" s="190">
        <v>117</v>
      </c>
      <c r="E68" s="190">
        <v>3</v>
      </c>
      <c r="F68" s="190">
        <v>18</v>
      </c>
      <c r="G68" s="190">
        <v>84946</v>
      </c>
      <c r="H68" s="190">
        <v>1812201</v>
      </c>
      <c r="I68" s="190">
        <v>13708202</v>
      </c>
      <c r="J68" s="190">
        <v>34106</v>
      </c>
      <c r="K68" s="190">
        <v>0</v>
      </c>
      <c r="L68" s="190">
        <v>269075</v>
      </c>
      <c r="M68" s="190">
        <v>6235</v>
      </c>
      <c r="N68" s="190">
        <v>501324</v>
      </c>
    </row>
    <row r="69" spans="2:14">
      <c r="B69" s="190" t="s">
        <v>26</v>
      </c>
      <c r="C69" s="190">
        <v>3</v>
      </c>
      <c r="D69" s="190">
        <v>133</v>
      </c>
      <c r="E69" s="190">
        <v>4</v>
      </c>
      <c r="F69" s="190">
        <v>27</v>
      </c>
      <c r="G69" s="190">
        <v>118106</v>
      </c>
      <c r="H69" s="190">
        <v>1861485</v>
      </c>
      <c r="I69" s="190">
        <v>19413241</v>
      </c>
      <c r="J69" s="190">
        <v>42204</v>
      </c>
      <c r="K69" s="190">
        <v>0</v>
      </c>
      <c r="L69" s="190">
        <v>309687</v>
      </c>
      <c r="M69" s="190">
        <v>7444</v>
      </c>
      <c r="N69" s="190">
        <v>532116</v>
      </c>
    </row>
    <row r="70" spans="2:14">
      <c r="B70" s="190" t="s">
        <v>27</v>
      </c>
      <c r="C70" s="190">
        <v>3</v>
      </c>
      <c r="D70" s="190">
        <v>145</v>
      </c>
      <c r="E70" s="190">
        <v>3</v>
      </c>
      <c r="F70" s="190">
        <v>23</v>
      </c>
      <c r="G70" s="190">
        <v>104708</v>
      </c>
      <c r="H70" s="190">
        <v>1729248</v>
      </c>
      <c r="I70" s="190">
        <v>17019598</v>
      </c>
      <c r="J70" s="190">
        <v>41084</v>
      </c>
      <c r="K70" s="190">
        <v>0</v>
      </c>
      <c r="L70" s="190">
        <v>286278</v>
      </c>
      <c r="M70" s="190">
        <v>7080</v>
      </c>
      <c r="N70" s="190">
        <v>505524</v>
      </c>
    </row>
    <row r="71" spans="1:14">
      <c r="A71">
        <v>5280</v>
      </c>
      <c r="B71" s="190" t="s">
        <v>25</v>
      </c>
      <c r="C71" s="190">
        <v>4</v>
      </c>
      <c r="D71" s="190">
        <v>145</v>
      </c>
      <c r="E71" s="190">
        <v>5</v>
      </c>
      <c r="F71" s="190">
        <v>24</v>
      </c>
      <c r="G71" s="190">
        <v>132125</v>
      </c>
      <c r="H71" s="190">
        <v>2810192</v>
      </c>
      <c r="I71" s="190">
        <v>23775646</v>
      </c>
      <c r="J71" s="190">
        <v>65412</v>
      </c>
      <c r="K71" s="190">
        <v>0</v>
      </c>
      <c r="L71" s="190">
        <v>460761</v>
      </c>
      <c r="M71" s="190">
        <v>9891</v>
      </c>
      <c r="N71" s="190">
        <v>817969</v>
      </c>
    </row>
    <row r="72" spans="2:14">
      <c r="B72" s="190" t="s">
        <v>26</v>
      </c>
      <c r="C72" s="190">
        <v>1</v>
      </c>
      <c r="D72" s="190">
        <v>77</v>
      </c>
      <c r="E72" s="190">
        <v>1</v>
      </c>
      <c r="F72" s="190">
        <v>22</v>
      </c>
      <c r="G72" s="190">
        <v>89303</v>
      </c>
      <c r="H72" s="190">
        <v>1807857</v>
      </c>
      <c r="I72" s="190">
        <v>15436254</v>
      </c>
      <c r="J72" s="190">
        <v>17198</v>
      </c>
      <c r="K72" s="190">
        <v>0</v>
      </c>
      <c r="L72" s="190">
        <v>229541</v>
      </c>
      <c r="M72" s="190">
        <v>5298</v>
      </c>
      <c r="N72" s="190">
        <v>585367</v>
      </c>
    </row>
    <row r="73" spans="2:14">
      <c r="B73" s="190" t="s">
        <v>27</v>
      </c>
      <c r="C73" s="190">
        <v>4</v>
      </c>
      <c r="D73" s="190">
        <v>173</v>
      </c>
      <c r="E73" s="190">
        <v>4</v>
      </c>
      <c r="F73" s="190">
        <v>20</v>
      </c>
      <c r="G73" s="190">
        <v>101254</v>
      </c>
      <c r="H73" s="190">
        <v>2537281</v>
      </c>
      <c r="I73" s="190">
        <v>18784500</v>
      </c>
      <c r="J73" s="190">
        <v>107042</v>
      </c>
      <c r="K73" s="190">
        <v>0</v>
      </c>
      <c r="L73" s="190">
        <v>466479</v>
      </c>
      <c r="M73" s="190">
        <v>10496</v>
      </c>
      <c r="N73" s="190">
        <v>846273</v>
      </c>
    </row>
    <row r="74" spans="1:14">
      <c r="A74">
        <v>5281</v>
      </c>
      <c r="B74" s="190" t="s">
        <v>25</v>
      </c>
      <c r="C74" s="190">
        <v>3</v>
      </c>
      <c r="D74" s="190">
        <v>126</v>
      </c>
      <c r="E74" s="190">
        <v>3</v>
      </c>
      <c r="F74" s="190">
        <v>23</v>
      </c>
      <c r="G74" s="190">
        <v>97393</v>
      </c>
      <c r="H74" s="190">
        <v>1361385</v>
      </c>
      <c r="I74" s="190">
        <v>13058110</v>
      </c>
      <c r="J74" s="190">
        <v>11246</v>
      </c>
      <c r="K74" s="190">
        <v>0</v>
      </c>
      <c r="L74" s="190">
        <v>203614</v>
      </c>
      <c r="M74" s="190">
        <v>5153</v>
      </c>
      <c r="N74" s="190">
        <v>362678</v>
      </c>
    </row>
    <row r="75" spans="2:14">
      <c r="B75" s="190" t="s">
        <v>26</v>
      </c>
      <c r="C75" s="190">
        <v>4</v>
      </c>
      <c r="D75" s="190">
        <v>187</v>
      </c>
      <c r="E75" s="190">
        <v>7</v>
      </c>
      <c r="F75" s="190">
        <v>19</v>
      </c>
      <c r="G75" s="190">
        <v>144796</v>
      </c>
      <c r="H75" s="190">
        <v>1861067</v>
      </c>
      <c r="I75" s="190">
        <v>18136523</v>
      </c>
      <c r="J75" s="190">
        <v>18762</v>
      </c>
      <c r="K75" s="190">
        <v>0</v>
      </c>
      <c r="L75" s="190">
        <v>260276</v>
      </c>
      <c r="M75" s="190">
        <v>7361</v>
      </c>
      <c r="N75" s="190">
        <v>534040</v>
      </c>
    </row>
    <row r="76" spans="2:14">
      <c r="B76" s="190" t="s">
        <v>27</v>
      </c>
      <c r="C76" s="190">
        <v>2</v>
      </c>
      <c r="D76" s="190">
        <v>82</v>
      </c>
      <c r="E76" s="190">
        <v>0</v>
      </c>
      <c r="F76" s="190">
        <v>17</v>
      </c>
      <c r="G76" s="190">
        <v>63930</v>
      </c>
      <c r="H76" s="190">
        <v>1096545</v>
      </c>
      <c r="I76" s="190">
        <v>7970500</v>
      </c>
      <c r="J76" s="190">
        <v>2864</v>
      </c>
      <c r="K76" s="190">
        <v>0</v>
      </c>
      <c r="L76" s="190">
        <v>98892</v>
      </c>
      <c r="M76" s="190">
        <v>3368</v>
      </c>
      <c r="N76" s="190">
        <v>307055</v>
      </c>
    </row>
    <row r="77" spans="1:14">
      <c r="A77">
        <v>5282</v>
      </c>
      <c r="B77" s="190" t="s">
        <v>25</v>
      </c>
      <c r="C77" s="190">
        <v>7</v>
      </c>
      <c r="D77" s="190">
        <v>251</v>
      </c>
      <c r="E77" s="190">
        <v>7</v>
      </c>
      <c r="F77" s="190">
        <v>25</v>
      </c>
      <c r="G77" s="190">
        <v>164301</v>
      </c>
      <c r="H77" s="190">
        <v>2660053</v>
      </c>
      <c r="I77" s="190">
        <v>24367725</v>
      </c>
      <c r="J77" s="190">
        <v>51088</v>
      </c>
      <c r="K77" s="190">
        <v>0</v>
      </c>
      <c r="L77" s="190">
        <v>424536</v>
      </c>
      <c r="M77" s="190">
        <v>10873</v>
      </c>
      <c r="N77" s="190">
        <v>865159</v>
      </c>
    </row>
    <row r="78" spans="2:14">
      <c r="B78" s="190" t="s">
        <v>26</v>
      </c>
      <c r="C78" s="190">
        <v>2</v>
      </c>
      <c r="D78" s="190">
        <v>122</v>
      </c>
      <c r="E78" s="190">
        <v>2</v>
      </c>
      <c r="F78" s="190">
        <v>17</v>
      </c>
      <c r="G78" s="190">
        <v>77957</v>
      </c>
      <c r="H78" s="190">
        <v>1784795</v>
      </c>
      <c r="I78" s="190">
        <v>11633678</v>
      </c>
      <c r="J78" s="190">
        <v>15482</v>
      </c>
      <c r="K78" s="190">
        <v>0</v>
      </c>
      <c r="L78" s="190">
        <v>164148</v>
      </c>
      <c r="M78" s="190">
        <v>5304</v>
      </c>
      <c r="N78" s="190">
        <v>555554</v>
      </c>
    </row>
    <row r="79" spans="2:14">
      <c r="B79" s="190" t="s">
        <v>27</v>
      </c>
      <c r="C79" s="190">
        <v>0</v>
      </c>
      <c r="D79" s="190">
        <v>22</v>
      </c>
      <c r="E79" s="190">
        <v>1</v>
      </c>
      <c r="F79" s="190">
        <v>11</v>
      </c>
      <c r="G79" s="190">
        <v>43248</v>
      </c>
      <c r="H79" s="190">
        <v>1110490</v>
      </c>
      <c r="I79" s="190">
        <v>6427740</v>
      </c>
      <c r="J79" s="190">
        <v>13380</v>
      </c>
      <c r="K79" s="190">
        <v>0</v>
      </c>
      <c r="L79" s="190">
        <v>56470</v>
      </c>
      <c r="M79" s="190">
        <v>2619</v>
      </c>
      <c r="N79" s="190">
        <v>364504</v>
      </c>
    </row>
    <row r="80" spans="1:14">
      <c r="A80">
        <v>5283</v>
      </c>
      <c r="B80" s="190" t="s">
        <v>25</v>
      </c>
      <c r="C80" s="190">
        <v>2</v>
      </c>
      <c r="D80" s="190">
        <v>87</v>
      </c>
      <c r="E80" s="190">
        <v>5</v>
      </c>
      <c r="F80" s="190">
        <v>22</v>
      </c>
      <c r="G80" s="190">
        <v>115328</v>
      </c>
      <c r="H80" s="190">
        <v>2097663</v>
      </c>
      <c r="I80" s="190">
        <v>17102115</v>
      </c>
      <c r="J80" s="190">
        <v>36670</v>
      </c>
      <c r="K80" s="190">
        <v>0</v>
      </c>
      <c r="L80" s="190">
        <v>160952</v>
      </c>
      <c r="M80" s="190">
        <v>6635</v>
      </c>
      <c r="N80" s="190">
        <v>630033</v>
      </c>
    </row>
    <row r="81" spans="2:14">
      <c r="B81" s="190" t="s">
        <v>26</v>
      </c>
      <c r="C81" s="190">
        <v>4</v>
      </c>
      <c r="D81" s="190">
        <v>201</v>
      </c>
      <c r="E81" s="190">
        <v>3</v>
      </c>
      <c r="F81" s="190">
        <v>22</v>
      </c>
      <c r="G81" s="190">
        <v>122447</v>
      </c>
      <c r="H81" s="190">
        <v>2216314</v>
      </c>
      <c r="I81" s="190">
        <v>17354776</v>
      </c>
      <c r="J81" s="190">
        <v>27846</v>
      </c>
      <c r="K81" s="190">
        <v>0</v>
      </c>
      <c r="L81" s="190">
        <v>300238</v>
      </c>
      <c r="M81" s="190">
        <v>7959</v>
      </c>
      <c r="N81" s="190">
        <v>809230</v>
      </c>
    </row>
    <row r="82" spans="2:14">
      <c r="B82" s="190" t="s">
        <v>27</v>
      </c>
      <c r="C82" s="190">
        <v>3</v>
      </c>
      <c r="D82" s="190">
        <v>107</v>
      </c>
      <c r="E82" s="190">
        <v>2</v>
      </c>
      <c r="F82" s="190">
        <v>25</v>
      </c>
      <c r="G82" s="190">
        <v>84979</v>
      </c>
      <c r="H82" s="190">
        <v>1730242</v>
      </c>
      <c r="I82" s="190">
        <v>13587794</v>
      </c>
      <c r="J82" s="190">
        <v>20394</v>
      </c>
      <c r="K82" s="190">
        <v>0</v>
      </c>
      <c r="L82" s="190">
        <v>267997</v>
      </c>
      <c r="M82" s="190">
        <v>5629</v>
      </c>
      <c r="N82" s="190">
        <v>562533</v>
      </c>
    </row>
    <row r="83" spans="1:14">
      <c r="A83">
        <v>5284</v>
      </c>
      <c r="B83" s="190" t="s">
        <v>25</v>
      </c>
      <c r="C83" s="190">
        <v>3</v>
      </c>
      <c r="D83" s="190">
        <v>124</v>
      </c>
      <c r="E83" s="190">
        <v>3</v>
      </c>
      <c r="F83" s="190">
        <v>23</v>
      </c>
      <c r="G83" s="190">
        <v>106730</v>
      </c>
      <c r="H83" s="190">
        <v>2548925</v>
      </c>
      <c r="I83" s="190">
        <v>18658250</v>
      </c>
      <c r="J83" s="190">
        <v>47957</v>
      </c>
      <c r="K83" s="190">
        <v>0</v>
      </c>
      <c r="L83" s="190">
        <v>390269</v>
      </c>
      <c r="M83" s="190">
        <v>8122</v>
      </c>
      <c r="N83" s="190">
        <v>664995</v>
      </c>
    </row>
    <row r="84" spans="2:14">
      <c r="B84" s="190" t="s">
        <v>26</v>
      </c>
      <c r="C84" s="190">
        <v>4</v>
      </c>
      <c r="D84" s="190">
        <v>170</v>
      </c>
      <c r="E84" s="190">
        <v>4</v>
      </c>
      <c r="F84" s="190">
        <v>27</v>
      </c>
      <c r="G84" s="190">
        <v>136165</v>
      </c>
      <c r="H84" s="190">
        <v>2113560</v>
      </c>
      <c r="I84" s="190">
        <v>22303118</v>
      </c>
      <c r="J84" s="190">
        <v>30524</v>
      </c>
      <c r="K84" s="190">
        <v>0</v>
      </c>
      <c r="L84" s="190">
        <v>348405</v>
      </c>
      <c r="M84" s="190">
        <v>8214</v>
      </c>
      <c r="N84" s="190">
        <v>594141</v>
      </c>
    </row>
    <row r="85" spans="2:14">
      <c r="B85" s="190" t="s">
        <v>27</v>
      </c>
      <c r="C85" s="190">
        <v>2</v>
      </c>
      <c r="D85" s="190">
        <v>101</v>
      </c>
      <c r="E85" s="190">
        <v>3</v>
      </c>
      <c r="F85" s="190">
        <v>16</v>
      </c>
      <c r="G85" s="190">
        <v>65076</v>
      </c>
      <c r="H85" s="190">
        <v>1576035</v>
      </c>
      <c r="I85" s="190">
        <v>12038830</v>
      </c>
      <c r="J85" s="190">
        <v>25664</v>
      </c>
      <c r="K85" s="190">
        <v>0</v>
      </c>
      <c r="L85" s="190">
        <v>127837</v>
      </c>
      <c r="M85" s="190">
        <v>5149</v>
      </c>
      <c r="N85" s="190">
        <v>488044</v>
      </c>
    </row>
    <row r="86" spans="1:14">
      <c r="A86">
        <v>5285</v>
      </c>
      <c r="B86" s="190" t="s">
        <v>25</v>
      </c>
      <c r="C86" s="190">
        <v>3</v>
      </c>
      <c r="D86" s="190">
        <v>107</v>
      </c>
      <c r="E86" s="190">
        <v>2</v>
      </c>
      <c r="F86" s="190">
        <v>21</v>
      </c>
      <c r="G86" s="190">
        <v>97296</v>
      </c>
      <c r="H86" s="190">
        <v>1789336</v>
      </c>
      <c r="I86" s="190">
        <v>13657144</v>
      </c>
      <c r="J86" s="190">
        <v>18826</v>
      </c>
      <c r="K86" s="190">
        <v>0</v>
      </c>
      <c r="L86" s="190">
        <v>287216</v>
      </c>
      <c r="M86" s="190">
        <v>5719</v>
      </c>
      <c r="N86" s="190">
        <v>629185</v>
      </c>
    </row>
    <row r="87" spans="2:14">
      <c r="B87" s="190" t="s">
        <v>26</v>
      </c>
      <c r="C87" s="190">
        <v>3</v>
      </c>
      <c r="D87" s="190">
        <v>152</v>
      </c>
      <c r="E87" s="190">
        <v>4</v>
      </c>
      <c r="F87" s="190">
        <v>26</v>
      </c>
      <c r="G87" s="190">
        <v>123196</v>
      </c>
      <c r="H87" s="190">
        <v>1815369</v>
      </c>
      <c r="I87" s="190">
        <v>17723907</v>
      </c>
      <c r="J87" s="190">
        <v>16862</v>
      </c>
      <c r="K87" s="190">
        <v>0</v>
      </c>
      <c r="L87" s="190">
        <v>264370</v>
      </c>
      <c r="M87" s="190">
        <v>6661</v>
      </c>
      <c r="N87" s="190">
        <v>640729</v>
      </c>
    </row>
    <row r="88" spans="2:14">
      <c r="B88" s="190" t="s">
        <v>27</v>
      </c>
      <c r="C88" s="190">
        <v>3</v>
      </c>
      <c r="D88" s="190">
        <v>136</v>
      </c>
      <c r="E88" s="190">
        <v>4</v>
      </c>
      <c r="F88" s="190">
        <v>20</v>
      </c>
      <c r="G88" s="190">
        <v>91060</v>
      </c>
      <c r="H88" s="190">
        <v>2232809</v>
      </c>
      <c r="I88" s="190">
        <v>14495192</v>
      </c>
      <c r="J88" s="190">
        <v>31248</v>
      </c>
      <c r="K88" s="190">
        <v>0</v>
      </c>
      <c r="L88" s="190">
        <v>343748</v>
      </c>
      <c r="M88" s="190">
        <v>6906</v>
      </c>
      <c r="N88" s="190">
        <v>621385</v>
      </c>
    </row>
    <row r="89" spans="1:14">
      <c r="A89">
        <v>5286</v>
      </c>
      <c r="B89" s="190" t="s">
        <v>25</v>
      </c>
      <c r="C89" s="190">
        <v>1</v>
      </c>
      <c r="D89" s="190">
        <v>71</v>
      </c>
      <c r="E89" s="190">
        <v>0</v>
      </c>
      <c r="F89" s="190">
        <v>16</v>
      </c>
      <c r="G89" s="190">
        <v>38742</v>
      </c>
      <c r="H89" s="190">
        <v>846920</v>
      </c>
      <c r="I89" s="190">
        <v>7611262</v>
      </c>
      <c r="J89" s="190">
        <v>5474</v>
      </c>
      <c r="K89" s="190">
        <v>0</v>
      </c>
      <c r="L89" s="190">
        <v>100493</v>
      </c>
      <c r="M89" s="190">
        <v>2826</v>
      </c>
      <c r="N89" s="190">
        <v>242564</v>
      </c>
    </row>
    <row r="90" spans="2:14">
      <c r="B90" s="190" t="s">
        <v>26</v>
      </c>
      <c r="C90" s="190">
        <v>5</v>
      </c>
      <c r="D90" s="190">
        <v>195</v>
      </c>
      <c r="E90" s="190">
        <v>8</v>
      </c>
      <c r="F90" s="190">
        <v>30</v>
      </c>
      <c r="G90" s="190">
        <v>178253</v>
      </c>
      <c r="H90" s="190">
        <v>2127450</v>
      </c>
      <c r="I90" s="190">
        <v>27359107</v>
      </c>
      <c r="J90" s="190">
        <v>56528</v>
      </c>
      <c r="K90" s="190">
        <v>0</v>
      </c>
      <c r="L90" s="190">
        <v>386730</v>
      </c>
      <c r="M90" s="190">
        <v>10093</v>
      </c>
      <c r="N90" s="190">
        <v>705945</v>
      </c>
    </row>
    <row r="91" spans="2:14">
      <c r="B91" s="190" t="s">
        <v>27</v>
      </c>
      <c r="C91" s="190">
        <v>3</v>
      </c>
      <c r="D91" s="190">
        <v>129</v>
      </c>
      <c r="E91" s="190">
        <v>2</v>
      </c>
      <c r="F91" s="190">
        <v>23</v>
      </c>
      <c r="G91" s="190">
        <v>95970</v>
      </c>
      <c r="H91" s="190">
        <v>2248242</v>
      </c>
      <c r="I91" s="190">
        <v>16259868</v>
      </c>
      <c r="J91" s="190">
        <v>38800</v>
      </c>
      <c r="K91" s="190">
        <v>0</v>
      </c>
      <c r="L91" s="190">
        <v>272604</v>
      </c>
      <c r="M91" s="190">
        <v>7244</v>
      </c>
      <c r="N91" s="190">
        <v>688514</v>
      </c>
    </row>
    <row r="92" spans="1:14">
      <c r="A92">
        <v>5287</v>
      </c>
      <c r="B92" s="190" t="s">
        <v>25</v>
      </c>
      <c r="C92" s="190">
        <v>0</v>
      </c>
      <c r="D92" s="190">
        <v>36</v>
      </c>
      <c r="E92" s="190">
        <v>0</v>
      </c>
      <c r="F92" s="190">
        <v>18</v>
      </c>
      <c r="G92" s="190">
        <v>63306</v>
      </c>
      <c r="H92" s="190">
        <v>771794</v>
      </c>
      <c r="I92" s="190">
        <v>7724208</v>
      </c>
      <c r="J92" s="190">
        <v>8532</v>
      </c>
      <c r="K92" s="190">
        <v>0</v>
      </c>
      <c r="L92" s="190">
        <v>113696</v>
      </c>
      <c r="M92" s="190">
        <v>2533</v>
      </c>
      <c r="N92" s="190">
        <v>312337</v>
      </c>
    </row>
    <row r="93" spans="2:14">
      <c r="B93" s="190" t="s">
        <v>26</v>
      </c>
      <c r="C93" s="190">
        <v>3</v>
      </c>
      <c r="D93" s="190">
        <v>138</v>
      </c>
      <c r="E93" s="190">
        <v>4</v>
      </c>
      <c r="F93" s="190">
        <v>24</v>
      </c>
      <c r="G93" s="190">
        <v>110076</v>
      </c>
      <c r="H93" s="190">
        <v>1808387</v>
      </c>
      <c r="I93" s="190">
        <v>14068874</v>
      </c>
      <c r="J93" s="190">
        <v>33362</v>
      </c>
      <c r="K93" s="190">
        <v>0</v>
      </c>
      <c r="L93" s="190">
        <v>353747</v>
      </c>
      <c r="M93" s="190">
        <v>6623</v>
      </c>
      <c r="N93" s="190">
        <v>692117</v>
      </c>
    </row>
    <row r="94" spans="2:14">
      <c r="B94" s="190" t="s">
        <v>27</v>
      </c>
      <c r="C94" s="190">
        <v>6</v>
      </c>
      <c r="D94" s="190">
        <v>221</v>
      </c>
      <c r="E94" s="190">
        <v>6</v>
      </c>
      <c r="F94" s="190">
        <v>16</v>
      </c>
      <c r="G94" s="190">
        <v>115968</v>
      </c>
      <c r="H94" s="190">
        <v>2349960</v>
      </c>
      <c r="I94" s="190">
        <v>14788570</v>
      </c>
      <c r="J94" s="190">
        <v>50887</v>
      </c>
      <c r="K94" s="190">
        <v>0</v>
      </c>
      <c r="L94" s="190">
        <v>249536</v>
      </c>
      <c r="M94" s="190">
        <v>8870</v>
      </c>
      <c r="N94" s="190">
        <v>765948</v>
      </c>
    </row>
    <row r="95" spans="1:14">
      <c r="A95">
        <v>5288</v>
      </c>
      <c r="B95" s="190" t="s">
        <v>25</v>
      </c>
      <c r="C95" s="190">
        <v>3</v>
      </c>
      <c r="D95" s="190">
        <v>95</v>
      </c>
      <c r="E95" s="190">
        <v>4</v>
      </c>
      <c r="F95" s="190">
        <v>31</v>
      </c>
      <c r="G95" s="190">
        <v>133408</v>
      </c>
      <c r="H95" s="190">
        <v>1813946</v>
      </c>
      <c r="I95" s="190">
        <v>21871099</v>
      </c>
      <c r="J95" s="190">
        <v>58390</v>
      </c>
      <c r="K95" s="190">
        <v>0</v>
      </c>
      <c r="L95" s="190">
        <v>311186</v>
      </c>
      <c r="M95" s="190">
        <v>7825</v>
      </c>
      <c r="N95" s="190">
        <v>506927</v>
      </c>
    </row>
    <row r="96" spans="2:14">
      <c r="B96" s="190" t="s">
        <v>26</v>
      </c>
      <c r="C96" s="190">
        <v>2</v>
      </c>
      <c r="D96" s="190">
        <v>82</v>
      </c>
      <c r="E96" s="190">
        <v>1</v>
      </c>
      <c r="F96" s="190">
        <v>19</v>
      </c>
      <c r="G96" s="190">
        <v>53634</v>
      </c>
      <c r="H96" s="190">
        <v>1271759</v>
      </c>
      <c r="I96" s="190">
        <v>10191008</v>
      </c>
      <c r="J96" s="190">
        <v>9868</v>
      </c>
      <c r="K96" s="190">
        <v>0</v>
      </c>
      <c r="L96" s="190">
        <v>146277</v>
      </c>
      <c r="M96" s="190">
        <v>3948</v>
      </c>
      <c r="N96" s="190">
        <v>370125</v>
      </c>
    </row>
    <row r="97" spans="2:14">
      <c r="B97" s="190" t="s">
        <v>27</v>
      </c>
      <c r="C97" s="190">
        <v>4</v>
      </c>
      <c r="D97" s="190">
        <v>218</v>
      </c>
      <c r="E97" s="190">
        <v>5</v>
      </c>
      <c r="F97" s="190">
        <v>22</v>
      </c>
      <c r="G97" s="190">
        <v>130969</v>
      </c>
      <c r="H97" s="190">
        <v>2388297</v>
      </c>
      <c r="I97" s="190">
        <v>19905015</v>
      </c>
      <c r="J97" s="190">
        <v>49440</v>
      </c>
      <c r="K97" s="190">
        <v>0</v>
      </c>
      <c r="L97" s="190">
        <v>409717</v>
      </c>
      <c r="M97" s="190">
        <v>9301</v>
      </c>
      <c r="N97" s="190">
        <v>737567</v>
      </c>
    </row>
  </sheetData>
  <conditionalFormatting sqref="F41:F43">
    <cfRule type="dataBar" priority="10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{4cce56b5-9992-4e21-b1fc-9e5e7bc8a559}</x14:id>
        </ext>
      </extLst>
    </cfRule>
  </conditionalFormatting>
  <conditionalFormatting sqref="F44:F46">
    <cfRule type="dataBar" priority="10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{9a18978d-98d6-4843-8f5c-172c955d4ffd}</x14:id>
        </ext>
      </extLst>
    </cfRule>
  </conditionalFormatting>
  <conditionalFormatting sqref="F47:F49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{99641a70-2163-4f81-bb7b-91fa01b939d0}</x14:id>
        </ext>
      </extLst>
    </cfRule>
  </conditionalFormatting>
  <conditionalFormatting sqref="F50:F52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{08b1f602-353a-4909-a8d4-862b5c6c8407}</x14:id>
        </ext>
      </extLst>
    </cfRule>
  </conditionalFormatting>
  <conditionalFormatting sqref="F53:F55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{aca8b989-7dc6-4535-a20f-f99462cea007}</x14:id>
        </ext>
      </extLst>
    </cfRule>
  </conditionalFormatting>
  <conditionalFormatting sqref="F56:F58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{fb23e776-4e65-4a24-9128-985b57387c5a}</x14:id>
        </ext>
      </extLst>
    </cfRule>
  </conditionalFormatting>
  <conditionalFormatting sqref="G41:G43">
    <cfRule type="dataBar" priority="1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{b3e27213-f0ed-4ac3-865e-3c92d44b63d8}</x14:id>
        </ext>
      </extLst>
    </cfRule>
  </conditionalFormatting>
  <conditionalFormatting sqref="G44:G46">
    <cfRule type="dataBar" priority="10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{a89d3acc-f168-4cdb-960b-bb5ab44409a1}</x14:id>
        </ext>
      </extLst>
    </cfRule>
  </conditionalFormatting>
  <conditionalFormatting sqref="G47:G49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{188f4753-ed65-4ec9-a88e-b610fda6e7f0}</x14:id>
        </ext>
      </extLst>
    </cfRule>
  </conditionalFormatting>
  <conditionalFormatting sqref="G50:G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{23328e37-228b-4c99-956a-25479381117b}</x14:id>
        </ext>
      </extLst>
    </cfRule>
  </conditionalFormatting>
  <conditionalFormatting sqref="G53:G55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{1338160f-f2af-4b37-b83f-481637448762}</x14:id>
        </ext>
      </extLst>
    </cfRule>
  </conditionalFormatting>
  <conditionalFormatting sqref="G56:G58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{e263c3d7-f267-45a4-9cf1-805d23296ab0}</x14:id>
        </ext>
      </extLst>
    </cfRule>
  </conditionalFormatting>
  <conditionalFormatting sqref="N41:N46">
    <cfRule type="dataBar" priority="10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{335d2918-6201-4ae1-9673-5616d4f269b9}</x14:id>
        </ext>
      </extLst>
    </cfRule>
  </conditionalFormatting>
  <conditionalFormatting sqref="N47:N49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{9b7627c7-63e5-43e1-85de-a9009c165d14}</x14:id>
        </ext>
      </extLst>
    </cfRule>
  </conditionalFormatting>
  <conditionalFormatting sqref="N50:N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{dc58a8ce-9b33-4bb7-a704-269a31e4eda8}</x14:id>
        </ext>
      </extLst>
    </cfRule>
  </conditionalFormatting>
  <conditionalFormatting sqref="N53:N55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{72c6b8d6-77ed-4473-95c4-e50256d40849}</x14:id>
        </ext>
      </extLst>
    </cfRule>
  </conditionalFormatting>
  <conditionalFormatting sqref="N56:N58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{1c2652b0-01c3-47fa-9445-157901fd6c8e}</x14:id>
        </ext>
      </extLst>
    </cfRule>
  </conditionalFormatting>
  <conditionalFormatting sqref="O2:O3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{0e23e6b1-55e5-49cf-8a5d-51012cb1e7a1}</x14:id>
        </ext>
      </extLst>
    </cfRule>
  </conditionalFormatting>
  <conditionalFormatting sqref="P2:P3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{1e15fcda-e09e-4199-b159-35684b4955e9}</x14:id>
        </ext>
      </extLst>
    </cfRule>
  </conditionalFormatting>
  <conditionalFormatting sqref="P41:P52">
    <cfRule type="cellIs" dxfId="37" priority="3" operator="equal">
      <formula>$Q$53</formula>
    </cfRule>
  </conditionalFormatting>
  <conditionalFormatting sqref="Q2:Q13">
    <cfRule type="cellIs" dxfId="38" priority="104" operator="equal">
      <formula>配置!$D$4</formula>
    </cfRule>
    <cfRule type="cellIs" dxfId="39" priority="105" operator="equal">
      <formula>配置!$D$3</formula>
    </cfRule>
    <cfRule type="cellIs" dxfId="37" priority="106" operator="equal">
      <formula>配置!$D$2</formula>
    </cfRule>
  </conditionalFormatting>
  <conditionalFormatting sqref="Q14:Q16">
    <cfRule type="cellIs" dxfId="38" priority="98" operator="equal">
      <formula>配置!$D$4</formula>
    </cfRule>
    <cfRule type="cellIs" dxfId="39" priority="99" operator="equal">
      <formula>配置!$D$3</formula>
    </cfRule>
    <cfRule type="cellIs" dxfId="37" priority="100" operator="equal">
      <formula>配置!$D$2</formula>
    </cfRule>
  </conditionalFormatting>
  <conditionalFormatting sqref="Q17:Q19">
    <cfRule type="cellIs" dxfId="38" priority="93" operator="equal">
      <formula>配置!$D$4</formula>
    </cfRule>
    <cfRule type="cellIs" dxfId="39" priority="94" operator="equal">
      <formula>配置!$D$3</formula>
    </cfRule>
    <cfRule type="cellIs" dxfId="37" priority="95" operator="equal">
      <formula>配置!$D$2</formula>
    </cfRule>
  </conditionalFormatting>
  <conditionalFormatting sqref="Q20:Q22">
    <cfRule type="cellIs" dxfId="38" priority="88" operator="equal">
      <formula>配置!$D$4</formula>
    </cfRule>
    <cfRule type="cellIs" dxfId="39" priority="89" operator="equal">
      <formula>配置!$D$3</formula>
    </cfRule>
    <cfRule type="cellIs" dxfId="37" priority="90" operator="equal">
      <formula>配置!$D$2</formula>
    </cfRule>
  </conditionalFormatting>
  <conditionalFormatting sqref="Q23:Q25">
    <cfRule type="cellIs" dxfId="38" priority="83" operator="equal">
      <formula>配置!$D$4</formula>
    </cfRule>
    <cfRule type="cellIs" dxfId="39" priority="84" operator="equal">
      <formula>配置!$D$3</formula>
    </cfRule>
    <cfRule type="cellIs" dxfId="37" priority="85" operator="equal">
      <formula>配置!$D$2</formula>
    </cfRule>
  </conditionalFormatting>
  <conditionalFormatting sqref="Q26:Q28">
    <cfRule type="cellIs" dxfId="38" priority="78" operator="equal">
      <formula>配置!$D$4</formula>
    </cfRule>
    <cfRule type="cellIs" dxfId="39" priority="79" operator="equal">
      <formula>配置!$D$3</formula>
    </cfRule>
    <cfRule type="cellIs" dxfId="37" priority="80" operator="equal">
      <formula>配置!$D$2</formula>
    </cfRule>
  </conditionalFormatting>
  <conditionalFormatting sqref="Q29:Q31">
    <cfRule type="cellIs" dxfId="38" priority="73" operator="equal">
      <formula>配置!$D$4</formula>
    </cfRule>
    <cfRule type="cellIs" dxfId="39" priority="74" operator="equal">
      <formula>配置!$D$3</formula>
    </cfRule>
    <cfRule type="cellIs" dxfId="37" priority="75" operator="equal">
      <formula>配置!$D$2</formula>
    </cfRule>
  </conditionalFormatting>
  <conditionalFormatting sqref="Q32:Q34">
    <cfRule type="cellIs" dxfId="38" priority="68" operator="equal">
      <formula>配置!$D$4</formula>
    </cfRule>
    <cfRule type="cellIs" dxfId="39" priority="69" operator="equal">
      <formula>配置!$D$3</formula>
    </cfRule>
    <cfRule type="cellIs" dxfId="37" priority="70" operator="equal">
      <formula>配置!$D$2</formula>
    </cfRule>
  </conditionalFormatting>
  <conditionalFormatting sqref="Q35:Q37">
    <cfRule type="cellIs" dxfId="38" priority="63" operator="equal">
      <formula>配置!$D$4</formula>
    </cfRule>
    <cfRule type="cellIs" dxfId="39" priority="64" operator="equal">
      <formula>配置!$D$3</formula>
    </cfRule>
    <cfRule type="cellIs" dxfId="37" priority="65" operator="equal">
      <formula>配置!$D$2</formula>
    </cfRule>
  </conditionalFormatting>
  <conditionalFormatting sqref="R41:R46">
    <cfRule type="cellIs" dxfId="37" priority="4" operator="equal">
      <formula>$Q$53</formula>
    </cfRule>
  </conditionalFormatting>
  <conditionalFormatting sqref="O38:O39 Q1:R1 Q2 Q4:Q5 Q7:Q8 Q10:Q11 Q13">
    <cfRule type="cellIs" dxfId="37" priority="112" operator="equal">
      <formula>配置!$D$2</formula>
    </cfRule>
  </conditionalFormatting>
  <conditionalFormatting sqref="Q2 Q4:Q5 Q7:Q8 Q10:Q11 Q13">
    <cfRule type="cellIs" dxfId="38" priority="111" operator="equal">
      <formula>配置!$D$4</formula>
    </cfRule>
  </conditionalFormatting>
  <conditionalFormatting sqref="Q14 Q16">
    <cfRule type="cellIs" dxfId="38" priority="101" operator="equal">
      <formula>配置!$D$4</formula>
    </cfRule>
    <cfRule type="cellIs" dxfId="37" priority="102" operator="equal">
      <formula>配置!$D$2</formula>
    </cfRule>
  </conditionalFormatting>
  <conditionalFormatting sqref="Q17 Q19">
    <cfRule type="cellIs" dxfId="38" priority="96" operator="equal">
      <formula>配置!$D$4</formula>
    </cfRule>
    <cfRule type="cellIs" dxfId="37" priority="97" operator="equal">
      <formula>配置!$D$2</formula>
    </cfRule>
  </conditionalFormatting>
  <conditionalFormatting sqref="Q20 Q22">
    <cfRule type="cellIs" dxfId="38" priority="91" operator="equal">
      <formula>配置!$D$4</formula>
    </cfRule>
    <cfRule type="cellIs" dxfId="37" priority="92" operator="equal">
      <formula>配置!$D$2</formula>
    </cfRule>
  </conditionalFormatting>
  <conditionalFormatting sqref="Q23 Q25">
    <cfRule type="cellIs" dxfId="38" priority="86" operator="equal">
      <formula>配置!$D$4</formula>
    </cfRule>
    <cfRule type="cellIs" dxfId="37" priority="87" operator="equal">
      <formula>配置!$D$2</formula>
    </cfRule>
  </conditionalFormatting>
  <conditionalFormatting sqref="Q26 Q28">
    <cfRule type="cellIs" dxfId="38" priority="81" operator="equal">
      <formula>配置!$D$4</formula>
    </cfRule>
    <cfRule type="cellIs" dxfId="37" priority="82" operator="equal">
      <formula>配置!$D$2</formula>
    </cfRule>
  </conditionalFormatting>
  <conditionalFormatting sqref="Q29 Q31">
    <cfRule type="cellIs" dxfId="38" priority="76" operator="equal">
      <formula>配置!$D$4</formula>
    </cfRule>
    <cfRule type="cellIs" dxfId="37" priority="77" operator="equal">
      <formula>配置!$D$2</formula>
    </cfRule>
  </conditionalFormatting>
  <conditionalFormatting sqref="Q32 Q34">
    <cfRule type="cellIs" dxfId="38" priority="71" operator="equal">
      <formula>配置!$D$4</formula>
    </cfRule>
    <cfRule type="cellIs" dxfId="37" priority="72" operator="equal">
      <formula>配置!$D$2</formula>
    </cfRule>
  </conditionalFormatting>
  <conditionalFormatting sqref="Q35 Q37">
    <cfRule type="cellIs" dxfId="38" priority="66" operator="equal">
      <formula>配置!$D$4</formula>
    </cfRule>
    <cfRule type="cellIs" dxfId="37" priority="67" operator="equal">
      <formula>配置!$D$2</formula>
    </cfRule>
  </conditionalFormatting>
  <dataValidations count="1">
    <dataValidation type="list" allowBlank="1" showInputMessage="1" showErrorMessage="1" sqref="Q2:Q13 Q14:Q16 Q17:Q19 Q20:Q22 Q23:Q25 Q26:Q28 Q29:Q31 Q32:Q34 Q35:Q37">
      <formula1>配置!$D$2:$D$4</formula1>
    </dataValidation>
  </dataValidations>
  <pageMargins left="0.75" right="0.75" top="1" bottom="1" header="0.5" footer="0.5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cce56b5-9992-4e21-b1fc-9e5e7bc8a5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F41:F43</xm:sqref>
        </x14:conditionalFormatting>
        <x14:conditionalFormatting xmlns:xm="http://schemas.microsoft.com/office/excel/2006/main">
          <x14:cfRule type="dataBar" id="{9a18978d-98d6-4843-8f5c-172c955d4f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F44:F46</xm:sqref>
        </x14:conditionalFormatting>
        <x14:conditionalFormatting xmlns:xm="http://schemas.microsoft.com/office/excel/2006/main">
          <x14:cfRule type="dataBar" id="{99641a70-2163-4f81-bb7b-91fa01b939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F47:F49</xm:sqref>
        </x14:conditionalFormatting>
        <x14:conditionalFormatting xmlns:xm="http://schemas.microsoft.com/office/excel/2006/main">
          <x14:cfRule type="dataBar" id="{08b1f602-353a-4909-a8d4-862b5c6c84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F50:F52</xm:sqref>
        </x14:conditionalFormatting>
        <x14:conditionalFormatting xmlns:xm="http://schemas.microsoft.com/office/excel/2006/main">
          <x14:cfRule type="dataBar" id="{aca8b989-7dc6-4535-a20f-f99462cea0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F53:F55</xm:sqref>
        </x14:conditionalFormatting>
        <x14:conditionalFormatting xmlns:xm="http://schemas.microsoft.com/office/excel/2006/main">
          <x14:cfRule type="dataBar" id="{fb23e776-4e65-4a24-9128-985b57387c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F56:F58</xm:sqref>
        </x14:conditionalFormatting>
        <x14:conditionalFormatting xmlns:xm="http://schemas.microsoft.com/office/excel/2006/main">
          <x14:cfRule type="dataBar" id="{b3e27213-f0ed-4ac3-865e-3c92d44b63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G41:G43</xm:sqref>
        </x14:conditionalFormatting>
        <x14:conditionalFormatting xmlns:xm="http://schemas.microsoft.com/office/excel/2006/main">
          <x14:cfRule type="dataBar" id="{a89d3acc-f168-4cdb-960b-bb5ab44409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G44:G46</xm:sqref>
        </x14:conditionalFormatting>
        <x14:conditionalFormatting xmlns:xm="http://schemas.microsoft.com/office/excel/2006/main">
          <x14:cfRule type="dataBar" id="{188f4753-ed65-4ec9-a88e-b610fda6e7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G47:G49</xm:sqref>
        </x14:conditionalFormatting>
        <x14:conditionalFormatting xmlns:xm="http://schemas.microsoft.com/office/excel/2006/main">
          <x14:cfRule type="dataBar" id="{23328e37-228b-4c99-956a-2547938111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G50:G52</xm:sqref>
        </x14:conditionalFormatting>
        <x14:conditionalFormatting xmlns:xm="http://schemas.microsoft.com/office/excel/2006/main">
          <x14:cfRule type="dataBar" id="{1338160f-f2af-4b37-b83f-4816374487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G53:G55</xm:sqref>
        </x14:conditionalFormatting>
        <x14:conditionalFormatting xmlns:xm="http://schemas.microsoft.com/office/excel/2006/main">
          <x14:cfRule type="dataBar" id="{e263c3d7-f267-45a4-9cf1-805d23296a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G56:G58</xm:sqref>
        </x14:conditionalFormatting>
        <x14:conditionalFormatting xmlns:xm="http://schemas.microsoft.com/office/excel/2006/main">
          <x14:cfRule type="dataBar" id="{335d2918-6201-4ae1-9673-5616d4f269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N41:N46</xm:sqref>
        </x14:conditionalFormatting>
        <x14:conditionalFormatting xmlns:xm="http://schemas.microsoft.com/office/excel/2006/main">
          <x14:cfRule type="dataBar" id="{9b7627c7-63e5-43e1-85de-a9009c165d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N47:N49</xm:sqref>
        </x14:conditionalFormatting>
        <x14:conditionalFormatting xmlns:xm="http://schemas.microsoft.com/office/excel/2006/main">
          <x14:cfRule type="dataBar" id="{dc58a8ce-9b33-4bb7-a704-269a31e4ed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N50:N52</xm:sqref>
        </x14:conditionalFormatting>
        <x14:conditionalFormatting xmlns:xm="http://schemas.microsoft.com/office/excel/2006/main">
          <x14:cfRule type="dataBar" id="{72c6b8d6-77ed-4473-95c4-e50256d408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N53:N55</xm:sqref>
        </x14:conditionalFormatting>
        <x14:conditionalFormatting xmlns:xm="http://schemas.microsoft.com/office/excel/2006/main">
          <x14:cfRule type="dataBar" id="{1c2652b0-01c3-47fa-9445-157901fd6c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N56:N58</xm:sqref>
        </x14:conditionalFormatting>
        <x14:conditionalFormatting xmlns:xm="http://schemas.microsoft.com/office/excel/2006/main">
          <x14:cfRule type="dataBar" id="{0e23e6b1-55e5-49cf-8a5d-51012cb1e7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O2:O37</xm:sqref>
        </x14:conditionalFormatting>
        <x14:conditionalFormatting xmlns:xm="http://schemas.microsoft.com/office/excel/2006/main">
          <x14:cfRule type="dataBar" id="{1e15fcda-e09e-4199-b159-35684b4955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P2:P37</xm:sqref>
        </x14:conditionalFormatting>
      </x14:conditionalFormatting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09"/>
  <sheetViews>
    <sheetView topLeftCell="A37" workbookViewId="0">
      <selection activeCell="D62" sqref="D62:E64"/>
    </sheetView>
  </sheetViews>
  <sheetFormatPr defaultColWidth="9" defaultRowHeight="13.5"/>
  <cols>
    <col min="7" max="7" width="10.625" customWidth="1"/>
    <col min="9" max="9" width="9.375"/>
    <col min="14" max="14" width="9.375"/>
    <col min="16" max="16" width="10.375" customWidth="1"/>
  </cols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312" customFormat="1" ht="14.25" customHeight="1" spans="1:25">
      <c r="A2" s="91">
        <v>7050</v>
      </c>
      <c r="B2" s="91">
        <f>VLOOKUP(表1_86121822242672112110116[[#This Row],[区服]],$P$47:$Q$60,2,FALSE)</f>
        <v>45</v>
      </c>
      <c r="C2" s="92" t="s">
        <v>282</v>
      </c>
      <c r="D2" s="313" t="str">
        <f>表1_86121822242672112110116[[#This Row],[目标国家]]</f>
        <v>蜀</v>
      </c>
      <c r="E2" s="94">
        <f>(VLOOKUP(表1_86121822242672112110116[[#This Row],[目标区服]],$R$47:$S$52,2,FALSE)-表1_86121822242672112110116[[#This Row],[开服天数]])*配置!$B$1</f>
        <v>1000</v>
      </c>
      <c r="F2" s="94">
        <f>表1_86121822242672112110116[[#This Row],[补偿Coin]]*(表1_86121822242672112110116[[#This Row],[活跃高战玩家数]]+表1_86121822242672112110116[[#This Row],[活跃中坚玩家数]])</f>
        <v>19000</v>
      </c>
      <c r="G2" s="94">
        <f>(VLOOKUP(表1_86121822242672112110116[[#This Row],[目标区服]],$R$47:$S$50,2,FALSE)-表1_86121822242672112110116[[#This Row],[开服天数]])*配置!$B$2</f>
        <v>10</v>
      </c>
      <c r="H2" s="93" t="s">
        <v>25</v>
      </c>
      <c r="I2" s="93">
        <f>IF(表1_86121822242672112110116[[#This Row],[原国家]]="魏",0,IF(表1_86121822242672112110116[[#This Row],[原国家]]="蜀",1,2))</f>
        <v>0</v>
      </c>
      <c r="J2" s="325">
        <v>3</v>
      </c>
      <c r="K2" s="325">
        <v>80</v>
      </c>
      <c r="L2" s="325">
        <v>0</v>
      </c>
      <c r="M2" s="325">
        <v>19</v>
      </c>
      <c r="N2" s="325">
        <v>43220</v>
      </c>
      <c r="O2" s="326">
        <v>1688690</v>
      </c>
      <c r="P2" s="326">
        <v>13093872</v>
      </c>
      <c r="Q2" s="137" t="s">
        <v>26</v>
      </c>
      <c r="R2" s="93">
        <f>IF(表1_86121822242672112110116[[#This Row],[目标国家]]="魏",0,IF(表1_86121822242672112110116[[#This Row],[目标国家]]="蜀",1,2))</f>
        <v>1</v>
      </c>
      <c r="S2" s="325">
        <v>5360</v>
      </c>
      <c r="T2" s="325">
        <v>0</v>
      </c>
      <c r="U2" s="325">
        <v>285989</v>
      </c>
      <c r="V2" s="325">
        <v>4617</v>
      </c>
      <c r="W2" s="325">
        <v>460557</v>
      </c>
      <c r="X2" s="140" t="str">
        <f>"{"&amp;"'coin':"&amp;表1_86121822242672112110116[[#This Row],[补偿Coin]]&amp;",'"&amp;配置!$A$2&amp;"':"&amp;表1_86121822242672112110116[[#This Row],[补偿辎重]]&amp;"},"</f>
        <v>{'coin':1000,'item036':10},</v>
      </c>
      <c r="Y2" s="138" t="str">
        <f>"      '"&amp;表1_86121822242672112110116[[#This Row],[区服]]&amp;"':{"</f>
        <v>      '7050':{</v>
      </c>
    </row>
    <row r="3" s="312" customFormat="1" ht="14.25" customHeight="1" spans="1:25">
      <c r="A3" s="91">
        <v>7050</v>
      </c>
      <c r="B3" s="91">
        <f>VLOOKUP(表1_86121822242672112110116[[#This Row],[区服]],$P$47:$Q$60,2,FALSE)</f>
        <v>45</v>
      </c>
      <c r="C3" s="92" t="s">
        <v>282</v>
      </c>
      <c r="D3" s="93" t="str">
        <f>表1_86121822242672112110116[[#This Row],[目标国家]]</f>
        <v>蜀</v>
      </c>
      <c r="E3" s="95">
        <f>(VLOOKUP(表1_86121822242672112110116[[#This Row],[目标区服]],$R$47:$S$50,2,FALSE)-表1_86121822242672112110116[[#This Row],[开服天数]])*配置!$B$1</f>
        <v>1000</v>
      </c>
      <c r="F3" s="95">
        <f>表1_86121822242672112110116[[#This Row],[补偿Coin]]*(表1_86121822242672112110116[[#This Row],[活跃高战玩家数]]+表1_86121822242672112110116[[#This Row],[活跃中坚玩家数]])</f>
        <v>46000</v>
      </c>
      <c r="G3" s="95">
        <f>(VLOOKUP(表1_86121822242672112110116[[#This Row],[目标区服]],$R$47:$S$50,2,FALSE)-表1_86121822242672112110116[[#This Row],[开服天数]])*配置!$B$2</f>
        <v>10</v>
      </c>
      <c r="H3" s="93" t="s">
        <v>26</v>
      </c>
      <c r="I3" s="93">
        <f>IF(表1_86121822242672112110116[[#This Row],[原国家]]="魏",0,IF(表1_86121822242672112110116[[#This Row],[原国家]]="蜀",1,2))</f>
        <v>1</v>
      </c>
      <c r="J3" s="325">
        <v>4</v>
      </c>
      <c r="K3" s="325">
        <v>232</v>
      </c>
      <c r="L3" s="325">
        <v>7</v>
      </c>
      <c r="M3" s="325">
        <v>39</v>
      </c>
      <c r="N3" s="325">
        <v>187212</v>
      </c>
      <c r="O3" s="326">
        <v>2235545</v>
      </c>
      <c r="P3" s="326">
        <v>41364850</v>
      </c>
      <c r="Q3" s="137" t="s">
        <v>26</v>
      </c>
      <c r="R3" s="93">
        <f>IF(表1_86121822242672112110116[[#This Row],[目标国家]]="魏",0,IF(表1_86121822242672112110116[[#This Row],[目标国家]]="蜀",1,2))</f>
        <v>1</v>
      </c>
      <c r="S3" s="325">
        <v>50384</v>
      </c>
      <c r="T3" s="325">
        <v>0</v>
      </c>
      <c r="U3" s="325">
        <v>536090</v>
      </c>
      <c r="V3" s="325">
        <v>11807</v>
      </c>
      <c r="W3" s="336">
        <v>641271</v>
      </c>
      <c r="X3" s="140" t="str">
        <f>"{"&amp;"'coin':"&amp;表1_86121822242672112110116[[#This Row],[补偿Coin]]&amp;",'"&amp;配置!$A$2&amp;"':"&amp;表1_86121822242672112110116[[#This Row],[补偿辎重]]&amp;"},"</f>
        <v>{'coin':1000,'item036':10},</v>
      </c>
      <c r="Y3" s="138" t="str">
        <f>"            'to_zone':'"&amp;表1_86121822242672112110116[[#This Row],[目标区服]]&amp;"',
            'reward':"&amp;表1_86121822242672112110116[[#This Row],[辅助导出]]&amp;"
            'country':["&amp;R2&amp;","&amp;R3&amp;","&amp;R4&amp;"],"</f>
        <v>            'to_zone':'h1_722',
            'reward':{'coin':1000,'item036':10},
            'country':[1,1,0],</v>
      </c>
    </row>
    <row r="4" s="312" customFormat="1" ht="14.25" customHeight="1" spans="1:25">
      <c r="A4" s="91">
        <v>7050</v>
      </c>
      <c r="B4" s="91">
        <f>VLOOKUP(表1_86121822242672112110116[[#This Row],[区服]],$P$47:$Q$60,2,FALSE)</f>
        <v>45</v>
      </c>
      <c r="C4" s="92" t="s">
        <v>282</v>
      </c>
      <c r="D4" s="93" t="str">
        <f>表1_86121822242672112110116[[#This Row],[目标国家]]</f>
        <v>魏</v>
      </c>
      <c r="E4" s="95">
        <f>(VLOOKUP(表1_86121822242672112110116[[#This Row],[目标区服]],$R$47:$S$50,2,FALSE)-表1_86121822242672112110116[[#This Row],[开服天数]])*配置!$B$1</f>
        <v>1000</v>
      </c>
      <c r="F4" s="95">
        <f>表1_86121822242672112110116[[#This Row],[补偿Coin]]*(表1_86121822242672112110116[[#This Row],[活跃高战玩家数]]+表1_86121822242672112110116[[#This Row],[活跃中坚玩家数]])</f>
        <v>26000</v>
      </c>
      <c r="G4" s="95">
        <f>(VLOOKUP(表1_86121822242672112110116[[#This Row],[目标区服]],$R$47:$S$50,2,FALSE)-表1_86121822242672112110116[[#This Row],[开服天数]])*配置!$B$2</f>
        <v>10</v>
      </c>
      <c r="H4" s="93" t="s">
        <v>27</v>
      </c>
      <c r="I4" s="93">
        <f>IF(表1_86121822242672112110116[[#This Row],[原国家]]="魏",0,IF(表1_86121822242672112110116[[#This Row],[原国家]]="蜀",1,2))</f>
        <v>2</v>
      </c>
      <c r="J4" s="325">
        <v>2</v>
      </c>
      <c r="K4" s="325">
        <v>83</v>
      </c>
      <c r="L4" s="325">
        <v>2</v>
      </c>
      <c r="M4" s="325">
        <v>24</v>
      </c>
      <c r="N4" s="325">
        <v>94271</v>
      </c>
      <c r="O4" s="326">
        <v>2152660</v>
      </c>
      <c r="P4" s="326">
        <v>22196092</v>
      </c>
      <c r="Q4" s="137" t="s">
        <v>25</v>
      </c>
      <c r="R4" s="93">
        <f>IF(表1_86121822242672112110116[[#This Row],[目标国家]]="魏",0,IF(表1_86121822242672112110116[[#This Row],[目标国家]]="蜀",1,2))</f>
        <v>0</v>
      </c>
      <c r="S4" s="325">
        <v>30272</v>
      </c>
      <c r="T4" s="325">
        <v>0</v>
      </c>
      <c r="U4" s="325">
        <v>229541</v>
      </c>
      <c r="V4" s="325">
        <v>6896</v>
      </c>
      <c r="W4" s="325">
        <v>644595</v>
      </c>
      <c r="X4" s="140" t="str">
        <f>"{"&amp;"'coin':"&amp;表1_86121822242672112110116[[#This Row],[补偿Coin]]&amp;",'"&amp;配置!$A$2&amp;"':"&amp;表1_86121822242672112110116[[#This Row],[补偿辎重]]&amp;"},"</f>
        <v>{'coin':1000,'item036':10},</v>
      </c>
      <c r="Y4" s="138" t="str">
        <f>"      },"</f>
        <v>      },</v>
      </c>
    </row>
    <row r="5" s="312" customFormat="1" ht="14.25" customHeight="1" spans="1:25">
      <c r="A5" s="314">
        <v>7051</v>
      </c>
      <c r="B5" s="91">
        <f>VLOOKUP(表1_86121822242672112110116[[#This Row],[区服]],$P$47:$Q$60,2,FALSE)</f>
        <v>44</v>
      </c>
      <c r="C5" s="92" t="s">
        <v>282</v>
      </c>
      <c r="D5" s="93" t="str">
        <f>表1_86121822242672112110116[[#This Row],[目标国家]]</f>
        <v>魏</v>
      </c>
      <c r="E5" s="95">
        <f>(VLOOKUP(表1_86121822242672112110116[[#This Row],[目标区服]],$R$47:$S$50,2,FALSE)-表1_86121822242672112110116[[#This Row],[开服天数]])*配置!$B$1</f>
        <v>1500</v>
      </c>
      <c r="F5" s="95">
        <f>表1_86121822242672112110116[[#This Row],[补偿Coin]]*(表1_86121822242672112110116[[#This Row],[活跃高战玩家数]]+表1_86121822242672112110116[[#This Row],[活跃中坚玩家数]])</f>
        <v>27000</v>
      </c>
      <c r="G5" s="95">
        <f>(VLOOKUP(表1_86121822242672112110116[[#This Row],[目标区服]],$R$47:$S$50,2,FALSE)-表1_86121822242672112110116[[#This Row],[开服天数]])*配置!$B$2</f>
        <v>15</v>
      </c>
      <c r="H5" s="93" t="s">
        <v>25</v>
      </c>
      <c r="I5" s="93">
        <f>IF(表1_86121822242672112110116[[#This Row],[原国家]]="魏",0,IF(表1_86121822242672112110116[[#This Row],[原国家]]="蜀",1,2))</f>
        <v>0</v>
      </c>
      <c r="J5" s="325">
        <v>2</v>
      </c>
      <c r="K5" s="325">
        <v>95</v>
      </c>
      <c r="L5" s="325">
        <v>3</v>
      </c>
      <c r="M5" s="325">
        <v>15</v>
      </c>
      <c r="N5" s="325">
        <v>76218</v>
      </c>
      <c r="O5" s="326">
        <v>3100646</v>
      </c>
      <c r="P5" s="326">
        <v>18320730</v>
      </c>
      <c r="Q5" s="137" t="s">
        <v>25</v>
      </c>
      <c r="R5" s="93">
        <f>IF(表1_86121822242672112110116[[#This Row],[目标国家]]="魏",0,IF(表1_86121822242672112110116[[#This Row],[目标国家]]="蜀",1,2))</f>
        <v>0</v>
      </c>
      <c r="S5" s="325">
        <v>96748</v>
      </c>
      <c r="T5" s="325">
        <v>0</v>
      </c>
      <c r="U5" s="325">
        <v>313391</v>
      </c>
      <c r="V5" s="325">
        <v>9522</v>
      </c>
      <c r="W5" s="336">
        <v>1080786</v>
      </c>
      <c r="X5" s="140" t="str">
        <f>"{"&amp;"'coin':"&amp;表1_86121822242672112110116[[#This Row],[补偿Coin]]&amp;",'"&amp;配置!$A$2&amp;"':"&amp;表1_86121822242672112110116[[#This Row],[补偿辎重]]&amp;"},"</f>
        <v>{'coin':1500,'item036':15},</v>
      </c>
      <c r="Y5" s="138" t="str">
        <f>"      '"&amp;表1_86121822242672112110116[[#This Row],[区服]]&amp;"':{"</f>
        <v>      '7051':{</v>
      </c>
    </row>
    <row r="6" s="312" customFormat="1" ht="14.25" customHeight="1" spans="1:25">
      <c r="A6" s="314">
        <v>7051</v>
      </c>
      <c r="B6" s="91">
        <f>VLOOKUP(表1_86121822242672112110116[[#This Row],[区服]],$P$47:$Q$60,2,FALSE)</f>
        <v>44</v>
      </c>
      <c r="C6" s="92" t="s">
        <v>282</v>
      </c>
      <c r="D6" s="93" t="str">
        <f>表1_86121822242672112110116[[#This Row],[目标国家]]</f>
        <v>吴</v>
      </c>
      <c r="E6" s="95">
        <f>(VLOOKUP(表1_86121822242672112110116[[#This Row],[目标区服]],$R$47:$S$50,2,FALSE)-表1_86121822242672112110116[[#This Row],[开服天数]])*配置!$B$1</f>
        <v>1500</v>
      </c>
      <c r="F6" s="95">
        <f>表1_86121822242672112110116[[#This Row],[补偿Coin]]*(表1_86121822242672112110116[[#This Row],[活跃高战玩家数]]+表1_86121822242672112110116[[#This Row],[活跃中坚玩家数]])</f>
        <v>37500</v>
      </c>
      <c r="G6" s="95">
        <f>(VLOOKUP(表1_86121822242672112110116[[#This Row],[目标区服]],$R$47:$S$50,2,FALSE)-表1_86121822242672112110116[[#This Row],[开服天数]])*配置!$B$2</f>
        <v>15</v>
      </c>
      <c r="H6" s="93" t="s">
        <v>26</v>
      </c>
      <c r="I6" s="93">
        <f>IF(表1_86121822242672112110116[[#This Row],[原国家]]="魏",0,IF(表1_86121822242672112110116[[#This Row],[原国家]]="蜀",1,2))</f>
        <v>1</v>
      </c>
      <c r="J6" s="325">
        <v>0</v>
      </c>
      <c r="K6" s="325">
        <v>70</v>
      </c>
      <c r="L6" s="325">
        <v>0</v>
      </c>
      <c r="M6" s="325">
        <v>25</v>
      </c>
      <c r="N6" s="325">
        <v>77468</v>
      </c>
      <c r="O6" s="326">
        <v>1401947</v>
      </c>
      <c r="P6" s="326">
        <v>17741818</v>
      </c>
      <c r="Q6" s="137" t="s">
        <v>27</v>
      </c>
      <c r="R6" s="93">
        <f>IF(表1_86121822242672112110116[[#This Row],[目标国家]]="魏",0,IF(表1_86121822242672112110116[[#This Row],[目标国家]]="蜀",1,2))</f>
        <v>2</v>
      </c>
      <c r="S6" s="325">
        <v>8522</v>
      </c>
      <c r="T6" s="325">
        <v>0</v>
      </c>
      <c r="U6" s="325">
        <v>58801</v>
      </c>
      <c r="V6" s="325">
        <v>4548</v>
      </c>
      <c r="W6" s="325">
        <v>414304</v>
      </c>
      <c r="X6" s="140" t="str">
        <f>"{"&amp;"'coin':"&amp;表1_86121822242672112110116[[#This Row],[补偿Coin]]&amp;",'"&amp;配置!$A$2&amp;"':"&amp;表1_86121822242672112110116[[#This Row],[补偿辎重]]&amp;"},"</f>
        <v>{'coin':1500,'item036':15},</v>
      </c>
      <c r="Y6" s="138" t="str">
        <f>"            'to_zone':'"&amp;表1_86121822242672112110116[[#This Row],[目标区服]]&amp;"',
            'reward':"&amp;表1_86121822242672112110116[[#This Row],[辅助导出]]&amp;"
            'country':["&amp;R5&amp;","&amp;R6&amp;","&amp;R7&amp;"],"</f>
        <v>            'to_zone':'h1_722',
            'reward':{'coin':1500,'item036':15},
            'country':[0,2,2],</v>
      </c>
    </row>
    <row r="7" s="312" customFormat="1" ht="14.25" customHeight="1" spans="1:25">
      <c r="A7" s="314">
        <v>7051</v>
      </c>
      <c r="B7" s="91">
        <f>VLOOKUP(表1_86121822242672112110116[[#This Row],[区服]],$P$47:$Q$60,2,FALSE)</f>
        <v>44</v>
      </c>
      <c r="C7" s="92" t="s">
        <v>282</v>
      </c>
      <c r="D7" s="93" t="str">
        <f>表1_86121822242672112110116[[#This Row],[目标国家]]</f>
        <v>吴</v>
      </c>
      <c r="E7" s="95">
        <f>(VLOOKUP(表1_86121822242672112110116[[#This Row],[目标区服]],$R$47:$S$50,2,FALSE)-表1_86121822242672112110116[[#This Row],[开服天数]])*配置!$B$1</f>
        <v>1500</v>
      </c>
      <c r="F7" s="95">
        <f>表1_86121822242672112110116[[#This Row],[补偿Coin]]*(表1_86121822242672112110116[[#This Row],[活跃高战玩家数]]+表1_86121822242672112110116[[#This Row],[活跃中坚玩家数]])</f>
        <v>42000</v>
      </c>
      <c r="G7" s="95">
        <f>(VLOOKUP(表1_86121822242672112110116[[#This Row],[目标区服]],$R$47:$S$50,2,FALSE)-表1_86121822242672112110116[[#This Row],[开服天数]])*配置!$B$2</f>
        <v>15</v>
      </c>
      <c r="H7" s="93" t="s">
        <v>27</v>
      </c>
      <c r="I7" s="93">
        <f>IF(表1_86121822242672112110116[[#This Row],[原国家]]="魏",0,IF(表1_86121822242672112110116[[#This Row],[原国家]]="蜀",1,2))</f>
        <v>2</v>
      </c>
      <c r="J7" s="325">
        <v>7</v>
      </c>
      <c r="K7" s="325">
        <v>230</v>
      </c>
      <c r="L7" s="325">
        <v>5</v>
      </c>
      <c r="M7" s="325">
        <v>23</v>
      </c>
      <c r="N7" s="325">
        <v>127884</v>
      </c>
      <c r="O7" s="326">
        <v>3351597</v>
      </c>
      <c r="P7" s="326">
        <v>28195555</v>
      </c>
      <c r="Q7" s="137" t="s">
        <v>27</v>
      </c>
      <c r="R7" s="93">
        <f>IF(表1_86121822242672112110116[[#This Row],[目标国家]]="魏",0,IF(表1_86121822242672112110116[[#This Row],[目标国家]]="蜀",1,2))</f>
        <v>2</v>
      </c>
      <c r="S7" s="325">
        <v>130320</v>
      </c>
      <c r="T7" s="325">
        <v>0</v>
      </c>
      <c r="U7" s="325">
        <v>405605</v>
      </c>
      <c r="V7" s="325">
        <v>13922</v>
      </c>
      <c r="W7" s="336">
        <v>1102656</v>
      </c>
      <c r="X7" s="140" t="str">
        <f>"{"&amp;"'coin':"&amp;表1_86121822242672112110116[[#This Row],[补偿Coin]]&amp;",'"&amp;配置!$A$2&amp;"':"&amp;表1_86121822242672112110116[[#This Row],[补偿辎重]]&amp;"},"</f>
        <v>{'coin':1500,'item036':15},</v>
      </c>
      <c r="Y7" s="138" t="str">
        <f>"      },"</f>
        <v>      },</v>
      </c>
    </row>
    <row r="8" s="312" customFormat="1" ht="14.25" customHeight="1" spans="1:25">
      <c r="A8" s="257">
        <v>7052</v>
      </c>
      <c r="B8" s="150">
        <f>VLOOKUP(表1_86121822242672112110116[[#This Row],[区服]],$P$47:$Q$60,2,FALSE)</f>
        <v>43</v>
      </c>
      <c r="C8" s="151" t="s">
        <v>283</v>
      </c>
      <c r="D8" s="152" t="str">
        <f>表1_86121822242672112110116[[#This Row],[目标国家]]</f>
        <v>魏</v>
      </c>
      <c r="E8" s="154">
        <f>(VLOOKUP(表1_86121822242672112110116[[#This Row],[目标区服]],$R$47:$S$52,2,FALSE)-表1_86121822242672112110116[[#This Row],[开服天数]])*配置!$B$1</f>
        <v>1000</v>
      </c>
      <c r="F8" s="154">
        <f>表1_86121822242672112110116[[#This Row],[补偿Coin]]*(表1_86121822242672112110116[[#This Row],[活跃高战玩家数]]+表1_86121822242672112110116[[#This Row],[活跃中坚玩家数]])</f>
        <v>28000</v>
      </c>
      <c r="G8" s="258">
        <f>(VLOOKUP(表1_86121822242672112110116[[#This Row],[目标区服]],$R$47:$S$50,2,FALSE)-表1_86121822242672112110116[[#This Row],[开服天数]])*配置!$B$2</f>
        <v>10</v>
      </c>
      <c r="H8" s="152" t="s">
        <v>25</v>
      </c>
      <c r="I8" s="267">
        <f>IF(表1_86121822242672112110116[[#This Row],[原国家]]="魏",0,IF(表1_86121822242672112110116[[#This Row],[原国家]]="蜀",1,2))</f>
        <v>0</v>
      </c>
      <c r="J8" s="327">
        <v>2</v>
      </c>
      <c r="K8" s="327">
        <v>89</v>
      </c>
      <c r="L8" s="327">
        <v>4</v>
      </c>
      <c r="M8" s="327">
        <v>24</v>
      </c>
      <c r="N8" s="327">
        <v>104818</v>
      </c>
      <c r="O8" s="328">
        <v>2496362</v>
      </c>
      <c r="P8" s="328">
        <v>22028656</v>
      </c>
      <c r="Q8" s="193" t="s">
        <v>25</v>
      </c>
      <c r="R8" s="152">
        <f>IF(表1_86121822242672112110116[[#This Row],[目标国家]]="魏",0,IF(表1_86121822242672112110116[[#This Row],[目标国家]]="蜀",1,2))</f>
        <v>0</v>
      </c>
      <c r="S8" s="327">
        <v>56786</v>
      </c>
      <c r="T8" s="327">
        <v>0</v>
      </c>
      <c r="U8" s="327">
        <v>442634</v>
      </c>
      <c r="V8" s="327">
        <v>8238</v>
      </c>
      <c r="W8" s="337">
        <v>760698</v>
      </c>
      <c r="X8" s="277" t="str">
        <f>"{"&amp;"'coin':"&amp;表1_86121822242672112110116[[#This Row],[补偿Coin]]&amp;",'"&amp;配置!$A$2&amp;"':"&amp;表1_86121822242672112110116[[#This Row],[补偿辎重]]&amp;"},"</f>
        <v>{'coin':1000,'item036':10},</v>
      </c>
      <c r="Y8" s="277" t="str">
        <f>"      '"&amp;表1_86121822242672112110116[[#This Row],[区服]]&amp;"':{"</f>
        <v>      '7052':{</v>
      </c>
    </row>
    <row r="9" s="312" customFormat="1" ht="14.25" customHeight="1" spans="1:25">
      <c r="A9" s="257">
        <v>7052</v>
      </c>
      <c r="B9" s="150">
        <f>VLOOKUP(表1_86121822242672112110116[[#This Row],[区服]],$P$47:$Q$60,2,FALSE)</f>
        <v>43</v>
      </c>
      <c r="C9" s="151" t="s">
        <v>283</v>
      </c>
      <c r="D9" s="152" t="str">
        <f>表1_86121822242672112110116[[#This Row],[目标国家]]</f>
        <v>吴</v>
      </c>
      <c r="E9" s="154">
        <f>(VLOOKUP(表1_86121822242672112110116[[#This Row],[目标区服]],$R$47:$S$50,2,FALSE)-表1_86121822242672112110116[[#This Row],[开服天数]])*配置!$B$1</f>
        <v>1000</v>
      </c>
      <c r="F9" s="154">
        <f>表1_86121822242672112110116[[#This Row],[补偿Coin]]*(表1_86121822242672112110116[[#This Row],[活跃高战玩家数]]+表1_86121822242672112110116[[#This Row],[活跃中坚玩家数]])</f>
        <v>30000</v>
      </c>
      <c r="G9" s="258">
        <f>(VLOOKUP(表1_86121822242672112110116[[#This Row],[目标区服]],$R$47:$S$50,2,FALSE)-表1_86121822242672112110116[[#This Row],[开服天数]])*配置!$B$2</f>
        <v>10</v>
      </c>
      <c r="H9" s="152" t="s">
        <v>26</v>
      </c>
      <c r="I9" s="267">
        <f>IF(表1_86121822242672112110116[[#This Row],[原国家]]="魏",0,IF(表1_86121822242672112110116[[#This Row],[原国家]]="蜀",1,2))</f>
        <v>1</v>
      </c>
      <c r="J9" s="327">
        <v>4</v>
      </c>
      <c r="K9" s="327">
        <v>196</v>
      </c>
      <c r="L9" s="327">
        <v>4</v>
      </c>
      <c r="M9" s="327">
        <v>26</v>
      </c>
      <c r="N9" s="327">
        <v>136751</v>
      </c>
      <c r="O9" s="328">
        <v>2461433</v>
      </c>
      <c r="P9" s="328">
        <v>25429071</v>
      </c>
      <c r="Q9" s="193" t="s">
        <v>27</v>
      </c>
      <c r="R9" s="152">
        <f>IF(表1_86121822242672112110116[[#This Row],[目标国家]]="魏",0,IF(表1_86121822242672112110116[[#This Row],[目标国家]]="蜀",1,2))</f>
        <v>2</v>
      </c>
      <c r="S9" s="327">
        <v>23010</v>
      </c>
      <c r="T9" s="327">
        <v>0</v>
      </c>
      <c r="U9" s="327">
        <v>259422</v>
      </c>
      <c r="V9" s="327">
        <v>8868</v>
      </c>
      <c r="W9" s="337">
        <v>781159</v>
      </c>
      <c r="X9" s="277" t="str">
        <f>"{"&amp;"'coin':"&amp;表1_86121822242672112110116[[#This Row],[补偿Coin]]&amp;",'"&amp;配置!$A$2&amp;"':"&amp;表1_86121822242672112110116[[#This Row],[补偿辎重]]&amp;"},"</f>
        <v>{'coin':1000,'item036':10},</v>
      </c>
      <c r="Y9" s="277" t="str">
        <f>"            'to_zone':'"&amp;表1_86121822242672112110116[[#This Row],[目标区服]]&amp;"',
            'reward':"&amp;表1_86121822242672112110116[[#This Row],[辅助导出]]&amp;"
            'country':["&amp;R8&amp;","&amp;R9&amp;","&amp;R10&amp;"],"</f>
        <v>            'to_zone':'h1_723',
            'reward':{'coin':1000,'item036':10},
            'country':[0,2,2],</v>
      </c>
    </row>
    <row r="10" s="312" customFormat="1" ht="14.25" customHeight="1" spans="1:25">
      <c r="A10" s="257">
        <v>7052</v>
      </c>
      <c r="B10" s="150">
        <f>VLOOKUP(表1_86121822242672112110116[[#This Row],[区服]],$P$47:$Q$60,2,FALSE)</f>
        <v>43</v>
      </c>
      <c r="C10" s="151" t="s">
        <v>283</v>
      </c>
      <c r="D10" s="152" t="str">
        <f>表1_86121822242672112110116[[#This Row],[目标国家]]</f>
        <v>吴</v>
      </c>
      <c r="E10" s="154">
        <f>(VLOOKUP(表1_86121822242672112110116[[#This Row],[目标区服]],$R$47:$S$50,2,FALSE)-表1_86121822242672112110116[[#This Row],[开服天数]])*配置!$B$1</f>
        <v>1000</v>
      </c>
      <c r="F10" s="154">
        <f>表1_86121822242672112110116[[#This Row],[补偿Coin]]*(表1_86121822242672112110116[[#This Row],[活跃高战玩家数]]+表1_86121822242672112110116[[#This Row],[活跃中坚玩家数]])</f>
        <v>27000</v>
      </c>
      <c r="G10" s="258">
        <f>(VLOOKUP(表1_86121822242672112110116[[#This Row],[目标区服]],$R$47:$S$50,2,FALSE)-表1_86121822242672112110116[[#This Row],[开服天数]])*配置!$B$2</f>
        <v>10</v>
      </c>
      <c r="H10" s="152" t="s">
        <v>27</v>
      </c>
      <c r="I10" s="267">
        <f>IF(表1_86121822242672112110116[[#This Row],[原国家]]="魏",0,IF(表1_86121822242672112110116[[#This Row],[原国家]]="蜀",1,2))</f>
        <v>2</v>
      </c>
      <c r="J10" s="327">
        <v>3</v>
      </c>
      <c r="K10" s="327">
        <v>110</v>
      </c>
      <c r="L10" s="327">
        <v>2</v>
      </c>
      <c r="M10" s="327">
        <v>25</v>
      </c>
      <c r="N10" s="327">
        <v>81006</v>
      </c>
      <c r="O10" s="328">
        <v>2002961</v>
      </c>
      <c r="P10" s="328">
        <v>18475676</v>
      </c>
      <c r="Q10" s="193" t="s">
        <v>27</v>
      </c>
      <c r="R10" s="152">
        <f>IF(表1_86121822242672112110116[[#This Row],[目标国家]]="魏",0,IF(表1_86121822242672112110116[[#This Row],[目标国家]]="蜀",1,2))</f>
        <v>2</v>
      </c>
      <c r="S10" s="327">
        <v>19934</v>
      </c>
      <c r="T10" s="327">
        <v>0</v>
      </c>
      <c r="U10" s="327">
        <v>281304</v>
      </c>
      <c r="V10" s="327">
        <v>6394</v>
      </c>
      <c r="W10" s="327">
        <v>649550</v>
      </c>
      <c r="X10" s="277" t="str">
        <f>"{"&amp;"'coin':"&amp;表1_86121822242672112110116[[#This Row],[补偿Coin]]&amp;",'"&amp;配置!$A$2&amp;"':"&amp;表1_86121822242672112110116[[#This Row],[补偿辎重]]&amp;"},"</f>
        <v>{'coin':1000,'item036':10},</v>
      </c>
      <c r="Y10" s="277" t="str">
        <f>"      },"</f>
        <v>      },</v>
      </c>
    </row>
    <row r="11" s="312" customFormat="1" ht="14.25" customHeight="1" spans="1:25">
      <c r="A11" s="257">
        <v>7053</v>
      </c>
      <c r="B11" s="150">
        <f>VLOOKUP(表1_86121822242672112110116[[#This Row],[区服]],$P$47:$Q$60,2,FALSE)</f>
        <v>42</v>
      </c>
      <c r="C11" s="151" t="s">
        <v>283</v>
      </c>
      <c r="D11" s="152" t="str">
        <f>表1_86121822242672112110116[[#This Row],[目标国家]]</f>
        <v>蜀</v>
      </c>
      <c r="E11" s="154">
        <f>(VLOOKUP(表1_86121822242672112110116[[#This Row],[目标区服]],$R$47:$S$50,2,FALSE)-表1_86121822242672112110116[[#This Row],[开服天数]])*配置!$B$1</f>
        <v>1500</v>
      </c>
      <c r="F11" s="154">
        <f>表1_86121822242672112110116[[#This Row],[补偿Coin]]*(表1_86121822242672112110116[[#This Row],[活跃高战玩家数]]+表1_86121822242672112110116[[#This Row],[活跃中坚玩家数]])</f>
        <v>31500</v>
      </c>
      <c r="G11" s="258">
        <f>(VLOOKUP(表1_86121822242672112110116[[#This Row],[目标区服]],$R$47:$S$50,2,FALSE)-表1_86121822242672112110116[[#This Row],[开服天数]])*配置!$B$2</f>
        <v>15</v>
      </c>
      <c r="H11" s="152" t="s">
        <v>25</v>
      </c>
      <c r="I11" s="267">
        <f>IF(表1_86121822242672112110116[[#This Row],[原国家]]="魏",0,IF(表1_86121822242672112110116[[#This Row],[原国家]]="蜀",1,2))</f>
        <v>0</v>
      </c>
      <c r="J11" s="327">
        <v>4</v>
      </c>
      <c r="K11" s="327">
        <v>170</v>
      </c>
      <c r="L11" s="327">
        <v>3</v>
      </c>
      <c r="M11" s="327">
        <v>18</v>
      </c>
      <c r="N11" s="327">
        <v>94498</v>
      </c>
      <c r="O11" s="328">
        <v>2217295</v>
      </c>
      <c r="P11" s="328">
        <v>16242706</v>
      </c>
      <c r="Q11" s="193" t="s">
        <v>26</v>
      </c>
      <c r="R11" s="152">
        <f>IF(表1_86121822242672112110116[[#This Row],[目标国家]]="魏",0,IF(表1_86121822242672112110116[[#This Row],[目标国家]]="蜀",1,2))</f>
        <v>1</v>
      </c>
      <c r="S11" s="327">
        <v>13836</v>
      </c>
      <c r="T11" s="327">
        <v>0</v>
      </c>
      <c r="U11" s="327">
        <v>227749</v>
      </c>
      <c r="V11" s="327">
        <v>6943</v>
      </c>
      <c r="W11" s="327">
        <v>634462</v>
      </c>
      <c r="X11" s="277" t="str">
        <f>"{"&amp;"'coin':"&amp;表1_86121822242672112110116[[#This Row],[补偿Coin]]&amp;",'"&amp;配置!$A$2&amp;"':"&amp;表1_86121822242672112110116[[#This Row],[补偿辎重]]&amp;"},"</f>
        <v>{'coin':1500,'item036':15},</v>
      </c>
      <c r="Y11" s="277" t="str">
        <f>"      '"&amp;表1_86121822242672112110116[[#This Row],[区服]]&amp;"':{"</f>
        <v>      '7053':{</v>
      </c>
    </row>
    <row r="12" s="312" customFormat="1" ht="14.25" customHeight="1" spans="1:25">
      <c r="A12" s="257">
        <v>7053</v>
      </c>
      <c r="B12" s="150">
        <f>VLOOKUP(表1_86121822242672112110116[[#This Row],[区服]],$P$47:$Q$60,2,FALSE)</f>
        <v>42</v>
      </c>
      <c r="C12" s="151" t="s">
        <v>283</v>
      </c>
      <c r="D12" s="152" t="str">
        <f>表1_86121822242672112110116[[#This Row],[目标国家]]</f>
        <v>蜀</v>
      </c>
      <c r="E12" s="154">
        <f>(VLOOKUP(表1_86121822242672112110116[[#This Row],[目标区服]],$R$47:$S$52,2,FALSE)-表1_86121822242672112110116[[#This Row],[开服天数]])*配置!$B$1</f>
        <v>1500</v>
      </c>
      <c r="F12" s="154">
        <f>表1_86121822242672112110116[[#This Row],[补偿Coin]]*(表1_86121822242672112110116[[#This Row],[活跃高战玩家数]]+表1_86121822242672112110116[[#This Row],[活跃中坚玩家数]])</f>
        <v>48000</v>
      </c>
      <c r="G12" s="258">
        <f>(VLOOKUP(表1_86121822242672112110116[[#This Row],[目标区服]],$R$47:$S$50,2,FALSE)-表1_86121822242672112110116[[#This Row],[开服天数]])*配置!$B$2</f>
        <v>15</v>
      </c>
      <c r="H12" s="152" t="s">
        <v>26</v>
      </c>
      <c r="I12" s="267">
        <f>IF(表1_86121822242672112110116[[#This Row],[原国家]]="魏",0,IF(表1_86121822242672112110116[[#This Row],[原国家]]="蜀",1,2))</f>
        <v>1</v>
      </c>
      <c r="J12" s="327">
        <v>3</v>
      </c>
      <c r="K12" s="327">
        <v>143</v>
      </c>
      <c r="L12" s="327">
        <v>5</v>
      </c>
      <c r="M12" s="327">
        <v>27</v>
      </c>
      <c r="N12" s="327">
        <v>122351</v>
      </c>
      <c r="O12" s="328">
        <v>2009360</v>
      </c>
      <c r="P12" s="328">
        <v>21861057</v>
      </c>
      <c r="Q12" s="193" t="s">
        <v>26</v>
      </c>
      <c r="R12" s="152">
        <f>IF(表1_86121822242672112110116[[#This Row],[目标国家]]="魏",0,IF(表1_86121822242672112110116[[#This Row],[目标国家]]="蜀",1,2))</f>
        <v>1</v>
      </c>
      <c r="S12" s="327">
        <v>40042</v>
      </c>
      <c r="T12" s="327">
        <v>0</v>
      </c>
      <c r="U12" s="327">
        <v>134406</v>
      </c>
      <c r="V12" s="327">
        <v>7805</v>
      </c>
      <c r="W12" s="337">
        <v>981578</v>
      </c>
      <c r="X12" s="277" t="str">
        <f>"{"&amp;"'coin':"&amp;表1_86121822242672112110116[[#This Row],[补偿Coin]]&amp;",'"&amp;配置!$A$2&amp;"':"&amp;表1_86121822242672112110116[[#This Row],[补偿辎重]]&amp;"},"</f>
        <v>{'coin':1500,'item036':15},</v>
      </c>
      <c r="Y12" s="277" t="str">
        <f>"            'to_zone':'"&amp;表1_86121822242672112110116[[#This Row],[目标区服]]&amp;"',
            'reward':"&amp;表1_86121822242672112110116[[#This Row],[辅助导出]]&amp;"
            'country':["&amp;R11&amp;","&amp;R12&amp;","&amp;R13&amp;"],"</f>
        <v>            'to_zone':'h1_723',
            'reward':{'coin':1500,'item036':15},
            'country':[1,1,0],</v>
      </c>
    </row>
    <row r="13" s="312" customFormat="1" ht="14.25" customHeight="1" spans="1:25">
      <c r="A13" s="257">
        <v>7053</v>
      </c>
      <c r="B13" s="150">
        <f>VLOOKUP(表1_86121822242672112110116[[#This Row],[区服]],$P$47:$Q$60,2,FALSE)</f>
        <v>42</v>
      </c>
      <c r="C13" s="151" t="s">
        <v>283</v>
      </c>
      <c r="D13" s="152" t="str">
        <f>表1_86121822242672112110116[[#This Row],[目标国家]]</f>
        <v>魏</v>
      </c>
      <c r="E13" s="154">
        <f>(VLOOKUP(表1_86121822242672112110116[[#This Row],[目标区服]],$R$47:$S$50,2,FALSE)-表1_86121822242672112110116[[#This Row],[开服天数]])*配置!$B$1</f>
        <v>1500</v>
      </c>
      <c r="F13" s="154">
        <f>表1_86121822242672112110116[[#This Row],[补偿Coin]]*(表1_86121822242672112110116[[#This Row],[活跃高战玩家数]]+表1_86121822242672112110116[[#This Row],[活跃中坚玩家数]])</f>
        <v>21000</v>
      </c>
      <c r="G13" s="258">
        <f>(VLOOKUP(表1_86121822242672112110116[[#This Row],[目标区服]],$R$47:$S$50,2,FALSE)-表1_86121822242672112110116[[#This Row],[开服天数]])*配置!$B$2</f>
        <v>15</v>
      </c>
      <c r="H13" s="152" t="s">
        <v>27</v>
      </c>
      <c r="I13" s="267">
        <f>IF(表1_86121822242672112110116[[#This Row],[原国家]]="魏",0,IF(表1_86121822242672112110116[[#This Row],[原国家]]="蜀",1,2))</f>
        <v>2</v>
      </c>
      <c r="J13" s="327">
        <v>2</v>
      </c>
      <c r="K13" s="327">
        <v>82</v>
      </c>
      <c r="L13" s="327">
        <v>1</v>
      </c>
      <c r="M13" s="327">
        <v>13</v>
      </c>
      <c r="N13" s="327">
        <v>63952</v>
      </c>
      <c r="O13" s="328">
        <v>1477137</v>
      </c>
      <c r="P13" s="328">
        <v>10108908</v>
      </c>
      <c r="Q13" s="193" t="s">
        <v>25</v>
      </c>
      <c r="R13" s="152">
        <f>IF(表1_86121822242672112110116[[#This Row],[目标国家]]="魏",0,IF(表1_86121822242672112110116[[#This Row],[目标国家]]="蜀",1,2))</f>
        <v>0</v>
      </c>
      <c r="S13" s="327">
        <v>8906</v>
      </c>
      <c r="T13" s="327">
        <v>0</v>
      </c>
      <c r="U13" s="327">
        <v>73537</v>
      </c>
      <c r="V13" s="327">
        <v>4131</v>
      </c>
      <c r="W13" s="327">
        <v>517700</v>
      </c>
      <c r="X13" s="277" t="str">
        <f>"{"&amp;"'coin':"&amp;表1_86121822242672112110116[[#This Row],[补偿Coin]]&amp;",'"&amp;配置!$A$2&amp;"':"&amp;表1_86121822242672112110116[[#This Row],[补偿辎重]]&amp;"},"</f>
        <v>{'coin':1500,'item036':15},</v>
      </c>
      <c r="Y13" s="277" t="str">
        <f>"      },"</f>
        <v>      },</v>
      </c>
    </row>
    <row r="14" s="312" customFormat="1" ht="14.25" customHeight="1" spans="1:25">
      <c r="A14" s="86">
        <v>7054</v>
      </c>
      <c r="B14" s="86">
        <f>VLOOKUP(表1_86121822242672112110116[[#This Row],[区服]],$P$47:$Q$60,2,FALSE)</f>
        <v>42</v>
      </c>
      <c r="C14" s="87" t="s">
        <v>284</v>
      </c>
      <c r="D14" s="315" t="str">
        <f>表1_86121822242672112110116[[#This Row],[目标国家]]</f>
        <v>魏</v>
      </c>
      <c r="E14" s="89">
        <f>(VLOOKUP(表1_86121822242672112110116[[#This Row],[目标区服]],$R$47:$S$50,2,FALSE)-表1_86121822242672112110116[[#This Row],[开服天数]])*配置!$B$1</f>
        <v>1000</v>
      </c>
      <c r="F14" s="89">
        <f>表1_86121822242672112110116[[#This Row],[补偿Coin]]*(表1_86121822242672112110116[[#This Row],[活跃高战玩家数]]+表1_86121822242672112110116[[#This Row],[活跃中坚玩家数]])</f>
        <v>30000</v>
      </c>
      <c r="G14" s="89">
        <f>(VLOOKUP(表1_86121822242672112110116[[#This Row],[目标区服]],$R$47:$S$50,2,FALSE)-表1_86121822242672112110116[[#This Row],[开服天数]])*配置!$B$2</f>
        <v>10</v>
      </c>
      <c r="H14" s="88" t="s">
        <v>25</v>
      </c>
      <c r="I14" s="88">
        <f>IF(表1_86121822242672112110116[[#This Row],[原国家]]="魏",0,IF(表1_86121822242672112110116[[#This Row],[原国家]]="蜀",1,2))</f>
        <v>0</v>
      </c>
      <c r="J14" s="329">
        <v>5</v>
      </c>
      <c r="K14" s="329">
        <v>170</v>
      </c>
      <c r="L14" s="329">
        <v>4</v>
      </c>
      <c r="M14" s="329">
        <v>26</v>
      </c>
      <c r="N14" s="329">
        <v>110848</v>
      </c>
      <c r="O14" s="330">
        <v>2678058</v>
      </c>
      <c r="P14" s="330">
        <v>20748142</v>
      </c>
      <c r="Q14" s="132" t="s">
        <v>25</v>
      </c>
      <c r="R14" s="88">
        <f>IF(表1_86121822242672112110116[[#This Row],[目标国家]]="魏",0,IF(表1_86121822242672112110116[[#This Row],[目标国家]]="蜀",1,2))</f>
        <v>0</v>
      </c>
      <c r="S14" s="329">
        <v>35798</v>
      </c>
      <c r="T14" s="329">
        <v>0</v>
      </c>
      <c r="U14" s="329">
        <v>441832</v>
      </c>
      <c r="V14" s="329">
        <v>8801</v>
      </c>
      <c r="W14" s="338">
        <v>707519</v>
      </c>
      <c r="X14" s="134" t="str">
        <f>"{"&amp;"'coin':"&amp;表1_86121822242672112110116[[#This Row],[补偿Coin]]&amp;",'"&amp;配置!$A$2&amp;"':"&amp;表1_86121822242672112110116[[#This Row],[补偿辎重]]&amp;"},"</f>
        <v>{'coin':1000,'item036':10},</v>
      </c>
      <c r="Y14" s="136" t="str">
        <f>"      '"&amp;表1_86121822242672112110116[[#This Row],[区服]]&amp;"':{"</f>
        <v>      '7054':{</v>
      </c>
    </row>
    <row r="15" s="312" customFormat="1" ht="14.25" customHeight="1" spans="1:25">
      <c r="A15" s="86">
        <v>7054</v>
      </c>
      <c r="B15" s="86">
        <f>VLOOKUP(表1_86121822242672112110116[[#This Row],[区服]],$P$47:$Q$60,2,FALSE)</f>
        <v>42</v>
      </c>
      <c r="C15" s="87" t="s">
        <v>284</v>
      </c>
      <c r="D15" s="88" t="str">
        <f>表1_86121822242672112110116[[#This Row],[目标国家]]</f>
        <v>蜀</v>
      </c>
      <c r="E15" s="90">
        <f>(VLOOKUP(表1_86121822242672112110116[[#This Row],[目标区服]],$R$47:$S$50,2,FALSE)-表1_86121822242672112110116[[#This Row],[开服天数]])*配置!$B$1</f>
        <v>1000</v>
      </c>
      <c r="F15" s="90">
        <f>表1_86121822242672112110116[[#This Row],[补偿Coin]]*(表1_86121822242672112110116[[#This Row],[活跃高战玩家数]]+表1_86121822242672112110116[[#This Row],[活跃中坚玩家数]])</f>
        <v>23000</v>
      </c>
      <c r="G15" s="90">
        <f>(VLOOKUP(表1_86121822242672112110116[[#This Row],[目标区服]],$R$47:$S$50,2,FALSE)-表1_86121822242672112110116[[#This Row],[开服天数]])*配置!$B$2</f>
        <v>10</v>
      </c>
      <c r="H15" s="88" t="s">
        <v>26</v>
      </c>
      <c r="I15" s="88">
        <f>IF(表1_86121822242672112110116[[#This Row],[原国家]]="魏",0,IF(表1_86121822242672112110116[[#This Row],[原国家]]="蜀",1,2))</f>
        <v>1</v>
      </c>
      <c r="J15" s="329">
        <v>1</v>
      </c>
      <c r="K15" s="329">
        <v>112</v>
      </c>
      <c r="L15" s="329">
        <v>3</v>
      </c>
      <c r="M15" s="329">
        <v>20</v>
      </c>
      <c r="N15" s="329">
        <v>84388</v>
      </c>
      <c r="O15" s="330">
        <v>1680763</v>
      </c>
      <c r="P15" s="330">
        <v>14615261</v>
      </c>
      <c r="Q15" s="132" t="s">
        <v>26</v>
      </c>
      <c r="R15" s="88">
        <f>IF(表1_86121822242672112110116[[#This Row],[目标国家]]="魏",0,IF(表1_86121822242672112110116[[#This Row],[目标国家]]="蜀",1,2))</f>
        <v>1</v>
      </c>
      <c r="S15" s="329">
        <v>18922</v>
      </c>
      <c r="T15" s="329">
        <v>0</v>
      </c>
      <c r="U15" s="329">
        <v>232799</v>
      </c>
      <c r="V15" s="329">
        <v>5468</v>
      </c>
      <c r="W15" s="329">
        <v>451581</v>
      </c>
      <c r="X15" s="134" t="str">
        <f>"{"&amp;"'coin':"&amp;表1_86121822242672112110116[[#This Row],[补偿Coin]]&amp;",'"&amp;配置!$A$2&amp;"':"&amp;表1_86121822242672112110116[[#This Row],[补偿辎重]]&amp;"},"</f>
        <v>{'coin':1000,'item036':10},</v>
      </c>
      <c r="Y15" s="136" t="str">
        <f>"            'to_zone':'"&amp;表1_86121822242672112110116[[#This Row],[目标区服]]&amp;"',
            'reward':"&amp;表1_86121822242672112110116[[#This Row],[辅助导出]]&amp;"
            'country':["&amp;R14&amp;","&amp;R15&amp;","&amp;R16&amp;"],"</f>
        <v>            'to_zone':'h1_724',
            'reward':{'coin':1000,'item036':10},
            'country':[0,1,0],</v>
      </c>
    </row>
    <row r="16" s="312" customFormat="1" ht="14.25" customHeight="1" spans="1:25">
      <c r="A16" s="86">
        <v>7054</v>
      </c>
      <c r="B16" s="86">
        <f>VLOOKUP(表1_86121822242672112110116[[#This Row],[区服]],$P$47:$Q$60,2,FALSE)</f>
        <v>42</v>
      </c>
      <c r="C16" s="87" t="s">
        <v>284</v>
      </c>
      <c r="D16" s="88" t="str">
        <f>表1_86121822242672112110116[[#This Row],[目标国家]]</f>
        <v>魏</v>
      </c>
      <c r="E16" s="90">
        <f>(VLOOKUP(表1_86121822242672112110116[[#This Row],[目标区服]],$R$47:$S$50,2,FALSE)-表1_86121822242672112110116[[#This Row],[开服天数]])*配置!$B$1</f>
        <v>1000</v>
      </c>
      <c r="F16" s="90">
        <f>表1_86121822242672112110116[[#This Row],[补偿Coin]]*(表1_86121822242672112110116[[#This Row],[活跃高战玩家数]]+表1_86121822242672112110116[[#This Row],[活跃中坚玩家数]])</f>
        <v>28000</v>
      </c>
      <c r="G16" s="90">
        <f>(VLOOKUP(表1_86121822242672112110116[[#This Row],[目标区服]],$R$47:$S$50,2,FALSE)-表1_86121822242672112110116[[#This Row],[开服天数]])*配置!$B$2</f>
        <v>10</v>
      </c>
      <c r="H16" s="88" t="s">
        <v>27</v>
      </c>
      <c r="I16" s="88">
        <f>IF(表1_86121822242672112110116[[#This Row],[原国家]]="魏",0,IF(表1_86121822242672112110116[[#This Row],[原国家]]="蜀",1,2))</f>
        <v>2</v>
      </c>
      <c r="J16" s="329">
        <v>3</v>
      </c>
      <c r="K16" s="329">
        <v>113</v>
      </c>
      <c r="L16" s="329">
        <v>3</v>
      </c>
      <c r="M16" s="329">
        <v>25</v>
      </c>
      <c r="N16" s="329">
        <v>123651</v>
      </c>
      <c r="O16" s="330">
        <v>2185962</v>
      </c>
      <c r="P16" s="330">
        <v>19832826</v>
      </c>
      <c r="Q16" s="132" t="s">
        <v>25</v>
      </c>
      <c r="R16" s="88">
        <f>IF(表1_86121822242672112110116[[#This Row],[目标国家]]="魏",0,IF(表1_86121822242672112110116[[#This Row],[目标国家]]="蜀",1,2))</f>
        <v>0</v>
      </c>
      <c r="S16" s="329">
        <v>40850</v>
      </c>
      <c r="T16" s="329">
        <v>0</v>
      </c>
      <c r="U16" s="329">
        <v>345176</v>
      </c>
      <c r="V16" s="329">
        <v>7615</v>
      </c>
      <c r="W16" s="329">
        <v>638679</v>
      </c>
      <c r="X16" s="134" t="str">
        <f>"{"&amp;"'coin':"&amp;表1_86121822242672112110116[[#This Row],[补偿Coin]]&amp;",'"&amp;配置!$A$2&amp;"':"&amp;表1_86121822242672112110116[[#This Row],[补偿辎重]]&amp;"},"</f>
        <v>{'coin':1000,'item036':10},</v>
      </c>
      <c r="Y16" s="136" t="str">
        <f>"      },"</f>
        <v>      },</v>
      </c>
    </row>
    <row r="17" s="312" customFormat="1" ht="14.25" customHeight="1" spans="1:25">
      <c r="A17" s="86">
        <v>7055</v>
      </c>
      <c r="B17" s="86">
        <f>VLOOKUP(表1_86121822242672112110116[[#This Row],[区服]],$P$47:$Q$60,2,FALSE)</f>
        <v>41</v>
      </c>
      <c r="C17" s="87" t="s">
        <v>284</v>
      </c>
      <c r="D17" s="315" t="str">
        <f>表1_86121822242672112110116[[#This Row],[目标国家]]</f>
        <v>蜀</v>
      </c>
      <c r="E17" s="89">
        <f>(VLOOKUP(表1_86121822242672112110116[[#This Row],[目标区服]],$R$47:$S$50,2,FALSE)-表1_86121822242672112110116[[#This Row],[开服天数]])*配置!$B$1</f>
        <v>1500</v>
      </c>
      <c r="F17" s="89">
        <f>表1_86121822242672112110116[[#This Row],[补偿Coin]]*(表1_86121822242672112110116[[#This Row],[活跃高战玩家数]]+表1_86121822242672112110116[[#This Row],[活跃中坚玩家数]])</f>
        <v>18000</v>
      </c>
      <c r="G17" s="89">
        <f>(VLOOKUP(表1_86121822242672112110116[[#This Row],[目标区服]],$R$47:$S$50,2,FALSE)-表1_86121822242672112110116[[#This Row],[开服天数]])*配置!$B$2</f>
        <v>15</v>
      </c>
      <c r="H17" s="88" t="s">
        <v>25</v>
      </c>
      <c r="I17" s="88">
        <f>IF(表1_86121822242672112110116[[#This Row],[原国家]]="魏",0,IF(表1_86121822242672112110116[[#This Row],[原国家]]="蜀",1,2))</f>
        <v>0</v>
      </c>
      <c r="J17" s="329">
        <v>0</v>
      </c>
      <c r="K17" s="329">
        <v>34</v>
      </c>
      <c r="L17" s="329">
        <v>0</v>
      </c>
      <c r="M17" s="329">
        <v>12</v>
      </c>
      <c r="N17" s="329">
        <v>37679</v>
      </c>
      <c r="O17" s="330">
        <v>803504</v>
      </c>
      <c r="P17" s="330">
        <v>5192084</v>
      </c>
      <c r="Q17" s="132" t="s">
        <v>26</v>
      </c>
      <c r="R17" s="88">
        <f>IF(表1_86121822242672112110116[[#This Row],[目标国家]]="魏",0,IF(表1_86121822242672112110116[[#This Row],[目标国家]]="蜀",1,2))</f>
        <v>1</v>
      </c>
      <c r="S17" s="329">
        <v>2592</v>
      </c>
      <c r="T17" s="329">
        <v>0</v>
      </c>
      <c r="U17" s="329">
        <v>93333</v>
      </c>
      <c r="V17" s="329">
        <v>1975</v>
      </c>
      <c r="W17" s="329">
        <v>241233</v>
      </c>
      <c r="X17" s="134" t="str">
        <f>"{"&amp;"'coin':"&amp;表1_86121822242672112110116[[#This Row],[补偿Coin]]&amp;",'"&amp;配置!$A$2&amp;"':"&amp;表1_86121822242672112110116[[#This Row],[补偿辎重]]&amp;"},"</f>
        <v>{'coin':1500,'item036':15},</v>
      </c>
      <c r="Y17" s="136" t="str">
        <f>"      '"&amp;表1_86121822242672112110116[[#This Row],[区服]]&amp;"':{"</f>
        <v>      '7055':{</v>
      </c>
    </row>
    <row r="18" s="312" customFormat="1" ht="14.25" customHeight="1" spans="1:25">
      <c r="A18" s="86">
        <v>7055</v>
      </c>
      <c r="B18" s="86">
        <f>VLOOKUP(表1_86121822242672112110116[[#This Row],[区服]],$P$47:$Q$60,2,FALSE)</f>
        <v>41</v>
      </c>
      <c r="C18" s="87" t="s">
        <v>284</v>
      </c>
      <c r="D18" s="88" t="str">
        <f>表1_86121822242672112110116[[#This Row],[目标国家]]</f>
        <v>蜀</v>
      </c>
      <c r="E18" s="90">
        <f>(VLOOKUP(表1_86121822242672112110116[[#This Row],[目标区服]],$R$47:$S$50,2,FALSE)-表1_86121822242672112110116[[#This Row],[开服天数]])*配置!$B$1</f>
        <v>1500</v>
      </c>
      <c r="F18" s="90">
        <f>表1_86121822242672112110116[[#This Row],[补偿Coin]]*(表1_86121822242672112110116[[#This Row],[活跃高战玩家数]]+表1_86121822242672112110116[[#This Row],[活跃中坚玩家数]])</f>
        <v>36000</v>
      </c>
      <c r="G18" s="90">
        <f>(VLOOKUP(表1_86121822242672112110116[[#This Row],[目标区服]],$R$47:$S$50,2,FALSE)-表1_86121822242672112110116[[#This Row],[开服天数]])*配置!$B$2</f>
        <v>15</v>
      </c>
      <c r="H18" s="88" t="s">
        <v>26</v>
      </c>
      <c r="I18" s="88">
        <f>IF(表1_86121822242672112110116[[#This Row],[原国家]]="魏",0,IF(表1_86121822242672112110116[[#This Row],[原国家]]="蜀",1,2))</f>
        <v>1</v>
      </c>
      <c r="J18" s="329">
        <v>7</v>
      </c>
      <c r="K18" s="329">
        <v>286</v>
      </c>
      <c r="L18" s="329">
        <v>4</v>
      </c>
      <c r="M18" s="329">
        <v>20</v>
      </c>
      <c r="N18" s="329">
        <v>123470</v>
      </c>
      <c r="O18" s="330">
        <v>2309969</v>
      </c>
      <c r="P18" s="330">
        <v>18194023</v>
      </c>
      <c r="Q18" s="132" t="s">
        <v>26</v>
      </c>
      <c r="R18" s="88">
        <f>IF(表1_86121822242672112110116[[#This Row],[目标国家]]="魏",0,IF(表1_86121822242672112110116[[#This Row],[目标国家]]="蜀",1,2))</f>
        <v>1</v>
      </c>
      <c r="S18" s="329">
        <v>40900</v>
      </c>
      <c r="T18" s="329">
        <v>0</v>
      </c>
      <c r="U18" s="329">
        <v>209940</v>
      </c>
      <c r="V18" s="329">
        <v>9638</v>
      </c>
      <c r="W18" s="338">
        <v>669679</v>
      </c>
      <c r="X18" s="134" t="str">
        <f>"{"&amp;"'coin':"&amp;表1_86121822242672112110116[[#This Row],[补偿Coin]]&amp;",'"&amp;配置!$A$2&amp;"':"&amp;表1_86121822242672112110116[[#This Row],[补偿辎重]]&amp;"},"</f>
        <v>{'coin':1500,'item036':15},</v>
      </c>
      <c r="Y18" s="136" t="str">
        <f>"            'to_zone':'"&amp;表1_86121822242672112110116[[#This Row],[目标区服]]&amp;"',
            'reward':"&amp;表1_86121822242672112110116[[#This Row],[辅助导出]]&amp;"
            'country':["&amp;R17&amp;","&amp;R18&amp;","&amp;R19&amp;"],"</f>
        <v>            'to_zone':'h1_724',
            'reward':{'coin':1500,'item036':15},
            'country':[1,1,2],</v>
      </c>
    </row>
    <row r="19" s="312" customFormat="1" ht="14.25" customHeight="1" spans="1:25">
      <c r="A19" s="86">
        <v>7055</v>
      </c>
      <c r="B19" s="86">
        <f>VLOOKUP(表1_86121822242672112110116[[#This Row],[区服]],$P$47:$Q$60,2,FALSE)</f>
        <v>41</v>
      </c>
      <c r="C19" s="87" t="s">
        <v>284</v>
      </c>
      <c r="D19" s="88" t="str">
        <f>表1_86121822242672112110116[[#This Row],[目标国家]]</f>
        <v>吴</v>
      </c>
      <c r="E19" s="90">
        <f>(VLOOKUP(表1_86121822242672112110116[[#This Row],[目标区服]],$R$47:$S$50,2,FALSE)-表1_86121822242672112110116[[#This Row],[开服天数]])*配置!$B$1</f>
        <v>1500</v>
      </c>
      <c r="F19" s="90">
        <f>表1_86121822242672112110116[[#This Row],[补偿Coin]]*(表1_86121822242672112110116[[#This Row],[活跃高战玩家数]]+表1_86121822242672112110116[[#This Row],[活跃中坚玩家数]])</f>
        <v>27000</v>
      </c>
      <c r="G19" s="90">
        <f>(VLOOKUP(表1_86121822242672112110116[[#This Row],[目标区服]],$R$47:$S$50,2,FALSE)-表1_86121822242672112110116[[#This Row],[开服天数]])*配置!$B$2</f>
        <v>15</v>
      </c>
      <c r="H19" s="88" t="s">
        <v>27</v>
      </c>
      <c r="I19" s="88">
        <f>IF(表1_86121822242672112110116[[#This Row],[原国家]]="魏",0,IF(表1_86121822242672112110116[[#This Row],[原国家]]="蜀",1,2))</f>
        <v>2</v>
      </c>
      <c r="J19" s="329">
        <v>2</v>
      </c>
      <c r="K19" s="329">
        <v>75</v>
      </c>
      <c r="L19" s="329">
        <v>5</v>
      </c>
      <c r="M19" s="329">
        <v>13</v>
      </c>
      <c r="N19" s="329">
        <v>92430</v>
      </c>
      <c r="O19" s="330">
        <v>1563160</v>
      </c>
      <c r="P19" s="330">
        <v>12427107</v>
      </c>
      <c r="Q19" s="132" t="s">
        <v>27</v>
      </c>
      <c r="R19" s="88">
        <f>IF(表1_86121822242672112110116[[#This Row],[目标国家]]="魏",0,IF(表1_86121822242672112110116[[#This Row],[目标国家]]="蜀",1,2))</f>
        <v>2</v>
      </c>
      <c r="S19" s="329">
        <v>29602</v>
      </c>
      <c r="T19" s="329">
        <v>0</v>
      </c>
      <c r="U19" s="329">
        <v>117508</v>
      </c>
      <c r="V19" s="329">
        <v>5164</v>
      </c>
      <c r="W19" s="329">
        <v>443427</v>
      </c>
      <c r="X19" s="134" t="str">
        <f>"{"&amp;"'coin':"&amp;表1_86121822242672112110116[[#This Row],[补偿Coin]]&amp;",'"&amp;配置!$A$2&amp;"':"&amp;表1_86121822242672112110116[[#This Row],[补偿辎重]]&amp;"},"</f>
        <v>{'coin':1500,'item036':15},</v>
      </c>
      <c r="Y19" s="136" t="str">
        <f>"      },"</f>
        <v>      },</v>
      </c>
    </row>
    <row r="20" s="312" customFormat="1" ht="14.25" customHeight="1" spans="1:25">
      <c r="A20" s="86">
        <v>7056</v>
      </c>
      <c r="B20" s="86">
        <f>VLOOKUP(表1_86121822242672112110116[[#This Row],[区服]],$P$47:$Q$60,2,FALSE)</f>
        <v>41</v>
      </c>
      <c r="C20" s="87" t="s">
        <v>284</v>
      </c>
      <c r="D20" s="315" t="str">
        <f>表1_86121822242672112110116[[#This Row],[目标国家]]</f>
        <v>蜀</v>
      </c>
      <c r="E20" s="89">
        <f>(VLOOKUP(表1_86121822242672112110116[[#This Row],[目标区服]],$R$47:$S$50,2,FALSE)-表1_86121822242672112110116[[#This Row],[开服天数]])*配置!$B$1</f>
        <v>1500</v>
      </c>
      <c r="F20" s="89">
        <f>表1_86121822242672112110116[[#This Row],[补偿Coin]]*(表1_86121822242672112110116[[#This Row],[活跃高战玩家数]]+表1_86121822242672112110116[[#This Row],[活跃中坚玩家数]])</f>
        <v>21000</v>
      </c>
      <c r="G20" s="89">
        <f>(VLOOKUP(表1_86121822242672112110116[[#This Row],[目标区服]],$R$47:$S$50,2,FALSE)-表1_86121822242672112110116[[#This Row],[开服天数]])*配置!$B$2</f>
        <v>15</v>
      </c>
      <c r="H20" s="88" t="s">
        <v>25</v>
      </c>
      <c r="I20" s="88">
        <f>IF(表1_86121822242672112110116[[#This Row],[原国家]]="魏",0,IF(表1_86121822242672112110116[[#This Row],[原国家]]="蜀",1,2))</f>
        <v>0</v>
      </c>
      <c r="J20" s="329">
        <v>0</v>
      </c>
      <c r="K20" s="329">
        <v>33</v>
      </c>
      <c r="L20" s="329">
        <v>1</v>
      </c>
      <c r="M20" s="329">
        <v>13</v>
      </c>
      <c r="N20" s="329">
        <v>51645</v>
      </c>
      <c r="O20" s="330">
        <v>959621</v>
      </c>
      <c r="P20" s="330">
        <v>6127547</v>
      </c>
      <c r="Q20" s="132" t="s">
        <v>26</v>
      </c>
      <c r="R20" s="88">
        <f>IF(表1_86121822242672112110116[[#This Row],[目标国家]]="魏",0,IF(表1_86121822242672112110116[[#This Row],[目标国家]]="蜀",1,2))</f>
        <v>1</v>
      </c>
      <c r="S20" s="329">
        <v>908</v>
      </c>
      <c r="T20" s="329">
        <v>0</v>
      </c>
      <c r="U20" s="329">
        <v>62871</v>
      </c>
      <c r="V20" s="329">
        <v>2219</v>
      </c>
      <c r="W20" s="329">
        <v>279396</v>
      </c>
      <c r="X20" s="134" t="str">
        <f>"{"&amp;"'coin':"&amp;表1_86121822242672112110116[[#This Row],[补偿Coin]]&amp;",'"&amp;配置!$A$2&amp;"':"&amp;表1_86121822242672112110116[[#This Row],[补偿辎重]]&amp;"},"</f>
        <v>{'coin':1500,'item036':15},</v>
      </c>
      <c r="Y20" s="136" t="str">
        <f>"      '"&amp;表1_86121822242672112110116[[#This Row],[区服]]&amp;"':{"</f>
        <v>      '7056':{</v>
      </c>
    </row>
    <row r="21" s="312" customFormat="1" ht="14.25" customHeight="1" spans="1:25">
      <c r="A21" s="86">
        <v>7056</v>
      </c>
      <c r="B21" s="86">
        <f>VLOOKUP(表1_86121822242672112110116[[#This Row],[区服]],$P$47:$Q$60,2,FALSE)</f>
        <v>41</v>
      </c>
      <c r="C21" s="87" t="s">
        <v>284</v>
      </c>
      <c r="D21" s="88" t="str">
        <f>表1_86121822242672112110116[[#This Row],[目标国家]]</f>
        <v>吴</v>
      </c>
      <c r="E21" s="89">
        <f>(VLOOKUP(表1_86121822242672112110116[[#This Row],[目标区服]],$R$47:$S$50,2,FALSE)-表1_86121822242672112110116[[#This Row],[开服天数]])*配置!$B$1</f>
        <v>1500</v>
      </c>
      <c r="F21" s="90">
        <f>表1_86121822242672112110116[[#This Row],[补偿Coin]]*(表1_86121822242672112110116[[#This Row],[活跃高战玩家数]]+表1_86121822242672112110116[[#This Row],[活跃中坚玩家数]])</f>
        <v>37500</v>
      </c>
      <c r="G21" s="90">
        <f>(VLOOKUP(表1_86121822242672112110116[[#This Row],[目标区服]],$R$47:$S$50,2,FALSE)-表1_86121822242672112110116[[#This Row],[开服天数]])*配置!$B$2</f>
        <v>15</v>
      </c>
      <c r="H21" s="88" t="s">
        <v>26</v>
      </c>
      <c r="I21" s="88">
        <f>IF(表1_86121822242672112110116[[#This Row],[原国家]]="魏",0,IF(表1_86121822242672112110116[[#This Row],[原国家]]="蜀",1,2))</f>
        <v>1</v>
      </c>
      <c r="J21" s="329">
        <v>7</v>
      </c>
      <c r="K21" s="329">
        <v>294</v>
      </c>
      <c r="L21" s="329">
        <v>8</v>
      </c>
      <c r="M21" s="329">
        <v>17</v>
      </c>
      <c r="N21" s="329">
        <v>160972</v>
      </c>
      <c r="O21" s="330">
        <v>2183429</v>
      </c>
      <c r="P21" s="330">
        <v>20846147</v>
      </c>
      <c r="Q21" s="132" t="s">
        <v>27</v>
      </c>
      <c r="R21" s="88">
        <f>IF(表1_86121822242672112110116[[#This Row],[目标国家]]="魏",0,IF(表1_86121822242672112110116[[#This Row],[目标国家]]="蜀",1,2))</f>
        <v>2</v>
      </c>
      <c r="S21" s="329">
        <v>38588</v>
      </c>
      <c r="T21" s="329">
        <v>0</v>
      </c>
      <c r="U21" s="329">
        <v>379926</v>
      </c>
      <c r="V21" s="329">
        <v>10060</v>
      </c>
      <c r="W21" s="338">
        <v>631269</v>
      </c>
      <c r="X21" s="134" t="str">
        <f>"{"&amp;"'coin':"&amp;表1_86121822242672112110116[[#This Row],[补偿Coin]]&amp;",'"&amp;配置!$A$2&amp;"':"&amp;表1_86121822242672112110116[[#This Row],[补偿辎重]]&amp;"},"</f>
        <v>{'coin':1500,'item036':15},</v>
      </c>
      <c r="Y21" s="136" t="str">
        <f>"            'to_zone':'"&amp;表1_86121822242672112110116[[#This Row],[目标区服]]&amp;"',
            'reward':"&amp;表1_86121822242672112110116[[#This Row],[辅助导出]]&amp;"
            'country':["&amp;R20&amp;","&amp;R21&amp;","&amp;R22&amp;"],"</f>
        <v>            'to_zone':'h1_724',
            'reward':{'coin':1500,'item036':15},
            'country':[1,2,2],</v>
      </c>
    </row>
    <row r="22" s="312" customFormat="1" ht="14.25" customHeight="1" spans="1:25">
      <c r="A22" s="86">
        <v>7056</v>
      </c>
      <c r="B22" s="86">
        <f>VLOOKUP(表1_86121822242672112110116[[#This Row],[区服]],$P$47:$Q$60,2,FALSE)</f>
        <v>41</v>
      </c>
      <c r="C22" s="87" t="s">
        <v>284</v>
      </c>
      <c r="D22" s="88" t="str">
        <f>表1_86121822242672112110116[[#This Row],[目标国家]]</f>
        <v>吴</v>
      </c>
      <c r="E22" s="89">
        <f>(VLOOKUP(表1_86121822242672112110116[[#This Row],[目标区服]],$R$47:$S$50,2,FALSE)-表1_86121822242672112110116[[#This Row],[开服天数]])*配置!$B$1</f>
        <v>1500</v>
      </c>
      <c r="F22" s="90">
        <f>表1_86121822242672112110116[[#This Row],[补偿Coin]]*(表1_86121822242672112110116[[#This Row],[活跃高战玩家数]]+表1_86121822242672112110116[[#This Row],[活跃中坚玩家数]])</f>
        <v>21000</v>
      </c>
      <c r="G22" s="90">
        <f>(VLOOKUP(表1_86121822242672112110116[[#This Row],[目标区服]],$R$47:$S$50,2,FALSE)-表1_86121822242672112110116[[#This Row],[开服天数]])*配置!$B$2</f>
        <v>15</v>
      </c>
      <c r="H22" s="88" t="s">
        <v>27</v>
      </c>
      <c r="I22" s="88">
        <f>IF(表1_86121822242672112110116[[#This Row],[原国家]]="魏",0,IF(表1_86121822242672112110116[[#This Row],[原国家]]="蜀",1,2))</f>
        <v>2</v>
      </c>
      <c r="J22" s="329">
        <v>2</v>
      </c>
      <c r="K22" s="329">
        <v>68</v>
      </c>
      <c r="L22" s="329">
        <v>1</v>
      </c>
      <c r="M22" s="329">
        <v>13</v>
      </c>
      <c r="N22" s="329">
        <v>55449</v>
      </c>
      <c r="O22" s="330">
        <v>1243712</v>
      </c>
      <c r="P22" s="330">
        <v>6706608</v>
      </c>
      <c r="Q22" s="132" t="s">
        <v>27</v>
      </c>
      <c r="R22" s="88">
        <f>IF(表1_86121822242672112110116[[#This Row],[目标国家]]="魏",0,IF(表1_86121822242672112110116[[#This Row],[目标国家]]="蜀",1,2))</f>
        <v>2</v>
      </c>
      <c r="S22" s="329">
        <v>3650</v>
      </c>
      <c r="T22" s="329">
        <v>0</v>
      </c>
      <c r="U22" s="329">
        <v>92482</v>
      </c>
      <c r="V22" s="329">
        <v>3227</v>
      </c>
      <c r="W22" s="329">
        <v>351041</v>
      </c>
      <c r="X22" s="134" t="str">
        <f>"{"&amp;"'coin':"&amp;表1_86121822242672112110116[[#This Row],[补偿Coin]]&amp;",'"&amp;配置!$A$2&amp;"':"&amp;表1_86121822242672112110116[[#This Row],[补偿辎重]]&amp;"},"</f>
        <v>{'coin':1500,'item036':15},</v>
      </c>
      <c r="Y22" s="136" t="str">
        <f>"      },"</f>
        <v>      },</v>
      </c>
    </row>
    <row r="23" s="312" customFormat="1" ht="14.25" customHeight="1" spans="1:25">
      <c r="A23" s="316">
        <v>7057</v>
      </c>
      <c r="B23" s="316">
        <f>VLOOKUP(表1_86121822242672112110116[[#This Row],[区服]],$P$47:$Q$60,2,FALSE)</f>
        <v>41</v>
      </c>
      <c r="C23" s="317" t="s">
        <v>285</v>
      </c>
      <c r="D23" s="318" t="str">
        <f>表1_86121822242672112110116[[#This Row],[目标国家]]</f>
        <v>魏</v>
      </c>
      <c r="E23" s="319">
        <f>(VLOOKUP(表1_86121822242672112110116[[#This Row],[目标区服]],$R$47:$S$50,2,FALSE)-表1_86121822242672112110116[[#This Row],[开服天数]])*配置!$B$1</f>
        <v>1000</v>
      </c>
      <c r="F23" s="319">
        <f>表1_86121822242672112110116[[#This Row],[补偿Coin]]*(表1_86121822242672112110116[[#This Row],[活跃高战玩家数]]+表1_86121822242672112110116[[#This Row],[活跃中坚玩家数]])</f>
        <v>21000</v>
      </c>
      <c r="G23" s="319">
        <f>(VLOOKUP(表1_86121822242672112110116[[#This Row],[目标区服]],$R$47:$S$50,2,FALSE)-表1_86121822242672112110116[[#This Row],[开服天数]])*配置!$B$2</f>
        <v>10</v>
      </c>
      <c r="H23" s="320" t="s">
        <v>25</v>
      </c>
      <c r="I23" s="320">
        <f>IF(表1_86121822242672112110116[[#This Row],[原国家]]="魏",0,IF(表1_86121822242672112110116[[#This Row],[原国家]]="蜀",1,2))</f>
        <v>0</v>
      </c>
      <c r="J23" s="331">
        <v>3</v>
      </c>
      <c r="K23" s="331">
        <v>124</v>
      </c>
      <c r="L23" s="331">
        <v>3</v>
      </c>
      <c r="M23" s="331">
        <v>18</v>
      </c>
      <c r="N23" s="331">
        <v>101339</v>
      </c>
      <c r="O23" s="332">
        <v>1983379</v>
      </c>
      <c r="P23" s="332">
        <v>14077660</v>
      </c>
      <c r="Q23" s="339" t="s">
        <v>25</v>
      </c>
      <c r="R23" s="320">
        <f>IF(表1_86121822242672112110116[[#This Row],[目标国家]]="魏",0,IF(表1_86121822242672112110116[[#This Row],[目标国家]]="蜀",1,2))</f>
        <v>0</v>
      </c>
      <c r="S23" s="331">
        <v>3276</v>
      </c>
      <c r="T23" s="331">
        <v>0</v>
      </c>
      <c r="U23" s="331">
        <v>203837</v>
      </c>
      <c r="V23" s="331">
        <v>5638</v>
      </c>
      <c r="W23" s="331">
        <v>626223</v>
      </c>
      <c r="X23" s="340" t="str">
        <f>"{"&amp;"'coin':"&amp;表1_86121822242672112110116[[#This Row],[补偿Coin]]&amp;",'"&amp;配置!$A$2&amp;"':"&amp;表1_86121822242672112110116[[#This Row],[补偿辎重]]&amp;"},"</f>
        <v>{'coin':1000,'item036':10},</v>
      </c>
      <c r="Y23" s="343" t="str">
        <f>"      '"&amp;表1_86121822242672112110116[[#This Row],[区服]]&amp;"':{"</f>
        <v>      '7057':{</v>
      </c>
    </row>
    <row r="24" s="312" customFormat="1" ht="14.25" customHeight="1" spans="1:25">
      <c r="A24" s="316">
        <v>7057</v>
      </c>
      <c r="B24" s="316">
        <f>VLOOKUP(表1_86121822242672112110116[[#This Row],[区服]],$P$47:$Q$60,2,FALSE)</f>
        <v>41</v>
      </c>
      <c r="C24" s="317" t="s">
        <v>285</v>
      </c>
      <c r="D24" s="320" t="str">
        <f>表1_86121822242672112110116[[#This Row],[目标国家]]</f>
        <v>蜀</v>
      </c>
      <c r="E24" s="319">
        <f>(VLOOKUP(表1_86121822242672112110116[[#This Row],[目标区服]],$R$47:$S$50,2,FALSE)-表1_86121822242672112110116[[#This Row],[开服天数]])*配置!$B$1</f>
        <v>1000</v>
      </c>
      <c r="F24" s="321">
        <f>表1_86121822242672112110116[[#This Row],[补偿Coin]]*(表1_86121822242672112110116[[#This Row],[活跃高战玩家数]]+表1_86121822242672112110116[[#This Row],[活跃中坚玩家数]])</f>
        <v>20000</v>
      </c>
      <c r="G24" s="321">
        <f>(VLOOKUP(表1_86121822242672112110116[[#This Row],[目标区服]],$R$47:$S$50,2,FALSE)-表1_86121822242672112110116[[#This Row],[开服天数]])*配置!$B$2</f>
        <v>10</v>
      </c>
      <c r="H24" s="320" t="s">
        <v>26</v>
      </c>
      <c r="I24" s="320">
        <f>IF(表1_86121822242672112110116[[#This Row],[原国家]]="魏",0,IF(表1_86121822242672112110116[[#This Row],[原国家]]="蜀",1,2))</f>
        <v>1</v>
      </c>
      <c r="J24" s="331">
        <v>2</v>
      </c>
      <c r="K24" s="331">
        <v>131</v>
      </c>
      <c r="L24" s="331">
        <v>2</v>
      </c>
      <c r="M24" s="331">
        <v>18</v>
      </c>
      <c r="N24" s="331">
        <v>83173</v>
      </c>
      <c r="O24" s="332">
        <v>1528632</v>
      </c>
      <c r="P24" s="332">
        <v>12117756</v>
      </c>
      <c r="Q24" s="339" t="s">
        <v>26</v>
      </c>
      <c r="R24" s="320">
        <f>IF(表1_86121822242672112110116[[#This Row],[目标国家]]="魏",0,IF(表1_86121822242672112110116[[#This Row],[目标国家]]="蜀",1,2))</f>
        <v>1</v>
      </c>
      <c r="S24" s="331">
        <v>17814</v>
      </c>
      <c r="T24" s="331">
        <v>0</v>
      </c>
      <c r="U24" s="331">
        <v>133163</v>
      </c>
      <c r="V24" s="331">
        <v>5267</v>
      </c>
      <c r="W24" s="331">
        <v>516572</v>
      </c>
      <c r="X24" s="340" t="str">
        <f>"{"&amp;"'coin':"&amp;表1_86121822242672112110116[[#This Row],[补偿Coin]]&amp;",'"&amp;配置!$A$2&amp;"':"&amp;表1_86121822242672112110116[[#This Row],[补偿辎重]]&amp;"},"</f>
        <v>{'coin':1000,'item036':10},</v>
      </c>
      <c r="Y24" s="343" t="str">
        <f>"            'to_zone':'"&amp;表1_86121822242672112110116[[#This Row],[目标区服]]&amp;"',
            'reward':"&amp;表1_86121822242672112110116[[#This Row],[辅助导出]]&amp;"
            'country':["&amp;R23&amp;","&amp;R24&amp;","&amp;R25&amp;"],"</f>
        <v>            'to_zone':'h1_725',
            'reward':{'coin':1000,'item036':10},
            'country':[0,1,2],</v>
      </c>
    </row>
    <row r="25" s="312" customFormat="1" ht="14.25" customHeight="1" spans="1:25">
      <c r="A25" s="316">
        <v>7057</v>
      </c>
      <c r="B25" s="316">
        <f>VLOOKUP(表1_86121822242672112110116[[#This Row],[区服]],$P$47:$Q$60,2,FALSE)</f>
        <v>41</v>
      </c>
      <c r="C25" s="317" t="s">
        <v>285</v>
      </c>
      <c r="D25" s="320" t="str">
        <f>表1_86121822242672112110116[[#This Row],[目标国家]]</f>
        <v>吴</v>
      </c>
      <c r="E25" s="319">
        <f>(VLOOKUP(表1_86121822242672112110116[[#This Row],[目标区服]],$R$47:$S$50,2,FALSE)-表1_86121822242672112110116[[#This Row],[开服天数]])*配置!$B$1</f>
        <v>1000</v>
      </c>
      <c r="F25" s="321">
        <f>表1_86121822242672112110116[[#This Row],[补偿Coin]]*(表1_86121822242672112110116[[#This Row],[活跃高战玩家数]]+表1_86121822242672112110116[[#This Row],[活跃中坚玩家数]])</f>
        <v>20000</v>
      </c>
      <c r="G25" s="321">
        <f>(VLOOKUP(表1_86121822242672112110116[[#This Row],[目标区服]],$R$47:$S$50,2,FALSE)-表1_86121822242672112110116[[#This Row],[开服天数]])*配置!$B$2</f>
        <v>10</v>
      </c>
      <c r="H25" s="320" t="s">
        <v>27</v>
      </c>
      <c r="I25" s="320">
        <f>IF(表1_86121822242672112110116[[#This Row],[原国家]]="魏",0,IF(表1_86121822242672112110116[[#This Row],[原国家]]="蜀",1,2))</f>
        <v>2</v>
      </c>
      <c r="J25" s="331">
        <v>4</v>
      </c>
      <c r="K25" s="331">
        <v>140</v>
      </c>
      <c r="L25" s="331">
        <v>4</v>
      </c>
      <c r="M25" s="331">
        <v>16</v>
      </c>
      <c r="N25" s="331">
        <v>96333</v>
      </c>
      <c r="O25" s="332">
        <v>2294897</v>
      </c>
      <c r="P25" s="332">
        <v>14707270</v>
      </c>
      <c r="Q25" s="339" t="s">
        <v>27</v>
      </c>
      <c r="R25" s="320">
        <f>IF(表1_86121822242672112110116[[#This Row],[目标国家]]="魏",0,IF(表1_86121822242672112110116[[#This Row],[目标国家]]="蜀",1,2))</f>
        <v>2</v>
      </c>
      <c r="S25" s="331">
        <v>31772</v>
      </c>
      <c r="T25" s="331">
        <v>0</v>
      </c>
      <c r="U25" s="331">
        <v>394389</v>
      </c>
      <c r="V25" s="331">
        <v>7197</v>
      </c>
      <c r="W25" s="341">
        <v>784833</v>
      </c>
      <c r="X25" s="340" t="str">
        <f>"{"&amp;"'coin':"&amp;表1_86121822242672112110116[[#This Row],[补偿Coin]]&amp;",'"&amp;配置!$A$2&amp;"':"&amp;表1_86121822242672112110116[[#This Row],[补偿辎重]]&amp;"},"</f>
        <v>{'coin':1000,'item036':10},</v>
      </c>
      <c r="Y25" s="343" t="str">
        <f>"      },"</f>
        <v>      },</v>
      </c>
    </row>
    <row r="26" s="312" customFormat="1" ht="14.25" customHeight="1" spans="1:25">
      <c r="A26" s="316">
        <v>7058</v>
      </c>
      <c r="B26" s="316">
        <f>VLOOKUP(表1_86121822242672112110116[[#This Row],[区服]],$P$47:$Q$60,2,FALSE)</f>
        <v>40</v>
      </c>
      <c r="C26" s="317" t="s">
        <v>285</v>
      </c>
      <c r="D26" s="318" t="str">
        <f>表1_86121822242672112110116[[#This Row],[目标国家]]</f>
        <v>魏</v>
      </c>
      <c r="E26" s="319">
        <f>(VLOOKUP(表1_86121822242672112110116[[#This Row],[目标区服]],$R$47:$S$50,2,FALSE)-表1_86121822242672112110116[[#This Row],[开服天数]])*配置!$B$1</f>
        <v>1500</v>
      </c>
      <c r="F26" s="319">
        <f>表1_86121822242672112110116[[#This Row],[补偿Coin]]*(表1_86121822242672112110116[[#This Row],[活跃高战玩家数]]+表1_86121822242672112110116[[#This Row],[活跃中坚玩家数]])</f>
        <v>28500</v>
      </c>
      <c r="G26" s="319">
        <f>(VLOOKUP(表1_86121822242672112110116[[#This Row],[目标区服]],$R$47:$S$50,2,FALSE)-表1_86121822242672112110116[[#This Row],[开服天数]])*配置!$B$2</f>
        <v>15</v>
      </c>
      <c r="H26" s="320" t="s">
        <v>25</v>
      </c>
      <c r="I26" s="320">
        <f>IF(表1_86121822242672112110116[[#This Row],[原国家]]="魏",0,IF(表1_86121822242672112110116[[#This Row],[原国家]]="蜀",1,2))</f>
        <v>0</v>
      </c>
      <c r="J26" s="331">
        <v>5</v>
      </c>
      <c r="K26" s="331">
        <v>228</v>
      </c>
      <c r="L26" s="331">
        <v>5</v>
      </c>
      <c r="M26" s="331">
        <v>14</v>
      </c>
      <c r="N26" s="331">
        <v>125679</v>
      </c>
      <c r="O26" s="332">
        <v>2586540</v>
      </c>
      <c r="P26" s="332">
        <v>18547743</v>
      </c>
      <c r="Q26" s="339" t="s">
        <v>25</v>
      </c>
      <c r="R26" s="320">
        <f>IF(表1_86121822242672112110116[[#This Row],[目标国家]]="魏",0,IF(表1_86121822242672112110116[[#This Row],[目标国家]]="蜀",1,2))</f>
        <v>0</v>
      </c>
      <c r="S26" s="331">
        <v>104870</v>
      </c>
      <c r="T26" s="331">
        <v>0</v>
      </c>
      <c r="U26" s="331">
        <v>461211</v>
      </c>
      <c r="V26" s="331">
        <v>11226</v>
      </c>
      <c r="W26" s="341">
        <v>824506</v>
      </c>
      <c r="X26" s="340" t="str">
        <f>"{"&amp;"'coin':"&amp;表1_86121822242672112110116[[#This Row],[补偿Coin]]&amp;",'"&amp;配置!$A$2&amp;"':"&amp;表1_86121822242672112110116[[#This Row],[补偿辎重]]&amp;"},"</f>
        <v>{'coin':1500,'item036':15},</v>
      </c>
      <c r="Y26" s="343" t="str">
        <f>"      '"&amp;表1_86121822242672112110116[[#This Row],[区服]]&amp;"':{"</f>
        <v>      '7058':{</v>
      </c>
    </row>
    <row r="27" s="312" customFormat="1" ht="14.25" customHeight="1" spans="1:25">
      <c r="A27" s="316">
        <v>7058</v>
      </c>
      <c r="B27" s="316">
        <f>VLOOKUP(表1_86121822242672112110116[[#This Row],[区服]],$P$47:$Q$60,2,FALSE)</f>
        <v>40</v>
      </c>
      <c r="C27" s="317" t="s">
        <v>285</v>
      </c>
      <c r="D27" s="320" t="str">
        <f>表1_86121822242672112110116[[#This Row],[目标国家]]</f>
        <v>蜀</v>
      </c>
      <c r="E27" s="319">
        <f>(VLOOKUP(表1_86121822242672112110116[[#This Row],[目标区服]],$R$47:$S$50,2,FALSE)-表1_86121822242672112110116[[#This Row],[开服天数]])*配置!$B$1</f>
        <v>1500</v>
      </c>
      <c r="F27" s="321">
        <f>表1_86121822242672112110116[[#This Row],[补偿Coin]]*(表1_86121822242672112110116[[#This Row],[活跃高战玩家数]]+表1_86121822242672112110116[[#This Row],[活跃中坚玩家数]])</f>
        <v>21000</v>
      </c>
      <c r="G27" s="321">
        <f>(VLOOKUP(表1_86121822242672112110116[[#This Row],[目标区服]],$R$47:$S$50,2,FALSE)-表1_86121822242672112110116[[#This Row],[开服天数]])*配置!$B$2</f>
        <v>15</v>
      </c>
      <c r="H27" s="320" t="s">
        <v>26</v>
      </c>
      <c r="I27" s="320">
        <f>IF(表1_86121822242672112110116[[#This Row],[原国家]]="魏",0,IF(表1_86121822242672112110116[[#This Row],[原国家]]="蜀",1,2))</f>
        <v>1</v>
      </c>
      <c r="J27" s="331">
        <v>2</v>
      </c>
      <c r="K27" s="331">
        <v>99</v>
      </c>
      <c r="L27" s="331">
        <v>2</v>
      </c>
      <c r="M27" s="331">
        <v>12</v>
      </c>
      <c r="N27" s="331">
        <v>56491</v>
      </c>
      <c r="O27" s="332">
        <v>1505072</v>
      </c>
      <c r="P27" s="332">
        <v>6716498</v>
      </c>
      <c r="Q27" s="339" t="s">
        <v>26</v>
      </c>
      <c r="R27" s="320">
        <f>IF(表1_86121822242672112110116[[#This Row],[目标国家]]="魏",0,IF(表1_86121822242672112110116[[#This Row],[目标国家]]="蜀",1,2))</f>
        <v>1</v>
      </c>
      <c r="S27" s="331">
        <v>5348</v>
      </c>
      <c r="T27" s="331">
        <v>0</v>
      </c>
      <c r="U27" s="331">
        <v>108452</v>
      </c>
      <c r="V27" s="331">
        <v>3863</v>
      </c>
      <c r="W27" s="331">
        <v>465513</v>
      </c>
      <c r="X27" s="340" t="str">
        <f>"{"&amp;"'coin':"&amp;表1_86121822242672112110116[[#This Row],[补偿Coin]]&amp;",'"&amp;配置!$A$2&amp;"':"&amp;表1_86121822242672112110116[[#This Row],[补偿辎重]]&amp;"},"</f>
        <v>{'coin':1500,'item036':15},</v>
      </c>
      <c r="Y27" s="343" t="str">
        <f>"            'to_zone':'"&amp;表1_86121822242672112110116[[#This Row],[目标区服]]&amp;"',
            'reward':"&amp;表1_86121822242672112110116[[#This Row],[辅助导出]]&amp;"
            'country':["&amp;R26&amp;","&amp;R27&amp;","&amp;R28&amp;"],"</f>
        <v>            'to_zone':'h1_725',
            'reward':{'coin':1500,'item036':15},
            'country':[0,1,1],</v>
      </c>
    </row>
    <row r="28" s="312" customFormat="1" ht="14.25" customHeight="1" spans="1:25">
      <c r="A28" s="316">
        <v>7058</v>
      </c>
      <c r="B28" s="316">
        <f>VLOOKUP(表1_86121822242672112110116[[#This Row],[区服]],$P$47:$Q$60,2,FALSE)</f>
        <v>40</v>
      </c>
      <c r="C28" s="317" t="s">
        <v>285</v>
      </c>
      <c r="D28" s="320" t="str">
        <f>表1_86121822242672112110116[[#This Row],[目标国家]]</f>
        <v>蜀</v>
      </c>
      <c r="E28" s="319">
        <f>(VLOOKUP(表1_86121822242672112110116[[#This Row],[目标区服]],$R$47:$S$50,2,FALSE)-表1_86121822242672112110116[[#This Row],[开服天数]])*配置!$B$1</f>
        <v>1500</v>
      </c>
      <c r="F28" s="321">
        <f>表1_86121822242672112110116[[#This Row],[补偿Coin]]*(表1_86121822242672112110116[[#This Row],[活跃高战玩家数]]+表1_86121822242672112110116[[#This Row],[活跃中坚玩家数]])</f>
        <v>22500</v>
      </c>
      <c r="G28" s="321">
        <f>(VLOOKUP(表1_86121822242672112110116[[#This Row],[目标区服]],$R$47:$S$50,2,FALSE)-表1_86121822242672112110116[[#This Row],[开服天数]])*配置!$B$2</f>
        <v>15</v>
      </c>
      <c r="H28" s="320" t="s">
        <v>27</v>
      </c>
      <c r="I28" s="320">
        <f>IF(表1_86121822242672112110116[[#This Row],[原国家]]="魏",0,IF(表1_86121822242672112110116[[#This Row],[原国家]]="蜀",1,2))</f>
        <v>2</v>
      </c>
      <c r="J28" s="331">
        <v>2</v>
      </c>
      <c r="K28" s="331">
        <v>68</v>
      </c>
      <c r="L28" s="331">
        <v>3</v>
      </c>
      <c r="M28" s="331">
        <v>12</v>
      </c>
      <c r="N28" s="331">
        <v>83498</v>
      </c>
      <c r="O28" s="332">
        <v>1975215</v>
      </c>
      <c r="P28" s="332">
        <v>11198746</v>
      </c>
      <c r="Q28" s="339" t="s">
        <v>26</v>
      </c>
      <c r="R28" s="320">
        <f>IF(表1_86121822242672112110116[[#This Row],[目标国家]]="魏",0,IF(表1_86121822242672112110116[[#This Row],[目标国家]]="蜀",1,2))</f>
        <v>1</v>
      </c>
      <c r="S28" s="331">
        <v>12726</v>
      </c>
      <c r="T28" s="331">
        <v>55806</v>
      </c>
      <c r="U28" s="331">
        <v>335018</v>
      </c>
      <c r="V28" s="331">
        <v>5499</v>
      </c>
      <c r="W28" s="341">
        <v>661964</v>
      </c>
      <c r="X28" s="340" t="str">
        <f>"{"&amp;"'coin':"&amp;表1_86121822242672112110116[[#This Row],[补偿Coin]]&amp;",'"&amp;配置!$A$2&amp;"':"&amp;表1_86121822242672112110116[[#This Row],[补偿辎重]]&amp;"},"</f>
        <v>{'coin':1500,'item036':15},</v>
      </c>
      <c r="Y28" s="343" t="str">
        <f>"      },"</f>
        <v>      },</v>
      </c>
    </row>
    <row r="29" s="312" customFormat="1" ht="14.25" customHeight="1" spans="1:25">
      <c r="A29" s="316">
        <v>7059</v>
      </c>
      <c r="B29" s="316">
        <f>VLOOKUP(表1_86121822242672112110116[[#This Row],[区服]],$P$47:$Q$60,2,FALSE)</f>
        <v>40</v>
      </c>
      <c r="C29" s="317" t="s">
        <v>285</v>
      </c>
      <c r="D29" s="318" t="str">
        <f>表1_86121822242672112110116[[#This Row],[目标国家]]</f>
        <v>吴</v>
      </c>
      <c r="E29" s="319">
        <f>(VLOOKUP(表1_86121822242672112110116[[#This Row],[目标区服]],$R$47:$S$50,2,FALSE)-表1_86121822242672112110116[[#This Row],[开服天数]])*配置!$B$1</f>
        <v>1500</v>
      </c>
      <c r="F29" s="319">
        <f>表1_86121822242672112110116[[#This Row],[补偿Coin]]*(表1_86121822242672112110116[[#This Row],[活跃高战玩家数]]+表1_86121822242672112110116[[#This Row],[活跃中坚玩家数]])</f>
        <v>7500</v>
      </c>
      <c r="G29" s="319">
        <f>(VLOOKUP(表1_86121822242672112110116[[#This Row],[目标区服]],$R$47:$S$50,2,FALSE)-表1_86121822242672112110116[[#This Row],[开服天数]])*配置!$B$2</f>
        <v>15</v>
      </c>
      <c r="H29" s="320" t="s">
        <v>25</v>
      </c>
      <c r="I29" s="320">
        <f>IF(表1_86121822242672112110116[[#This Row],[原国家]]="魏",0,IF(表1_86121822242672112110116[[#This Row],[原国家]]="蜀",1,2))</f>
        <v>0</v>
      </c>
      <c r="J29" s="331">
        <v>0</v>
      </c>
      <c r="K29" s="331">
        <v>41</v>
      </c>
      <c r="L29" s="331">
        <v>1</v>
      </c>
      <c r="M29" s="331">
        <v>4</v>
      </c>
      <c r="N29" s="331">
        <v>18656</v>
      </c>
      <c r="O29" s="332">
        <v>624865</v>
      </c>
      <c r="P29" s="332">
        <v>1766604</v>
      </c>
      <c r="Q29" s="339" t="s">
        <v>27</v>
      </c>
      <c r="R29" s="320">
        <f>IF(表1_86121822242672112110116[[#This Row],[目标国家]]="魏",0,IF(表1_86121822242672112110116[[#This Row],[目标国家]]="蜀",1,2))</f>
        <v>2</v>
      </c>
      <c r="S29" s="331">
        <v>262</v>
      </c>
      <c r="T29" s="331">
        <v>0</v>
      </c>
      <c r="U29" s="331">
        <v>8888</v>
      </c>
      <c r="V29" s="331">
        <v>1317</v>
      </c>
      <c r="W29" s="331">
        <v>217223</v>
      </c>
      <c r="X29" s="340" t="str">
        <f>"{"&amp;"'coin':"&amp;表1_86121822242672112110116[[#This Row],[补偿Coin]]&amp;",'"&amp;配置!$A$2&amp;"':"&amp;表1_86121822242672112110116[[#This Row],[补偿辎重]]&amp;"},"</f>
        <v>{'coin':1500,'item036':15},</v>
      </c>
      <c r="Y29" s="343" t="str">
        <f>"      '"&amp;表1_86121822242672112110116[[#This Row],[区服]]&amp;"':{"</f>
        <v>      '7059':{</v>
      </c>
    </row>
    <row r="30" s="312" customFormat="1" ht="14.25" customHeight="1" spans="1:25">
      <c r="A30" s="316">
        <v>7059</v>
      </c>
      <c r="B30" s="316">
        <f>VLOOKUP(表1_86121822242672112110116[[#This Row],[区服]],$P$47:$Q$60,2,FALSE)</f>
        <v>40</v>
      </c>
      <c r="C30" s="317" t="s">
        <v>285</v>
      </c>
      <c r="D30" s="320" t="str">
        <f>表1_86121822242672112110116[[#This Row],[目标国家]]</f>
        <v>吴</v>
      </c>
      <c r="E30" s="319">
        <f>(VLOOKUP(表1_86121822242672112110116[[#This Row],[目标区服]],$R$47:$S$50,2,FALSE)-表1_86121822242672112110116[[#This Row],[开服天数]])*配置!$B$1</f>
        <v>1500</v>
      </c>
      <c r="F30" s="321">
        <f>表1_86121822242672112110116[[#This Row],[补偿Coin]]*(表1_86121822242672112110116[[#This Row],[活跃高战玩家数]]+表1_86121822242672112110116[[#This Row],[活跃中坚玩家数]])</f>
        <v>24000</v>
      </c>
      <c r="G30" s="321">
        <f>(VLOOKUP(表1_86121822242672112110116[[#This Row],[目标区服]],$R$47:$S$50,2,FALSE)-表1_86121822242672112110116[[#This Row],[开服天数]])*配置!$B$2</f>
        <v>15</v>
      </c>
      <c r="H30" s="320" t="s">
        <v>26</v>
      </c>
      <c r="I30" s="320">
        <f>IF(表1_86121822242672112110116[[#This Row],[原国家]]="魏",0,IF(表1_86121822242672112110116[[#This Row],[原国家]]="蜀",1,2))</f>
        <v>1</v>
      </c>
      <c r="J30" s="331">
        <v>1</v>
      </c>
      <c r="K30" s="331">
        <v>84</v>
      </c>
      <c r="L30" s="331">
        <v>1</v>
      </c>
      <c r="M30" s="331">
        <v>15</v>
      </c>
      <c r="N30" s="331">
        <v>85453</v>
      </c>
      <c r="O30" s="332">
        <v>869951</v>
      </c>
      <c r="P30" s="332">
        <v>7055896</v>
      </c>
      <c r="Q30" s="339" t="s">
        <v>27</v>
      </c>
      <c r="R30" s="320">
        <f>IF(表1_86121822242672112110116[[#This Row],[目标国家]]="魏",0,IF(表1_86121822242672112110116[[#This Row],[目标国家]]="蜀",1,2))</f>
        <v>2</v>
      </c>
      <c r="S30" s="331">
        <v>4870</v>
      </c>
      <c r="T30" s="331">
        <v>0</v>
      </c>
      <c r="U30" s="331">
        <v>32641</v>
      </c>
      <c r="V30" s="331">
        <v>3105</v>
      </c>
      <c r="W30" s="331">
        <v>239792</v>
      </c>
      <c r="X30" s="340" t="str">
        <f>"{"&amp;"'coin':"&amp;表1_86121822242672112110116[[#This Row],[补偿Coin]]&amp;",'"&amp;配置!$A$2&amp;"':"&amp;表1_86121822242672112110116[[#This Row],[补偿辎重]]&amp;"},"</f>
        <v>{'coin':1500,'item036':15},</v>
      </c>
      <c r="Y30" s="343" t="str">
        <f>"            'to_zone':'"&amp;表1_86121822242672112110116[[#This Row],[目标区服]]&amp;"',
            'reward':"&amp;表1_86121822242672112110116[[#This Row],[辅助导出]]&amp;"
            'country':["&amp;R29&amp;","&amp;R30&amp;","&amp;R31&amp;"],"</f>
        <v>            'to_zone':'h1_725',
            'reward':{'coin':1500,'item036':15},
            'country':[2,2,2],</v>
      </c>
    </row>
    <row r="31" s="312" customFormat="1" ht="14.25" customHeight="1" spans="1:25">
      <c r="A31" s="316">
        <v>7059</v>
      </c>
      <c r="B31" s="316">
        <f>VLOOKUP(表1_86121822242672112110116[[#This Row],[区服]],$P$47:$Q$60,2,FALSE)</f>
        <v>40</v>
      </c>
      <c r="C31" s="317" t="s">
        <v>285</v>
      </c>
      <c r="D31" s="320" t="str">
        <f>表1_86121822242672112110116[[#This Row],[目标国家]]</f>
        <v>吴</v>
      </c>
      <c r="E31" s="319">
        <f>(VLOOKUP(表1_86121822242672112110116[[#This Row],[目标区服]],$R$47:$S$50,2,FALSE)-表1_86121822242672112110116[[#This Row],[开服天数]])*配置!$B$1</f>
        <v>1500</v>
      </c>
      <c r="F31" s="321">
        <f>表1_86121822242672112110116[[#This Row],[补偿Coin]]*(表1_86121822242672112110116[[#This Row],[活跃高战玩家数]]+表1_86121822242672112110116[[#This Row],[活跃中坚玩家数]])</f>
        <v>34500</v>
      </c>
      <c r="G31" s="321">
        <f>(VLOOKUP(表1_86121822242672112110116[[#This Row],[目标区服]],$R$47:$S$50,2,FALSE)-表1_86121822242672112110116[[#This Row],[开服天数]])*配置!$B$2</f>
        <v>15</v>
      </c>
      <c r="H31" s="320" t="s">
        <v>27</v>
      </c>
      <c r="I31" s="320">
        <f>IF(表1_86121822242672112110116[[#This Row],[原国家]]="魏",0,IF(表1_86121822242672112110116[[#This Row],[原国家]]="蜀",1,2))</f>
        <v>2</v>
      </c>
      <c r="J31" s="331">
        <v>8</v>
      </c>
      <c r="K31" s="331">
        <v>270</v>
      </c>
      <c r="L31" s="331">
        <v>8</v>
      </c>
      <c r="M31" s="331">
        <v>15</v>
      </c>
      <c r="N31" s="331">
        <v>141746</v>
      </c>
      <c r="O31" s="332">
        <v>1986670</v>
      </c>
      <c r="P31" s="332">
        <v>15385943</v>
      </c>
      <c r="Q31" s="339" t="s">
        <v>27</v>
      </c>
      <c r="R31" s="320">
        <f>IF(表1_86121822242672112110116[[#This Row],[目标国家]]="魏",0,IF(表1_86121822242672112110116[[#This Row],[目标国家]]="蜀",1,2))</f>
        <v>2</v>
      </c>
      <c r="S31" s="331">
        <v>23380</v>
      </c>
      <c r="T31" s="331">
        <v>0</v>
      </c>
      <c r="U31" s="331">
        <v>273737</v>
      </c>
      <c r="V31" s="331">
        <v>8572</v>
      </c>
      <c r="W31" s="331">
        <v>556357</v>
      </c>
      <c r="X31" s="340" t="str">
        <f>"{"&amp;"'coin':"&amp;表1_86121822242672112110116[[#This Row],[补偿Coin]]&amp;",'"&amp;配置!$A$2&amp;"':"&amp;表1_86121822242672112110116[[#This Row],[补偿辎重]]&amp;"},"</f>
        <v>{'coin':1500,'item036':15},</v>
      </c>
      <c r="Y31" s="343" t="str">
        <f>"      },"</f>
        <v>      },</v>
      </c>
    </row>
    <row r="32" s="312" customFormat="1" ht="14.25" customHeight="1" spans="1:25">
      <c r="A32" s="214">
        <v>7060</v>
      </c>
      <c r="B32" s="214">
        <f>VLOOKUP(表1_86121822242672112110116[[#This Row],[区服]],$P$47:$Q$60,2,FALSE)</f>
        <v>40</v>
      </c>
      <c r="C32" s="293" t="s">
        <v>286</v>
      </c>
      <c r="D32" s="322" t="str">
        <f>表1_86121822242672112110116[[#This Row],[目标国家]]</f>
        <v>魏</v>
      </c>
      <c r="E32" s="294">
        <f>(VLOOKUP(表1_86121822242672112110116[[#This Row],[目标区服]],$R$47:$S$52,2,FALSE)-表1_86121822242672112110116[[#This Row],[开服天数]])*配置!$B$1</f>
        <v>1000</v>
      </c>
      <c r="F32" s="294">
        <f>表1_86121822242672112110116[[#This Row],[补偿Coin]]*(表1_86121822242672112110116[[#This Row],[活跃高战玩家数]]+表1_86121822242672112110116[[#This Row],[活跃中坚玩家数]])</f>
        <v>33000</v>
      </c>
      <c r="G32" s="294">
        <f>(VLOOKUP(表1_86121822242672112110116[[#This Row],[目标区服]],$R$47:$S$52,2,FALSE)-表1_86121822242672112110116[[#This Row],[开服天数]])*配置!$B$2</f>
        <v>10</v>
      </c>
      <c r="H32" s="216" t="s">
        <v>25</v>
      </c>
      <c r="I32" s="216">
        <f>IF(表1_86121822242672112110116[[#This Row],[原国家]]="魏",0,IF(表1_86121822242672112110116[[#This Row],[原国家]]="蜀",1,2))</f>
        <v>0</v>
      </c>
      <c r="J32" s="333">
        <v>9</v>
      </c>
      <c r="K32" s="333">
        <v>329</v>
      </c>
      <c r="L32" s="333">
        <v>9</v>
      </c>
      <c r="M32" s="333">
        <v>24</v>
      </c>
      <c r="N32" s="333">
        <v>195989</v>
      </c>
      <c r="O32" s="334">
        <v>1940107</v>
      </c>
      <c r="P32" s="334">
        <v>23842677</v>
      </c>
      <c r="Q32" s="247" t="s">
        <v>25</v>
      </c>
      <c r="R32" s="216">
        <f>IF(表1_86121822242672112110116[[#This Row],[目标国家]]="魏",0,IF(表1_86121822242672112110116[[#This Row],[目标国家]]="蜀",1,2))</f>
        <v>0</v>
      </c>
      <c r="S32" s="333">
        <v>24316</v>
      </c>
      <c r="T32" s="333">
        <v>0</v>
      </c>
      <c r="U32" s="333">
        <v>323252</v>
      </c>
      <c r="V32" s="333">
        <v>10385</v>
      </c>
      <c r="W32" s="342">
        <v>577684</v>
      </c>
      <c r="X32" s="249" t="str">
        <f>"{"&amp;"'coin':"&amp;表1_86121822242672112110116[[#This Row],[补偿Coin]]&amp;",'"&amp;配置!$A$2&amp;"':"&amp;表1_86121822242672112110116[[#This Row],[补偿辎重]]&amp;"},"</f>
        <v>{'coin':1000,'item036':10},</v>
      </c>
      <c r="Y32" s="251" t="str">
        <f>"      '"&amp;表1_86121822242672112110116[[#This Row],[区服]]&amp;"':{"</f>
        <v>      '7060':{</v>
      </c>
    </row>
    <row r="33" s="312" customFormat="1" ht="14.25" customHeight="1" spans="1:25">
      <c r="A33" s="214">
        <v>7060</v>
      </c>
      <c r="B33" s="214">
        <f>VLOOKUP(表1_86121822242672112110116[[#This Row],[区服]],$P$47:$Q$60,2,FALSE)</f>
        <v>40</v>
      </c>
      <c r="C33" s="293" t="s">
        <v>286</v>
      </c>
      <c r="D33" s="216" t="str">
        <f>表1_86121822242672112110116[[#This Row],[目标国家]]</f>
        <v>蜀</v>
      </c>
      <c r="E33" s="294">
        <f>(VLOOKUP(表1_86121822242672112110116[[#This Row],[目标区服]],$R$47:$S$52,2,FALSE)-表1_86121822242672112110116[[#This Row],[开服天数]])*配置!$B$1</f>
        <v>1000</v>
      </c>
      <c r="F33" s="217">
        <f>表1_86121822242672112110116[[#This Row],[补偿Coin]]*(表1_86121822242672112110116[[#This Row],[活跃高战玩家数]]+表1_86121822242672112110116[[#This Row],[活跃中坚玩家数]])</f>
        <v>15000</v>
      </c>
      <c r="G33" s="294">
        <f>(VLOOKUP(表1_86121822242672112110116[[#This Row],[目标区服]],$R$47:$S$52,2,FALSE)-表1_86121822242672112110116[[#This Row],[开服天数]])*配置!$B$2</f>
        <v>10</v>
      </c>
      <c r="H33" s="216" t="s">
        <v>26</v>
      </c>
      <c r="I33" s="216">
        <f>IF(表1_86121822242672112110116[[#This Row],[原国家]]="魏",0,IF(表1_86121822242672112110116[[#This Row],[原国家]]="蜀",1,2))</f>
        <v>1</v>
      </c>
      <c r="J33" s="333">
        <v>0</v>
      </c>
      <c r="K33" s="333">
        <v>38</v>
      </c>
      <c r="L33" s="333">
        <v>1</v>
      </c>
      <c r="M33" s="333">
        <v>14</v>
      </c>
      <c r="N33" s="333">
        <v>57517</v>
      </c>
      <c r="O33" s="334">
        <v>1159733</v>
      </c>
      <c r="P33" s="334">
        <v>7204389</v>
      </c>
      <c r="Q33" s="247" t="s">
        <v>26</v>
      </c>
      <c r="R33" s="216">
        <f>IF(表1_86121822242672112110116[[#This Row],[目标国家]]="魏",0,IF(表1_86121822242672112110116[[#This Row],[目标国家]]="蜀",1,2))</f>
        <v>1</v>
      </c>
      <c r="S33" s="333">
        <v>8978</v>
      </c>
      <c r="T33" s="333">
        <v>0</v>
      </c>
      <c r="U33" s="333">
        <v>124563</v>
      </c>
      <c r="V33" s="333">
        <v>2879</v>
      </c>
      <c r="W33" s="342">
        <v>447631</v>
      </c>
      <c r="X33" s="249" t="str">
        <f>"{"&amp;"'coin':"&amp;表1_86121822242672112110116[[#This Row],[补偿Coin]]&amp;",'"&amp;配置!$A$2&amp;"':"&amp;表1_86121822242672112110116[[#This Row],[补偿辎重]]&amp;"},"</f>
        <v>{'coin':1000,'item036':10},</v>
      </c>
      <c r="Y33" s="251" t="str">
        <f>"            'to_zone':'"&amp;表1_86121822242672112110116[[#This Row],[目标区服]]&amp;"',
            'reward':"&amp;表1_86121822242672112110116[[#This Row],[辅助导出]]&amp;"
            'country':["&amp;R32&amp;","&amp;R33&amp;","&amp;R34&amp;"],"</f>
        <v>            'to_zone':'h1_726',
            'reward':{'coin':1000,'item036':10},
            'country':[0,1,2],</v>
      </c>
    </row>
    <row r="34" s="312" customFormat="1" ht="14.25" customHeight="1" spans="1:25">
      <c r="A34" s="214">
        <v>7060</v>
      </c>
      <c r="B34" s="214">
        <f>VLOOKUP(表1_86121822242672112110116[[#This Row],[区服]],$P$47:$Q$60,2,FALSE)</f>
        <v>40</v>
      </c>
      <c r="C34" s="293" t="s">
        <v>286</v>
      </c>
      <c r="D34" s="216" t="str">
        <f>表1_86121822242672112110116[[#This Row],[目标国家]]</f>
        <v>吴</v>
      </c>
      <c r="E34" s="294">
        <f>(VLOOKUP(表1_86121822242672112110116[[#This Row],[目标区服]],$R$47:$S$52,2,FALSE)-表1_86121822242672112110116[[#This Row],[开服天数]])*配置!$B$1</f>
        <v>1000</v>
      </c>
      <c r="F34" s="217">
        <f>表1_86121822242672112110116[[#This Row],[补偿Coin]]*(表1_86121822242672112110116[[#This Row],[活跃高战玩家数]]+表1_86121822242672112110116[[#This Row],[活跃中坚玩家数]])</f>
        <v>11000</v>
      </c>
      <c r="G34" s="294">
        <f>(VLOOKUP(表1_86121822242672112110116[[#This Row],[目标区服]],$R$47:$S$52,2,FALSE)-表1_86121822242672112110116[[#This Row],[开服天数]])*配置!$B$2</f>
        <v>10</v>
      </c>
      <c r="H34" s="216" t="s">
        <v>27</v>
      </c>
      <c r="I34" s="216">
        <f>IF(表1_86121822242672112110116[[#This Row],[原国家]]="魏",0,IF(表1_86121822242672112110116[[#This Row],[原国家]]="蜀",1,2))</f>
        <v>2</v>
      </c>
      <c r="J34" s="333">
        <v>0</v>
      </c>
      <c r="K34" s="333">
        <v>28</v>
      </c>
      <c r="L34" s="333">
        <v>0</v>
      </c>
      <c r="M34" s="333">
        <v>11</v>
      </c>
      <c r="N34" s="333">
        <v>28529</v>
      </c>
      <c r="O34" s="334">
        <v>659039</v>
      </c>
      <c r="P34" s="334">
        <v>3829473</v>
      </c>
      <c r="Q34" s="247" t="s">
        <v>27</v>
      </c>
      <c r="R34" s="216">
        <f>IF(表1_86121822242672112110116[[#This Row],[目标国家]]="魏",0,IF(表1_86121822242672112110116[[#This Row],[目标国家]]="蜀",1,2))</f>
        <v>2</v>
      </c>
      <c r="S34" s="333">
        <v>210</v>
      </c>
      <c r="T34" s="333">
        <v>0</v>
      </c>
      <c r="U34" s="333">
        <v>67958</v>
      </c>
      <c r="V34" s="333">
        <v>1504</v>
      </c>
      <c r="W34" s="333">
        <v>212417</v>
      </c>
      <c r="X34" s="249" t="str">
        <f>"{"&amp;"'coin':"&amp;表1_86121822242672112110116[[#This Row],[补偿Coin]]&amp;",'"&amp;配置!$A$2&amp;"':"&amp;表1_86121822242672112110116[[#This Row],[补偿辎重]]&amp;"},"</f>
        <v>{'coin':1000,'item036':10},</v>
      </c>
      <c r="Y34" s="251" t="str">
        <f>"      },"</f>
        <v>      },</v>
      </c>
    </row>
    <row r="35" s="312" customFormat="1" ht="14.25" customHeight="1" spans="1:25">
      <c r="A35" s="214">
        <v>7061</v>
      </c>
      <c r="B35" s="214">
        <f>VLOOKUP(表1_86121822242672112110116[[#This Row],[区服]],$P$47:$Q$60,2,FALSE)</f>
        <v>40</v>
      </c>
      <c r="C35" s="293" t="s">
        <v>286</v>
      </c>
      <c r="D35" s="322" t="str">
        <f>表1_86121822242672112110116[[#This Row],[目标国家]]</f>
        <v>蜀</v>
      </c>
      <c r="E35" s="294">
        <f>(VLOOKUP(表1_86121822242672112110116[[#This Row],[目标区服]],$R$47:$S$52,2,FALSE)-表1_86121822242672112110116[[#This Row],[开服天数]])*配置!$B$1</f>
        <v>1000</v>
      </c>
      <c r="F35" s="294">
        <f>表1_86121822242672112110116[[#This Row],[补偿Coin]]*(表1_86121822242672112110116[[#This Row],[活跃高战玩家数]]+表1_86121822242672112110116[[#This Row],[活跃中坚玩家数]])</f>
        <v>18000</v>
      </c>
      <c r="G35" s="294">
        <f>(VLOOKUP(表1_86121822242672112110116[[#This Row],[目标区服]],$R$47:$S$52,2,FALSE)-表1_86121822242672112110116[[#This Row],[开服天数]])*配置!$B$2</f>
        <v>10</v>
      </c>
      <c r="H35" s="216" t="s">
        <v>25</v>
      </c>
      <c r="I35" s="216">
        <f>IF(表1_86121822242672112110116[[#This Row],[原国家]]="魏",0,IF(表1_86121822242672112110116[[#This Row],[原国家]]="蜀",1,2))</f>
        <v>0</v>
      </c>
      <c r="J35" s="333">
        <v>0</v>
      </c>
      <c r="K35" s="333">
        <v>21</v>
      </c>
      <c r="L35" s="333">
        <v>2</v>
      </c>
      <c r="M35" s="333">
        <v>16</v>
      </c>
      <c r="N35" s="333">
        <v>67181</v>
      </c>
      <c r="O35" s="334">
        <v>1020729</v>
      </c>
      <c r="P35" s="334">
        <v>8595484</v>
      </c>
      <c r="Q35" s="247" t="s">
        <v>26</v>
      </c>
      <c r="R35" s="216">
        <f>IF(表1_86121822242672112110116[[#This Row],[目标国家]]="魏",0,IF(表1_86121822242672112110116[[#This Row],[目标国家]]="蜀",1,2))</f>
        <v>1</v>
      </c>
      <c r="S35" s="333">
        <v>3600</v>
      </c>
      <c r="T35" s="333">
        <v>0</v>
      </c>
      <c r="U35" s="333">
        <v>60054</v>
      </c>
      <c r="V35" s="333">
        <v>2564</v>
      </c>
      <c r="W35" s="333">
        <v>387279</v>
      </c>
      <c r="X35" s="249" t="str">
        <f>"{"&amp;"'coin':"&amp;表1_86121822242672112110116[[#This Row],[补偿Coin]]&amp;",'"&amp;配置!$A$2&amp;"':"&amp;表1_86121822242672112110116[[#This Row],[补偿辎重]]&amp;"},"</f>
        <v>{'coin':1000,'item036':10},</v>
      </c>
      <c r="Y35" s="251" t="str">
        <f>"      '"&amp;表1_86121822242672112110116[[#This Row],[区服]]&amp;"':{"</f>
        <v>      '7061':{</v>
      </c>
    </row>
    <row r="36" s="312" customFormat="1" ht="14.25" customHeight="1" spans="1:25">
      <c r="A36" s="214">
        <v>7061</v>
      </c>
      <c r="B36" s="214">
        <f>VLOOKUP(表1_86121822242672112110116[[#This Row],[区服]],$P$47:$Q$60,2,FALSE)</f>
        <v>40</v>
      </c>
      <c r="C36" s="293" t="s">
        <v>286</v>
      </c>
      <c r="D36" s="216" t="str">
        <f>表1_86121822242672112110116[[#This Row],[目标国家]]</f>
        <v>蜀</v>
      </c>
      <c r="E36" s="294">
        <f>(VLOOKUP(表1_86121822242672112110116[[#This Row],[目标区服]],$R$47:$S$52,2,FALSE)-表1_86121822242672112110116[[#This Row],[开服天数]])*配置!$B$1</f>
        <v>1000</v>
      </c>
      <c r="F36" s="217">
        <f>表1_86121822242672112110116[[#This Row],[补偿Coin]]*(表1_86121822242672112110116[[#This Row],[活跃高战玩家数]]+表1_86121822242672112110116[[#This Row],[活跃中坚玩家数]])</f>
        <v>17000</v>
      </c>
      <c r="G36" s="294">
        <f>(VLOOKUP(表1_86121822242672112110116[[#This Row],[目标区服]],$R$47:$S$52,2,FALSE)-表1_86121822242672112110116[[#This Row],[开服天数]])*配置!$B$2</f>
        <v>10</v>
      </c>
      <c r="H36" s="216" t="s">
        <v>26</v>
      </c>
      <c r="I36" s="216">
        <f>IF(表1_86121822242672112110116[[#This Row],[原国家]]="魏",0,IF(表1_86121822242672112110116[[#This Row],[原国家]]="蜀",1,2))</f>
        <v>1</v>
      </c>
      <c r="J36" s="333">
        <v>3</v>
      </c>
      <c r="K36" s="333">
        <v>146</v>
      </c>
      <c r="L36" s="333">
        <v>3</v>
      </c>
      <c r="M36" s="333">
        <v>14</v>
      </c>
      <c r="N36" s="333">
        <v>85636</v>
      </c>
      <c r="O36" s="334">
        <v>1534149</v>
      </c>
      <c r="P36" s="334">
        <v>10531917</v>
      </c>
      <c r="Q36" s="247" t="s">
        <v>26</v>
      </c>
      <c r="R36" s="216">
        <f>IF(表1_86121822242672112110116[[#This Row],[目标国家]]="魏",0,IF(表1_86121822242672112110116[[#This Row],[目标国家]]="蜀",1,2))</f>
        <v>1</v>
      </c>
      <c r="S36" s="333">
        <v>21114</v>
      </c>
      <c r="T36" s="333">
        <v>0</v>
      </c>
      <c r="U36" s="333">
        <v>209509</v>
      </c>
      <c r="V36" s="333">
        <v>5513</v>
      </c>
      <c r="W36" s="333">
        <v>437427</v>
      </c>
      <c r="X36" s="249" t="str">
        <f>"{"&amp;"'coin':"&amp;表1_86121822242672112110116[[#This Row],[补偿Coin]]&amp;",'"&amp;配置!$A$2&amp;"':"&amp;表1_86121822242672112110116[[#This Row],[补偿辎重]]&amp;"},"</f>
        <v>{'coin':1000,'item036':10},</v>
      </c>
      <c r="Y36" s="251" t="str">
        <f>"            'to_zone':'"&amp;表1_86121822242672112110116[[#This Row],[目标区服]]&amp;"',
            'reward':"&amp;表1_86121822242672112110116[[#This Row],[辅助导出]]&amp;"
            'country':["&amp;R35&amp;","&amp;R36&amp;","&amp;R37&amp;"],"</f>
        <v>            'to_zone':'h1_726',
            'reward':{'coin':1000,'item036':10},
            'country':[1,1,2],</v>
      </c>
    </row>
    <row r="37" s="312" customFormat="1" ht="14.25" customHeight="1" spans="1:25">
      <c r="A37" s="214">
        <v>7061</v>
      </c>
      <c r="B37" s="214">
        <f>VLOOKUP(表1_86121822242672112110116[[#This Row],[区服]],$P$47:$Q$60,2,FALSE)</f>
        <v>40</v>
      </c>
      <c r="C37" s="293" t="s">
        <v>286</v>
      </c>
      <c r="D37" s="216" t="str">
        <f>表1_86121822242672112110116[[#This Row],[目标国家]]</f>
        <v>吴</v>
      </c>
      <c r="E37" s="294">
        <f>(VLOOKUP(表1_86121822242672112110116[[#This Row],[目标区服]],$R$47:$S$52,2,FALSE)-表1_86121822242672112110116[[#This Row],[开服天数]])*配置!$B$1</f>
        <v>1000</v>
      </c>
      <c r="F37" s="217">
        <f>表1_86121822242672112110116[[#This Row],[补偿Coin]]*(表1_86121822242672112110116[[#This Row],[活跃高战玩家数]]+表1_86121822242672112110116[[#This Row],[活跃中坚玩家数]])</f>
        <v>26000</v>
      </c>
      <c r="G37" s="294">
        <f>(VLOOKUP(表1_86121822242672112110116[[#This Row],[目标区服]],$R$47:$S$52,2,FALSE)-表1_86121822242672112110116[[#This Row],[开服天数]])*配置!$B$2</f>
        <v>10</v>
      </c>
      <c r="H37" s="216" t="s">
        <v>27</v>
      </c>
      <c r="I37" s="216">
        <f>IF(表1_86121822242672112110116[[#This Row],[原国家]]="魏",0,IF(表1_86121822242672112110116[[#This Row],[原国家]]="蜀",1,2))</f>
        <v>2</v>
      </c>
      <c r="J37" s="333">
        <v>6</v>
      </c>
      <c r="K37" s="333">
        <v>228</v>
      </c>
      <c r="L37" s="333">
        <v>5</v>
      </c>
      <c r="M37" s="333">
        <v>21</v>
      </c>
      <c r="N37" s="333">
        <v>140082</v>
      </c>
      <c r="O37" s="334">
        <v>1902743</v>
      </c>
      <c r="P37" s="334">
        <v>17910441</v>
      </c>
      <c r="Q37" s="247" t="s">
        <v>27</v>
      </c>
      <c r="R37" s="216">
        <f>IF(表1_86121822242672112110116[[#This Row],[目标国家]]="魏",0,IF(表1_86121822242672112110116[[#This Row],[目标国家]]="蜀",1,2))</f>
        <v>2</v>
      </c>
      <c r="S37" s="333">
        <v>45722</v>
      </c>
      <c r="T37" s="333">
        <v>0</v>
      </c>
      <c r="U37" s="333">
        <v>188484</v>
      </c>
      <c r="V37" s="333">
        <v>8740</v>
      </c>
      <c r="W37" s="342">
        <v>511601</v>
      </c>
      <c r="X37" s="249" t="str">
        <f>"{"&amp;"'coin':"&amp;表1_86121822242672112110116[[#This Row],[补偿Coin]]&amp;",'"&amp;配置!$A$2&amp;"':"&amp;表1_86121822242672112110116[[#This Row],[补偿辎重]]&amp;"},"</f>
        <v>{'coin':1000,'item036':10},</v>
      </c>
      <c r="Y37" s="251" t="str">
        <f>"      },"</f>
        <v>      },</v>
      </c>
    </row>
    <row r="38" s="312" customFormat="1" ht="14.25" customHeight="1" spans="1:25">
      <c r="A38" s="150">
        <v>7062</v>
      </c>
      <c r="B38" s="150">
        <f>VLOOKUP(表1_86121822242672112110116[[#This Row],[区服]],$P$47:$Q$60,2,FALSE)</f>
        <v>40</v>
      </c>
      <c r="C38" s="151" t="s">
        <v>287</v>
      </c>
      <c r="D38" s="256" t="str">
        <f>表1_86121822242672112110116[[#This Row],[目标国家]]</f>
        <v>魏</v>
      </c>
      <c r="E38" s="153">
        <f>(VLOOKUP(表1_86121822242672112110116[[#This Row],[目标区服]],$R$47:$S$52,2,FALSE)-表1_86121822242672112110116[[#This Row],[开服天数]])*配置!$B$1</f>
        <v>1000</v>
      </c>
      <c r="F38" s="153">
        <f>表1_86121822242672112110116[[#This Row],[补偿Coin]]*(表1_86121822242672112110116[[#This Row],[活跃高战玩家数]]+表1_86121822242672112110116[[#This Row],[活跃中坚玩家数]])</f>
        <v>29000</v>
      </c>
      <c r="G38" s="153">
        <f>(VLOOKUP(表1_86121822242672112110116[[#This Row],[目标区服]],$R$47:$S$52,2,FALSE)-表1_86121822242672112110116[[#This Row],[开服天数]])*配置!$B$2</f>
        <v>10</v>
      </c>
      <c r="H38" s="152" t="s">
        <v>25</v>
      </c>
      <c r="I38" s="152">
        <f>IF(表1_86121822242672112110116[[#This Row],[原国家]]="魏",0,IF(表1_86121822242672112110116[[#This Row],[原国家]]="蜀",1,2))</f>
        <v>0</v>
      </c>
      <c r="J38" s="327">
        <v>7</v>
      </c>
      <c r="K38" s="327">
        <v>272</v>
      </c>
      <c r="L38" s="327">
        <v>9</v>
      </c>
      <c r="M38" s="327">
        <v>20</v>
      </c>
      <c r="N38" s="327">
        <v>163177</v>
      </c>
      <c r="O38" s="328">
        <v>2437986</v>
      </c>
      <c r="P38" s="328">
        <v>23492407</v>
      </c>
      <c r="Q38" s="193" t="s">
        <v>25</v>
      </c>
      <c r="R38" s="152">
        <f>IF(表1_86121822242672112110116[[#This Row],[目标国家]]="魏",0,IF(表1_86121822242672112110116[[#This Row],[目标国家]]="蜀",1,2))</f>
        <v>0</v>
      </c>
      <c r="S38" s="327">
        <v>81344</v>
      </c>
      <c r="T38" s="327">
        <v>0</v>
      </c>
      <c r="U38" s="327">
        <v>690277</v>
      </c>
      <c r="V38" s="327">
        <v>11808</v>
      </c>
      <c r="W38" s="337">
        <v>772206</v>
      </c>
      <c r="X38" s="196" t="str">
        <f>"{"&amp;"'coin':"&amp;表1_86121822242672112110116[[#This Row],[补偿Coin]]&amp;",'"&amp;配置!$A$2&amp;"':"&amp;表1_86121822242672112110116[[#This Row],[补偿辎重]]&amp;"},"</f>
        <v>{'coin':1000,'item036':10},</v>
      </c>
      <c r="Y38" s="194" t="str">
        <f>"      '"&amp;表1_86121822242672112110116[[#This Row],[区服]]&amp;"':{"</f>
        <v>      '7062':{</v>
      </c>
    </row>
    <row r="39" s="312" customFormat="1" ht="14.25" customHeight="1" spans="1:25">
      <c r="A39" s="150">
        <v>7062</v>
      </c>
      <c r="B39" s="150">
        <f>VLOOKUP(表1_86121822242672112110116[[#This Row],[区服]],$P$47:$Q$60,2,FALSE)</f>
        <v>40</v>
      </c>
      <c r="C39" s="151" t="s">
        <v>287</v>
      </c>
      <c r="D39" s="152" t="str">
        <f>表1_86121822242672112110116[[#This Row],[目标国家]]</f>
        <v>蜀</v>
      </c>
      <c r="E39" s="153">
        <f>(VLOOKUP(表1_86121822242672112110116[[#This Row],[目标区服]],$R$47:$S$52,2,FALSE)-表1_86121822242672112110116[[#This Row],[开服天数]])*配置!$B$1</f>
        <v>1000</v>
      </c>
      <c r="F39" s="154">
        <f>表1_86121822242672112110116[[#This Row],[补偿Coin]]*(表1_86121822242672112110116[[#This Row],[活跃高战玩家数]]+表1_86121822242672112110116[[#This Row],[活跃中坚玩家数]])</f>
        <v>17000</v>
      </c>
      <c r="G39" s="153">
        <f>(VLOOKUP(表1_86121822242672112110116[[#This Row],[目标区服]],$R$47:$S$52,2,FALSE)-表1_86121822242672112110116[[#This Row],[开服天数]])*配置!$B$2</f>
        <v>10</v>
      </c>
      <c r="H39" s="152" t="s">
        <v>26</v>
      </c>
      <c r="I39" s="152">
        <f>IF(表1_86121822242672112110116[[#This Row],[原国家]]="魏",0,IF(表1_86121822242672112110116[[#This Row],[原国家]]="蜀",1,2))</f>
        <v>1</v>
      </c>
      <c r="J39" s="327">
        <v>1</v>
      </c>
      <c r="K39" s="327">
        <v>62</v>
      </c>
      <c r="L39" s="327">
        <v>0</v>
      </c>
      <c r="M39" s="327">
        <v>17</v>
      </c>
      <c r="N39" s="327">
        <v>33981</v>
      </c>
      <c r="O39" s="328">
        <v>791302</v>
      </c>
      <c r="P39" s="328">
        <v>6248670</v>
      </c>
      <c r="Q39" s="193" t="s">
        <v>26</v>
      </c>
      <c r="R39" s="152">
        <f>IF(表1_86121822242672112110116[[#This Row],[目标国家]]="魏",0,IF(表1_86121822242672112110116[[#This Row],[目标国家]]="蜀",1,2))</f>
        <v>1</v>
      </c>
      <c r="S39" s="327">
        <v>3722</v>
      </c>
      <c r="T39" s="327">
        <v>0</v>
      </c>
      <c r="U39" s="327">
        <v>156677</v>
      </c>
      <c r="V39" s="327">
        <v>2496</v>
      </c>
      <c r="W39" s="327">
        <v>322443</v>
      </c>
      <c r="X39" s="196" t="str">
        <f>"{"&amp;"'coin':"&amp;表1_86121822242672112110116[[#This Row],[补偿Coin]]&amp;",'"&amp;配置!$A$2&amp;"':"&amp;表1_86121822242672112110116[[#This Row],[补偿辎重]]&amp;"},"</f>
        <v>{'coin':1000,'item036':10},</v>
      </c>
      <c r="Y39" s="194" t="str">
        <f>"            'to_zone':'"&amp;表1_86121822242672112110116[[#This Row],[目标区服]]&amp;"',
            'reward':"&amp;表1_86121822242672112110116[[#This Row],[辅助导出]]&amp;"
            'country':["&amp;R38&amp;","&amp;R39&amp;","&amp;R40&amp;"],"</f>
        <v>            'to_zone':'h1_727',
            'reward':{'coin':1000,'item036':10},
            'country':[0,1,1],</v>
      </c>
    </row>
    <row r="40" s="312" customFormat="1" ht="14.25" customHeight="1" spans="1:25">
      <c r="A40" s="150">
        <v>7062</v>
      </c>
      <c r="B40" s="150">
        <f>VLOOKUP(表1_86121822242672112110116[[#This Row],[区服]],$P$47:$Q$60,2,FALSE)</f>
        <v>40</v>
      </c>
      <c r="C40" s="151" t="s">
        <v>287</v>
      </c>
      <c r="D40" s="152" t="str">
        <f>表1_86121822242672112110116[[#This Row],[目标国家]]</f>
        <v>蜀</v>
      </c>
      <c r="E40" s="153">
        <f>(VLOOKUP(表1_86121822242672112110116[[#This Row],[目标区服]],$R$47:$S$52,2,FALSE)-表1_86121822242672112110116[[#This Row],[开服天数]])*配置!$B$1</f>
        <v>1000</v>
      </c>
      <c r="F40" s="154">
        <f>表1_86121822242672112110116[[#This Row],[补偿Coin]]*(表1_86121822242672112110116[[#This Row],[活跃高战玩家数]]+表1_86121822242672112110116[[#This Row],[活跃中坚玩家数]])</f>
        <v>17000</v>
      </c>
      <c r="G40" s="153">
        <f>(VLOOKUP(表1_86121822242672112110116[[#This Row],[目标区服]],$R$47:$S$52,2,FALSE)-表1_86121822242672112110116[[#This Row],[开服天数]])*配置!$B$2</f>
        <v>10</v>
      </c>
      <c r="H40" s="152" t="s">
        <v>27</v>
      </c>
      <c r="I40" s="152">
        <f>IF(表1_86121822242672112110116[[#This Row],[原国家]]="魏",0,IF(表1_86121822242672112110116[[#This Row],[原国家]]="蜀",1,2))</f>
        <v>2</v>
      </c>
      <c r="J40" s="327">
        <v>1</v>
      </c>
      <c r="K40" s="327">
        <v>61</v>
      </c>
      <c r="L40" s="327">
        <v>1</v>
      </c>
      <c r="M40" s="327">
        <v>16</v>
      </c>
      <c r="N40" s="327">
        <v>66456</v>
      </c>
      <c r="O40" s="328">
        <v>1107734</v>
      </c>
      <c r="P40" s="328">
        <v>9351026</v>
      </c>
      <c r="Q40" s="193" t="s">
        <v>26</v>
      </c>
      <c r="R40" s="152">
        <f>IF(表1_86121822242672112110116[[#This Row],[目标国家]]="魏",0,IF(表1_86121822242672112110116[[#This Row],[目标国家]]="蜀",1,2))</f>
        <v>1</v>
      </c>
      <c r="S40" s="327">
        <v>24426</v>
      </c>
      <c r="T40" s="327">
        <v>0</v>
      </c>
      <c r="U40" s="327">
        <v>74924</v>
      </c>
      <c r="V40" s="327">
        <v>3855</v>
      </c>
      <c r="W40" s="327">
        <v>298499</v>
      </c>
      <c r="X40" s="196" t="str">
        <f>"{"&amp;"'coin':"&amp;表1_86121822242672112110116[[#This Row],[补偿Coin]]&amp;",'"&amp;配置!$A$2&amp;"':"&amp;表1_86121822242672112110116[[#This Row],[补偿辎重]]&amp;"},"</f>
        <v>{'coin':1000,'item036':10},</v>
      </c>
      <c r="Y40" s="194" t="str">
        <f>"      },"</f>
        <v>      },</v>
      </c>
    </row>
    <row r="41" s="312" customFormat="1" ht="14.25" customHeight="1" spans="1:25">
      <c r="A41" s="150">
        <v>7063</v>
      </c>
      <c r="B41" s="150">
        <f>VLOOKUP(表1_86121822242672112110116[[#This Row],[区服]],$P$47:$Q$60,2,FALSE)</f>
        <v>40</v>
      </c>
      <c r="C41" s="151" t="s">
        <v>287</v>
      </c>
      <c r="D41" s="256" t="str">
        <f>表1_86121822242672112110116[[#This Row],[目标国家]]</f>
        <v>吴</v>
      </c>
      <c r="E41" s="153">
        <f>(VLOOKUP(表1_86121822242672112110116[[#This Row],[目标区服]],$R$47:$S$52,2,FALSE)-表1_86121822242672112110116[[#This Row],[开服天数]])*配置!$B$1</f>
        <v>1000</v>
      </c>
      <c r="F41" s="153">
        <f>表1_86121822242672112110116[[#This Row],[补偿Coin]]*(表1_86121822242672112110116[[#This Row],[活跃高战玩家数]]+表1_86121822242672112110116[[#This Row],[活跃中坚玩家数]])</f>
        <v>34000</v>
      </c>
      <c r="G41" s="153">
        <f>(VLOOKUP(表1_86121822242672112110116[[#This Row],[目标区服]],$R$47:$S$52,2,FALSE)-表1_86121822242672112110116[[#This Row],[开服天数]])*配置!$B$2</f>
        <v>10</v>
      </c>
      <c r="H41" s="152" t="s">
        <v>25</v>
      </c>
      <c r="I41" s="152">
        <f>IF(表1_86121822242672112110116[[#This Row],[原国家]]="魏",0,IF(表1_86121822242672112110116[[#This Row],[原国家]]="蜀",1,2))</f>
        <v>0</v>
      </c>
      <c r="J41" s="327">
        <v>6</v>
      </c>
      <c r="K41" s="327">
        <v>266</v>
      </c>
      <c r="L41" s="327">
        <v>7</v>
      </c>
      <c r="M41" s="327">
        <v>27</v>
      </c>
      <c r="N41" s="327">
        <v>185688</v>
      </c>
      <c r="O41" s="328">
        <v>2793353</v>
      </c>
      <c r="P41" s="328">
        <v>26313170</v>
      </c>
      <c r="Q41" s="193" t="s">
        <v>27</v>
      </c>
      <c r="R41" s="152">
        <f>IF(表1_86121822242672112110116[[#This Row],[目标国家]]="魏",0,IF(表1_86121822242672112110116[[#This Row],[目标国家]]="蜀",1,2))</f>
        <v>2</v>
      </c>
      <c r="S41" s="327">
        <v>84102</v>
      </c>
      <c r="T41" s="327">
        <v>0</v>
      </c>
      <c r="U41" s="327">
        <v>381650</v>
      </c>
      <c r="V41" s="327">
        <v>12326</v>
      </c>
      <c r="W41" s="337">
        <v>692730</v>
      </c>
      <c r="X41" s="196" t="str">
        <f>"{"&amp;"'coin':"&amp;表1_86121822242672112110116[[#This Row],[补偿Coin]]&amp;",'"&amp;配置!$A$2&amp;"':"&amp;表1_86121822242672112110116[[#This Row],[补偿辎重]]&amp;"},"</f>
        <v>{'coin':1000,'item036':10},</v>
      </c>
      <c r="Y41" s="194" t="str">
        <f>"      '"&amp;表1_86121822242672112110116[[#This Row],[区服]]&amp;"':{"</f>
        <v>      '7063':{</v>
      </c>
    </row>
    <row r="42" s="312" customFormat="1" ht="14.25" customHeight="1" spans="1:25">
      <c r="A42" s="150">
        <v>7063</v>
      </c>
      <c r="B42" s="150">
        <f>VLOOKUP(表1_86121822242672112110116[[#This Row],[区服]],$P$47:$Q$60,2,FALSE)</f>
        <v>40</v>
      </c>
      <c r="C42" s="151" t="s">
        <v>287</v>
      </c>
      <c r="D42" s="152" t="str">
        <f>表1_86121822242672112110116[[#This Row],[目标国家]]</f>
        <v>蜀</v>
      </c>
      <c r="E42" s="153">
        <f>(VLOOKUP(表1_86121822242672112110116[[#This Row],[目标区服]],$R$47:$S$52,2,FALSE)-表1_86121822242672112110116[[#This Row],[开服天数]])*配置!$B$1</f>
        <v>1000</v>
      </c>
      <c r="F42" s="154">
        <f>表1_86121822242672112110116[[#This Row],[补偿Coin]]*(表1_86121822242672112110116[[#This Row],[活跃高战玩家数]]+表1_86121822242672112110116[[#This Row],[活跃中坚玩家数]])</f>
        <v>20000</v>
      </c>
      <c r="G42" s="153">
        <f>(VLOOKUP(表1_86121822242672112110116[[#This Row],[目标区服]],$R$47:$S$52,2,FALSE)-表1_86121822242672112110116[[#This Row],[开服天数]])*配置!$B$2</f>
        <v>10</v>
      </c>
      <c r="H42" s="152" t="s">
        <v>26</v>
      </c>
      <c r="I42" s="152">
        <f>IF(表1_86121822242672112110116[[#This Row],[原国家]]="魏",0,IF(表1_86121822242672112110116[[#This Row],[原国家]]="蜀",1,2))</f>
        <v>1</v>
      </c>
      <c r="J42" s="327">
        <v>1</v>
      </c>
      <c r="K42" s="327">
        <v>62</v>
      </c>
      <c r="L42" s="327">
        <v>3</v>
      </c>
      <c r="M42" s="327">
        <v>17</v>
      </c>
      <c r="N42" s="327">
        <v>81471</v>
      </c>
      <c r="O42" s="328">
        <v>1459055</v>
      </c>
      <c r="P42" s="328">
        <v>11015782</v>
      </c>
      <c r="Q42" s="193" t="s">
        <v>26</v>
      </c>
      <c r="R42" s="152">
        <f>IF(表1_86121822242672112110116[[#This Row],[目标国家]]="魏",0,IF(表1_86121822242672112110116[[#This Row],[目标国家]]="蜀",1,2))</f>
        <v>1</v>
      </c>
      <c r="S42" s="327">
        <v>20474</v>
      </c>
      <c r="T42" s="327">
        <v>0</v>
      </c>
      <c r="U42" s="327">
        <v>94224</v>
      </c>
      <c r="V42" s="327">
        <v>4349</v>
      </c>
      <c r="W42" s="337">
        <v>405171</v>
      </c>
      <c r="X42" s="196" t="str">
        <f>"{"&amp;"'coin':"&amp;表1_86121822242672112110116[[#This Row],[补偿Coin]]&amp;",'"&amp;配置!$A$2&amp;"':"&amp;表1_86121822242672112110116[[#This Row],[补偿辎重]]&amp;"},"</f>
        <v>{'coin':1000,'item036':10},</v>
      </c>
      <c r="Y42" s="194" t="str">
        <f>"            'to_zone':'"&amp;表1_86121822242672112110116[[#This Row],[目标区服]]&amp;"',
            'reward':"&amp;表1_86121822242672112110116[[#This Row],[辅助导出]]&amp;"
            'country':["&amp;R41&amp;","&amp;R42&amp;","&amp;R43&amp;"],"</f>
        <v>            'to_zone':'h1_727',
            'reward':{'coin':1000,'item036':10},
            'country':[2,1,1],</v>
      </c>
    </row>
    <row r="43" s="312" customFormat="1" ht="14.25" customHeight="1" spans="1:25">
      <c r="A43" s="150">
        <v>7063</v>
      </c>
      <c r="B43" s="150">
        <f>VLOOKUP(表1_86121822242672112110116[[#This Row],[区服]],$P$47:$Q$60,2,FALSE)</f>
        <v>40</v>
      </c>
      <c r="C43" s="151" t="s">
        <v>287</v>
      </c>
      <c r="D43" s="152" t="str">
        <f>表1_86121822242672112110116[[#This Row],[目标国家]]</f>
        <v>蜀</v>
      </c>
      <c r="E43" s="153">
        <f>(VLOOKUP(表1_86121822242672112110116[[#This Row],[目标区服]],$R$47:$S$52,2,FALSE)-表1_86121822242672112110116[[#This Row],[开服天数]])*配置!$B$1</f>
        <v>1000</v>
      </c>
      <c r="F43" s="154">
        <f>表1_86121822242672112110116[[#This Row],[补偿Coin]]*(表1_86121822242672112110116[[#This Row],[活跃高战玩家数]]+表1_86121822242672112110116[[#This Row],[活跃中坚玩家数]])</f>
        <v>10000</v>
      </c>
      <c r="G43" s="153">
        <f>(VLOOKUP(表1_86121822242672112110116[[#This Row],[目标区服]],$R$47:$S$52,2,FALSE)-表1_86121822242672112110116[[#This Row],[开服天数]])*配置!$B$2</f>
        <v>10</v>
      </c>
      <c r="H43" s="152" t="s">
        <v>27</v>
      </c>
      <c r="I43" s="152">
        <f>IF(表1_86121822242672112110116[[#This Row],[原国家]]="魏",0,IF(表1_86121822242672112110116[[#This Row],[原国家]]="蜀",1,2))</f>
        <v>2</v>
      </c>
      <c r="J43" s="327">
        <v>2</v>
      </c>
      <c r="K43" s="327">
        <v>67</v>
      </c>
      <c r="L43" s="327">
        <v>0</v>
      </c>
      <c r="M43" s="327">
        <v>10</v>
      </c>
      <c r="N43" s="327">
        <v>23457</v>
      </c>
      <c r="O43" s="328">
        <v>745878</v>
      </c>
      <c r="P43" s="328">
        <v>3716226</v>
      </c>
      <c r="Q43" s="193" t="s">
        <v>26</v>
      </c>
      <c r="R43" s="152">
        <f>IF(表1_86121822242672112110116[[#This Row],[目标国家]]="魏",0,IF(表1_86121822242672112110116[[#This Row],[目标国家]]="蜀",1,2))</f>
        <v>1</v>
      </c>
      <c r="S43" s="327">
        <v>1240</v>
      </c>
      <c r="T43" s="327">
        <v>0</v>
      </c>
      <c r="U43" s="327">
        <v>61987</v>
      </c>
      <c r="V43" s="327">
        <v>2172</v>
      </c>
      <c r="W43" s="327">
        <v>234985</v>
      </c>
      <c r="X43" s="196" t="str">
        <f>"{"&amp;"'coin':"&amp;表1_86121822242672112110116[[#This Row],[补偿Coin]]&amp;",'"&amp;配置!$A$2&amp;"':"&amp;表1_86121822242672112110116[[#This Row],[补偿辎重]]&amp;"},"</f>
        <v>{'coin':1000,'item036':10},</v>
      </c>
      <c r="Y43" s="194" t="str">
        <f>"      },"</f>
        <v>      },</v>
      </c>
    </row>
    <row r="46" ht="37.5" customHeight="1" spans="1:19">
      <c r="A46" s="36" t="s">
        <v>28</v>
      </c>
      <c r="B46" s="37" t="s">
        <v>29</v>
      </c>
      <c r="C46" s="38" t="s">
        <v>30</v>
      </c>
      <c r="D46" s="38" t="s">
        <v>31</v>
      </c>
      <c r="E46" s="38" t="s">
        <v>32</v>
      </c>
      <c r="F46" s="38" t="s">
        <v>33</v>
      </c>
      <c r="G46" s="38" t="s">
        <v>15</v>
      </c>
      <c r="H46" s="37" t="s">
        <v>18</v>
      </c>
      <c r="I46" s="37" t="s">
        <v>19</v>
      </c>
      <c r="J46" s="37" t="s">
        <v>20</v>
      </c>
      <c r="K46" s="38" t="s">
        <v>35</v>
      </c>
      <c r="L46" s="38" t="s">
        <v>36</v>
      </c>
      <c r="M46" s="38" t="s">
        <v>37</v>
      </c>
      <c r="N46" s="38" t="s">
        <v>88</v>
      </c>
      <c r="P46" s="51" t="s">
        <v>0</v>
      </c>
      <c r="Q46" s="51" t="s">
        <v>1</v>
      </c>
      <c r="R46" s="51"/>
      <c r="S46" s="51" t="s">
        <v>38</v>
      </c>
    </row>
    <row r="47" ht="15.75" customHeight="1" spans="1:19">
      <c r="A47" s="178" t="s">
        <v>282</v>
      </c>
      <c r="B47" s="178" t="s">
        <v>25</v>
      </c>
      <c r="C47" s="178">
        <f>COUNTIFS(表1_86121822242672112110116[目标区服],表2_97131923252773113111117[[#This Row],[合区区服]],表1_86121822242672112110116[目标国家（映射）],表2_97131923252773113111117[[#This Row],[国家]])</f>
        <v>2</v>
      </c>
      <c r="D47" s="178">
        <f>SUMIFS(表1_86121822242672112110116[活跃高战玩家数],表1_86121822242672112110116[目标区服],表2_97131923252773113111117[[#This Row],[合区区服]],表1_86121822242672112110116[目标国家（映射）],表2_97131923252773113111117[[#This Row],[国家]])</f>
        <v>5</v>
      </c>
      <c r="E47" s="178">
        <f>SUMIFS(表1_86121822242672112110116[活跃中坚玩家数],表1_86121822242672112110116[目标区服],表2_97131923252773113111117[[#This Row],[合区区服]],表1_86121822242672112110116[目标国家（映射）],表2_97131923252773113111117[[#This Row],[国家]])</f>
        <v>39</v>
      </c>
      <c r="F47" s="178">
        <f t="array" ref="F47">MAX((表1_86121822242672112110116[目标区服]=表2_97131923252773113111117[[#This Row],[合区区服]])*(表1_86121822242672112110116[目标国家（映射）]=表2_97131923252773113111117[[#This Row],[国家]])*表1_86121822242672112110116[活跃尖端战力])</f>
        <v>3100646</v>
      </c>
      <c r="G47" s="179">
        <f>SUMIFS(表1_86121822242672112110116[活跃总战力],表1_86121822242672112110116[目标区服],表2_97131923252773113111117[[#This Row],[合区区服]],表1_86121822242672112110116[目标国家（映射）],表2_97131923252773113111117[[#This Row],[国家]])</f>
        <v>40516822</v>
      </c>
      <c r="H47" s="178">
        <f>SUMIFS(表1_86121822242672112110116[活跃实际充值],表1_86121822242672112110116[目标区服],表2_97131923252773113111117[[#This Row],[合区区服]],表1_86121822242672112110116[目标国家（映射）],表2_97131923252773113111117[[#This Row],[国家]])</f>
        <v>127020</v>
      </c>
      <c r="I47" s="178">
        <f>SUMIFS(表1_86121822242672112110116[活跃虚拟充值],表1_86121822242672112110116[目标区服],表2_97131923252773113111117[[#This Row],[合区区服]],表1_86121822242672112110116[目标国家（映射）],表2_97131923252773113111117[[#This Row],[国家]])</f>
        <v>0</v>
      </c>
      <c r="J47" s="178">
        <f>SUMIFS(表1_86121822242672112110116[活跃Coin],表1_86121822242672112110116[目标区服],表2_97131923252773113111117[[#This Row],[合区区服]],表1_86121822242672112110116[目标国家（映射）],表2_97131923252773113111117[[#This Row],[国家]])</f>
        <v>542932</v>
      </c>
      <c r="K47" s="178">
        <f>SUMIFS(表1_86121822242672112110116[共计补偿Coin],表1_86121822242672112110116[目标区服],表2_97131923252773113111117[[#This Row],[合区区服]],表1_86121822242672112110116[目标国家（映射）],表2_97131923252773113111117[[#This Row],[国家]])</f>
        <v>53000</v>
      </c>
      <c r="L47" s="178">
        <f>表2_97131923252773113111117[[#This Row],[活跃Coin]]+表2_97131923252773113111117[[#This Row],[共计补偿Coin]]</f>
        <v>595932</v>
      </c>
      <c r="M47" s="178">
        <f>SUMIFS(表1_86121822242672112110116[综合国力],表1_86121822242672112110116[目标区服],表2_97131923252773113111117[[#This Row],[合区区服]],表1_86121822242672112110116[目标国家（映射）],表2_97131923252773113111117[[#This Row],[国家]])</f>
        <v>16418</v>
      </c>
      <c r="N47" s="178">
        <f t="array" ref="N47">MAX((表1_86121822242672112110116[目标区服]=表2_97131923252773113111117[[#This Row],[合区区服]])*(表1_86121822242672112110116[目标国家（映射）]=表2_97131923252773113111117[[#This Row],[国家]])*表1_86121822242672112110116[单将最高战力])</f>
        <v>1080786</v>
      </c>
      <c r="P47" s="335">
        <v>7050</v>
      </c>
      <c r="Q47" s="335">
        <v>45</v>
      </c>
      <c r="R47" s="51" t="s">
        <v>282</v>
      </c>
      <c r="S47" s="51">
        <v>47</v>
      </c>
    </row>
    <row r="48" ht="15" spans="1:19">
      <c r="A48" s="178" t="s">
        <v>282</v>
      </c>
      <c r="B48" s="178" t="s">
        <v>26</v>
      </c>
      <c r="C48" s="178">
        <f>COUNTIFS(表1_86121822242672112110116[目标区服],表2_97131923252773113111117[[#This Row],[合区区服]],表1_86121822242672112110116[目标国家（映射）],表2_97131923252773113111117[[#This Row],[国家]])</f>
        <v>2</v>
      </c>
      <c r="D48" s="178">
        <f>SUMIFS(表1_86121822242672112110116[活跃高战玩家数],表1_86121822242672112110116[目标区服],表2_97131923252773113111117[[#This Row],[合区区服]],表1_86121822242672112110116[目标国家（映射）],表2_97131923252773113111117[[#This Row],[国家]])</f>
        <v>7</v>
      </c>
      <c r="E48" s="178">
        <f>SUMIFS(表1_86121822242672112110116[活跃中坚玩家数],表1_86121822242672112110116[目标区服],表2_97131923252773113111117[[#This Row],[合区区服]],表1_86121822242672112110116[目标国家（映射）],表2_97131923252773113111117[[#This Row],[国家]])</f>
        <v>58</v>
      </c>
      <c r="F48" s="178">
        <f t="array" ref="F48">MAX((表1_86121822242672112110116[目标区服]=表2_97131923252773113111117[[#This Row],[合区区服]])*(表1_86121822242672112110116[目标国家（映射）]=表2_97131923252773113111117[[#This Row],[国家]])*表1_86121822242672112110116[活跃尖端战力])</f>
        <v>2235545</v>
      </c>
      <c r="G48" s="179">
        <f>SUMIFS(表1_86121822242672112110116[活跃总战力],表1_86121822242672112110116[目标区服],表2_97131923252773113111117[[#This Row],[合区区服]],表1_86121822242672112110116[目标国家（映射）],表2_97131923252773113111117[[#This Row],[国家]])</f>
        <v>54458722</v>
      </c>
      <c r="H48" s="178">
        <f>SUMIFS(表1_86121822242672112110116[活跃实际充值],表1_86121822242672112110116[目标区服],表2_97131923252773113111117[[#This Row],[合区区服]],表1_86121822242672112110116[目标国家（映射）],表2_97131923252773113111117[[#This Row],[国家]])</f>
        <v>55744</v>
      </c>
      <c r="I48" s="178">
        <f>SUMIFS(表1_86121822242672112110116[活跃虚拟充值],表1_86121822242672112110116[目标区服],表2_97131923252773113111117[[#This Row],[合区区服]],表1_86121822242672112110116[目标国家（映射）],表2_97131923252773113111117[[#This Row],[国家]])</f>
        <v>0</v>
      </c>
      <c r="J48" s="178">
        <f>SUMIFS(表1_86121822242672112110116[活跃Coin],表1_86121822242672112110116[目标区服],表2_97131923252773113111117[[#This Row],[合区区服]],表1_86121822242672112110116[目标国家（映射）],表2_97131923252773113111117[[#This Row],[国家]])</f>
        <v>822079</v>
      </c>
      <c r="K48" s="178">
        <f>SUMIFS(表1_86121822242672112110116[共计补偿Coin],表1_86121822242672112110116[目标区服],表2_97131923252773113111117[[#This Row],[合区区服]],表1_86121822242672112110116[目标国家（映射）],表2_97131923252773113111117[[#This Row],[国家]])</f>
        <v>65000</v>
      </c>
      <c r="L48" s="178">
        <f>表2_97131923252773113111117[[#This Row],[活跃Coin]]+表2_97131923252773113111117[[#This Row],[共计补偿Coin]]</f>
        <v>887079</v>
      </c>
      <c r="M48" s="178">
        <f>SUMIFS(表1_86121822242672112110116[综合国力],表1_86121822242672112110116[目标区服],表2_97131923252773113111117[[#This Row],[合区区服]],表1_86121822242672112110116[目标国家（映射）],表2_97131923252773113111117[[#This Row],[国家]])</f>
        <v>16424</v>
      </c>
      <c r="N48" s="178">
        <f t="array" ref="N48">MAX((表1_86121822242672112110116[目标区服]=表2_97131923252773113111117[[#This Row],[合区区服]])*(表1_86121822242672112110116[目标国家（映射）]=表2_97131923252773113111117[[#This Row],[国家]])*表1_86121822242672112110116[单将最高战力])</f>
        <v>641271</v>
      </c>
      <c r="P48" s="335">
        <v>7051</v>
      </c>
      <c r="Q48" s="335">
        <v>44</v>
      </c>
      <c r="R48" s="51" t="s">
        <v>283</v>
      </c>
      <c r="S48" s="51">
        <v>45</v>
      </c>
    </row>
    <row r="49" ht="15" spans="1:19">
      <c r="A49" s="178" t="s">
        <v>282</v>
      </c>
      <c r="B49" s="178" t="s">
        <v>27</v>
      </c>
      <c r="C49" s="178">
        <f>COUNTIFS(表1_86121822242672112110116[目标区服],表2_97131923252773113111117[[#This Row],[合区区服]],表1_86121822242672112110116[目标国家（映射）],表2_97131923252773113111117[[#This Row],[国家]])</f>
        <v>2</v>
      </c>
      <c r="D49" s="178">
        <f>SUMIFS(表1_86121822242672112110116[活跃高战玩家数],表1_86121822242672112110116[目标区服],表2_97131923252773113111117[[#This Row],[合区区服]],表1_86121822242672112110116[目标国家（映射）],表2_97131923252773113111117[[#This Row],[国家]])</f>
        <v>5</v>
      </c>
      <c r="E49" s="178">
        <f>SUMIFS(表1_86121822242672112110116[活跃中坚玩家数],表1_86121822242672112110116[目标区服],表2_97131923252773113111117[[#This Row],[合区区服]],表1_86121822242672112110116[目标国家（映射）],表2_97131923252773113111117[[#This Row],[国家]])</f>
        <v>48</v>
      </c>
      <c r="F49" s="178">
        <f t="array" ref="F49">MAX((表1_86121822242672112110116[目标区服]=表2_97131923252773113111117[[#This Row],[合区区服]])*(表1_86121822242672112110116[目标国家（映射）]=表2_97131923252773113111117[[#This Row],[国家]])*表1_86121822242672112110116[活跃尖端战力])</f>
        <v>3351597</v>
      </c>
      <c r="G49" s="179">
        <f>SUMIFS(表1_86121822242672112110116[活跃总战力],表1_86121822242672112110116[目标区服],表2_97131923252773113111117[[#This Row],[合区区服]],表1_86121822242672112110116[目标国家（映射）],表2_97131923252773113111117[[#This Row],[国家]])</f>
        <v>45937373</v>
      </c>
      <c r="H49" s="178">
        <f>SUMIFS(表1_86121822242672112110116[活跃实际充值],表1_86121822242672112110116[目标区服],表2_97131923252773113111117[[#This Row],[合区区服]],表1_86121822242672112110116[目标国家（映射）],表2_97131923252773113111117[[#This Row],[国家]])</f>
        <v>138842</v>
      </c>
      <c r="I49" s="178">
        <f>SUMIFS(表1_86121822242672112110116[活跃虚拟充值],表1_86121822242672112110116[目标区服],表2_97131923252773113111117[[#This Row],[合区区服]],表1_86121822242672112110116[目标国家（映射）],表2_97131923252773113111117[[#This Row],[国家]])</f>
        <v>0</v>
      </c>
      <c r="J49" s="178">
        <f>SUMIFS(表1_86121822242672112110116[活跃Coin],表1_86121822242672112110116[目标区服],表2_97131923252773113111117[[#This Row],[合区区服]],表1_86121822242672112110116[目标国家（映射）],表2_97131923252773113111117[[#This Row],[国家]])</f>
        <v>464406</v>
      </c>
      <c r="K49" s="178">
        <f>SUMIFS(表1_86121822242672112110116[共计补偿Coin],表1_86121822242672112110116[目标区服],表2_97131923252773113111117[[#This Row],[合区区服]],表1_86121822242672112110116[目标国家（映射）],表2_97131923252773113111117[[#This Row],[国家]])</f>
        <v>79500</v>
      </c>
      <c r="L49" s="178">
        <f>表2_97131923252773113111117[[#This Row],[活跃Coin]]+表2_97131923252773113111117[[#This Row],[共计补偿Coin]]</f>
        <v>543906</v>
      </c>
      <c r="M49" s="178">
        <f>SUMIFS(表1_86121822242672112110116[综合国力],表1_86121822242672112110116[目标区服],表2_97131923252773113111117[[#This Row],[合区区服]],表1_86121822242672112110116[目标国家（映射）],表2_97131923252773113111117[[#This Row],[国家]])</f>
        <v>18470</v>
      </c>
      <c r="N49" s="178">
        <f t="array" ref="N49">MAX((表1_86121822242672112110116[目标区服]=表2_97131923252773113111117[[#This Row],[合区区服]])*(表1_86121822242672112110116[目标国家（映射）]=表2_97131923252773113111117[[#This Row],[国家]])*表1_86121822242672112110116[单将最高战力])</f>
        <v>1102656</v>
      </c>
      <c r="P49" s="335">
        <v>7052</v>
      </c>
      <c r="Q49" s="335">
        <v>43</v>
      </c>
      <c r="R49" s="51" t="s">
        <v>284</v>
      </c>
      <c r="S49" s="51">
        <v>44</v>
      </c>
    </row>
    <row r="50" ht="15" spans="1:19">
      <c r="A50" s="186" t="s">
        <v>283</v>
      </c>
      <c r="B50" s="186" t="s">
        <v>25</v>
      </c>
      <c r="C50" s="186">
        <f>COUNTIFS(表1_86121822242672112110116[目标区服],表2_97131923252773113111117[[#This Row],[合区区服]],表1_86121822242672112110116[目标国家（映射）],表2_97131923252773113111117[[#This Row],[国家]])</f>
        <v>2</v>
      </c>
      <c r="D50" s="186">
        <f>SUMIFS(表1_86121822242672112110116[活跃高战玩家数],表1_86121822242672112110116[目标区服],表2_97131923252773113111117[[#This Row],[合区区服]],表1_86121822242672112110116[目标国家（映射）],表2_97131923252773113111117[[#This Row],[国家]])</f>
        <v>5</v>
      </c>
      <c r="E50" s="186">
        <f>SUMIFS(表1_86121822242672112110116[活跃中坚玩家数],表1_86121822242672112110116[目标区服],表2_97131923252773113111117[[#This Row],[合区区服]],表1_86121822242672112110116[目标国家（映射）],表2_97131923252773113111117[[#This Row],[国家]])</f>
        <v>37</v>
      </c>
      <c r="F50" s="186">
        <f t="array" ref="F50">MAX((表1_86121822242672112110116[目标区服]=表2_97131923252773113111117[[#This Row],[合区区服]])*(表1_86121822242672112110116[目标国家（映射）]=表2_97131923252773113111117[[#This Row],[国家]])*表1_86121822242672112110116[活跃尖端战力])</f>
        <v>2496362</v>
      </c>
      <c r="G50" s="187">
        <f>SUMIFS(表1_86121822242672112110116[活跃总战力],表1_86121822242672112110116[目标区服],表2_97131923252773113111117[[#This Row],[合区区服]],表1_86121822242672112110116[目标国家（映射）],表2_97131923252773113111117[[#This Row],[国家]])</f>
        <v>32137564</v>
      </c>
      <c r="H50" s="186">
        <f>SUMIFS(表1_86121822242672112110116[活跃实际充值],表1_86121822242672112110116[目标区服],表2_97131923252773113111117[[#This Row],[合区区服]],表1_86121822242672112110116[目标国家（映射）],表2_97131923252773113111117[[#This Row],[国家]])</f>
        <v>65692</v>
      </c>
      <c r="I50" s="186">
        <f>SUMIFS(表1_86121822242672112110116[活跃虚拟充值],表1_86121822242672112110116[目标区服],表2_97131923252773113111117[[#This Row],[合区区服]],表1_86121822242672112110116[目标国家（映射）],表2_97131923252773113111117[[#This Row],[国家]])</f>
        <v>0</v>
      </c>
      <c r="J50" s="186">
        <f>SUMIFS(表1_86121822242672112110116[活跃Coin],表1_86121822242672112110116[目标区服],表2_97131923252773113111117[[#This Row],[合区区服]],表1_86121822242672112110116[目标国家（映射）],表2_97131923252773113111117[[#This Row],[国家]])</f>
        <v>516171</v>
      </c>
      <c r="K50" s="186">
        <f>SUMIFS(表1_86121822242672112110116[共计补偿Coin],表1_86121822242672112110116[目标区服],表2_97131923252773113111117[[#This Row],[合区区服]],表1_86121822242672112110116[目标国家（映射）],表2_97131923252773113111117[[#This Row],[国家]])</f>
        <v>49000</v>
      </c>
      <c r="L50" s="186">
        <f>表2_97131923252773113111117[[#This Row],[活跃Coin]]+表2_97131923252773113111117[[#This Row],[共计补偿Coin]]</f>
        <v>565171</v>
      </c>
      <c r="M50" s="186">
        <f>SUMIFS(表1_86121822242672112110116[综合国力],表1_86121822242672112110116[目标区服],表2_97131923252773113111117[[#This Row],[合区区服]],表1_86121822242672112110116[目标国家（映射）],表2_97131923252773113111117[[#This Row],[国家]])</f>
        <v>12369</v>
      </c>
      <c r="N50" s="186">
        <f t="array" ref="N50">MAX((表1_86121822242672112110116[目标区服]=表2_97131923252773113111117[[#This Row],[合区区服]])*(表1_86121822242672112110116[目标国家（映射）]=表2_97131923252773113111117[[#This Row],[国家]])*表1_86121822242672112110116[单将最高战力])</f>
        <v>760698</v>
      </c>
      <c r="P50" s="335">
        <v>7053</v>
      </c>
      <c r="Q50" s="335">
        <v>42</v>
      </c>
      <c r="R50" s="51" t="s">
        <v>285</v>
      </c>
      <c r="S50" s="51">
        <v>43</v>
      </c>
    </row>
    <row r="51" ht="15" spans="1:19">
      <c r="A51" s="186" t="s">
        <v>283</v>
      </c>
      <c r="B51" s="186" t="s">
        <v>26</v>
      </c>
      <c r="C51" s="186">
        <f>COUNTIFS(表1_86121822242672112110116[目标区服],表2_97131923252773113111117[[#This Row],[合区区服]],表1_86121822242672112110116[目标国家（映射）],表2_97131923252773113111117[[#This Row],[国家]])</f>
        <v>2</v>
      </c>
      <c r="D51" s="186">
        <f>SUMIFS(表1_86121822242672112110116[活跃高战玩家数],表1_86121822242672112110116[目标区服],表2_97131923252773113111117[[#This Row],[合区区服]],表1_86121822242672112110116[目标国家（映射）],表2_97131923252773113111117[[#This Row],[国家]])</f>
        <v>8</v>
      </c>
      <c r="E51" s="186">
        <f>SUMIFS(表1_86121822242672112110116[活跃中坚玩家数],表1_86121822242672112110116[目标区服],表2_97131923252773113111117[[#This Row],[合区区服]],表1_86121822242672112110116[目标国家（映射）],表2_97131923252773113111117[[#This Row],[国家]])</f>
        <v>45</v>
      </c>
      <c r="F51" s="186">
        <f t="array" ref="F51">MAX((表1_86121822242672112110116[目标区服]=表2_97131923252773113111117[[#This Row],[合区区服]])*(表1_86121822242672112110116[目标国家（映射）]=表2_97131923252773113111117[[#This Row],[国家]])*表1_86121822242672112110116[活跃尖端战力])</f>
        <v>2217295</v>
      </c>
      <c r="G51" s="187">
        <f>SUMIFS(表1_86121822242672112110116[活跃总战力],表1_86121822242672112110116[目标区服],表2_97131923252773113111117[[#This Row],[合区区服]],表1_86121822242672112110116[目标国家（映射）],表2_97131923252773113111117[[#This Row],[国家]])</f>
        <v>38103763</v>
      </c>
      <c r="H51" s="186">
        <f>SUMIFS(表1_86121822242672112110116[活跃实际充值],表1_86121822242672112110116[目标区服],表2_97131923252773113111117[[#This Row],[合区区服]],表1_86121822242672112110116[目标国家（映射）],表2_97131923252773113111117[[#This Row],[国家]])</f>
        <v>53878</v>
      </c>
      <c r="I51" s="186">
        <f>SUMIFS(表1_86121822242672112110116[活跃虚拟充值],表1_86121822242672112110116[目标区服],表2_97131923252773113111117[[#This Row],[合区区服]],表1_86121822242672112110116[目标国家（映射）],表2_97131923252773113111117[[#This Row],[国家]])</f>
        <v>0</v>
      </c>
      <c r="J51" s="186">
        <f>SUMIFS(表1_86121822242672112110116[活跃Coin],表1_86121822242672112110116[目标区服],表2_97131923252773113111117[[#This Row],[合区区服]],表1_86121822242672112110116[目标国家（映射）],表2_97131923252773113111117[[#This Row],[国家]])</f>
        <v>362155</v>
      </c>
      <c r="K51" s="186">
        <f>SUMIFS(表1_86121822242672112110116[共计补偿Coin],表1_86121822242672112110116[目标区服],表2_97131923252773113111117[[#This Row],[合区区服]],表1_86121822242672112110116[目标国家（映射）],表2_97131923252773113111117[[#This Row],[国家]])</f>
        <v>79500</v>
      </c>
      <c r="L51" s="186">
        <f>表2_97131923252773113111117[[#This Row],[活跃Coin]]+表2_97131923252773113111117[[#This Row],[共计补偿Coin]]</f>
        <v>441655</v>
      </c>
      <c r="M51" s="186">
        <f>SUMIFS(表1_86121822242672112110116[综合国力],表1_86121822242672112110116[目标区服],表2_97131923252773113111117[[#This Row],[合区区服]],表1_86121822242672112110116[目标国家（映射）],表2_97131923252773113111117[[#This Row],[国家]])</f>
        <v>14748</v>
      </c>
      <c r="N51" s="186">
        <f t="array" ref="N51">MAX((表1_86121822242672112110116[目标区服]=表2_97131923252773113111117[[#This Row],[合区区服]])*(表1_86121822242672112110116[目标国家（映射）]=表2_97131923252773113111117[[#This Row],[国家]])*表1_86121822242672112110116[单将最高战力])</f>
        <v>981578</v>
      </c>
      <c r="P51" s="335">
        <v>7054</v>
      </c>
      <c r="Q51" s="335">
        <v>42</v>
      </c>
      <c r="R51" s="51" t="s">
        <v>286</v>
      </c>
      <c r="S51" s="51">
        <v>42</v>
      </c>
    </row>
    <row r="52" ht="15" spans="1:19">
      <c r="A52" s="186" t="s">
        <v>283</v>
      </c>
      <c r="B52" s="188" t="s">
        <v>27</v>
      </c>
      <c r="C52" s="188">
        <f>COUNTIFS(表1_86121822242672112110116[目标区服],表2_97131923252773113111117[[#This Row],[合区区服]],表1_86121822242672112110116[目标国家（映射）],表2_97131923252773113111117[[#This Row],[国家]])</f>
        <v>2</v>
      </c>
      <c r="D52" s="188">
        <f>SUMIFS(表1_86121822242672112110116[活跃高战玩家数],表1_86121822242672112110116[目标区服],表2_97131923252773113111117[[#This Row],[合区区服]],表1_86121822242672112110116[目标国家（映射）],表2_97131923252773113111117[[#This Row],[国家]])</f>
        <v>6</v>
      </c>
      <c r="E52" s="188">
        <f>SUMIFS(表1_86121822242672112110116[活跃中坚玩家数],表1_86121822242672112110116[目标区服],表2_97131923252773113111117[[#This Row],[合区区服]],表1_86121822242672112110116[目标国家（映射）],表2_97131923252773113111117[[#This Row],[国家]])</f>
        <v>51</v>
      </c>
      <c r="F52" s="188">
        <f t="array" ref="F52">MAX((表1_86121822242672112110116[目标区服]=表2_97131923252773113111117[[#This Row],[合区区服]])*(表1_86121822242672112110116[目标国家（映射）]=表2_97131923252773113111117[[#This Row],[国家]])*表1_86121822242672112110116[活跃尖端战力])</f>
        <v>2461433</v>
      </c>
      <c r="G52" s="309">
        <f>SUMIFS(表1_86121822242672112110116[活跃总战力],表1_86121822242672112110116[目标区服],表2_97131923252773113111117[[#This Row],[合区区服]],表1_86121822242672112110116[目标国家（映射）],表2_97131923252773113111117[[#This Row],[国家]])</f>
        <v>43904747</v>
      </c>
      <c r="H52" s="188">
        <f>SUMIFS(表1_86121822242672112110116[活跃实际充值],表1_86121822242672112110116[目标区服],表2_97131923252773113111117[[#This Row],[合区区服]],表1_86121822242672112110116[目标国家（映射）],表2_97131923252773113111117[[#This Row],[国家]])</f>
        <v>42944</v>
      </c>
      <c r="I52" s="188">
        <f>SUMIFS(表1_86121822242672112110116[活跃虚拟充值],表1_86121822242672112110116[目标区服],表2_97131923252773113111117[[#This Row],[合区区服]],表1_86121822242672112110116[目标国家（映射）],表2_97131923252773113111117[[#This Row],[国家]])</f>
        <v>0</v>
      </c>
      <c r="J52" s="188">
        <f>SUMIFS(表1_86121822242672112110116[活跃Coin],表1_86121822242672112110116[目标区服],表2_97131923252773113111117[[#This Row],[合区区服]],表1_86121822242672112110116[目标国家（映射）],表2_97131923252773113111117[[#This Row],[国家]])</f>
        <v>540726</v>
      </c>
      <c r="K52" s="188">
        <f>SUMIFS(表1_86121822242672112110116[共计补偿Coin],表1_86121822242672112110116[目标区服],表2_97131923252773113111117[[#This Row],[合区区服]],表1_86121822242672112110116[目标国家（映射）],表2_97131923252773113111117[[#This Row],[国家]])</f>
        <v>57000</v>
      </c>
      <c r="L52" s="188">
        <f>表2_97131923252773113111117[[#This Row],[活跃Coin]]+表2_97131923252773113111117[[#This Row],[共计补偿Coin]]</f>
        <v>597726</v>
      </c>
      <c r="M52" s="188">
        <f>SUMIFS(表1_86121822242672112110116[综合国力],表1_86121822242672112110116[目标区服],表2_97131923252773113111117[[#This Row],[合区区服]],表1_86121822242672112110116[目标国家（映射）],表2_97131923252773113111117[[#This Row],[国家]])</f>
        <v>15262</v>
      </c>
      <c r="N52" s="186">
        <f t="array" ref="N52">MAX((表1_86121822242672112110116[目标区服]=表2_97131923252773113111117[[#This Row],[合区区服]])*(表1_86121822242672112110116[目标国家（映射）]=表2_97131923252773113111117[[#This Row],[国家]])*表1_86121822242672112110116[单将最高战力])</f>
        <v>781159</v>
      </c>
      <c r="P52" s="335">
        <v>7055</v>
      </c>
      <c r="Q52" s="335">
        <v>41</v>
      </c>
      <c r="R52" s="51" t="s">
        <v>287</v>
      </c>
      <c r="S52" s="51">
        <v>42</v>
      </c>
    </row>
    <row r="53" ht="15" spans="1:17">
      <c r="A53" s="173" t="s">
        <v>284</v>
      </c>
      <c r="B53" s="173" t="s">
        <v>25</v>
      </c>
      <c r="C53" s="173">
        <f>COUNTIFS(表1_86121822242672112110116[目标区服],表2_97131923252773113111117[[#This Row],[合区区服]],表1_86121822242672112110116[目标国家（映射）],表2_97131923252773113111117[[#This Row],[国家]])</f>
        <v>2</v>
      </c>
      <c r="D53" s="173">
        <f>SUMIFS(表1_86121822242672112110116[活跃高战玩家数],表1_86121822242672112110116[目标区服],表2_97131923252773113111117[[#This Row],[合区区服]],表1_86121822242672112110116[目标国家（映射）],表2_97131923252773113111117[[#This Row],[国家]])</f>
        <v>7</v>
      </c>
      <c r="E53" s="173">
        <f>SUMIFS(表1_86121822242672112110116[活跃中坚玩家数],表1_86121822242672112110116[目标区服],表2_97131923252773113111117[[#This Row],[合区区服]],表1_86121822242672112110116[目标国家（映射）],表2_97131923252773113111117[[#This Row],[国家]])</f>
        <v>51</v>
      </c>
      <c r="F53" s="173">
        <f t="array" ref="F53">MAX((表1_86121822242672112110116[目标区服]=表2_97131923252773113111117[[#This Row],[合区区服]])*(表1_86121822242672112110116[目标国家（映射）]=表2_97131923252773113111117[[#This Row],[国家]])*表1_86121822242672112110116[活跃尖端战力])</f>
        <v>2678058</v>
      </c>
      <c r="G53" s="174">
        <f>SUMIFS(表1_86121822242672112110116[活跃总战力],表1_86121822242672112110116[目标区服],表2_97131923252773113111117[[#This Row],[合区区服]],表1_86121822242672112110116[目标国家（映射）],表2_97131923252773113111117[[#This Row],[国家]])</f>
        <v>40580968</v>
      </c>
      <c r="H53" s="173">
        <f>SUMIFS(表1_86121822242672112110116[活跃实际充值],表1_86121822242672112110116[目标区服],表2_97131923252773113111117[[#This Row],[合区区服]],表1_86121822242672112110116[目标国家（映射）],表2_97131923252773113111117[[#This Row],[国家]])</f>
        <v>76648</v>
      </c>
      <c r="I53" s="173">
        <f>SUMIFS(表1_86121822242672112110116[活跃虚拟充值],表1_86121822242672112110116[目标区服],表2_97131923252773113111117[[#This Row],[合区区服]],表1_86121822242672112110116[目标国家（映射）],表2_97131923252773113111117[[#This Row],[国家]])</f>
        <v>0</v>
      </c>
      <c r="J53" s="173">
        <f>SUMIFS(表1_86121822242672112110116[活跃Coin],表1_86121822242672112110116[目标区服],表2_97131923252773113111117[[#This Row],[合区区服]],表1_86121822242672112110116[目标国家（映射）],表2_97131923252773113111117[[#This Row],[国家]])</f>
        <v>787008</v>
      </c>
      <c r="K53" s="173">
        <f>SUMIFS(表1_86121822242672112110116[共计补偿Coin],表1_86121822242672112110116[目标区服],表2_97131923252773113111117[[#This Row],[合区区服]],表1_86121822242672112110116[目标国家（映射）],表2_97131923252773113111117[[#This Row],[国家]])</f>
        <v>58000</v>
      </c>
      <c r="L53" s="173">
        <f>表2_97131923252773113111117[[#This Row],[活跃Coin]]+表2_97131923252773113111117[[#This Row],[共计补偿Coin]]</f>
        <v>845008</v>
      </c>
      <c r="M53" s="173">
        <f>SUMIFS(表1_86121822242672112110116[综合国力],表1_86121822242672112110116[目标区服],表2_97131923252773113111117[[#This Row],[合区区服]],表1_86121822242672112110116[目标国家（映射）],表2_97131923252773113111117[[#This Row],[国家]])</f>
        <v>16416</v>
      </c>
      <c r="N53" s="173">
        <f t="array" ref="N53">MAX((表1_86121822242672112110116[目标区服]=表2_97131923252773113111117[[#This Row],[合区区服]])*(表1_86121822242672112110116[目标国家（映射）]=表2_97131923252773113111117[[#This Row],[国家]])*表1_86121822242672112110116[单将最高战力])</f>
        <v>707519</v>
      </c>
      <c r="P53" s="335">
        <v>7056</v>
      </c>
      <c r="Q53" s="335">
        <v>41</v>
      </c>
    </row>
    <row r="54" ht="15" spans="1:17">
      <c r="A54" s="173" t="s">
        <v>284</v>
      </c>
      <c r="B54" s="173" t="s">
        <v>26</v>
      </c>
      <c r="C54" s="173">
        <f>COUNTIFS(表1_86121822242672112110116[目标区服],表2_97131923252773113111117[[#This Row],[合区区服]],表1_86121822242672112110116[目标国家（映射）],表2_97131923252773113111117[[#This Row],[国家]])</f>
        <v>4</v>
      </c>
      <c r="D54" s="173">
        <f>SUMIFS(表1_86121822242672112110116[活跃高战玩家数],表1_86121822242672112110116[目标区服],表2_97131923252773113111117[[#This Row],[合区区服]],表1_86121822242672112110116[目标国家（映射）],表2_97131923252773113111117[[#This Row],[国家]])</f>
        <v>8</v>
      </c>
      <c r="E54" s="173">
        <f>SUMIFS(表1_86121822242672112110116[活跃中坚玩家数],表1_86121822242672112110116[目标区服],表2_97131923252773113111117[[#This Row],[合区区服]],表1_86121822242672112110116[目标国家（映射）],表2_97131923252773113111117[[#This Row],[国家]])</f>
        <v>65</v>
      </c>
      <c r="F54" s="173">
        <f t="array" ref="F54">MAX((表1_86121822242672112110116[目标区服]=表2_97131923252773113111117[[#This Row],[合区区服]])*(表1_86121822242672112110116[目标国家（映射）]=表2_97131923252773113111117[[#This Row],[国家]])*表1_86121822242672112110116[活跃尖端战力])</f>
        <v>2309969</v>
      </c>
      <c r="G54" s="174">
        <f>SUMIFS(表1_86121822242672112110116[活跃总战力],表1_86121822242672112110116[目标区服],表2_97131923252773113111117[[#This Row],[合区区服]],表1_86121822242672112110116[目标国家（映射）],表2_97131923252773113111117[[#This Row],[国家]])</f>
        <v>44128915</v>
      </c>
      <c r="H54" s="173">
        <f>SUMIFS(表1_86121822242672112110116[活跃实际充值],表1_86121822242672112110116[目标区服],表2_97131923252773113111117[[#This Row],[合区区服]],表1_86121822242672112110116[目标国家（映射）],表2_97131923252773113111117[[#This Row],[国家]])</f>
        <v>63322</v>
      </c>
      <c r="I54" s="173">
        <f>SUMIFS(表1_86121822242672112110116[活跃虚拟充值],表1_86121822242672112110116[目标区服],表2_97131923252773113111117[[#This Row],[合区区服]],表1_86121822242672112110116[目标国家（映射）],表2_97131923252773113111117[[#This Row],[国家]])</f>
        <v>0</v>
      </c>
      <c r="J54" s="173">
        <f>SUMIFS(表1_86121822242672112110116[活跃Coin],表1_86121822242672112110116[目标区服],表2_97131923252773113111117[[#This Row],[合区区服]],表1_86121822242672112110116[目标国家（映射）],表2_97131923252773113111117[[#This Row],[国家]])</f>
        <v>598943</v>
      </c>
      <c r="K54" s="173">
        <f>SUMIFS(表1_86121822242672112110116[共计补偿Coin],表1_86121822242672112110116[目标区服],表2_97131923252773113111117[[#This Row],[合区区服]],表1_86121822242672112110116[目标国家（映射）],表2_97131923252773113111117[[#This Row],[国家]])</f>
        <v>98000</v>
      </c>
      <c r="L54" s="173">
        <f>表2_97131923252773113111117[[#This Row],[活跃Coin]]+表2_97131923252773113111117[[#This Row],[共计补偿Coin]]</f>
        <v>696943</v>
      </c>
      <c r="M54" s="173">
        <f>SUMIFS(表1_86121822242672112110116[综合国力],表1_86121822242672112110116[目标区服],表2_97131923252773113111117[[#This Row],[合区区服]],表1_86121822242672112110116[目标国家（映射）],表2_97131923252773113111117[[#This Row],[国家]])</f>
        <v>19300</v>
      </c>
      <c r="N54" s="173">
        <f t="array" ref="N54">MAX((表1_86121822242672112110116[目标区服]=表2_97131923252773113111117[[#This Row],[合区区服]])*(表1_86121822242672112110116[目标国家（映射）]=表2_97131923252773113111117[[#This Row],[国家]])*表1_86121822242672112110116[单将最高战力])</f>
        <v>669679</v>
      </c>
      <c r="P54" s="335">
        <v>7057</v>
      </c>
      <c r="Q54" s="335">
        <v>41</v>
      </c>
    </row>
    <row r="55" ht="15" spans="1:17">
      <c r="A55" s="173" t="s">
        <v>284</v>
      </c>
      <c r="B55" s="173" t="s">
        <v>27</v>
      </c>
      <c r="C55" s="173">
        <f>COUNTIFS(表1_86121822242672112110116[目标区服],表2_97131923252773113111117[[#This Row],[合区区服]],表1_86121822242672112110116[目标国家（映射）],表2_97131923252773113111117[[#This Row],[国家]])</f>
        <v>3</v>
      </c>
      <c r="D55" s="173">
        <f>SUMIFS(表1_86121822242672112110116[活跃高战玩家数],表1_86121822242672112110116[目标区服],表2_97131923252773113111117[[#This Row],[合区区服]],表1_86121822242672112110116[目标国家（映射）],表2_97131923252773113111117[[#This Row],[国家]])</f>
        <v>14</v>
      </c>
      <c r="E55" s="173">
        <f>SUMIFS(表1_86121822242672112110116[活跃中坚玩家数],表1_86121822242672112110116[目标区服],表2_97131923252773113111117[[#This Row],[合区区服]],表1_86121822242672112110116[目标国家（映射）],表2_97131923252773113111117[[#This Row],[国家]])</f>
        <v>43</v>
      </c>
      <c r="F55" s="173">
        <f t="array" ref="F55">MAX((表1_86121822242672112110116[目标区服]=表2_97131923252773113111117[[#This Row],[合区区服]])*(表1_86121822242672112110116[目标国家（映射）]=表2_97131923252773113111117[[#This Row],[国家]])*表1_86121822242672112110116[活跃尖端战力])</f>
        <v>2183429</v>
      </c>
      <c r="G55" s="174">
        <f>SUMIFS(表1_86121822242672112110116[活跃总战力],表1_86121822242672112110116[目标区服],表2_97131923252773113111117[[#This Row],[合区区服]],表1_86121822242672112110116[目标国家（映射）],表2_97131923252773113111117[[#This Row],[国家]])</f>
        <v>39979862</v>
      </c>
      <c r="H55" s="173">
        <f>SUMIFS(表1_86121822242672112110116[活跃实际充值],表1_86121822242672112110116[目标区服],表2_97131923252773113111117[[#This Row],[合区区服]],表1_86121822242672112110116[目标国家（映射）],表2_97131923252773113111117[[#This Row],[国家]])</f>
        <v>71840</v>
      </c>
      <c r="I55" s="173">
        <f>SUMIFS(表1_86121822242672112110116[活跃虚拟充值],表1_86121822242672112110116[目标区服],表2_97131923252773113111117[[#This Row],[合区区服]],表1_86121822242672112110116[目标国家（映射）],表2_97131923252773113111117[[#This Row],[国家]])</f>
        <v>0</v>
      </c>
      <c r="J55" s="173">
        <f>SUMIFS(表1_86121822242672112110116[活跃Coin],表1_86121822242672112110116[目标区服],表2_97131923252773113111117[[#This Row],[合区区服]],表1_86121822242672112110116[目标国家（映射）],表2_97131923252773113111117[[#This Row],[国家]])</f>
        <v>589916</v>
      </c>
      <c r="K55" s="173">
        <f>SUMIFS(表1_86121822242672112110116[共计补偿Coin],表1_86121822242672112110116[目标区服],表2_97131923252773113111117[[#This Row],[合区区服]],表1_86121822242672112110116[目标国家（映射）],表2_97131923252773113111117[[#This Row],[国家]])</f>
        <v>85500</v>
      </c>
      <c r="L55" s="173">
        <f>表2_97131923252773113111117[[#This Row],[活跃Coin]]+表2_97131923252773113111117[[#This Row],[共计补偿Coin]]</f>
        <v>675416</v>
      </c>
      <c r="M55" s="173">
        <f>SUMIFS(表1_86121822242672112110116[综合国力],表1_86121822242672112110116[目标区服],表2_97131923252773113111117[[#This Row],[合区区服]],表1_86121822242672112110116[目标国家（映射）],表2_97131923252773113111117[[#This Row],[国家]])</f>
        <v>18451</v>
      </c>
      <c r="N55" s="173">
        <f t="array" ref="N55">MAX((表1_86121822242672112110116[目标区服]=表2_97131923252773113111117[[#This Row],[合区区服]])*(表1_86121822242672112110116[目标国家（映射）]=表2_97131923252773113111117[[#This Row],[国家]])*表1_86121822242672112110116[单将最高战力])</f>
        <v>631269</v>
      </c>
      <c r="P55" s="335">
        <v>7058</v>
      </c>
      <c r="Q55" s="335">
        <v>40</v>
      </c>
    </row>
    <row r="56" ht="15" spans="1:17">
      <c r="A56" s="323" t="s">
        <v>285</v>
      </c>
      <c r="B56" s="323" t="s">
        <v>25</v>
      </c>
      <c r="C56" s="323">
        <f>COUNTIFS(表1_86121822242672112110116[目标区服],表2_97131923252773113111117[[#This Row],[合区区服]],表1_86121822242672112110116[目标国家（映射）],表2_97131923252773113111117[[#This Row],[国家]])</f>
        <v>2</v>
      </c>
      <c r="D56" s="323">
        <f>SUMIFS(表1_86121822242672112110116[活跃高战玩家数],表1_86121822242672112110116[目标区服],表2_97131923252773113111117[[#This Row],[合区区服]],表1_86121822242672112110116[目标国家（映射）],表2_97131923252773113111117[[#This Row],[国家]])</f>
        <v>8</v>
      </c>
      <c r="E56" s="323">
        <f>SUMIFS(表1_86121822242672112110116[活跃中坚玩家数],表1_86121822242672112110116[目标区服],表2_97131923252773113111117[[#This Row],[合区区服]],表1_86121822242672112110116[目标国家（映射）],表2_97131923252773113111117[[#This Row],[国家]])</f>
        <v>32</v>
      </c>
      <c r="F56" s="323">
        <f t="array" ref="F56">MAX((表1_86121822242672112110116[目标区服]=表2_97131923252773113111117[[#This Row],[合区区服]])*(表1_86121822242672112110116[目标国家（映射）]=表2_97131923252773113111117[[#This Row],[国家]])*表1_86121822242672112110116[活跃尖端战力])</f>
        <v>2586540</v>
      </c>
      <c r="G56" s="324">
        <f>SUMIFS(表1_86121822242672112110116[活跃总战力],表1_86121822242672112110116[目标区服],表2_97131923252773113111117[[#This Row],[合区区服]],表1_86121822242672112110116[目标国家（映射）],表2_97131923252773113111117[[#This Row],[国家]])</f>
        <v>32625403</v>
      </c>
      <c r="H56" s="323">
        <f>SUMIFS(表1_86121822242672112110116[活跃实际充值],表1_86121822242672112110116[目标区服],表2_97131923252773113111117[[#This Row],[合区区服]],表1_86121822242672112110116[目标国家（映射）],表2_97131923252773113111117[[#This Row],[国家]])</f>
        <v>108146</v>
      </c>
      <c r="I56" s="323">
        <f>SUMIFS(表1_86121822242672112110116[活跃虚拟充值],表1_86121822242672112110116[目标区服],表2_97131923252773113111117[[#This Row],[合区区服]],表1_86121822242672112110116[目标国家（映射）],表2_97131923252773113111117[[#This Row],[国家]])</f>
        <v>0</v>
      </c>
      <c r="J56" s="323">
        <f>SUMIFS(表1_86121822242672112110116[活跃Coin],表1_86121822242672112110116[目标区服],表2_97131923252773113111117[[#This Row],[合区区服]],表1_86121822242672112110116[目标国家（映射）],表2_97131923252773113111117[[#This Row],[国家]])</f>
        <v>665048</v>
      </c>
      <c r="K56" s="323">
        <f>SUMIFS(表1_86121822242672112110116[共计补偿Coin],表1_86121822242672112110116[目标区服],表2_97131923252773113111117[[#This Row],[合区区服]],表1_86121822242672112110116[目标国家（映射）],表2_97131923252773113111117[[#This Row],[国家]])</f>
        <v>49500</v>
      </c>
      <c r="L56" s="323">
        <f>表2_97131923252773113111117[[#This Row],[活跃Coin]]+表2_97131923252773113111117[[#This Row],[共计补偿Coin]]</f>
        <v>714548</v>
      </c>
      <c r="M56" s="323">
        <f>SUMIFS(表1_86121822242672112110116[综合国力],表1_86121822242672112110116[目标区服],表2_97131923252773113111117[[#This Row],[合区区服]],表1_86121822242672112110116[目标国家（映射）],表2_97131923252773113111117[[#This Row],[国家]])</f>
        <v>16864</v>
      </c>
      <c r="N56" s="323">
        <f t="array" ref="N56">MAX((表1_86121822242672112110116[目标区服]=表2_97131923252773113111117[[#This Row],[合区区服]])*(表1_86121822242672112110116[目标国家（映射）]=表2_97131923252773113111117[[#This Row],[国家]])*表1_86121822242672112110116[单将最高战力])</f>
        <v>824506</v>
      </c>
      <c r="P56" s="335">
        <v>7059</v>
      </c>
      <c r="Q56" s="335">
        <v>40</v>
      </c>
    </row>
    <row r="57" ht="15" spans="1:17">
      <c r="A57" s="323" t="s">
        <v>285</v>
      </c>
      <c r="B57" s="323" t="s">
        <v>26</v>
      </c>
      <c r="C57" s="323">
        <f>COUNTIFS(表1_86121822242672112110116[目标区服],表2_97131923252773113111117[[#This Row],[合区区服]],表1_86121822242672112110116[目标国家（映射）],表2_97131923252773113111117[[#This Row],[国家]])</f>
        <v>3</v>
      </c>
      <c r="D57" s="323">
        <f>SUMIFS(表1_86121822242672112110116[活跃高战玩家数],表1_86121822242672112110116[目标区服],表2_97131923252773113111117[[#This Row],[合区区服]],表1_86121822242672112110116[目标国家（映射）],表2_97131923252773113111117[[#This Row],[国家]])</f>
        <v>7</v>
      </c>
      <c r="E57" s="323">
        <f>SUMIFS(表1_86121822242672112110116[活跃中坚玩家数],表1_86121822242672112110116[目标区服],表2_97131923252773113111117[[#This Row],[合区区服]],表1_86121822242672112110116[目标国家（映射）],表2_97131923252773113111117[[#This Row],[国家]])</f>
        <v>42</v>
      </c>
      <c r="F57" s="323">
        <f t="array" ref="F57">MAX((表1_86121822242672112110116[目标区服]=表2_97131923252773113111117[[#This Row],[合区区服]])*(表1_86121822242672112110116[目标国家（映射）]=表2_97131923252773113111117[[#This Row],[国家]])*表1_86121822242672112110116[活跃尖端战力])</f>
        <v>1975215</v>
      </c>
      <c r="G57" s="324">
        <f>SUMIFS(表1_86121822242672112110116[活跃总战力],表1_86121822242672112110116[目标区服],表2_97131923252773113111117[[#This Row],[合区区服]],表1_86121822242672112110116[目标国家（映射）],表2_97131923252773113111117[[#This Row],[国家]])</f>
        <v>30033000</v>
      </c>
      <c r="H57" s="323">
        <f>SUMIFS(表1_86121822242672112110116[活跃实际充值],表1_86121822242672112110116[目标区服],表2_97131923252773113111117[[#This Row],[合区区服]],表1_86121822242672112110116[目标国家（映射）],表2_97131923252773113111117[[#This Row],[国家]])</f>
        <v>35888</v>
      </c>
      <c r="I57" s="323">
        <f>SUMIFS(表1_86121822242672112110116[活跃虚拟充值],表1_86121822242672112110116[目标区服],表2_97131923252773113111117[[#This Row],[合区区服]],表1_86121822242672112110116[目标国家（映射）],表2_97131923252773113111117[[#This Row],[国家]])</f>
        <v>55806</v>
      </c>
      <c r="J57" s="323">
        <f>SUMIFS(表1_86121822242672112110116[活跃Coin],表1_86121822242672112110116[目标区服],表2_97131923252773113111117[[#This Row],[合区区服]],表1_86121822242672112110116[目标国家（映射）],表2_97131923252773113111117[[#This Row],[国家]])</f>
        <v>576633</v>
      </c>
      <c r="K57" s="323">
        <f>SUMIFS(表1_86121822242672112110116[共计补偿Coin],表1_86121822242672112110116[目标区服],表2_97131923252773113111117[[#This Row],[合区区服]],表1_86121822242672112110116[目标国家（映射）],表2_97131923252773113111117[[#This Row],[国家]])</f>
        <v>63500</v>
      </c>
      <c r="L57" s="323">
        <f>表2_97131923252773113111117[[#This Row],[活跃Coin]]+表2_97131923252773113111117[[#This Row],[共计补偿Coin]]</f>
        <v>640133</v>
      </c>
      <c r="M57" s="323">
        <f>SUMIFS(表1_86121822242672112110116[综合国力],表1_86121822242672112110116[目标区服],表2_97131923252773113111117[[#This Row],[合区区服]],表1_86121822242672112110116[目标国家（映射）],表2_97131923252773113111117[[#This Row],[国家]])</f>
        <v>14629</v>
      </c>
      <c r="N57" s="323">
        <f t="array" ref="N57">MAX((表1_86121822242672112110116[目标区服]=表2_97131923252773113111117[[#This Row],[合区区服]])*(表1_86121822242672112110116[目标国家（映射）]=表2_97131923252773113111117[[#This Row],[国家]])*表1_86121822242672112110116[单将最高战力])</f>
        <v>661964</v>
      </c>
      <c r="P57" s="335">
        <v>7060</v>
      </c>
      <c r="Q57" s="335">
        <v>40</v>
      </c>
    </row>
    <row r="58" ht="15" spans="1:17">
      <c r="A58" s="323" t="s">
        <v>285</v>
      </c>
      <c r="B58" s="323" t="s">
        <v>27</v>
      </c>
      <c r="C58" s="323">
        <f>COUNTIFS(表1_86121822242672112110116[目标区服],表2_97131923252773113111117[[#This Row],[合区区服]],表1_86121822242672112110116[目标国家（映射）],表2_97131923252773113111117[[#This Row],[国家]])</f>
        <v>4</v>
      </c>
      <c r="D58" s="323">
        <f>SUMIFS(表1_86121822242672112110116[活跃高战玩家数],表1_86121822242672112110116[目标区服],表2_97131923252773113111117[[#This Row],[合区区服]],表1_86121822242672112110116[目标国家（映射）],表2_97131923252773113111117[[#This Row],[国家]])</f>
        <v>14</v>
      </c>
      <c r="E58" s="323">
        <f>SUMIFS(表1_86121822242672112110116[活跃中坚玩家数],表1_86121822242672112110116[目标区服],表2_97131923252773113111117[[#This Row],[合区区服]],表1_86121822242672112110116[目标国家（映射）],表2_97131923252773113111117[[#This Row],[国家]])</f>
        <v>50</v>
      </c>
      <c r="F58" s="323">
        <f t="array" ref="F58">MAX((表1_86121822242672112110116[目标区服]=表2_97131923252773113111117[[#This Row],[合区区服]])*(表1_86121822242672112110116[目标国家（映射）]=表2_97131923252773113111117[[#This Row],[国家]])*表1_86121822242672112110116[活跃尖端战力])</f>
        <v>2294897</v>
      </c>
      <c r="G58" s="324">
        <f>SUMIFS(表1_86121822242672112110116[活跃总战力],表1_86121822242672112110116[目标区服],表2_97131923252773113111117[[#This Row],[合区区服]],表1_86121822242672112110116[目标国家（映射）],表2_97131923252773113111117[[#This Row],[国家]])</f>
        <v>38915713</v>
      </c>
      <c r="H58" s="323">
        <f>SUMIFS(表1_86121822242672112110116[活跃实际充值],表1_86121822242672112110116[目标区服],表2_97131923252773113111117[[#This Row],[合区区服]],表1_86121822242672112110116[目标国家（映射）],表2_97131923252773113111117[[#This Row],[国家]])</f>
        <v>60284</v>
      </c>
      <c r="I58" s="323">
        <f>SUMIFS(表1_86121822242672112110116[活跃虚拟充值],表1_86121822242672112110116[目标区服],表2_97131923252773113111117[[#This Row],[合区区服]],表1_86121822242672112110116[目标国家（映射）],表2_97131923252773113111117[[#This Row],[国家]])</f>
        <v>0</v>
      </c>
      <c r="J58" s="323">
        <f>SUMIFS(表1_86121822242672112110116[活跃Coin],表1_86121822242672112110116[目标区服],表2_97131923252773113111117[[#This Row],[合区区服]],表1_86121822242672112110116[目标国家（映射）],表2_97131923252773113111117[[#This Row],[国家]])</f>
        <v>709655</v>
      </c>
      <c r="K58" s="323">
        <f>SUMIFS(表1_86121822242672112110116[共计补偿Coin],表1_86121822242672112110116[目标区服],表2_97131923252773113111117[[#This Row],[合区区服]],表1_86121822242672112110116[目标国家（映射）],表2_97131923252773113111117[[#This Row],[国家]])</f>
        <v>86000</v>
      </c>
      <c r="L58" s="323">
        <f>表2_97131923252773113111117[[#This Row],[活跃Coin]]+表2_97131923252773113111117[[#This Row],[共计补偿Coin]]</f>
        <v>795655</v>
      </c>
      <c r="M58" s="323">
        <f>SUMIFS(表1_86121822242672112110116[综合国力],表1_86121822242672112110116[目标区服],表2_97131923252773113111117[[#This Row],[合区区服]],表1_86121822242672112110116[目标国家（映射）],表2_97131923252773113111117[[#This Row],[国家]])</f>
        <v>20191</v>
      </c>
      <c r="N58" s="323">
        <f t="array" ref="N58">MAX((表1_86121822242672112110116[目标区服]=表2_97131923252773113111117[[#This Row],[合区区服]])*(表1_86121822242672112110116[目标国家（映射）]=表2_97131923252773113111117[[#This Row],[国家]])*表1_86121822242672112110116[单将最高战力])</f>
        <v>784833</v>
      </c>
      <c r="P58" s="335">
        <v>7061</v>
      </c>
      <c r="Q58" s="335">
        <v>40</v>
      </c>
    </row>
    <row r="59" ht="15" spans="1:17">
      <c r="A59" s="224" t="s">
        <v>286</v>
      </c>
      <c r="B59" s="224" t="s">
        <v>25</v>
      </c>
      <c r="C59" s="224">
        <f>COUNTIFS(表1_86121822242672112110116[目标区服],表2_97131923252773113111117[[#This Row],[合区区服]],表1_86121822242672112110116[目标国家（映射）],表2_97131923252773113111117[[#This Row],[国家]])</f>
        <v>1</v>
      </c>
      <c r="D59" s="224">
        <f>SUMIFS(表1_86121822242672112110116[活跃高战玩家数],表1_86121822242672112110116[目标区服],表2_97131923252773113111117[[#This Row],[合区区服]],表1_86121822242672112110116[目标国家（映射）],表2_97131923252773113111117[[#This Row],[国家]])</f>
        <v>9</v>
      </c>
      <c r="E59" s="224">
        <f>SUMIFS(表1_86121822242672112110116[活跃中坚玩家数],表1_86121822242672112110116[目标区服],表2_97131923252773113111117[[#This Row],[合区区服]],表1_86121822242672112110116[目标国家（映射）],表2_97131923252773113111117[[#This Row],[国家]])</f>
        <v>24</v>
      </c>
      <c r="F59" s="224">
        <f t="array" ref="F59">MAX((表1_86121822242672112110116[目标区服]=表2_97131923252773113111117[[#This Row],[合区区服]])*(表1_86121822242672112110116[目标国家（映射）]=表2_97131923252773113111117[[#This Row],[国家]])*表1_86121822242672112110116[活跃尖端战力])</f>
        <v>1940107</v>
      </c>
      <c r="G59" s="225">
        <f>SUMIFS(表1_86121822242672112110116[活跃总战力],表1_86121822242672112110116[目标区服],表2_97131923252773113111117[[#This Row],[合区区服]],表1_86121822242672112110116[目标国家（映射）],表2_97131923252773113111117[[#This Row],[国家]])</f>
        <v>23842677</v>
      </c>
      <c r="H59" s="224">
        <f>SUMIFS(表1_86121822242672112110116[活跃实际充值],表1_86121822242672112110116[目标区服],表2_97131923252773113111117[[#This Row],[合区区服]],表1_86121822242672112110116[目标国家（映射）],表2_97131923252773113111117[[#This Row],[国家]])</f>
        <v>24316</v>
      </c>
      <c r="I59" s="224">
        <f>SUMIFS(表1_86121822242672112110116[活跃虚拟充值],表1_86121822242672112110116[目标区服],表2_97131923252773113111117[[#This Row],[合区区服]],表1_86121822242672112110116[目标国家（映射）],表2_97131923252773113111117[[#This Row],[国家]])</f>
        <v>0</v>
      </c>
      <c r="J59" s="224">
        <f>SUMIFS(表1_86121822242672112110116[活跃Coin],表1_86121822242672112110116[目标区服],表2_97131923252773113111117[[#This Row],[合区区服]],表1_86121822242672112110116[目标国家（映射）],表2_97131923252773113111117[[#This Row],[国家]])</f>
        <v>323252</v>
      </c>
      <c r="K59" s="224">
        <f>SUMIFS(表1_86121822242672112110116[共计补偿Coin],表1_86121822242672112110116[目标区服],表2_97131923252773113111117[[#This Row],[合区区服]],表1_86121822242672112110116[目标国家（映射）],表2_97131923252773113111117[[#This Row],[国家]])</f>
        <v>33000</v>
      </c>
      <c r="L59" s="224">
        <f>表2_97131923252773113111117[[#This Row],[活跃Coin]]+表2_97131923252773113111117[[#This Row],[共计补偿Coin]]</f>
        <v>356252</v>
      </c>
      <c r="M59" s="224">
        <f>SUMIFS(表1_86121822242672112110116[综合国力],表1_86121822242672112110116[目标区服],表2_97131923252773113111117[[#This Row],[合区区服]],表1_86121822242672112110116[目标国家（映射）],表2_97131923252773113111117[[#This Row],[国家]])</f>
        <v>10385</v>
      </c>
      <c r="N59" s="224">
        <f t="array" ref="N59">MAX((表1_86121822242672112110116[目标区服]=表2_97131923252773113111117[[#This Row],[合区区服]])*(表1_86121822242672112110116[目标国家（映射）]=表2_97131923252773113111117[[#This Row],[国家]])*表1_86121822242672112110116[单将最高战力])</f>
        <v>577684</v>
      </c>
      <c r="P59" s="335">
        <v>7062</v>
      </c>
      <c r="Q59" s="335">
        <v>40</v>
      </c>
    </row>
    <row r="60" ht="15" spans="1:17">
      <c r="A60" s="224" t="s">
        <v>286</v>
      </c>
      <c r="B60" s="224" t="s">
        <v>26</v>
      </c>
      <c r="C60" s="224">
        <f>COUNTIFS(表1_86121822242672112110116[目标区服],表2_97131923252773113111117[[#This Row],[合区区服]],表1_86121822242672112110116[目标国家（映射）],表2_97131923252773113111117[[#This Row],[国家]])</f>
        <v>3</v>
      </c>
      <c r="D60" s="224">
        <f>SUMIFS(表1_86121822242672112110116[活跃高战玩家数],表1_86121822242672112110116[目标区服],表2_97131923252773113111117[[#This Row],[合区区服]],表1_86121822242672112110116[目标国家（映射）],表2_97131923252773113111117[[#This Row],[国家]])</f>
        <v>6</v>
      </c>
      <c r="E60" s="224">
        <f>SUMIFS(表1_86121822242672112110116[活跃中坚玩家数],表1_86121822242672112110116[目标区服],表2_97131923252773113111117[[#This Row],[合区区服]],表1_86121822242672112110116[目标国家（映射）],表2_97131923252773113111117[[#This Row],[国家]])</f>
        <v>44</v>
      </c>
      <c r="F60" s="224">
        <f t="array" ref="F60">MAX((表1_86121822242672112110116[目标区服]=表2_97131923252773113111117[[#This Row],[合区区服]])*(表1_86121822242672112110116[目标国家（映射）]=表2_97131923252773113111117[[#This Row],[国家]])*表1_86121822242672112110116[活跃尖端战力])</f>
        <v>1534149</v>
      </c>
      <c r="G60" s="225">
        <f>SUMIFS(表1_86121822242672112110116[活跃总战力],表1_86121822242672112110116[目标区服],表2_97131923252773113111117[[#This Row],[合区区服]],表1_86121822242672112110116[目标国家（映射）],表2_97131923252773113111117[[#This Row],[国家]])</f>
        <v>26331790</v>
      </c>
      <c r="H60" s="224">
        <f>SUMIFS(表1_86121822242672112110116[活跃实际充值],表1_86121822242672112110116[目标区服],表2_97131923252773113111117[[#This Row],[合区区服]],表1_86121822242672112110116[目标国家（映射）],表2_97131923252773113111117[[#This Row],[国家]])</f>
        <v>33692</v>
      </c>
      <c r="I60" s="224">
        <f>SUMIFS(表1_86121822242672112110116[活跃虚拟充值],表1_86121822242672112110116[目标区服],表2_97131923252773113111117[[#This Row],[合区区服]],表1_86121822242672112110116[目标国家（映射）],表2_97131923252773113111117[[#This Row],[国家]])</f>
        <v>0</v>
      </c>
      <c r="J60" s="224">
        <f>SUMIFS(表1_86121822242672112110116[活跃Coin],表1_86121822242672112110116[目标区服],表2_97131923252773113111117[[#This Row],[合区区服]],表1_86121822242672112110116[目标国家（映射）],表2_97131923252773113111117[[#This Row],[国家]])</f>
        <v>394126</v>
      </c>
      <c r="K60" s="224">
        <f>SUMIFS(表1_86121822242672112110116[共计补偿Coin],表1_86121822242672112110116[目标区服],表2_97131923252773113111117[[#This Row],[合区区服]],表1_86121822242672112110116[目标国家（映射）],表2_97131923252773113111117[[#This Row],[国家]])</f>
        <v>50000</v>
      </c>
      <c r="L60" s="224">
        <f>表2_97131923252773113111117[[#This Row],[活跃Coin]]+表2_97131923252773113111117[[#This Row],[共计补偿Coin]]</f>
        <v>444126</v>
      </c>
      <c r="M60" s="224">
        <f>SUMIFS(表1_86121822242672112110116[综合国力],表1_86121822242672112110116[目标区服],表2_97131923252773113111117[[#This Row],[合区区服]],表1_86121822242672112110116[目标国家（映射）],表2_97131923252773113111117[[#This Row],[国家]])</f>
        <v>10956</v>
      </c>
      <c r="N60" s="224">
        <f t="array" ref="N60">MAX((表1_86121822242672112110116[目标区服]=表2_97131923252773113111117[[#This Row],[合区区服]])*(表1_86121822242672112110116[目标国家（映射）]=表2_97131923252773113111117[[#This Row],[国家]])*表1_86121822242672112110116[单将最高战力])</f>
        <v>447631</v>
      </c>
      <c r="P60" s="335">
        <v>7063</v>
      </c>
      <c r="Q60" s="335">
        <v>40</v>
      </c>
    </row>
    <row r="61" ht="15" spans="1:14">
      <c r="A61" s="224" t="s">
        <v>286</v>
      </c>
      <c r="B61" s="224" t="s">
        <v>27</v>
      </c>
      <c r="C61" s="224">
        <f>COUNTIFS(表1_86121822242672112110116[目标区服],表2_97131923252773113111117[[#This Row],[合区区服]],表1_86121822242672112110116[目标国家（映射）],表2_97131923252773113111117[[#This Row],[国家]])</f>
        <v>2</v>
      </c>
      <c r="D61" s="224">
        <f>SUMIFS(表1_86121822242672112110116[活跃高战玩家数],表1_86121822242672112110116[目标区服],表2_97131923252773113111117[[#This Row],[合区区服]],表1_86121822242672112110116[目标国家（映射）],表2_97131923252773113111117[[#This Row],[国家]])</f>
        <v>5</v>
      </c>
      <c r="E61" s="224">
        <f>SUMIFS(表1_86121822242672112110116[活跃中坚玩家数],表1_86121822242672112110116[目标区服],表2_97131923252773113111117[[#This Row],[合区区服]],表1_86121822242672112110116[目标国家（映射）],表2_97131923252773113111117[[#This Row],[国家]])</f>
        <v>32</v>
      </c>
      <c r="F61" s="224">
        <f t="array" ref="F61">MAX((表1_86121822242672112110116[目标区服]=表2_97131923252773113111117[[#This Row],[合区区服]])*(表1_86121822242672112110116[目标国家（映射）]=表2_97131923252773113111117[[#This Row],[国家]])*表1_86121822242672112110116[活跃尖端战力])</f>
        <v>1902743</v>
      </c>
      <c r="G61" s="225">
        <f>SUMIFS(表1_86121822242672112110116[活跃总战力],表1_86121822242672112110116[目标区服],表2_97131923252773113111117[[#This Row],[合区区服]],表1_86121822242672112110116[目标国家（映射）],表2_97131923252773113111117[[#This Row],[国家]])</f>
        <v>21739914</v>
      </c>
      <c r="H61" s="224">
        <f>SUMIFS(表1_86121822242672112110116[活跃实际充值],表1_86121822242672112110116[目标区服],表2_97131923252773113111117[[#This Row],[合区区服]],表1_86121822242672112110116[目标国家（映射）],表2_97131923252773113111117[[#This Row],[国家]])</f>
        <v>45932</v>
      </c>
      <c r="I61" s="224">
        <f>SUMIFS(表1_86121822242672112110116[活跃虚拟充值],表1_86121822242672112110116[目标区服],表2_97131923252773113111117[[#This Row],[合区区服]],表1_86121822242672112110116[目标国家（映射）],表2_97131923252773113111117[[#This Row],[国家]])</f>
        <v>0</v>
      </c>
      <c r="J61" s="224">
        <f>SUMIFS(表1_86121822242672112110116[活跃Coin],表1_86121822242672112110116[目标区服],表2_97131923252773113111117[[#This Row],[合区区服]],表1_86121822242672112110116[目标国家（映射）],表2_97131923252773113111117[[#This Row],[国家]])</f>
        <v>256442</v>
      </c>
      <c r="K61" s="224">
        <f>SUMIFS(表1_86121822242672112110116[共计补偿Coin],表1_86121822242672112110116[目标区服],表2_97131923252773113111117[[#This Row],[合区区服]],表1_86121822242672112110116[目标国家（映射）],表2_97131923252773113111117[[#This Row],[国家]])</f>
        <v>37000</v>
      </c>
      <c r="L61" s="224">
        <f>表2_97131923252773113111117[[#This Row],[活跃Coin]]+表2_97131923252773113111117[[#This Row],[共计补偿Coin]]</f>
        <v>293442</v>
      </c>
      <c r="M61" s="224">
        <f>SUMIFS(表1_86121822242672112110116[综合国力],表1_86121822242672112110116[目标区服],表2_97131923252773113111117[[#This Row],[合区区服]],表1_86121822242672112110116[目标国家（映射）],表2_97131923252773113111117[[#This Row],[国家]])</f>
        <v>10244</v>
      </c>
      <c r="N61" s="224">
        <f t="array" ref="N61">MAX((表1_86121822242672112110116[目标区服]=表2_97131923252773113111117[[#This Row],[合区区服]])*(表1_86121822242672112110116[目标国家（映射）]=表2_97131923252773113111117[[#This Row],[国家]])*表1_86121822242672112110116[单将最高战力])</f>
        <v>511601</v>
      </c>
    </row>
    <row r="62" ht="15" spans="1:14">
      <c r="A62" s="186" t="s">
        <v>287</v>
      </c>
      <c r="B62" s="186" t="s">
        <v>25</v>
      </c>
      <c r="C62" s="186">
        <f>COUNTIFS(表1_86121822242672112110116[目标区服],表2_97131923252773113111117[[#This Row],[合区区服]],表1_86121822242672112110116[目标国家（映射）],表2_97131923252773113111117[[#This Row],[国家]])</f>
        <v>1</v>
      </c>
      <c r="D62" s="186">
        <f>SUMIFS(表1_86121822242672112110116[活跃高战玩家数],表1_86121822242672112110116[目标区服],表2_97131923252773113111117[[#This Row],[合区区服]],表1_86121822242672112110116[目标国家（映射）],表2_97131923252773113111117[[#This Row],[国家]])</f>
        <v>9</v>
      </c>
      <c r="E62" s="186">
        <f>SUMIFS(表1_86121822242672112110116[活跃中坚玩家数],表1_86121822242672112110116[目标区服],表2_97131923252773113111117[[#This Row],[合区区服]],表1_86121822242672112110116[目标国家（映射）],表2_97131923252773113111117[[#This Row],[国家]])</f>
        <v>20</v>
      </c>
      <c r="F62" s="186">
        <f t="array" ref="F62">MAX((表1_86121822242672112110116[目标区服]=表2_97131923252773113111117[[#This Row],[合区区服]])*(表1_86121822242672112110116[目标国家（映射）]=表2_97131923252773113111117[[#This Row],[国家]])*表1_86121822242672112110116[活跃尖端战力])</f>
        <v>2437986</v>
      </c>
      <c r="G62" s="187">
        <f>SUMIFS(表1_86121822242672112110116[活跃总战力],表1_86121822242672112110116[目标区服],表2_97131923252773113111117[[#This Row],[合区区服]],表1_86121822242672112110116[目标国家（映射）],表2_97131923252773113111117[[#This Row],[国家]])</f>
        <v>23492407</v>
      </c>
      <c r="H62" s="186">
        <f>SUMIFS(表1_86121822242672112110116[活跃实际充值],表1_86121822242672112110116[目标区服],表2_97131923252773113111117[[#This Row],[合区区服]],表1_86121822242672112110116[目标国家（映射）],表2_97131923252773113111117[[#This Row],[国家]])</f>
        <v>81344</v>
      </c>
      <c r="I62" s="186">
        <f>SUMIFS(表1_86121822242672112110116[活跃虚拟充值],表1_86121822242672112110116[目标区服],表2_97131923252773113111117[[#This Row],[合区区服]],表1_86121822242672112110116[目标国家（映射）],表2_97131923252773113111117[[#This Row],[国家]])</f>
        <v>0</v>
      </c>
      <c r="J62" s="186">
        <f>SUMIFS(表1_86121822242672112110116[活跃Coin],表1_86121822242672112110116[目标区服],表2_97131923252773113111117[[#This Row],[合区区服]],表1_86121822242672112110116[目标国家（映射）],表2_97131923252773113111117[[#This Row],[国家]])</f>
        <v>690277</v>
      </c>
      <c r="K62" s="186">
        <f>SUMIFS(表1_86121822242672112110116[共计补偿Coin],表1_86121822242672112110116[目标区服],表2_97131923252773113111117[[#This Row],[合区区服]],表1_86121822242672112110116[目标国家（映射）],表2_97131923252773113111117[[#This Row],[国家]])</f>
        <v>29000</v>
      </c>
      <c r="L62" s="186">
        <f>表2_97131923252773113111117[[#This Row],[活跃Coin]]+表2_97131923252773113111117[[#This Row],[共计补偿Coin]]</f>
        <v>719277</v>
      </c>
      <c r="M62" s="186">
        <f>SUMIFS(表1_86121822242672112110116[综合国力],表1_86121822242672112110116[目标区服],表2_97131923252773113111117[[#This Row],[合区区服]],表1_86121822242672112110116[目标国家（映射）],表2_97131923252773113111117[[#This Row],[国家]])</f>
        <v>11808</v>
      </c>
      <c r="N62" s="186">
        <f t="array" ref="N62">MAX((表1_86121822242672112110116[目标区服]=表2_97131923252773113111117[[#This Row],[合区区服]])*(表1_86121822242672112110116[目标国家（映射）]=表2_97131923252773113111117[[#This Row],[国家]])*表1_86121822242672112110116[单将最高战力])</f>
        <v>772206</v>
      </c>
    </row>
    <row r="63" ht="15" spans="1:14">
      <c r="A63" s="186" t="s">
        <v>287</v>
      </c>
      <c r="B63" s="186" t="s">
        <v>26</v>
      </c>
      <c r="C63" s="186">
        <f>COUNTIFS(表1_86121822242672112110116[目标区服],表2_97131923252773113111117[[#This Row],[合区区服]],表1_86121822242672112110116[目标国家（映射）],表2_97131923252773113111117[[#This Row],[国家]])</f>
        <v>4</v>
      </c>
      <c r="D63" s="186">
        <f>SUMIFS(表1_86121822242672112110116[活跃高战玩家数],表1_86121822242672112110116[目标区服],表2_97131923252773113111117[[#This Row],[合区区服]],表1_86121822242672112110116[目标国家（映射）],表2_97131923252773113111117[[#This Row],[国家]])</f>
        <v>4</v>
      </c>
      <c r="E63" s="186">
        <f>SUMIFS(表1_86121822242672112110116[活跃中坚玩家数],表1_86121822242672112110116[目标区服],表2_97131923252773113111117[[#This Row],[合区区服]],表1_86121822242672112110116[目标国家（映射）],表2_97131923252773113111117[[#This Row],[国家]])</f>
        <v>60</v>
      </c>
      <c r="F63" s="186">
        <f t="array" ref="F63">MAX((表1_86121822242672112110116[目标区服]=表2_97131923252773113111117[[#This Row],[合区区服]])*(表1_86121822242672112110116[目标国家（映射）]=表2_97131923252773113111117[[#This Row],[国家]])*表1_86121822242672112110116[活跃尖端战力])</f>
        <v>1459055</v>
      </c>
      <c r="G63" s="187">
        <f>SUMIFS(表1_86121822242672112110116[活跃总战力],表1_86121822242672112110116[目标区服],表2_97131923252773113111117[[#This Row],[合区区服]],表1_86121822242672112110116[目标国家（映射）],表2_97131923252773113111117[[#This Row],[国家]])</f>
        <v>30331704</v>
      </c>
      <c r="H63" s="186">
        <f>SUMIFS(表1_86121822242672112110116[活跃实际充值],表1_86121822242672112110116[目标区服],表2_97131923252773113111117[[#This Row],[合区区服]],表1_86121822242672112110116[目标国家（映射）],表2_97131923252773113111117[[#This Row],[国家]])</f>
        <v>49862</v>
      </c>
      <c r="I63" s="186">
        <f>SUMIFS(表1_86121822242672112110116[活跃虚拟充值],表1_86121822242672112110116[目标区服],表2_97131923252773113111117[[#This Row],[合区区服]],表1_86121822242672112110116[目标国家（映射）],表2_97131923252773113111117[[#This Row],[国家]])</f>
        <v>0</v>
      </c>
      <c r="J63" s="186">
        <f>SUMIFS(表1_86121822242672112110116[活跃Coin],表1_86121822242672112110116[目标区服],表2_97131923252773113111117[[#This Row],[合区区服]],表1_86121822242672112110116[目标国家（映射）],表2_97131923252773113111117[[#This Row],[国家]])</f>
        <v>387812</v>
      </c>
      <c r="K63" s="186">
        <f>SUMIFS(表1_86121822242672112110116[共计补偿Coin],表1_86121822242672112110116[目标区服],表2_97131923252773113111117[[#This Row],[合区区服]],表1_86121822242672112110116[目标国家（映射）],表2_97131923252773113111117[[#This Row],[国家]])</f>
        <v>64000</v>
      </c>
      <c r="L63" s="186">
        <f>表2_97131923252773113111117[[#This Row],[活跃Coin]]+表2_97131923252773113111117[[#This Row],[共计补偿Coin]]</f>
        <v>451812</v>
      </c>
      <c r="M63" s="186">
        <f>SUMIFS(表1_86121822242672112110116[综合国力],表1_86121822242672112110116[目标区服],表2_97131923252773113111117[[#This Row],[合区区服]],表1_86121822242672112110116[目标国家（映射）],表2_97131923252773113111117[[#This Row],[国家]])</f>
        <v>12872</v>
      </c>
      <c r="N63" s="186">
        <f t="array" ref="N63">MAX((表1_86121822242672112110116[目标区服]=表2_97131923252773113111117[[#This Row],[合区区服]])*(表1_86121822242672112110116[目标国家（映射）]=表2_97131923252773113111117[[#This Row],[国家]])*表1_86121822242672112110116[单将最高战力])</f>
        <v>405171</v>
      </c>
    </row>
    <row r="64" ht="15" spans="1:14">
      <c r="A64" s="186" t="s">
        <v>287</v>
      </c>
      <c r="B64" s="186" t="s">
        <v>27</v>
      </c>
      <c r="C64" s="186">
        <f>COUNTIFS(表1_86121822242672112110116[目标区服],表2_97131923252773113111117[[#This Row],[合区区服]],表1_86121822242672112110116[目标国家（映射）],表2_97131923252773113111117[[#This Row],[国家]])</f>
        <v>1</v>
      </c>
      <c r="D64" s="186">
        <f>SUMIFS(表1_86121822242672112110116[活跃高战玩家数],表1_86121822242672112110116[目标区服],表2_97131923252773113111117[[#This Row],[合区区服]],表1_86121822242672112110116[目标国家（映射）],表2_97131923252773113111117[[#This Row],[国家]])</f>
        <v>7</v>
      </c>
      <c r="E64" s="186">
        <f>SUMIFS(表1_86121822242672112110116[活跃中坚玩家数],表1_86121822242672112110116[目标区服],表2_97131923252773113111117[[#This Row],[合区区服]],表1_86121822242672112110116[目标国家（映射）],表2_97131923252773113111117[[#This Row],[国家]])</f>
        <v>27</v>
      </c>
      <c r="F64" s="186">
        <f t="array" ref="F64">MAX((表1_86121822242672112110116[目标区服]=表2_97131923252773113111117[[#This Row],[合区区服]])*(表1_86121822242672112110116[目标国家（映射）]=表2_97131923252773113111117[[#This Row],[国家]])*表1_86121822242672112110116[活跃尖端战力])</f>
        <v>2793353</v>
      </c>
      <c r="G64" s="187">
        <f>SUMIFS(表1_86121822242672112110116[活跃总战力],表1_86121822242672112110116[目标区服],表2_97131923252773113111117[[#This Row],[合区区服]],表1_86121822242672112110116[目标国家（映射）],表2_97131923252773113111117[[#This Row],[国家]])</f>
        <v>26313170</v>
      </c>
      <c r="H64" s="186">
        <f>SUMIFS(表1_86121822242672112110116[活跃实际充值],表1_86121822242672112110116[目标区服],表2_97131923252773113111117[[#This Row],[合区区服]],表1_86121822242672112110116[目标国家（映射）],表2_97131923252773113111117[[#This Row],[国家]])</f>
        <v>84102</v>
      </c>
      <c r="I64" s="186">
        <f>SUMIFS(表1_86121822242672112110116[活跃虚拟充值],表1_86121822242672112110116[目标区服],表2_97131923252773113111117[[#This Row],[合区区服]],表1_86121822242672112110116[目标国家（映射）],表2_97131923252773113111117[[#This Row],[国家]])</f>
        <v>0</v>
      </c>
      <c r="J64" s="186">
        <f>SUMIFS(表1_86121822242672112110116[活跃Coin],表1_86121822242672112110116[目标区服],表2_97131923252773113111117[[#This Row],[合区区服]],表1_86121822242672112110116[目标国家（映射）],表2_97131923252773113111117[[#This Row],[国家]])</f>
        <v>381650</v>
      </c>
      <c r="K64" s="186">
        <f>SUMIFS(表1_86121822242672112110116[共计补偿Coin],表1_86121822242672112110116[目标区服],表2_97131923252773113111117[[#This Row],[合区区服]],表1_86121822242672112110116[目标国家（映射）],表2_97131923252773113111117[[#This Row],[国家]])</f>
        <v>34000</v>
      </c>
      <c r="L64" s="186">
        <f>表2_97131923252773113111117[[#This Row],[活跃Coin]]+表2_97131923252773113111117[[#This Row],[共计补偿Coin]]</f>
        <v>415650</v>
      </c>
      <c r="M64" s="186">
        <f>SUMIFS(表1_86121822242672112110116[综合国力],表1_86121822242672112110116[目标区服],表2_97131923252773113111117[[#This Row],[合区区服]],表1_86121822242672112110116[目标国家（映射）],表2_97131923252773113111117[[#This Row],[国家]])</f>
        <v>12326</v>
      </c>
      <c r="N64" s="186">
        <f t="array" ref="N64">MAX((表1_86121822242672112110116[目标区服]=表2_97131923252773113111117[[#This Row],[合区区服]])*(表1_86121822242672112110116[目标国家（映射）]=表2_97131923252773113111117[[#This Row],[国家]])*表1_86121822242672112110116[单将最高战力])</f>
        <v>692730</v>
      </c>
    </row>
    <row r="67" ht="27" spans="2:14">
      <c r="B67" s="49"/>
      <c r="C67" s="50" t="s">
        <v>9</v>
      </c>
      <c r="D67" s="50" t="s">
        <v>10</v>
      </c>
      <c r="E67" s="50" t="s">
        <v>11</v>
      </c>
      <c r="F67" s="50" t="s">
        <v>12</v>
      </c>
      <c r="G67" s="50" t="s">
        <v>13</v>
      </c>
      <c r="H67" s="50" t="s">
        <v>14</v>
      </c>
      <c r="I67" s="274" t="s">
        <v>15</v>
      </c>
      <c r="J67" s="189" t="s">
        <v>18</v>
      </c>
      <c r="K67" s="189" t="s">
        <v>19</v>
      </c>
      <c r="L67" s="189" t="s">
        <v>20</v>
      </c>
      <c r="M67" s="189" t="s">
        <v>21</v>
      </c>
      <c r="N67" s="189" t="s">
        <v>82</v>
      </c>
    </row>
    <row r="68" spans="1:14">
      <c r="A68">
        <v>7050</v>
      </c>
      <c r="B68" s="190" t="s">
        <v>25</v>
      </c>
      <c r="C68" s="190">
        <v>3</v>
      </c>
      <c r="D68" s="190">
        <v>80</v>
      </c>
      <c r="E68" s="190">
        <v>0</v>
      </c>
      <c r="F68" s="190">
        <v>19</v>
      </c>
      <c r="G68" s="190">
        <v>43220</v>
      </c>
      <c r="H68" s="190">
        <v>1688690</v>
      </c>
      <c r="I68" s="190">
        <v>13093872</v>
      </c>
      <c r="J68" s="190">
        <v>5360</v>
      </c>
      <c r="K68" s="190">
        <v>0</v>
      </c>
      <c r="L68" s="190">
        <v>285989</v>
      </c>
      <c r="M68" s="190">
        <v>4617</v>
      </c>
      <c r="N68" s="190">
        <v>460557</v>
      </c>
    </row>
    <row r="69" spans="2:14">
      <c r="B69" s="190" t="s">
        <v>26</v>
      </c>
      <c r="C69" s="190">
        <v>4</v>
      </c>
      <c r="D69" s="190">
        <v>232</v>
      </c>
      <c r="E69" s="190">
        <v>7</v>
      </c>
      <c r="F69" s="190">
        <v>39</v>
      </c>
      <c r="G69" s="190">
        <v>187212</v>
      </c>
      <c r="H69" s="190">
        <v>2235545</v>
      </c>
      <c r="I69" s="190">
        <v>41364850</v>
      </c>
      <c r="J69" s="190">
        <v>50384</v>
      </c>
      <c r="K69" s="190">
        <v>0</v>
      </c>
      <c r="L69" s="190">
        <v>536090</v>
      </c>
      <c r="M69" s="190">
        <v>11807</v>
      </c>
      <c r="N69" s="190">
        <v>641271</v>
      </c>
    </row>
    <row r="70" spans="2:14">
      <c r="B70" s="190" t="s">
        <v>27</v>
      </c>
      <c r="C70" s="190">
        <v>2</v>
      </c>
      <c r="D70" s="190">
        <v>83</v>
      </c>
      <c r="E70" s="190">
        <v>2</v>
      </c>
      <c r="F70" s="190">
        <v>24</v>
      </c>
      <c r="G70" s="190">
        <v>94271</v>
      </c>
      <c r="H70" s="190">
        <v>2152660</v>
      </c>
      <c r="I70" s="190">
        <v>22196092</v>
      </c>
      <c r="J70" s="190">
        <v>30272</v>
      </c>
      <c r="K70" s="190">
        <v>0</v>
      </c>
      <c r="L70" s="190">
        <v>229541</v>
      </c>
      <c r="M70" s="190">
        <v>6896</v>
      </c>
      <c r="N70" s="190">
        <v>644595</v>
      </c>
    </row>
    <row r="71" spans="1:14">
      <c r="A71">
        <v>7051</v>
      </c>
      <c r="B71" s="190" t="s">
        <v>25</v>
      </c>
      <c r="C71" s="190">
        <v>2</v>
      </c>
      <c r="D71" s="190">
        <v>95</v>
      </c>
      <c r="E71" s="190">
        <v>3</v>
      </c>
      <c r="F71" s="190">
        <v>15</v>
      </c>
      <c r="G71" s="190">
        <v>76218</v>
      </c>
      <c r="H71" s="190">
        <v>3100646</v>
      </c>
      <c r="I71" s="190">
        <v>18320730</v>
      </c>
      <c r="J71" s="190">
        <v>96748</v>
      </c>
      <c r="K71" s="190">
        <v>0</v>
      </c>
      <c r="L71" s="190">
        <v>313391</v>
      </c>
      <c r="M71" s="190">
        <v>9522</v>
      </c>
      <c r="N71" s="190">
        <v>1080786</v>
      </c>
    </row>
    <row r="72" spans="2:14">
      <c r="B72" s="190" t="s">
        <v>26</v>
      </c>
      <c r="C72" s="190">
        <v>0</v>
      </c>
      <c r="D72" s="190">
        <v>70</v>
      </c>
      <c r="E72" s="190">
        <v>0</v>
      </c>
      <c r="F72" s="190">
        <v>25</v>
      </c>
      <c r="G72" s="190">
        <v>77468</v>
      </c>
      <c r="H72" s="190">
        <v>1401947</v>
      </c>
      <c r="I72" s="190">
        <v>17741818</v>
      </c>
      <c r="J72" s="190">
        <v>8522</v>
      </c>
      <c r="K72" s="190">
        <v>0</v>
      </c>
      <c r="L72" s="190">
        <v>58801</v>
      </c>
      <c r="M72" s="190">
        <v>4548</v>
      </c>
      <c r="N72" s="190">
        <v>414304</v>
      </c>
    </row>
    <row r="73" spans="2:14">
      <c r="B73" s="190" t="s">
        <v>27</v>
      </c>
      <c r="C73" s="190">
        <v>7</v>
      </c>
      <c r="D73" s="190">
        <v>230</v>
      </c>
      <c r="E73" s="190">
        <v>5</v>
      </c>
      <c r="F73" s="190">
        <v>23</v>
      </c>
      <c r="G73" s="190">
        <v>127884</v>
      </c>
      <c r="H73" s="190">
        <v>3351597</v>
      </c>
      <c r="I73" s="190">
        <v>28195555</v>
      </c>
      <c r="J73" s="190">
        <v>130320</v>
      </c>
      <c r="K73" s="190">
        <v>0</v>
      </c>
      <c r="L73" s="190">
        <v>405605</v>
      </c>
      <c r="M73" s="190">
        <v>13922</v>
      </c>
      <c r="N73" s="190">
        <v>1102656</v>
      </c>
    </row>
    <row r="74" spans="1:14">
      <c r="A74">
        <v>7052</v>
      </c>
      <c r="B74" s="190" t="s">
        <v>25</v>
      </c>
      <c r="C74" s="190">
        <v>2</v>
      </c>
      <c r="D74" s="190">
        <v>89</v>
      </c>
      <c r="E74" s="190">
        <v>4</v>
      </c>
      <c r="F74" s="190">
        <v>24</v>
      </c>
      <c r="G74" s="190">
        <v>104818</v>
      </c>
      <c r="H74" s="190">
        <v>2496362</v>
      </c>
      <c r="I74" s="190">
        <v>22028656</v>
      </c>
      <c r="J74" s="190">
        <v>56786</v>
      </c>
      <c r="K74" s="190">
        <v>0</v>
      </c>
      <c r="L74" s="190">
        <v>442634</v>
      </c>
      <c r="M74" s="190">
        <v>8238</v>
      </c>
      <c r="N74" s="190">
        <v>760698</v>
      </c>
    </row>
    <row r="75" spans="2:14">
      <c r="B75" s="190" t="s">
        <v>26</v>
      </c>
      <c r="C75" s="190">
        <v>4</v>
      </c>
      <c r="D75" s="190">
        <v>196</v>
      </c>
      <c r="E75" s="190">
        <v>4</v>
      </c>
      <c r="F75" s="190">
        <v>26</v>
      </c>
      <c r="G75" s="190">
        <v>136751</v>
      </c>
      <c r="H75" s="190">
        <v>2461433</v>
      </c>
      <c r="I75" s="190">
        <v>25429071</v>
      </c>
      <c r="J75" s="190">
        <v>23010</v>
      </c>
      <c r="K75" s="190">
        <v>0</v>
      </c>
      <c r="L75" s="190">
        <v>259422</v>
      </c>
      <c r="M75" s="190">
        <v>8868</v>
      </c>
      <c r="N75" s="190">
        <v>781159</v>
      </c>
    </row>
    <row r="76" spans="2:14">
      <c r="B76" s="190" t="s">
        <v>27</v>
      </c>
      <c r="C76" s="190">
        <v>3</v>
      </c>
      <c r="D76" s="190">
        <v>110</v>
      </c>
      <c r="E76" s="190">
        <v>2</v>
      </c>
      <c r="F76" s="190">
        <v>25</v>
      </c>
      <c r="G76" s="190">
        <v>81006</v>
      </c>
      <c r="H76" s="190">
        <v>2002961</v>
      </c>
      <c r="I76" s="190">
        <v>18475676</v>
      </c>
      <c r="J76" s="190">
        <v>19934</v>
      </c>
      <c r="K76" s="190">
        <v>0</v>
      </c>
      <c r="L76" s="190">
        <v>281304</v>
      </c>
      <c r="M76" s="190">
        <v>6394</v>
      </c>
      <c r="N76" s="190">
        <v>649550</v>
      </c>
    </row>
    <row r="77" spans="1:14">
      <c r="A77">
        <v>7053</v>
      </c>
      <c r="B77" s="190" t="s">
        <v>25</v>
      </c>
      <c r="C77" s="190">
        <v>4</v>
      </c>
      <c r="D77" s="190">
        <v>170</v>
      </c>
      <c r="E77" s="190">
        <v>3</v>
      </c>
      <c r="F77" s="190">
        <v>18</v>
      </c>
      <c r="G77" s="190">
        <v>94498</v>
      </c>
      <c r="H77" s="190">
        <v>2217295</v>
      </c>
      <c r="I77" s="190">
        <v>16242706</v>
      </c>
      <c r="J77" s="190">
        <v>13836</v>
      </c>
      <c r="K77" s="190">
        <v>0</v>
      </c>
      <c r="L77" s="190">
        <v>227749</v>
      </c>
      <c r="M77" s="190">
        <v>6943</v>
      </c>
      <c r="N77" s="190">
        <v>634462</v>
      </c>
    </row>
    <row r="78" spans="2:14">
      <c r="B78" s="190" t="s">
        <v>26</v>
      </c>
      <c r="C78" s="190">
        <v>3</v>
      </c>
      <c r="D78" s="190">
        <v>143</v>
      </c>
      <c r="E78" s="190">
        <v>5</v>
      </c>
      <c r="F78" s="190">
        <v>27</v>
      </c>
      <c r="G78" s="190">
        <v>122351</v>
      </c>
      <c r="H78" s="190">
        <v>2009360</v>
      </c>
      <c r="I78" s="190">
        <v>21861057</v>
      </c>
      <c r="J78" s="190">
        <v>40042</v>
      </c>
      <c r="K78" s="190">
        <v>0</v>
      </c>
      <c r="L78" s="190">
        <v>134406</v>
      </c>
      <c r="M78" s="190">
        <v>7805</v>
      </c>
      <c r="N78" s="190">
        <v>981578</v>
      </c>
    </row>
    <row r="79" spans="2:14">
      <c r="B79" s="190" t="s">
        <v>27</v>
      </c>
      <c r="C79" s="190">
        <v>2</v>
      </c>
      <c r="D79" s="190">
        <v>82</v>
      </c>
      <c r="E79" s="190">
        <v>1</v>
      </c>
      <c r="F79" s="190">
        <v>13</v>
      </c>
      <c r="G79" s="190">
        <v>63952</v>
      </c>
      <c r="H79" s="190">
        <v>1477137</v>
      </c>
      <c r="I79" s="190">
        <v>10108908</v>
      </c>
      <c r="J79" s="190">
        <v>8906</v>
      </c>
      <c r="K79" s="190">
        <v>0</v>
      </c>
      <c r="L79" s="190">
        <v>73537</v>
      </c>
      <c r="M79" s="190">
        <v>4131</v>
      </c>
      <c r="N79" s="190">
        <v>517700</v>
      </c>
    </row>
    <row r="80" spans="1:14">
      <c r="A80">
        <v>7054</v>
      </c>
      <c r="B80" s="190" t="s">
        <v>25</v>
      </c>
      <c r="C80" s="190">
        <v>5</v>
      </c>
      <c r="D80" s="190">
        <v>170</v>
      </c>
      <c r="E80" s="190">
        <v>4</v>
      </c>
      <c r="F80" s="190">
        <v>26</v>
      </c>
      <c r="G80" s="190">
        <v>110848</v>
      </c>
      <c r="H80" s="190">
        <v>2678058</v>
      </c>
      <c r="I80" s="190">
        <v>20748142</v>
      </c>
      <c r="J80" s="190">
        <v>35798</v>
      </c>
      <c r="K80" s="190">
        <v>0</v>
      </c>
      <c r="L80" s="190">
        <v>441832</v>
      </c>
      <c r="M80" s="190">
        <v>8801</v>
      </c>
      <c r="N80" s="190">
        <v>707519</v>
      </c>
    </row>
    <row r="81" spans="2:14">
      <c r="B81" s="190" t="s">
        <v>26</v>
      </c>
      <c r="C81" s="190">
        <v>1</v>
      </c>
      <c r="D81" s="190">
        <v>112</v>
      </c>
      <c r="E81" s="190">
        <v>3</v>
      </c>
      <c r="F81" s="190">
        <v>20</v>
      </c>
      <c r="G81" s="190">
        <v>84388</v>
      </c>
      <c r="H81" s="190">
        <v>1680763</v>
      </c>
      <c r="I81" s="190">
        <v>14615261</v>
      </c>
      <c r="J81" s="190">
        <v>18922</v>
      </c>
      <c r="K81" s="190">
        <v>0</v>
      </c>
      <c r="L81" s="190">
        <v>232799</v>
      </c>
      <c r="M81" s="190">
        <v>5468</v>
      </c>
      <c r="N81" s="190">
        <v>451581</v>
      </c>
    </row>
    <row r="82" spans="2:14">
      <c r="B82" s="190" t="s">
        <v>27</v>
      </c>
      <c r="C82" s="190">
        <v>3</v>
      </c>
      <c r="D82" s="190">
        <v>113</v>
      </c>
      <c r="E82" s="190">
        <v>3</v>
      </c>
      <c r="F82" s="190">
        <v>25</v>
      </c>
      <c r="G82" s="190">
        <v>123651</v>
      </c>
      <c r="H82" s="190">
        <v>2185962</v>
      </c>
      <c r="I82" s="190">
        <v>19832826</v>
      </c>
      <c r="J82" s="190">
        <v>40850</v>
      </c>
      <c r="K82" s="190">
        <v>0</v>
      </c>
      <c r="L82" s="190">
        <v>345176</v>
      </c>
      <c r="M82" s="190">
        <v>7615</v>
      </c>
      <c r="N82" s="190">
        <v>638679</v>
      </c>
    </row>
    <row r="83" spans="1:14">
      <c r="A83">
        <v>7055</v>
      </c>
      <c r="B83" s="190" t="s">
        <v>25</v>
      </c>
      <c r="C83" s="190">
        <v>0</v>
      </c>
      <c r="D83" s="190">
        <v>34</v>
      </c>
      <c r="E83" s="190">
        <v>0</v>
      </c>
      <c r="F83" s="190">
        <v>12</v>
      </c>
      <c r="G83" s="190">
        <v>37679</v>
      </c>
      <c r="H83" s="190">
        <v>803504</v>
      </c>
      <c r="I83" s="190">
        <v>5192084</v>
      </c>
      <c r="J83" s="190">
        <v>2592</v>
      </c>
      <c r="K83" s="190">
        <v>0</v>
      </c>
      <c r="L83" s="190">
        <v>93333</v>
      </c>
      <c r="M83" s="190">
        <v>1975</v>
      </c>
      <c r="N83" s="190">
        <v>241233</v>
      </c>
    </row>
    <row r="84" spans="2:14">
      <c r="B84" s="190" t="s">
        <v>26</v>
      </c>
      <c r="C84" s="190">
        <v>7</v>
      </c>
      <c r="D84" s="190">
        <v>286</v>
      </c>
      <c r="E84" s="190">
        <v>4</v>
      </c>
      <c r="F84" s="190">
        <v>20</v>
      </c>
      <c r="G84" s="190">
        <v>123470</v>
      </c>
      <c r="H84" s="190">
        <v>2309969</v>
      </c>
      <c r="I84" s="190">
        <v>18194023</v>
      </c>
      <c r="J84" s="190">
        <v>40900</v>
      </c>
      <c r="K84" s="190">
        <v>0</v>
      </c>
      <c r="L84" s="190">
        <v>209940</v>
      </c>
      <c r="M84" s="190">
        <v>9638</v>
      </c>
      <c r="N84" s="190">
        <v>669679</v>
      </c>
    </row>
    <row r="85" spans="2:14">
      <c r="B85" s="190" t="s">
        <v>27</v>
      </c>
      <c r="C85" s="190">
        <v>2</v>
      </c>
      <c r="D85" s="190">
        <v>75</v>
      </c>
      <c r="E85" s="190">
        <v>5</v>
      </c>
      <c r="F85" s="190">
        <v>13</v>
      </c>
      <c r="G85" s="190">
        <v>92430</v>
      </c>
      <c r="H85" s="190">
        <v>1563160</v>
      </c>
      <c r="I85" s="190">
        <v>12427107</v>
      </c>
      <c r="J85" s="190">
        <v>29602</v>
      </c>
      <c r="K85" s="190">
        <v>0</v>
      </c>
      <c r="L85" s="190">
        <v>117508</v>
      </c>
      <c r="M85" s="190">
        <v>5164</v>
      </c>
      <c r="N85" s="190">
        <v>443427</v>
      </c>
    </row>
    <row r="86" spans="1:14">
      <c r="A86">
        <v>7056</v>
      </c>
      <c r="B86" s="190" t="s">
        <v>25</v>
      </c>
      <c r="C86" s="190">
        <v>0</v>
      </c>
      <c r="D86" s="190">
        <v>33</v>
      </c>
      <c r="E86" s="190">
        <v>1</v>
      </c>
      <c r="F86" s="190">
        <v>13</v>
      </c>
      <c r="G86" s="190">
        <v>51645</v>
      </c>
      <c r="H86" s="190">
        <v>959621</v>
      </c>
      <c r="I86" s="190">
        <v>6127547</v>
      </c>
      <c r="J86" s="190">
        <v>908</v>
      </c>
      <c r="K86" s="190">
        <v>0</v>
      </c>
      <c r="L86" s="190">
        <v>62871</v>
      </c>
      <c r="M86" s="190">
        <v>2219</v>
      </c>
      <c r="N86" s="190">
        <v>279396</v>
      </c>
    </row>
    <row r="87" spans="2:14">
      <c r="B87" s="190" t="s">
        <v>26</v>
      </c>
      <c r="C87" s="190">
        <v>7</v>
      </c>
      <c r="D87" s="190">
        <v>294</v>
      </c>
      <c r="E87" s="190">
        <v>8</v>
      </c>
      <c r="F87" s="190">
        <v>17</v>
      </c>
      <c r="G87" s="190">
        <v>160972</v>
      </c>
      <c r="H87" s="190">
        <v>2183429</v>
      </c>
      <c r="I87" s="190">
        <v>20846147</v>
      </c>
      <c r="J87" s="190">
        <v>38588</v>
      </c>
      <c r="K87" s="190">
        <v>0</v>
      </c>
      <c r="L87" s="190">
        <v>379926</v>
      </c>
      <c r="M87" s="190">
        <v>10060</v>
      </c>
      <c r="N87" s="190">
        <v>631269</v>
      </c>
    </row>
    <row r="88" spans="2:14">
      <c r="B88" s="190" t="s">
        <v>27</v>
      </c>
      <c r="C88" s="190">
        <v>2</v>
      </c>
      <c r="D88" s="190">
        <v>68</v>
      </c>
      <c r="E88" s="190">
        <v>1</v>
      </c>
      <c r="F88" s="190">
        <v>13</v>
      </c>
      <c r="G88" s="190">
        <v>55449</v>
      </c>
      <c r="H88" s="190">
        <v>1243712</v>
      </c>
      <c r="I88" s="190">
        <v>6706608</v>
      </c>
      <c r="J88" s="190">
        <v>3650</v>
      </c>
      <c r="K88" s="190">
        <v>0</v>
      </c>
      <c r="L88" s="190">
        <v>92482</v>
      </c>
      <c r="M88" s="190">
        <v>3227</v>
      </c>
      <c r="N88" s="190">
        <v>351041</v>
      </c>
    </row>
    <row r="89" spans="1:14">
      <c r="A89">
        <v>7057</v>
      </c>
      <c r="B89" s="190" t="s">
        <v>25</v>
      </c>
      <c r="C89" s="190">
        <v>3</v>
      </c>
      <c r="D89" s="190">
        <v>124</v>
      </c>
      <c r="E89" s="190">
        <v>3</v>
      </c>
      <c r="F89" s="190">
        <v>18</v>
      </c>
      <c r="G89" s="190">
        <v>101339</v>
      </c>
      <c r="H89" s="190">
        <v>1983379</v>
      </c>
      <c r="I89" s="190">
        <v>14077660</v>
      </c>
      <c r="J89" s="190">
        <v>3276</v>
      </c>
      <c r="K89" s="190">
        <v>0</v>
      </c>
      <c r="L89" s="190">
        <v>203837</v>
      </c>
      <c r="M89" s="190">
        <v>5638</v>
      </c>
      <c r="N89" s="190">
        <v>626223</v>
      </c>
    </row>
    <row r="90" spans="2:14">
      <c r="B90" s="190" t="s">
        <v>26</v>
      </c>
      <c r="C90" s="190">
        <v>2</v>
      </c>
      <c r="D90" s="190">
        <v>131</v>
      </c>
      <c r="E90" s="190">
        <v>2</v>
      </c>
      <c r="F90" s="190">
        <v>18</v>
      </c>
      <c r="G90" s="190">
        <v>83173</v>
      </c>
      <c r="H90" s="190">
        <v>1528632</v>
      </c>
      <c r="I90" s="190">
        <v>12117756</v>
      </c>
      <c r="J90" s="190">
        <v>17814</v>
      </c>
      <c r="K90" s="190">
        <v>0</v>
      </c>
      <c r="L90" s="190">
        <v>133163</v>
      </c>
      <c r="M90" s="190">
        <v>5267</v>
      </c>
      <c r="N90" s="190">
        <v>516572</v>
      </c>
    </row>
    <row r="91" spans="2:14">
      <c r="B91" s="190" t="s">
        <v>27</v>
      </c>
      <c r="C91" s="190">
        <v>4</v>
      </c>
      <c r="D91" s="190">
        <v>140</v>
      </c>
      <c r="E91" s="190">
        <v>4</v>
      </c>
      <c r="F91" s="190">
        <v>16</v>
      </c>
      <c r="G91" s="190">
        <v>96333</v>
      </c>
      <c r="H91" s="190">
        <v>2294897</v>
      </c>
      <c r="I91" s="190">
        <v>14707270</v>
      </c>
      <c r="J91" s="190">
        <v>31772</v>
      </c>
      <c r="K91" s="190">
        <v>0</v>
      </c>
      <c r="L91" s="190">
        <v>394389</v>
      </c>
      <c r="M91" s="190">
        <v>7197</v>
      </c>
      <c r="N91" s="190">
        <v>784833</v>
      </c>
    </row>
    <row r="92" spans="1:14">
      <c r="A92">
        <v>7058</v>
      </c>
      <c r="B92" s="190" t="s">
        <v>25</v>
      </c>
      <c r="C92" s="190">
        <v>5</v>
      </c>
      <c r="D92" s="190">
        <v>228</v>
      </c>
      <c r="E92" s="190">
        <v>5</v>
      </c>
      <c r="F92" s="190">
        <v>14</v>
      </c>
      <c r="G92" s="190">
        <v>125679</v>
      </c>
      <c r="H92" s="190">
        <v>2586540</v>
      </c>
      <c r="I92" s="190">
        <v>18547743</v>
      </c>
      <c r="J92" s="190">
        <v>104870</v>
      </c>
      <c r="K92" s="190">
        <v>0</v>
      </c>
      <c r="L92" s="190">
        <v>461211</v>
      </c>
      <c r="M92" s="190">
        <v>11226</v>
      </c>
      <c r="N92" s="190">
        <v>824506</v>
      </c>
    </row>
    <row r="93" spans="2:14">
      <c r="B93" s="190" t="s">
        <v>26</v>
      </c>
      <c r="C93" s="190">
        <v>2</v>
      </c>
      <c r="D93" s="190">
        <v>99</v>
      </c>
      <c r="E93" s="190">
        <v>2</v>
      </c>
      <c r="F93" s="190">
        <v>12</v>
      </c>
      <c r="G93" s="190">
        <v>56491</v>
      </c>
      <c r="H93" s="190">
        <v>1505072</v>
      </c>
      <c r="I93" s="190">
        <v>6716498</v>
      </c>
      <c r="J93" s="190">
        <v>5348</v>
      </c>
      <c r="K93" s="190">
        <v>0</v>
      </c>
      <c r="L93" s="190">
        <v>108452</v>
      </c>
      <c r="M93" s="190">
        <v>3863</v>
      </c>
      <c r="N93" s="190">
        <v>465513</v>
      </c>
    </row>
    <row r="94" spans="2:14">
      <c r="B94" s="190" t="s">
        <v>27</v>
      </c>
      <c r="C94" s="190">
        <v>2</v>
      </c>
      <c r="D94" s="190">
        <v>68</v>
      </c>
      <c r="E94" s="190">
        <v>3</v>
      </c>
      <c r="F94" s="190">
        <v>12</v>
      </c>
      <c r="G94" s="190">
        <v>83498</v>
      </c>
      <c r="H94" s="190">
        <v>1975215</v>
      </c>
      <c r="I94" s="190">
        <v>11198746</v>
      </c>
      <c r="J94" s="190">
        <v>12726</v>
      </c>
      <c r="K94" s="190">
        <v>55806</v>
      </c>
      <c r="L94" s="190">
        <v>335018</v>
      </c>
      <c r="M94" s="190">
        <v>5499</v>
      </c>
      <c r="N94" s="190">
        <v>661964</v>
      </c>
    </row>
    <row r="95" spans="1:14">
      <c r="A95">
        <v>7059</v>
      </c>
      <c r="B95" s="190" t="s">
        <v>25</v>
      </c>
      <c r="C95" s="190">
        <v>0</v>
      </c>
      <c r="D95" s="190">
        <v>41</v>
      </c>
      <c r="E95" s="190">
        <v>1</v>
      </c>
      <c r="F95" s="190">
        <v>4</v>
      </c>
      <c r="G95" s="190">
        <v>18656</v>
      </c>
      <c r="H95" s="190">
        <v>624865</v>
      </c>
      <c r="I95" s="190">
        <v>1766604</v>
      </c>
      <c r="J95" s="190">
        <v>262</v>
      </c>
      <c r="K95" s="190">
        <v>0</v>
      </c>
      <c r="L95" s="190">
        <v>8888</v>
      </c>
      <c r="M95" s="190">
        <v>1317</v>
      </c>
      <c r="N95" s="190">
        <v>217223</v>
      </c>
    </row>
    <row r="96" spans="2:14">
      <c r="B96" s="190" t="s">
        <v>26</v>
      </c>
      <c r="C96" s="190">
        <v>1</v>
      </c>
      <c r="D96" s="190">
        <v>84</v>
      </c>
      <c r="E96" s="190">
        <v>1</v>
      </c>
      <c r="F96" s="190">
        <v>15</v>
      </c>
      <c r="G96" s="190">
        <v>85453</v>
      </c>
      <c r="H96" s="190">
        <v>869951</v>
      </c>
      <c r="I96" s="190">
        <v>7055896</v>
      </c>
      <c r="J96" s="190">
        <v>4870</v>
      </c>
      <c r="K96" s="190">
        <v>0</v>
      </c>
      <c r="L96" s="190">
        <v>32641</v>
      </c>
      <c r="M96" s="190">
        <v>3105</v>
      </c>
      <c r="N96" s="190">
        <v>239792</v>
      </c>
    </row>
    <row r="97" spans="2:14">
      <c r="B97" s="190" t="s">
        <v>27</v>
      </c>
      <c r="C97" s="190">
        <v>8</v>
      </c>
      <c r="D97" s="190">
        <v>270</v>
      </c>
      <c r="E97" s="190">
        <v>8</v>
      </c>
      <c r="F97" s="190">
        <v>15</v>
      </c>
      <c r="G97" s="190">
        <v>141746</v>
      </c>
      <c r="H97" s="190">
        <v>1986670</v>
      </c>
      <c r="I97" s="190">
        <v>15385943</v>
      </c>
      <c r="J97" s="190">
        <v>23380</v>
      </c>
      <c r="K97" s="190">
        <v>0</v>
      </c>
      <c r="L97" s="190">
        <v>273737</v>
      </c>
      <c r="M97" s="190">
        <v>8572</v>
      </c>
      <c r="N97" s="190">
        <v>556357</v>
      </c>
    </row>
    <row r="98" spans="1:14">
      <c r="A98">
        <v>7060</v>
      </c>
      <c r="B98" s="190" t="s">
        <v>25</v>
      </c>
      <c r="C98" s="190">
        <v>9</v>
      </c>
      <c r="D98" s="190">
        <v>329</v>
      </c>
      <c r="E98" s="190">
        <v>9</v>
      </c>
      <c r="F98" s="190">
        <v>24</v>
      </c>
      <c r="G98" s="190">
        <v>195989</v>
      </c>
      <c r="H98" s="190">
        <v>1940107</v>
      </c>
      <c r="I98" s="190">
        <v>23842677</v>
      </c>
      <c r="J98" s="190">
        <v>24316</v>
      </c>
      <c r="K98" s="190">
        <v>0</v>
      </c>
      <c r="L98" s="190">
        <v>323252</v>
      </c>
      <c r="M98" s="190">
        <v>10385</v>
      </c>
      <c r="N98" s="190">
        <v>577684</v>
      </c>
    </row>
    <row r="99" spans="2:14">
      <c r="B99" s="190" t="s">
        <v>26</v>
      </c>
      <c r="C99" s="190">
        <v>0</v>
      </c>
      <c r="D99" s="190">
        <v>38</v>
      </c>
      <c r="E99" s="190">
        <v>1</v>
      </c>
      <c r="F99" s="190">
        <v>14</v>
      </c>
      <c r="G99" s="190">
        <v>57517</v>
      </c>
      <c r="H99" s="190">
        <v>1159733</v>
      </c>
      <c r="I99" s="190">
        <v>7204389</v>
      </c>
      <c r="J99" s="190">
        <v>8978</v>
      </c>
      <c r="K99" s="190">
        <v>0</v>
      </c>
      <c r="L99" s="190">
        <v>124563</v>
      </c>
      <c r="M99" s="190">
        <v>2879</v>
      </c>
      <c r="N99" s="190">
        <v>447631</v>
      </c>
    </row>
    <row r="100" spans="2:14">
      <c r="B100" s="190" t="s">
        <v>27</v>
      </c>
      <c r="C100" s="190">
        <v>0</v>
      </c>
      <c r="D100" s="190">
        <v>28</v>
      </c>
      <c r="E100" s="190">
        <v>0</v>
      </c>
      <c r="F100" s="190">
        <v>11</v>
      </c>
      <c r="G100" s="190">
        <v>28529</v>
      </c>
      <c r="H100" s="190">
        <v>659039</v>
      </c>
      <c r="I100" s="190">
        <v>3829473</v>
      </c>
      <c r="J100" s="190">
        <v>210</v>
      </c>
      <c r="K100" s="190">
        <v>0</v>
      </c>
      <c r="L100" s="190">
        <v>67958</v>
      </c>
      <c r="M100" s="190">
        <v>1504</v>
      </c>
      <c r="N100" s="190">
        <v>212417</v>
      </c>
    </row>
    <row r="101" spans="1:14">
      <c r="A101">
        <v>7061</v>
      </c>
      <c r="B101" s="190" t="s">
        <v>25</v>
      </c>
      <c r="C101" s="190">
        <v>0</v>
      </c>
      <c r="D101" s="190">
        <v>21</v>
      </c>
      <c r="E101" s="190">
        <v>2</v>
      </c>
      <c r="F101" s="190">
        <v>16</v>
      </c>
      <c r="G101" s="190">
        <v>67181</v>
      </c>
      <c r="H101" s="190">
        <v>1020729</v>
      </c>
      <c r="I101" s="190">
        <v>8595484</v>
      </c>
      <c r="J101" s="190">
        <v>3600</v>
      </c>
      <c r="K101" s="190">
        <v>0</v>
      </c>
      <c r="L101" s="190">
        <v>60054</v>
      </c>
      <c r="M101" s="190">
        <v>2564</v>
      </c>
      <c r="N101" s="190">
        <v>387279</v>
      </c>
    </row>
    <row r="102" spans="2:14">
      <c r="B102" s="190" t="s">
        <v>26</v>
      </c>
      <c r="C102" s="190">
        <v>3</v>
      </c>
      <c r="D102" s="190">
        <v>146</v>
      </c>
      <c r="E102" s="190">
        <v>3</v>
      </c>
      <c r="F102" s="190">
        <v>14</v>
      </c>
      <c r="G102" s="190">
        <v>85636</v>
      </c>
      <c r="H102" s="190">
        <v>1534149</v>
      </c>
      <c r="I102" s="190">
        <v>10531917</v>
      </c>
      <c r="J102" s="190">
        <v>21114</v>
      </c>
      <c r="K102" s="190">
        <v>0</v>
      </c>
      <c r="L102" s="190">
        <v>209509</v>
      </c>
      <c r="M102" s="190">
        <v>5513</v>
      </c>
      <c r="N102" s="190">
        <v>437427</v>
      </c>
    </row>
    <row r="103" spans="2:14">
      <c r="B103" s="190" t="s">
        <v>27</v>
      </c>
      <c r="C103" s="190">
        <v>6</v>
      </c>
      <c r="D103" s="190">
        <v>228</v>
      </c>
      <c r="E103" s="190">
        <v>5</v>
      </c>
      <c r="F103" s="190">
        <v>21</v>
      </c>
      <c r="G103" s="190">
        <v>140082</v>
      </c>
      <c r="H103" s="190">
        <v>1902743</v>
      </c>
      <c r="I103" s="190">
        <v>17910441</v>
      </c>
      <c r="J103" s="190">
        <v>45722</v>
      </c>
      <c r="K103" s="190">
        <v>0</v>
      </c>
      <c r="L103" s="190">
        <v>188484</v>
      </c>
      <c r="M103" s="190">
        <v>8740</v>
      </c>
      <c r="N103" s="190">
        <v>511601</v>
      </c>
    </row>
    <row r="104" spans="1:14">
      <c r="A104">
        <v>7062</v>
      </c>
      <c r="B104" s="190" t="s">
        <v>25</v>
      </c>
      <c r="C104" s="190">
        <v>7</v>
      </c>
      <c r="D104" s="190">
        <v>272</v>
      </c>
      <c r="E104" s="190">
        <v>9</v>
      </c>
      <c r="F104" s="190">
        <v>20</v>
      </c>
      <c r="G104" s="190">
        <v>163177</v>
      </c>
      <c r="H104" s="190">
        <v>2437986</v>
      </c>
      <c r="I104" s="190">
        <v>23492407</v>
      </c>
      <c r="J104" s="190">
        <v>81344</v>
      </c>
      <c r="K104" s="190">
        <v>0</v>
      </c>
      <c r="L104" s="190">
        <v>690277</v>
      </c>
      <c r="M104" s="190">
        <v>11808</v>
      </c>
      <c r="N104" s="190">
        <v>772206</v>
      </c>
    </row>
    <row r="105" spans="2:14">
      <c r="B105" s="190" t="s">
        <v>26</v>
      </c>
      <c r="C105" s="190">
        <v>1</v>
      </c>
      <c r="D105" s="190">
        <v>62</v>
      </c>
      <c r="E105" s="190">
        <v>0</v>
      </c>
      <c r="F105" s="190">
        <v>17</v>
      </c>
      <c r="G105" s="190">
        <v>33981</v>
      </c>
      <c r="H105" s="190">
        <v>791302</v>
      </c>
      <c r="I105" s="190">
        <v>6248670</v>
      </c>
      <c r="J105" s="190">
        <v>3722</v>
      </c>
      <c r="K105" s="190">
        <v>0</v>
      </c>
      <c r="L105" s="190">
        <v>156677</v>
      </c>
      <c r="M105" s="190">
        <v>2496</v>
      </c>
      <c r="N105" s="190">
        <v>322443</v>
      </c>
    </row>
    <row r="106" spans="2:14">
      <c r="B106" s="190" t="s">
        <v>27</v>
      </c>
      <c r="C106" s="190">
        <v>1</v>
      </c>
      <c r="D106" s="190">
        <v>61</v>
      </c>
      <c r="E106" s="190">
        <v>1</v>
      </c>
      <c r="F106" s="190">
        <v>16</v>
      </c>
      <c r="G106" s="190">
        <v>66456</v>
      </c>
      <c r="H106" s="190">
        <v>1107734</v>
      </c>
      <c r="I106" s="190">
        <v>9351026</v>
      </c>
      <c r="J106" s="190">
        <v>24426</v>
      </c>
      <c r="K106" s="190">
        <v>0</v>
      </c>
      <c r="L106" s="190">
        <v>74924</v>
      </c>
      <c r="M106" s="190">
        <v>3855</v>
      </c>
      <c r="N106" s="190">
        <v>298499</v>
      </c>
    </row>
    <row r="107" spans="1:14">
      <c r="A107">
        <v>7063</v>
      </c>
      <c r="B107" s="190" t="s">
        <v>25</v>
      </c>
      <c r="C107" s="190">
        <v>6</v>
      </c>
      <c r="D107" s="190">
        <v>266</v>
      </c>
      <c r="E107" s="190">
        <v>7</v>
      </c>
      <c r="F107" s="190">
        <v>27</v>
      </c>
      <c r="G107" s="190">
        <v>185688</v>
      </c>
      <c r="H107" s="190">
        <v>2793353</v>
      </c>
      <c r="I107" s="190">
        <v>26313170</v>
      </c>
      <c r="J107" s="190">
        <v>84102</v>
      </c>
      <c r="K107" s="190">
        <v>0</v>
      </c>
      <c r="L107" s="190">
        <v>381650</v>
      </c>
      <c r="M107" s="190">
        <v>12326</v>
      </c>
      <c r="N107" s="190">
        <v>692730</v>
      </c>
    </row>
    <row r="108" spans="2:14">
      <c r="B108" s="190" t="s">
        <v>26</v>
      </c>
      <c r="C108" s="190">
        <v>1</v>
      </c>
      <c r="D108" s="190">
        <v>62</v>
      </c>
      <c r="E108" s="190">
        <v>3</v>
      </c>
      <c r="F108" s="190">
        <v>17</v>
      </c>
      <c r="G108" s="190">
        <v>81471</v>
      </c>
      <c r="H108" s="190">
        <v>1459055</v>
      </c>
      <c r="I108" s="190">
        <v>11015782</v>
      </c>
      <c r="J108" s="190">
        <v>20474</v>
      </c>
      <c r="K108" s="190">
        <v>0</v>
      </c>
      <c r="L108" s="190">
        <v>94224</v>
      </c>
      <c r="M108" s="190">
        <v>4349</v>
      </c>
      <c r="N108" s="190">
        <v>405171</v>
      </c>
    </row>
    <row r="109" spans="2:14">
      <c r="B109" s="190" t="s">
        <v>27</v>
      </c>
      <c r="C109" s="190">
        <v>2</v>
      </c>
      <c r="D109" s="190">
        <v>67</v>
      </c>
      <c r="E109" s="190">
        <v>0</v>
      </c>
      <c r="F109" s="190">
        <v>10</v>
      </c>
      <c r="G109" s="190">
        <v>23457</v>
      </c>
      <c r="H109" s="190">
        <v>745878</v>
      </c>
      <c r="I109" s="190">
        <v>3716226</v>
      </c>
      <c r="J109" s="190">
        <v>1240</v>
      </c>
      <c r="K109" s="190">
        <v>0</v>
      </c>
      <c r="L109" s="190">
        <v>61987</v>
      </c>
      <c r="M109" s="190">
        <v>2172</v>
      </c>
      <c r="N109" s="190">
        <v>234985</v>
      </c>
    </row>
  </sheetData>
  <conditionalFormatting sqref="F47:F49">
    <cfRule type="dataBar" priority="1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{244450b7-cce1-4387-b7b7-addfec1b6330}</x14:id>
        </ext>
      </extLst>
    </cfRule>
  </conditionalFormatting>
  <conditionalFormatting sqref="F50:F52">
    <cfRule type="dataBar" priority="10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{69570116-593f-47f2-ab1a-349155f0fb40}</x14:id>
        </ext>
      </extLst>
    </cfRule>
  </conditionalFormatting>
  <conditionalFormatting sqref="F53:F55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{830b120c-1a74-49c3-af25-bb0b20dc37e4}</x14:id>
        </ext>
      </extLst>
    </cfRule>
  </conditionalFormatting>
  <conditionalFormatting sqref="F56:F58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{fa072060-2feb-4578-801c-80f273803c1c}</x14:id>
        </ext>
      </extLst>
    </cfRule>
  </conditionalFormatting>
  <conditionalFormatting sqref="F59:F61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{7cbcd8f4-9354-415e-b515-4a51fc1ce17d}</x14:id>
        </ext>
      </extLst>
    </cfRule>
  </conditionalFormatting>
  <conditionalFormatting sqref="F62:F64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{cbafe641-b1c2-434b-becd-c9e95b51859d}</x14:id>
        </ext>
      </extLst>
    </cfRule>
  </conditionalFormatting>
  <conditionalFormatting sqref="G47:G49">
    <cfRule type="dataBar" priority="1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{835e3fde-40ca-4bd7-ab2f-99389a47cc2e}</x14:id>
        </ext>
      </extLst>
    </cfRule>
  </conditionalFormatting>
  <conditionalFormatting sqref="G50:G52">
    <cfRule type="dataBar" priority="1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{136253ec-1dab-44b7-8ae6-1ae013bc6c2c}</x14:id>
        </ext>
      </extLst>
    </cfRule>
  </conditionalFormatting>
  <conditionalFormatting sqref="G53:G55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{d8bc2c84-7ffe-44c3-ad6e-9fc05bbb7b3e}</x14:id>
        </ext>
      </extLst>
    </cfRule>
  </conditionalFormatting>
  <conditionalFormatting sqref="G56:G58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{afc41621-b71d-4dc5-bbb9-4c679dcf6f1d}</x14:id>
        </ext>
      </extLst>
    </cfRule>
  </conditionalFormatting>
  <conditionalFormatting sqref="G59:G61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{26441e15-6447-463d-93f3-03ed300c9978}</x14:id>
        </ext>
      </extLst>
    </cfRule>
  </conditionalFormatting>
  <conditionalFormatting sqref="G62:G64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{57aaec34-c454-488d-aa65-966db981fea2}</x14:id>
        </ext>
      </extLst>
    </cfRule>
  </conditionalFormatting>
  <conditionalFormatting sqref="N47:N52">
    <cfRule type="dataBar" priority="10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{8309f174-cc8a-470e-b3ce-8551f6f9e94a}</x14:id>
        </ext>
      </extLst>
    </cfRule>
  </conditionalFormatting>
  <conditionalFormatting sqref="N53:N55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{659c495b-ab11-4866-84f2-695be0e55ddd}</x14:id>
        </ext>
      </extLst>
    </cfRule>
  </conditionalFormatting>
  <conditionalFormatting sqref="N56:N58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{bc40a6a9-b6bc-4b1f-888d-892434e09915}</x14:id>
        </ext>
      </extLst>
    </cfRule>
  </conditionalFormatting>
  <conditionalFormatting sqref="N59:N61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{c401cfb8-b32a-4d31-9ba7-3103f147ff9d}</x14:id>
        </ext>
      </extLst>
    </cfRule>
  </conditionalFormatting>
  <conditionalFormatting sqref="N62:N64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{2b214a02-09dc-49ea-9c4b-b3e87a04c272}</x14:id>
        </ext>
      </extLst>
    </cfRule>
  </conditionalFormatting>
  <conditionalFormatting sqref="O2:O3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{36f43af2-eb2b-4c4c-9336-65547be61c95}</x14:id>
        </ext>
      </extLst>
    </cfRule>
  </conditionalFormatting>
  <conditionalFormatting sqref="O38: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{30366a64-5570-4604-bb48-902d45d55c58}</x14:id>
        </ext>
      </extLst>
    </cfRule>
  </conditionalFormatting>
  <conditionalFormatting sqref="P2:P3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{65b57185-fb20-4a40-bbab-09e8ccc7641a}</x14:id>
        </ext>
      </extLst>
    </cfRule>
  </conditionalFormatting>
  <conditionalFormatting sqref="P38:P4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{0ac2340c-c2e8-4f98-9f24-fefbcb2df74a}</x14:id>
        </ext>
      </extLst>
    </cfRule>
  </conditionalFormatting>
  <conditionalFormatting sqref="P47:P60">
    <cfRule type="cellIs" dxfId="37" priority="5" operator="equal">
      <formula>$S$59</formula>
    </cfRule>
  </conditionalFormatting>
  <conditionalFormatting sqref="Q2:Q13">
    <cfRule type="cellIs" dxfId="38" priority="106" operator="equal">
      <formula>配置!$D$4</formula>
    </cfRule>
    <cfRule type="cellIs" dxfId="39" priority="107" operator="equal">
      <formula>配置!$D$3</formula>
    </cfRule>
    <cfRule type="cellIs" dxfId="37" priority="108" operator="equal">
      <formula>配置!$D$2</formula>
    </cfRule>
  </conditionalFormatting>
  <conditionalFormatting sqref="Q14:Q16">
    <cfRule type="cellIs" dxfId="38" priority="100" operator="equal">
      <formula>配置!$D$4</formula>
    </cfRule>
    <cfRule type="cellIs" dxfId="39" priority="101" operator="equal">
      <formula>配置!$D$3</formula>
    </cfRule>
    <cfRule type="cellIs" dxfId="37" priority="102" operator="equal">
      <formula>配置!$D$2</formula>
    </cfRule>
  </conditionalFormatting>
  <conditionalFormatting sqref="Q17:Q19">
    <cfRule type="cellIs" dxfId="38" priority="95" operator="equal">
      <formula>配置!$D$4</formula>
    </cfRule>
    <cfRule type="cellIs" dxfId="39" priority="96" operator="equal">
      <formula>配置!$D$3</formula>
    </cfRule>
    <cfRule type="cellIs" dxfId="37" priority="97" operator="equal">
      <formula>配置!$D$2</formula>
    </cfRule>
  </conditionalFormatting>
  <conditionalFormatting sqref="Q20:Q22">
    <cfRule type="cellIs" dxfId="38" priority="90" operator="equal">
      <formula>配置!$D$4</formula>
    </cfRule>
    <cfRule type="cellIs" dxfId="39" priority="91" operator="equal">
      <formula>配置!$D$3</formula>
    </cfRule>
    <cfRule type="cellIs" dxfId="37" priority="92" operator="equal">
      <formula>配置!$D$2</formula>
    </cfRule>
  </conditionalFormatting>
  <conditionalFormatting sqref="Q23:Q25">
    <cfRule type="cellIs" dxfId="38" priority="85" operator="equal">
      <formula>配置!$D$4</formula>
    </cfRule>
    <cfRule type="cellIs" dxfId="39" priority="86" operator="equal">
      <formula>配置!$D$3</formula>
    </cfRule>
    <cfRule type="cellIs" dxfId="37" priority="87" operator="equal">
      <formula>配置!$D$2</formula>
    </cfRule>
  </conditionalFormatting>
  <conditionalFormatting sqref="Q26:Q28">
    <cfRule type="cellIs" dxfId="38" priority="80" operator="equal">
      <formula>配置!$D$4</formula>
    </cfRule>
    <cfRule type="cellIs" dxfId="39" priority="81" operator="equal">
      <formula>配置!$D$3</formula>
    </cfRule>
    <cfRule type="cellIs" dxfId="37" priority="82" operator="equal">
      <formula>配置!$D$2</formula>
    </cfRule>
  </conditionalFormatting>
  <conditionalFormatting sqref="Q29:Q31">
    <cfRule type="cellIs" dxfId="38" priority="75" operator="equal">
      <formula>配置!$D$4</formula>
    </cfRule>
    <cfRule type="cellIs" dxfId="39" priority="76" operator="equal">
      <formula>配置!$D$3</formula>
    </cfRule>
    <cfRule type="cellIs" dxfId="37" priority="77" operator="equal">
      <formula>配置!$D$2</formula>
    </cfRule>
  </conditionalFormatting>
  <conditionalFormatting sqref="Q32:Q34">
    <cfRule type="cellIs" dxfId="38" priority="70" operator="equal">
      <formula>配置!$D$4</formula>
    </cfRule>
    <cfRule type="cellIs" dxfId="39" priority="71" operator="equal">
      <formula>配置!$D$3</formula>
    </cfRule>
    <cfRule type="cellIs" dxfId="37" priority="72" operator="equal">
      <formula>配置!$D$2</formula>
    </cfRule>
  </conditionalFormatting>
  <conditionalFormatting sqref="Q35:Q37">
    <cfRule type="cellIs" dxfId="38" priority="65" operator="equal">
      <formula>配置!$D$4</formula>
    </cfRule>
    <cfRule type="cellIs" dxfId="39" priority="66" operator="equal">
      <formula>配置!$D$3</formula>
    </cfRule>
    <cfRule type="cellIs" dxfId="37" priority="67" operator="equal">
      <formula>配置!$D$2</formula>
    </cfRule>
  </conditionalFormatting>
  <conditionalFormatting sqref="Q38:Q40">
    <cfRule type="cellIs" dxfId="38" priority="60" operator="equal">
      <formula>配置!$D$4</formula>
    </cfRule>
    <cfRule type="cellIs" dxfId="39" priority="61" operator="equal">
      <formula>配置!$D$3</formula>
    </cfRule>
    <cfRule type="cellIs" dxfId="37" priority="62" operator="equal">
      <formula>配置!$D$2</formula>
    </cfRule>
  </conditionalFormatting>
  <conditionalFormatting sqref="Q41:Q43">
    <cfRule type="cellIs" dxfId="38" priority="55" operator="equal">
      <formula>配置!$D$4</formula>
    </cfRule>
    <cfRule type="cellIs" dxfId="39" priority="56" operator="equal">
      <formula>配置!$D$3</formula>
    </cfRule>
    <cfRule type="cellIs" dxfId="37" priority="57" operator="equal">
      <formula>配置!$D$2</formula>
    </cfRule>
  </conditionalFormatting>
  <conditionalFormatting sqref="R47:R52">
    <cfRule type="cellIs" dxfId="37" priority="6" operator="equal">
      <formula>$S$59</formula>
    </cfRule>
  </conditionalFormatting>
  <conditionalFormatting sqref="O44:O45 Q1:R1 Q2 Q4:Q5 Q7:Q8 Q10:Q11 Q13">
    <cfRule type="cellIs" dxfId="37" priority="114" operator="equal">
      <formula>配置!$D$2</formula>
    </cfRule>
  </conditionalFormatting>
  <conditionalFormatting sqref="Q2 Q4:Q5 Q7:Q8 Q10:Q11 Q13">
    <cfRule type="cellIs" dxfId="38" priority="113" operator="equal">
      <formula>配置!$D$4</formula>
    </cfRule>
  </conditionalFormatting>
  <conditionalFormatting sqref="Q14 Q16">
    <cfRule type="cellIs" dxfId="38" priority="103" operator="equal">
      <formula>配置!$D$4</formula>
    </cfRule>
    <cfRule type="cellIs" dxfId="37" priority="104" operator="equal">
      <formula>配置!$D$2</formula>
    </cfRule>
  </conditionalFormatting>
  <conditionalFormatting sqref="Q17 Q19">
    <cfRule type="cellIs" dxfId="38" priority="98" operator="equal">
      <formula>配置!$D$4</formula>
    </cfRule>
    <cfRule type="cellIs" dxfId="37" priority="99" operator="equal">
      <formula>配置!$D$2</formula>
    </cfRule>
  </conditionalFormatting>
  <conditionalFormatting sqref="Q20 Q22">
    <cfRule type="cellIs" dxfId="38" priority="93" operator="equal">
      <formula>配置!$D$4</formula>
    </cfRule>
    <cfRule type="cellIs" dxfId="37" priority="94" operator="equal">
      <formula>配置!$D$2</formula>
    </cfRule>
  </conditionalFormatting>
  <conditionalFormatting sqref="Q23 Q25">
    <cfRule type="cellIs" dxfId="38" priority="88" operator="equal">
      <formula>配置!$D$4</formula>
    </cfRule>
    <cfRule type="cellIs" dxfId="37" priority="89" operator="equal">
      <formula>配置!$D$2</formula>
    </cfRule>
  </conditionalFormatting>
  <conditionalFormatting sqref="Q26 Q28">
    <cfRule type="cellIs" dxfId="38" priority="83" operator="equal">
      <formula>配置!$D$4</formula>
    </cfRule>
    <cfRule type="cellIs" dxfId="37" priority="84" operator="equal">
      <formula>配置!$D$2</formula>
    </cfRule>
  </conditionalFormatting>
  <conditionalFormatting sqref="Q29 Q31">
    <cfRule type="cellIs" dxfId="38" priority="78" operator="equal">
      <formula>配置!$D$4</formula>
    </cfRule>
    <cfRule type="cellIs" dxfId="37" priority="79" operator="equal">
      <formula>配置!$D$2</formula>
    </cfRule>
  </conditionalFormatting>
  <conditionalFormatting sqref="Q32 Q34">
    <cfRule type="cellIs" dxfId="38" priority="73" operator="equal">
      <formula>配置!$D$4</formula>
    </cfRule>
    <cfRule type="cellIs" dxfId="37" priority="74" operator="equal">
      <formula>配置!$D$2</formula>
    </cfRule>
  </conditionalFormatting>
  <conditionalFormatting sqref="Q35 Q37">
    <cfRule type="cellIs" dxfId="38" priority="68" operator="equal">
      <formula>配置!$D$4</formula>
    </cfRule>
    <cfRule type="cellIs" dxfId="37" priority="69" operator="equal">
      <formula>配置!$D$2</formula>
    </cfRule>
  </conditionalFormatting>
  <conditionalFormatting sqref="Q38 Q40">
    <cfRule type="cellIs" dxfId="38" priority="63" operator="equal">
      <formula>配置!$D$4</formula>
    </cfRule>
    <cfRule type="cellIs" dxfId="37" priority="64" operator="equal">
      <formula>配置!$D$2</formula>
    </cfRule>
  </conditionalFormatting>
  <conditionalFormatting sqref="Q41 Q43">
    <cfRule type="cellIs" dxfId="38" priority="58" operator="equal">
      <formula>配置!$D$4</formula>
    </cfRule>
    <cfRule type="cellIs" dxfId="37" priority="59" operator="equal">
      <formula>配置!$D$2</formula>
    </cfRule>
  </conditionalFormatting>
  <dataValidations count="1">
    <dataValidation type="list" allowBlank="1" showInputMessage="1" showErrorMessage="1" sqref="Q2:Q13 Q14:Q16 Q17:Q19 Q20:Q22 Q23:Q25 Q26:Q28 Q29:Q31 Q32:Q34 Q35:Q37 Q38:Q40 Q41:Q43">
      <formula1>配置!$D$2:$D$4</formula1>
    </dataValidation>
  </dataValidations>
  <pageMargins left="0.75" right="0.75" top="1" bottom="1" header="0.5" footer="0.5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44450b7-cce1-4387-b7b7-addfec1b63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F47:F49</xm:sqref>
        </x14:conditionalFormatting>
        <x14:conditionalFormatting xmlns:xm="http://schemas.microsoft.com/office/excel/2006/main">
          <x14:cfRule type="dataBar" id="{69570116-593f-47f2-ab1a-349155f0fb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F50:F52</xm:sqref>
        </x14:conditionalFormatting>
        <x14:conditionalFormatting xmlns:xm="http://schemas.microsoft.com/office/excel/2006/main">
          <x14:cfRule type="dataBar" id="{830b120c-1a74-49c3-af25-bb0b20dc37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F53:F55</xm:sqref>
        </x14:conditionalFormatting>
        <x14:conditionalFormatting xmlns:xm="http://schemas.microsoft.com/office/excel/2006/main">
          <x14:cfRule type="dataBar" id="{fa072060-2feb-4578-801c-80f273803c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F56:F58</xm:sqref>
        </x14:conditionalFormatting>
        <x14:conditionalFormatting xmlns:xm="http://schemas.microsoft.com/office/excel/2006/main">
          <x14:cfRule type="dataBar" id="{7cbcd8f4-9354-415e-b515-4a51fc1ce1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F59:F61</xm:sqref>
        </x14:conditionalFormatting>
        <x14:conditionalFormatting xmlns:xm="http://schemas.microsoft.com/office/excel/2006/main">
          <x14:cfRule type="dataBar" id="{cbafe641-b1c2-434b-becd-c9e95b5185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F62:F64</xm:sqref>
        </x14:conditionalFormatting>
        <x14:conditionalFormatting xmlns:xm="http://schemas.microsoft.com/office/excel/2006/main">
          <x14:cfRule type="dataBar" id="{835e3fde-40ca-4bd7-ab2f-99389a47cc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G47:G49</xm:sqref>
        </x14:conditionalFormatting>
        <x14:conditionalFormatting xmlns:xm="http://schemas.microsoft.com/office/excel/2006/main">
          <x14:cfRule type="dataBar" id="{136253ec-1dab-44b7-8ae6-1ae013bc6c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G50:G52</xm:sqref>
        </x14:conditionalFormatting>
        <x14:conditionalFormatting xmlns:xm="http://schemas.microsoft.com/office/excel/2006/main">
          <x14:cfRule type="dataBar" id="{d8bc2c84-7ffe-44c3-ad6e-9fc05bbb7b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G53:G55</xm:sqref>
        </x14:conditionalFormatting>
        <x14:conditionalFormatting xmlns:xm="http://schemas.microsoft.com/office/excel/2006/main">
          <x14:cfRule type="dataBar" id="{afc41621-b71d-4dc5-bbb9-4c679dcf6f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G56:G58</xm:sqref>
        </x14:conditionalFormatting>
        <x14:conditionalFormatting xmlns:xm="http://schemas.microsoft.com/office/excel/2006/main">
          <x14:cfRule type="dataBar" id="{26441e15-6447-463d-93f3-03ed300c99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G59:G61</xm:sqref>
        </x14:conditionalFormatting>
        <x14:conditionalFormatting xmlns:xm="http://schemas.microsoft.com/office/excel/2006/main">
          <x14:cfRule type="dataBar" id="{57aaec34-c454-488d-aa65-966db981fe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G62:G64</xm:sqref>
        </x14:conditionalFormatting>
        <x14:conditionalFormatting xmlns:xm="http://schemas.microsoft.com/office/excel/2006/main">
          <x14:cfRule type="dataBar" id="{8309f174-cc8a-470e-b3ce-8551f6f9e9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N47:N52</xm:sqref>
        </x14:conditionalFormatting>
        <x14:conditionalFormatting xmlns:xm="http://schemas.microsoft.com/office/excel/2006/main">
          <x14:cfRule type="dataBar" id="{659c495b-ab11-4866-84f2-695be0e55d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N53:N55</xm:sqref>
        </x14:conditionalFormatting>
        <x14:conditionalFormatting xmlns:xm="http://schemas.microsoft.com/office/excel/2006/main">
          <x14:cfRule type="dataBar" id="{bc40a6a9-b6bc-4b1f-888d-892434e099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N56:N58</xm:sqref>
        </x14:conditionalFormatting>
        <x14:conditionalFormatting xmlns:xm="http://schemas.microsoft.com/office/excel/2006/main">
          <x14:cfRule type="dataBar" id="{c401cfb8-b32a-4d31-9ba7-3103f147ff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N59:N61</xm:sqref>
        </x14:conditionalFormatting>
        <x14:conditionalFormatting xmlns:xm="http://schemas.microsoft.com/office/excel/2006/main">
          <x14:cfRule type="dataBar" id="{2b214a02-09dc-49ea-9c4b-b3e87a04c2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N62:N64</xm:sqref>
        </x14:conditionalFormatting>
        <x14:conditionalFormatting xmlns:xm="http://schemas.microsoft.com/office/excel/2006/main">
          <x14:cfRule type="dataBar" id="{36f43af2-eb2b-4c4c-9336-65547be61c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O2:O37</xm:sqref>
        </x14:conditionalFormatting>
        <x14:conditionalFormatting xmlns:xm="http://schemas.microsoft.com/office/excel/2006/main">
          <x14:cfRule type="dataBar" id="{30366a64-5570-4604-bb48-902d45d55c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O38:O43</xm:sqref>
        </x14:conditionalFormatting>
        <x14:conditionalFormatting xmlns:xm="http://schemas.microsoft.com/office/excel/2006/main">
          <x14:cfRule type="dataBar" id="{65b57185-fb20-4a40-bbab-09e8ccc764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P2:P37</xm:sqref>
        </x14:conditionalFormatting>
        <x14:conditionalFormatting xmlns:xm="http://schemas.microsoft.com/office/excel/2006/main">
          <x14:cfRule type="dataBar" id="{0ac2340c-c2e8-4f98-9f24-fefbcb2df7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P38:P43</xm:sqref>
        </x14:conditionalFormatting>
      </x14:conditionalFormatting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78"/>
  <sheetViews>
    <sheetView tabSelected="1" topLeftCell="A55" workbookViewId="0">
      <selection activeCell="S84" sqref="S84"/>
    </sheetView>
  </sheetViews>
  <sheetFormatPr defaultColWidth="9" defaultRowHeight="13.5"/>
  <cols>
    <col min="7" max="7" width="9.375"/>
    <col min="9" max="9" width="9.375"/>
    <col min="16" max="16" width="9.375"/>
  </cols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2" customFormat="1" ht="14.25" customHeight="1" spans="1:25">
      <c r="A2" s="283">
        <v>5289</v>
      </c>
      <c r="B2" s="283">
        <f>VLOOKUP(表1_86121822242672118[[#This Row],[区服]],$P$71:$Q$78,2,FALSE)</f>
        <v>39</v>
      </c>
      <c r="C2" s="284" t="s">
        <v>288</v>
      </c>
      <c r="D2" s="285" t="str">
        <f>表1_86121822242672118[[#This Row],[目标国家]]</f>
        <v>吴</v>
      </c>
      <c r="E2" s="286">
        <f>(VLOOKUP(表1_86121822242672118[[#This Row],[目标区服]],$R$71:$S$77,2,FALSE)-表1_86121822242672118[[#This Row],[开服天数]])*配置!$B$1</f>
        <v>1000</v>
      </c>
      <c r="F2" s="286">
        <f>表1_86121822242672118[[#This Row],[补偿Coin]]*(表1_86121822242672118[[#This Row],[活跃高战玩家数]]+表1_86121822242672118[[#This Row],[活跃中坚玩家数]])</f>
        <v>18000</v>
      </c>
      <c r="G2" s="286">
        <f>(VLOOKUP(表1_86121822242672118[[#This Row],[目标区服]],$R$71:$S$74,2,FALSE)-表1_86121822242672118[[#This Row],[开服天数]])*配置!$B$2</f>
        <v>10</v>
      </c>
      <c r="H2" s="287" t="s">
        <v>25</v>
      </c>
      <c r="I2" s="287">
        <f>IF(表1_86121822242672118[[#This Row],[原国家]]="魏",0,IF(表1_86121822242672118[[#This Row],[原国家]]="蜀",1,2))</f>
        <v>0</v>
      </c>
      <c r="J2" s="297">
        <v>1</v>
      </c>
      <c r="K2" s="297">
        <v>73</v>
      </c>
      <c r="L2" s="297">
        <v>1</v>
      </c>
      <c r="M2" s="297">
        <v>17</v>
      </c>
      <c r="N2" s="297">
        <v>73845</v>
      </c>
      <c r="O2" s="297">
        <v>1391511</v>
      </c>
      <c r="P2" s="297">
        <v>11915169</v>
      </c>
      <c r="Q2" s="300" t="s">
        <v>27</v>
      </c>
      <c r="R2" s="287">
        <f>IF(表1_86121822242672118[[#This Row],[目标国家]]="魏",0,IF(表1_86121822242672118[[#This Row],[目标国家]]="蜀",1,2))</f>
        <v>2</v>
      </c>
      <c r="S2" s="297">
        <v>6916</v>
      </c>
      <c r="T2" s="297">
        <v>0</v>
      </c>
      <c r="U2" s="297">
        <v>139523</v>
      </c>
      <c r="V2" s="297">
        <v>4059</v>
      </c>
      <c r="W2" s="297">
        <v>370209</v>
      </c>
      <c r="X2" s="301" t="str">
        <f>"{"&amp;"'coin':"&amp;表1_86121822242672118[[#This Row],[补偿Coin]]&amp;",'"&amp;配置!$A$2&amp;"':"&amp;表1_86121822242672118[[#This Row],[补偿辎重]]&amp;"},"</f>
        <v>{'coin':1000,'item036':10},</v>
      </c>
      <c r="Y2" s="304" t="str">
        <f>"      '"&amp;表1_86121822242672118[[#This Row],[区服]]&amp;"':{"</f>
        <v>      '5289':{</v>
      </c>
    </row>
    <row r="3" s="2" customFormat="1" ht="14.25" customHeight="1" spans="1:25">
      <c r="A3" s="288">
        <v>5289</v>
      </c>
      <c r="B3" s="283">
        <f>VLOOKUP(表1_86121822242672118[[#This Row],[区服]],$P$71:$Q$78,2,FALSE)</f>
        <v>39</v>
      </c>
      <c r="C3" s="284" t="s">
        <v>288</v>
      </c>
      <c r="D3" s="287" t="str">
        <f>表1_86121822242672118[[#This Row],[目标国家]]</f>
        <v>蜀</v>
      </c>
      <c r="E3" s="286">
        <f>(VLOOKUP(表1_86121822242672118[[#This Row],[目标区服]],$R$71:$S$77,2,FALSE)-表1_86121822242672118[[#This Row],[开服天数]])*配置!$B$1</f>
        <v>1000</v>
      </c>
      <c r="F3" s="289">
        <f>表1_86121822242672118[[#This Row],[补偿Coin]]*(表1_86121822242672118[[#This Row],[活跃高战玩家数]]+表1_86121822242672118[[#This Row],[活跃中坚玩家数]])</f>
        <v>34000</v>
      </c>
      <c r="G3" s="289">
        <f>(VLOOKUP(表1_86121822242672118[[#This Row],[目标区服]],$R$71:$S$74,2,FALSE)-表1_86121822242672118[[#This Row],[开服天数]])*配置!$B$2</f>
        <v>10</v>
      </c>
      <c r="H3" s="287" t="s">
        <v>26</v>
      </c>
      <c r="I3" s="287">
        <f>IF(表1_86121822242672118[[#This Row],[原国家]]="魏",0,IF(表1_86121822242672118[[#This Row],[原国家]]="蜀",1,2))</f>
        <v>1</v>
      </c>
      <c r="J3" s="297">
        <v>7</v>
      </c>
      <c r="K3" s="297">
        <v>262</v>
      </c>
      <c r="L3" s="297">
        <v>8</v>
      </c>
      <c r="M3" s="297">
        <v>26</v>
      </c>
      <c r="N3" s="297">
        <v>177149</v>
      </c>
      <c r="O3" s="297">
        <v>2829161</v>
      </c>
      <c r="P3" s="297">
        <v>29577225</v>
      </c>
      <c r="Q3" s="300" t="s">
        <v>26</v>
      </c>
      <c r="R3" s="287">
        <f>IF(表1_86121822242672118[[#This Row],[目标国家]]="魏",0,IF(表1_86121822242672118[[#This Row],[目标国家]]="蜀",1,2))</f>
        <v>1</v>
      </c>
      <c r="S3" s="297">
        <v>75942</v>
      </c>
      <c r="T3" s="297">
        <v>0</v>
      </c>
      <c r="U3" s="297">
        <v>577308</v>
      </c>
      <c r="V3" s="297">
        <v>12559</v>
      </c>
      <c r="W3" s="297">
        <v>882787</v>
      </c>
      <c r="X3" s="301" t="str">
        <f>"{"&amp;"'coin':"&amp;表1_86121822242672118[[#This Row],[补偿Coin]]&amp;",'"&amp;配置!$A$2&amp;"':"&amp;表1_86121822242672118[[#This Row],[补偿辎重]]&amp;"},"</f>
        <v>{'coin':1000,'item036':10},</v>
      </c>
      <c r="Y3" s="304" t="str">
        <f>"            'to_zone':'"&amp;表1_86121822242672118[[#This Row],[目标区服]]&amp;"',
            'reward':"&amp;表1_86121822242672118[[#This Row],[辅助导出]]&amp;"
            'country':["&amp;R2&amp;","&amp;R3&amp;","&amp;R4&amp;"],"</f>
        <v>            'to_zone':'h1_620',
            'reward':{'coin':1000,'item036':10},
            'country':[2,1,2],</v>
      </c>
    </row>
    <row r="4" s="2" customFormat="1" ht="14.25" customHeight="1" spans="1:25">
      <c r="A4" s="288">
        <v>5289</v>
      </c>
      <c r="B4" s="283">
        <f>VLOOKUP(表1_86121822242672118[[#This Row],[区服]],$P$71:$Q$78,2,FALSE)</f>
        <v>39</v>
      </c>
      <c r="C4" s="284" t="s">
        <v>288</v>
      </c>
      <c r="D4" s="287" t="str">
        <f>表1_86121822242672118[[#This Row],[目标国家]]</f>
        <v>吴</v>
      </c>
      <c r="E4" s="286">
        <f>(VLOOKUP(表1_86121822242672118[[#This Row],[目标区服]],$R$71:$S$77,2,FALSE)-表1_86121822242672118[[#This Row],[开服天数]])*配置!$B$1</f>
        <v>1000</v>
      </c>
      <c r="F4" s="289">
        <f>表1_86121822242672118[[#This Row],[补偿Coin]]*(表1_86121822242672118[[#This Row],[活跃高战玩家数]]+表1_86121822242672118[[#This Row],[活跃中坚玩家数]])</f>
        <v>14000</v>
      </c>
      <c r="G4" s="289">
        <f>(VLOOKUP(表1_86121822242672118[[#This Row],[目标区服]],$R$71:$S$74,2,FALSE)-表1_86121822242672118[[#This Row],[开服天数]])*配置!$B$2</f>
        <v>10</v>
      </c>
      <c r="H4" s="287" t="s">
        <v>27</v>
      </c>
      <c r="I4" s="287">
        <f>IF(表1_86121822242672118[[#This Row],[原国家]]="魏",0,IF(表1_86121822242672118[[#This Row],[原国家]]="蜀",1,2))</f>
        <v>2</v>
      </c>
      <c r="J4" s="297">
        <v>1</v>
      </c>
      <c r="K4" s="297">
        <v>60</v>
      </c>
      <c r="L4" s="297">
        <v>1</v>
      </c>
      <c r="M4" s="297">
        <v>13</v>
      </c>
      <c r="N4" s="297">
        <v>62733</v>
      </c>
      <c r="O4" s="297">
        <v>1806782</v>
      </c>
      <c r="P4" s="297">
        <v>10175154</v>
      </c>
      <c r="Q4" s="300" t="s">
        <v>27</v>
      </c>
      <c r="R4" s="287">
        <f>IF(表1_86121822242672118[[#This Row],[目标国家]]="魏",0,IF(表1_86121822242672118[[#This Row],[目标国家]]="蜀",1,2))</f>
        <v>2</v>
      </c>
      <c r="S4" s="297">
        <v>29192</v>
      </c>
      <c r="T4" s="297">
        <v>0</v>
      </c>
      <c r="U4" s="297">
        <v>253460</v>
      </c>
      <c r="V4" s="297">
        <v>4840</v>
      </c>
      <c r="W4" s="297">
        <v>620043</v>
      </c>
      <c r="X4" s="301" t="str">
        <f>"{"&amp;"'coin':"&amp;表1_86121822242672118[[#This Row],[补偿Coin]]&amp;",'"&amp;配置!$A$2&amp;"':"&amp;表1_86121822242672118[[#This Row],[补偿辎重]]&amp;"},"</f>
        <v>{'coin':1000,'item036':10},</v>
      </c>
      <c r="Y4" s="304" t="str">
        <f>"      },"</f>
        <v>      },</v>
      </c>
    </row>
    <row r="5" s="2" customFormat="1" ht="14.25" customHeight="1" spans="1:25">
      <c r="A5" s="288">
        <v>5290</v>
      </c>
      <c r="B5" s="283">
        <f>VLOOKUP(表1_86121822242672118[[#This Row],[区服]],$P$71:$Q$78,2,FALSE)</f>
        <v>39</v>
      </c>
      <c r="C5" s="284" t="s">
        <v>288</v>
      </c>
      <c r="D5" s="287" t="str">
        <f>表1_86121822242672118[[#This Row],[目标国家]]</f>
        <v>魏</v>
      </c>
      <c r="E5" s="286">
        <f>(VLOOKUP(表1_86121822242672118[[#This Row],[目标区服]],$R$71:$S$77,2,FALSE)-表1_86121822242672118[[#This Row],[开服天数]])*配置!$B$1</f>
        <v>1000</v>
      </c>
      <c r="F5" s="289">
        <f>表1_86121822242672118[[#This Row],[补偿Coin]]*(表1_86121822242672118[[#This Row],[活跃高战玩家数]]+表1_86121822242672118[[#This Row],[活跃中坚玩家数]])</f>
        <v>14000</v>
      </c>
      <c r="G5" s="289">
        <f>(VLOOKUP(表1_86121822242672118[[#This Row],[目标区服]],$R$71:$S$74,2,FALSE)-表1_86121822242672118[[#This Row],[开服天数]])*配置!$B$2</f>
        <v>10</v>
      </c>
      <c r="H5" s="287" t="s">
        <v>25</v>
      </c>
      <c r="I5" s="287">
        <f>IF(表1_86121822242672118[[#This Row],[原国家]]="魏",0,IF(表1_86121822242672118[[#This Row],[原国家]]="蜀",1,2))</f>
        <v>0</v>
      </c>
      <c r="J5" s="297">
        <v>3</v>
      </c>
      <c r="K5" s="297">
        <v>117</v>
      </c>
      <c r="L5" s="297">
        <v>5</v>
      </c>
      <c r="M5" s="297">
        <v>9</v>
      </c>
      <c r="N5" s="297">
        <v>78846</v>
      </c>
      <c r="O5" s="297">
        <v>2260463</v>
      </c>
      <c r="P5" s="297">
        <v>11317527</v>
      </c>
      <c r="Q5" s="300" t="s">
        <v>25</v>
      </c>
      <c r="R5" s="287">
        <f>IF(表1_86121822242672118[[#This Row],[目标国家]]="魏",0,IF(表1_86121822242672118[[#This Row],[目标国家]]="蜀",1,2))</f>
        <v>0</v>
      </c>
      <c r="S5" s="297">
        <v>41446</v>
      </c>
      <c r="T5" s="297">
        <v>0</v>
      </c>
      <c r="U5" s="297">
        <v>292839</v>
      </c>
      <c r="V5" s="297">
        <v>6646</v>
      </c>
      <c r="W5" s="297">
        <v>589380</v>
      </c>
      <c r="X5" s="301" t="str">
        <f>"{"&amp;"'coin':"&amp;表1_86121822242672118[[#This Row],[补偿Coin]]&amp;",'"&amp;配置!$A$2&amp;"':"&amp;表1_86121822242672118[[#This Row],[补偿辎重]]&amp;"},"</f>
        <v>{'coin':1000,'item036':10},</v>
      </c>
      <c r="Y5" s="304" t="str">
        <f>"      '"&amp;表1_86121822242672118[[#This Row],[区服]]&amp;"':{"</f>
        <v>      '5290':{</v>
      </c>
    </row>
    <row r="6" s="2" customFormat="1" ht="14.25" customHeight="1" spans="1:25">
      <c r="A6" s="283">
        <v>5290</v>
      </c>
      <c r="B6" s="283">
        <f>VLOOKUP(表1_86121822242672118[[#This Row],[区服]],$P$71:$Q$78,2,FALSE)</f>
        <v>39</v>
      </c>
      <c r="C6" s="284" t="s">
        <v>288</v>
      </c>
      <c r="D6" s="287" t="str">
        <f>表1_86121822242672118[[#This Row],[目标国家]]</f>
        <v>魏</v>
      </c>
      <c r="E6" s="286">
        <f>(VLOOKUP(表1_86121822242672118[[#This Row],[目标区服]],$R$71:$S$77,2,FALSE)-表1_86121822242672118[[#This Row],[开服天数]])*配置!$B$1</f>
        <v>1000</v>
      </c>
      <c r="F6" s="289">
        <f>表1_86121822242672118[[#This Row],[补偿Coin]]*(表1_86121822242672118[[#This Row],[活跃高战玩家数]]+表1_86121822242672118[[#This Row],[活跃中坚玩家数]])</f>
        <v>28000</v>
      </c>
      <c r="G6" s="289">
        <f>(VLOOKUP(表1_86121822242672118[[#This Row],[目标区服]],$R$71:$S$74,2,FALSE)-表1_86121822242672118[[#This Row],[开服天数]])*配置!$B$2</f>
        <v>10</v>
      </c>
      <c r="H6" s="287" t="s">
        <v>26</v>
      </c>
      <c r="I6" s="287">
        <f>IF(表1_86121822242672118[[#This Row],[原国家]]="魏",0,IF(表1_86121822242672118[[#This Row],[原国家]]="蜀",1,2))</f>
        <v>1</v>
      </c>
      <c r="J6" s="297">
        <v>5</v>
      </c>
      <c r="K6" s="297">
        <v>216</v>
      </c>
      <c r="L6" s="297">
        <v>4</v>
      </c>
      <c r="M6" s="297">
        <v>24</v>
      </c>
      <c r="N6" s="297">
        <v>141796</v>
      </c>
      <c r="O6" s="297">
        <v>2529770</v>
      </c>
      <c r="P6" s="297">
        <v>20034623</v>
      </c>
      <c r="Q6" s="300" t="s">
        <v>25</v>
      </c>
      <c r="R6" s="287">
        <f>IF(表1_86121822242672118[[#This Row],[目标国家]]="魏",0,IF(表1_86121822242672118[[#This Row],[目标国家]]="蜀",1,2))</f>
        <v>0</v>
      </c>
      <c r="S6" s="297">
        <v>45346</v>
      </c>
      <c r="T6" s="297">
        <v>0</v>
      </c>
      <c r="U6" s="297">
        <v>619919</v>
      </c>
      <c r="V6" s="297">
        <v>9572</v>
      </c>
      <c r="W6" s="297">
        <v>801935</v>
      </c>
      <c r="X6" s="301" t="str">
        <f>"{"&amp;"'coin':"&amp;表1_86121822242672118[[#This Row],[补偿Coin]]&amp;",'"&amp;配置!$A$2&amp;"':"&amp;表1_86121822242672118[[#This Row],[补偿辎重]]&amp;"},"</f>
        <v>{'coin':1000,'item036':10},</v>
      </c>
      <c r="Y6" s="304" t="str">
        <f>"            'to_zone':'"&amp;表1_86121822242672118[[#This Row],[目标区服]]&amp;"',
            'reward':"&amp;表1_86121822242672118[[#This Row],[辅助导出]]&amp;"
            'country':["&amp;R5&amp;","&amp;R6&amp;","&amp;R7&amp;"],"</f>
        <v>            'to_zone':'h1_620',
            'reward':{'coin':1000,'item036':10},
            'country':[0,0,1],</v>
      </c>
    </row>
    <row r="7" s="2" customFormat="1" ht="14.25" customHeight="1" spans="1:25">
      <c r="A7" s="283">
        <v>5290</v>
      </c>
      <c r="B7" s="283">
        <f>VLOOKUP(表1_86121822242672118[[#This Row],[区服]],$P$71:$Q$78,2,FALSE)</f>
        <v>39</v>
      </c>
      <c r="C7" s="284" t="s">
        <v>288</v>
      </c>
      <c r="D7" s="287" t="str">
        <f>表1_86121822242672118[[#This Row],[目标国家]]</f>
        <v>蜀</v>
      </c>
      <c r="E7" s="286">
        <f>(VLOOKUP(表1_86121822242672118[[#This Row],[目标区服]],$R$71:$S$77,2,FALSE)-表1_86121822242672118[[#This Row],[开服天数]])*配置!$B$1</f>
        <v>1000</v>
      </c>
      <c r="F7" s="289">
        <f>表1_86121822242672118[[#This Row],[补偿Coin]]*(表1_86121822242672118[[#This Row],[活跃高战玩家数]]+表1_86121822242672118[[#This Row],[活跃中坚玩家数]])</f>
        <v>15000</v>
      </c>
      <c r="G7" s="289">
        <f>(VLOOKUP(表1_86121822242672118[[#This Row],[目标区服]],$R$71:$S$74,2,FALSE)-表1_86121822242672118[[#This Row],[开服天数]])*配置!$B$2</f>
        <v>10</v>
      </c>
      <c r="H7" s="287" t="s">
        <v>27</v>
      </c>
      <c r="I7" s="287">
        <f>IF(表1_86121822242672118[[#This Row],[原国家]]="魏",0,IF(表1_86121822242672118[[#This Row],[原国家]]="蜀",1,2))</f>
        <v>2</v>
      </c>
      <c r="J7" s="297">
        <v>1</v>
      </c>
      <c r="K7" s="297">
        <v>62</v>
      </c>
      <c r="L7" s="297">
        <v>1</v>
      </c>
      <c r="M7" s="297">
        <v>14</v>
      </c>
      <c r="N7" s="297">
        <v>60617</v>
      </c>
      <c r="O7" s="297">
        <v>1411933</v>
      </c>
      <c r="P7" s="297">
        <v>8554728</v>
      </c>
      <c r="Q7" s="300" t="s">
        <v>26</v>
      </c>
      <c r="R7" s="287">
        <f>IF(表1_86121822242672118[[#This Row],[目标国家]]="魏",0,IF(表1_86121822242672118[[#This Row],[目标国家]]="蜀",1,2))</f>
        <v>1</v>
      </c>
      <c r="S7" s="297">
        <v>9684</v>
      </c>
      <c r="T7" s="297">
        <v>0</v>
      </c>
      <c r="U7" s="297">
        <v>112747</v>
      </c>
      <c r="V7" s="297">
        <v>3637</v>
      </c>
      <c r="W7" s="297">
        <v>490243</v>
      </c>
      <c r="X7" s="301" t="str">
        <f>"{"&amp;"'coin':"&amp;表1_86121822242672118[[#This Row],[补偿Coin]]&amp;",'"&amp;配置!$A$2&amp;"':"&amp;表1_86121822242672118[[#This Row],[补偿辎重]]&amp;"},"</f>
        <v>{'coin':1000,'item036':10},</v>
      </c>
      <c r="Y7" s="304" t="str">
        <f>"      },"</f>
        <v>      },</v>
      </c>
    </row>
    <row r="8" s="2" customFormat="1" ht="14.25" customHeight="1" spans="1:25">
      <c r="A8" s="288">
        <v>5291</v>
      </c>
      <c r="B8" s="283">
        <f>VLOOKUP(表1_86121822242672118[[#This Row],[区服]],$P$71:$Q$78,2,FALSE)</f>
        <v>39</v>
      </c>
      <c r="C8" s="284" t="s">
        <v>288</v>
      </c>
      <c r="D8" s="287" t="str">
        <f>表1_86121822242672118[[#This Row],[目标国家]]</f>
        <v>吴</v>
      </c>
      <c r="E8" s="286">
        <f>(VLOOKUP(表1_86121822242672118[[#This Row],[目标区服]],$R$71:$S$77,2,FALSE)-表1_86121822242672118[[#This Row],[开服天数]])*配置!$B$1</f>
        <v>1000</v>
      </c>
      <c r="F8" s="289">
        <f>表1_86121822242672118[[#This Row],[补偿Coin]]*(表1_86121822242672118[[#This Row],[活跃高战玩家数]]+表1_86121822242672118[[#This Row],[活跃中坚玩家数]])</f>
        <v>20000</v>
      </c>
      <c r="G8" s="290">
        <f>(VLOOKUP(表1_86121822242672118[[#This Row],[目标区服]],$R$71:$S$74,2,FALSE)-表1_86121822242672118[[#This Row],[开服天数]])*配置!$B$2</f>
        <v>10</v>
      </c>
      <c r="H8" s="287" t="s">
        <v>25</v>
      </c>
      <c r="I8" s="298">
        <f>IF(表1_86121822242672118[[#This Row],[原国家]]="魏",0,IF(表1_86121822242672118[[#This Row],[原国家]]="蜀",1,2))</f>
        <v>0</v>
      </c>
      <c r="J8" s="297">
        <v>2</v>
      </c>
      <c r="K8" s="297">
        <v>101</v>
      </c>
      <c r="L8" s="297">
        <v>3</v>
      </c>
      <c r="M8" s="297">
        <v>17</v>
      </c>
      <c r="N8" s="297">
        <v>101928</v>
      </c>
      <c r="O8" s="297">
        <v>1319350</v>
      </c>
      <c r="P8" s="297">
        <v>10583924</v>
      </c>
      <c r="Q8" s="300" t="s">
        <v>27</v>
      </c>
      <c r="R8" s="287">
        <f>IF(表1_86121822242672118[[#This Row],[目标国家]]="魏",0,IF(表1_86121822242672118[[#This Row],[目标国家]]="蜀",1,2))</f>
        <v>2</v>
      </c>
      <c r="S8" s="297">
        <v>11916</v>
      </c>
      <c r="T8" s="297">
        <v>0</v>
      </c>
      <c r="U8" s="297">
        <v>174895</v>
      </c>
      <c r="V8" s="297">
        <v>4542</v>
      </c>
      <c r="W8" s="297">
        <v>355276</v>
      </c>
      <c r="X8" s="302" t="str">
        <f>"{"&amp;"'coin':"&amp;表1_86121822242672118[[#This Row],[补偿Coin]]&amp;",'"&amp;配置!$A$2&amp;"':"&amp;表1_86121822242672118[[#This Row],[补偿辎重]]&amp;"},"</f>
        <v>{'coin':1000,'item036':10},</v>
      </c>
      <c r="Y8" s="302" t="str">
        <f>"      '"&amp;表1_86121822242672118[[#This Row],[区服]]&amp;"':{"</f>
        <v>      '5291':{</v>
      </c>
    </row>
    <row r="9" s="2" customFormat="1" ht="14.25" customHeight="1" spans="1:25">
      <c r="A9" s="288">
        <v>5291</v>
      </c>
      <c r="B9" s="283">
        <f>VLOOKUP(表1_86121822242672118[[#This Row],[区服]],$P$71:$Q$78,2,FALSE)</f>
        <v>39</v>
      </c>
      <c r="C9" s="284" t="s">
        <v>288</v>
      </c>
      <c r="D9" s="287" t="str">
        <f>表1_86121822242672118[[#This Row],[目标国家]]</f>
        <v>吴</v>
      </c>
      <c r="E9" s="286">
        <f>(VLOOKUP(表1_86121822242672118[[#This Row],[目标区服]],$R$71:$S$77,2,FALSE)-表1_86121822242672118[[#This Row],[开服天数]])*配置!$B$1</f>
        <v>1000</v>
      </c>
      <c r="F9" s="289">
        <f>表1_86121822242672118[[#This Row],[补偿Coin]]*(表1_86121822242672118[[#This Row],[活跃高战玩家数]]+表1_86121822242672118[[#This Row],[活跃中坚玩家数]])</f>
        <v>13000</v>
      </c>
      <c r="G9" s="290">
        <f>(VLOOKUP(表1_86121822242672118[[#This Row],[目标区服]],$R$71:$S$74,2,FALSE)-表1_86121822242672118[[#This Row],[开服天数]])*配置!$B$2</f>
        <v>10</v>
      </c>
      <c r="H9" s="287" t="s">
        <v>26</v>
      </c>
      <c r="I9" s="298">
        <f>IF(表1_86121822242672118[[#This Row],[原国家]]="魏",0,IF(表1_86121822242672118[[#This Row],[原国家]]="蜀",1,2))</f>
        <v>1</v>
      </c>
      <c r="J9" s="297">
        <v>5</v>
      </c>
      <c r="K9" s="297">
        <v>203</v>
      </c>
      <c r="L9" s="297">
        <v>5</v>
      </c>
      <c r="M9" s="297">
        <v>8</v>
      </c>
      <c r="N9" s="297">
        <v>91926</v>
      </c>
      <c r="O9" s="297">
        <v>2364284</v>
      </c>
      <c r="P9" s="297">
        <v>11641187</v>
      </c>
      <c r="Q9" s="300" t="s">
        <v>27</v>
      </c>
      <c r="R9" s="287">
        <f>IF(表1_86121822242672118[[#This Row],[目标国家]]="魏",0,IF(表1_86121822242672118[[#This Row],[目标国家]]="蜀",1,2))</f>
        <v>2</v>
      </c>
      <c r="S9" s="297">
        <v>54548</v>
      </c>
      <c r="T9" s="297">
        <v>0</v>
      </c>
      <c r="U9" s="297">
        <v>512920</v>
      </c>
      <c r="V9" s="297">
        <v>8410</v>
      </c>
      <c r="W9" s="297">
        <v>812836</v>
      </c>
      <c r="X9" s="302" t="str">
        <f>"{"&amp;"'coin':"&amp;表1_86121822242672118[[#This Row],[补偿Coin]]&amp;",'"&amp;配置!$A$2&amp;"':"&amp;表1_86121822242672118[[#This Row],[补偿辎重]]&amp;"},"</f>
        <v>{'coin':1000,'item036':10},</v>
      </c>
      <c r="Y9" s="302" t="str">
        <f>"            'to_zone':'"&amp;表1_86121822242672118[[#This Row],[目标区服]]&amp;"',
            'reward':"&amp;表1_86121822242672118[[#This Row],[辅助导出]]&amp;"
            'country':["&amp;R8&amp;","&amp;R9&amp;","&amp;R10&amp;"],"</f>
        <v>            'to_zone':'h1_620',
            'reward':{'coin':1000,'item036':10},
            'country':[2,2,0],</v>
      </c>
    </row>
    <row r="10" s="2" customFormat="1" ht="14.25" customHeight="1" spans="1:25">
      <c r="A10" s="288">
        <v>5291</v>
      </c>
      <c r="B10" s="283">
        <f>VLOOKUP(表1_86121822242672118[[#This Row],[区服]],$P$71:$Q$78,2,FALSE)</f>
        <v>39</v>
      </c>
      <c r="C10" s="284" t="s">
        <v>288</v>
      </c>
      <c r="D10" s="287" t="str">
        <f>表1_86121822242672118[[#This Row],[目标国家]]</f>
        <v>魏</v>
      </c>
      <c r="E10" s="286">
        <f>(VLOOKUP(表1_86121822242672118[[#This Row],[目标区服]],$R$71:$S$77,2,FALSE)-表1_86121822242672118[[#This Row],[开服天数]])*配置!$B$1</f>
        <v>1000</v>
      </c>
      <c r="F10" s="289">
        <f>表1_86121822242672118[[#This Row],[补偿Coin]]*(表1_86121822242672118[[#This Row],[活跃高战玩家数]]+表1_86121822242672118[[#This Row],[活跃中坚玩家数]])</f>
        <v>14000</v>
      </c>
      <c r="G10" s="290">
        <f>(VLOOKUP(表1_86121822242672118[[#This Row],[目标区服]],$R$71:$S$74,2,FALSE)-表1_86121822242672118[[#This Row],[开服天数]])*配置!$B$2</f>
        <v>10</v>
      </c>
      <c r="H10" s="287" t="s">
        <v>27</v>
      </c>
      <c r="I10" s="298">
        <f>IF(表1_86121822242672118[[#This Row],[原国家]]="魏",0,IF(表1_86121822242672118[[#This Row],[原国家]]="蜀",1,2))</f>
        <v>2</v>
      </c>
      <c r="J10" s="297">
        <v>2</v>
      </c>
      <c r="K10" s="297">
        <v>91</v>
      </c>
      <c r="L10" s="297">
        <v>1</v>
      </c>
      <c r="M10" s="297">
        <v>13</v>
      </c>
      <c r="N10" s="297">
        <v>58702</v>
      </c>
      <c r="O10" s="297">
        <v>1309102</v>
      </c>
      <c r="P10" s="297">
        <v>6068590</v>
      </c>
      <c r="Q10" s="300" t="s">
        <v>25</v>
      </c>
      <c r="R10" s="287">
        <f>IF(表1_86121822242672118[[#This Row],[目标国家]]="魏",0,IF(表1_86121822242672118[[#This Row],[目标国家]]="蜀",1,2))</f>
        <v>0</v>
      </c>
      <c r="S10" s="297">
        <v>6668</v>
      </c>
      <c r="T10" s="297">
        <v>0</v>
      </c>
      <c r="U10" s="297">
        <v>220921</v>
      </c>
      <c r="V10" s="297">
        <v>3629</v>
      </c>
      <c r="W10" s="297">
        <v>515265</v>
      </c>
      <c r="X10" s="302" t="str">
        <f>"{"&amp;"'coin':"&amp;表1_86121822242672118[[#This Row],[补偿Coin]]&amp;",'"&amp;配置!$A$2&amp;"':"&amp;表1_86121822242672118[[#This Row],[补偿辎重]]&amp;"},"</f>
        <v>{'coin':1000,'item036':10},</v>
      </c>
      <c r="Y10" s="302" t="str">
        <f>"      },"</f>
        <v>      },</v>
      </c>
    </row>
    <row r="11" s="2" customFormat="1" ht="14.25" customHeight="1" spans="1:25">
      <c r="A11" s="204">
        <v>5292</v>
      </c>
      <c r="B11" s="205">
        <f>VLOOKUP(表1_86121822242672118[[#This Row],[区服]],$P$71:$Q$78,2,FALSE)</f>
        <v>39</v>
      </c>
      <c r="C11" s="291" t="s">
        <v>289</v>
      </c>
      <c r="D11" s="207" t="str">
        <f>表1_86121822242672118[[#This Row],[目标国家]]</f>
        <v>魏</v>
      </c>
      <c r="E11" s="292">
        <f>(VLOOKUP(表1_86121822242672118[[#This Row],[目标区服]],$R$71:$S$77,2,FALSE)-表1_86121822242672118[[#This Row],[开服天数]])*配置!$B$1</f>
        <v>1000</v>
      </c>
      <c r="F11" s="208">
        <f>表1_86121822242672118[[#This Row],[补偿Coin]]*(表1_86121822242672118[[#This Row],[活跃高战玩家数]]+表1_86121822242672118[[#This Row],[活跃中坚玩家数]])</f>
        <v>26000</v>
      </c>
      <c r="G11" s="209">
        <f>(VLOOKUP(表1_86121822242672118[[#This Row],[目标区服]],$R$71:$S$74,2,FALSE)-表1_86121822242672118[[#This Row],[开服天数]])*配置!$B$2</f>
        <v>10</v>
      </c>
      <c r="H11" s="207" t="s">
        <v>25</v>
      </c>
      <c r="I11" s="230">
        <f>IF(表1_86121822242672118[[#This Row],[原国家]]="魏",0,IF(表1_86121822242672118[[#This Row],[原国家]]="蜀",1,2))</f>
        <v>0</v>
      </c>
      <c r="J11" s="231">
        <v>9</v>
      </c>
      <c r="K11" s="231">
        <v>310</v>
      </c>
      <c r="L11" s="231">
        <v>8</v>
      </c>
      <c r="M11" s="231">
        <v>18</v>
      </c>
      <c r="N11" s="231">
        <v>157652</v>
      </c>
      <c r="O11" s="231">
        <v>2598849</v>
      </c>
      <c r="P11" s="231">
        <v>20517363</v>
      </c>
      <c r="Q11" s="239" t="s">
        <v>25</v>
      </c>
      <c r="R11" s="207">
        <f>IF(表1_86121822242672118[[#This Row],[目标国家]]="魏",0,IF(表1_86121822242672118[[#This Row],[目标国家]]="蜀",1,2))</f>
        <v>0</v>
      </c>
      <c r="S11" s="231">
        <v>88860</v>
      </c>
      <c r="T11" s="231">
        <v>0</v>
      </c>
      <c r="U11" s="231">
        <v>441171</v>
      </c>
      <c r="V11" s="231">
        <v>12325</v>
      </c>
      <c r="W11" s="231">
        <v>811833</v>
      </c>
      <c r="X11" s="241" t="str">
        <f>"{"&amp;"'coin':"&amp;表1_86121822242672118[[#This Row],[补偿Coin]]&amp;",'"&amp;配置!$A$2&amp;"':"&amp;表1_86121822242672118[[#This Row],[补偿辎重]]&amp;"},"</f>
        <v>{'coin':1000,'item036':10},</v>
      </c>
      <c r="Y11" s="241" t="str">
        <f>"      '"&amp;表1_86121822242672118[[#This Row],[区服]]&amp;"':{"</f>
        <v>      '5292':{</v>
      </c>
    </row>
    <row r="12" s="2" customFormat="1" ht="14.25" customHeight="1" spans="1:25">
      <c r="A12" s="204">
        <v>5292</v>
      </c>
      <c r="B12" s="205">
        <f>VLOOKUP(表1_86121822242672118[[#This Row],[区服]],$P$71:$Q$78,2,FALSE)</f>
        <v>39</v>
      </c>
      <c r="C12" s="291" t="s">
        <v>289</v>
      </c>
      <c r="D12" s="207" t="str">
        <f>表1_86121822242672118[[#This Row],[目标国家]]</f>
        <v>蜀</v>
      </c>
      <c r="E12" s="292">
        <f>(VLOOKUP(表1_86121822242672118[[#This Row],[目标区服]],$R$71:$S$77,2,FALSE)-表1_86121822242672118[[#This Row],[开服天数]])*配置!$B$1</f>
        <v>1000</v>
      </c>
      <c r="F12" s="208">
        <f>表1_86121822242672118[[#This Row],[补偿Coin]]*(表1_86121822242672118[[#This Row],[活跃高战玩家数]]+表1_86121822242672118[[#This Row],[活跃中坚玩家数]])</f>
        <v>10000</v>
      </c>
      <c r="G12" s="209">
        <f>(VLOOKUP(表1_86121822242672118[[#This Row],[目标区服]],$R$71:$S$74,2,FALSE)-表1_86121822242672118[[#This Row],[开服天数]])*配置!$B$2</f>
        <v>10</v>
      </c>
      <c r="H12" s="207" t="s">
        <v>26</v>
      </c>
      <c r="I12" s="230">
        <f>IF(表1_86121822242672118[[#This Row],[原国家]]="魏",0,IF(表1_86121822242672118[[#This Row],[原国家]]="蜀",1,2))</f>
        <v>1</v>
      </c>
      <c r="J12" s="231">
        <v>0</v>
      </c>
      <c r="K12" s="231">
        <v>49</v>
      </c>
      <c r="L12" s="231">
        <v>0</v>
      </c>
      <c r="M12" s="231">
        <v>10</v>
      </c>
      <c r="N12" s="231">
        <v>31650</v>
      </c>
      <c r="O12" s="231">
        <v>471679</v>
      </c>
      <c r="P12" s="231">
        <v>3060241</v>
      </c>
      <c r="Q12" s="239" t="s">
        <v>26</v>
      </c>
      <c r="R12" s="207">
        <f>IF(表1_86121822242672118[[#This Row],[目标国家]]="魏",0,IF(表1_86121822242672118[[#This Row],[目标国家]]="蜀",1,2))</f>
        <v>1</v>
      </c>
      <c r="S12" s="231">
        <v>426</v>
      </c>
      <c r="T12" s="231">
        <v>0</v>
      </c>
      <c r="U12" s="231">
        <v>44724</v>
      </c>
      <c r="V12" s="231">
        <v>1461</v>
      </c>
      <c r="W12" s="231">
        <v>123502</v>
      </c>
      <c r="X12" s="241" t="str">
        <f>"{"&amp;"'coin':"&amp;表1_86121822242672118[[#This Row],[补偿Coin]]&amp;",'"&amp;配置!$A$2&amp;"':"&amp;表1_86121822242672118[[#This Row],[补偿辎重]]&amp;"},"</f>
        <v>{'coin':1000,'item036':10},</v>
      </c>
      <c r="Y12" s="241" t="str">
        <f>"            'to_zone':'"&amp;表1_86121822242672118[[#This Row],[目标区服]]&amp;"',
            'reward':"&amp;表1_86121822242672118[[#This Row],[辅助导出]]&amp;"
            'country':["&amp;R11&amp;","&amp;R12&amp;","&amp;R13&amp;"],"</f>
        <v>            'to_zone':'h1_621',
            'reward':{'coin':1000,'item036':10},
            'country':[0,1,1],</v>
      </c>
    </row>
    <row r="13" s="2" customFormat="1" ht="14.25" customHeight="1" spans="1:25">
      <c r="A13" s="204">
        <v>5292</v>
      </c>
      <c r="B13" s="205">
        <f>VLOOKUP(表1_86121822242672118[[#This Row],[区服]],$P$71:$Q$78,2,FALSE)</f>
        <v>39</v>
      </c>
      <c r="C13" s="291" t="s">
        <v>289</v>
      </c>
      <c r="D13" s="207" t="str">
        <f>表1_86121822242672118[[#This Row],[目标国家]]</f>
        <v>蜀</v>
      </c>
      <c r="E13" s="292">
        <f>(VLOOKUP(表1_86121822242672118[[#This Row],[目标区服]],$R$71:$S$77,2,FALSE)-表1_86121822242672118[[#This Row],[开服天数]])*配置!$B$1</f>
        <v>1000</v>
      </c>
      <c r="F13" s="208">
        <f>表1_86121822242672118[[#This Row],[补偿Coin]]*(表1_86121822242672118[[#This Row],[活跃高战玩家数]]+表1_86121822242672118[[#This Row],[活跃中坚玩家数]])</f>
        <v>12000</v>
      </c>
      <c r="G13" s="209">
        <f>(VLOOKUP(表1_86121822242672118[[#This Row],[目标区服]],$R$71:$S$74,2,FALSE)-表1_86121822242672118[[#This Row],[开服天数]])*配置!$B$2</f>
        <v>10</v>
      </c>
      <c r="H13" s="207" t="s">
        <v>27</v>
      </c>
      <c r="I13" s="230">
        <f>IF(表1_86121822242672118[[#This Row],[原国家]]="魏",0,IF(表1_86121822242672118[[#This Row],[原国家]]="蜀",1,2))</f>
        <v>2</v>
      </c>
      <c r="J13" s="231">
        <v>0</v>
      </c>
      <c r="K13" s="231">
        <v>36</v>
      </c>
      <c r="L13" s="231">
        <v>1</v>
      </c>
      <c r="M13" s="231">
        <v>11</v>
      </c>
      <c r="N13" s="231">
        <v>50903</v>
      </c>
      <c r="O13" s="231">
        <v>868735</v>
      </c>
      <c r="P13" s="231">
        <v>4795410</v>
      </c>
      <c r="Q13" s="239" t="s">
        <v>26</v>
      </c>
      <c r="R13" s="207">
        <f>IF(表1_86121822242672118[[#This Row],[目标国家]]="魏",0,IF(表1_86121822242672118[[#This Row],[目标国家]]="蜀",1,2))</f>
        <v>1</v>
      </c>
      <c r="S13" s="231">
        <v>2262</v>
      </c>
      <c r="T13" s="231">
        <v>0</v>
      </c>
      <c r="U13" s="231">
        <v>38951</v>
      </c>
      <c r="V13" s="231">
        <v>2050</v>
      </c>
      <c r="W13" s="231">
        <v>239800</v>
      </c>
      <c r="X13" s="241" t="str">
        <f>"{"&amp;"'coin':"&amp;表1_86121822242672118[[#This Row],[补偿Coin]]&amp;",'"&amp;配置!$A$2&amp;"':"&amp;表1_86121822242672118[[#This Row],[补偿辎重]]&amp;"},"</f>
        <v>{'coin':1000,'item036':10},</v>
      </c>
      <c r="Y13" s="241" t="str">
        <f>"      },"</f>
        <v>      },</v>
      </c>
    </row>
    <row r="14" s="2" customFormat="1" ht="14.25" customHeight="1" spans="1:25">
      <c r="A14" s="205">
        <v>5293</v>
      </c>
      <c r="B14" s="205">
        <f>VLOOKUP(表1_86121822242672118[[#This Row],[区服]],$P$71:$Q$78,2,FALSE)</f>
        <v>39</v>
      </c>
      <c r="C14" s="291" t="s">
        <v>289</v>
      </c>
      <c r="D14" s="207" t="str">
        <f>表1_86121822242672118[[#This Row],[目标国家]]</f>
        <v>魏</v>
      </c>
      <c r="E14" s="292">
        <f>(VLOOKUP(表1_86121822242672118[[#This Row],[目标区服]],$R$71:$S$77,2,FALSE)-表1_86121822242672118[[#This Row],[开服天数]])*配置!$B$1</f>
        <v>1000</v>
      </c>
      <c r="F14" s="208">
        <f>表1_86121822242672118[[#This Row],[补偿Coin]]*(表1_86121822242672118[[#This Row],[活跃高战玩家数]]+表1_86121822242672118[[#This Row],[活跃中坚玩家数]])</f>
        <v>17000</v>
      </c>
      <c r="G14" s="208">
        <f>(VLOOKUP(表1_86121822242672118[[#This Row],[目标区服]],$R$71:$S$74,2,FALSE)-表1_86121822242672118[[#This Row],[开服天数]])*配置!$B$2</f>
        <v>10</v>
      </c>
      <c r="H14" s="207" t="s">
        <v>25</v>
      </c>
      <c r="I14" s="207">
        <f>IF(表1_86121822242672118[[#This Row],[原国家]]="魏",0,IF(表1_86121822242672118[[#This Row],[原国家]]="蜀",1,2))</f>
        <v>0</v>
      </c>
      <c r="J14" s="231">
        <v>8</v>
      </c>
      <c r="K14" s="231">
        <v>275</v>
      </c>
      <c r="L14" s="231">
        <v>6</v>
      </c>
      <c r="M14" s="231">
        <v>11</v>
      </c>
      <c r="N14" s="231">
        <v>110953</v>
      </c>
      <c r="O14" s="231">
        <v>1563074</v>
      </c>
      <c r="P14" s="231">
        <v>9479249</v>
      </c>
      <c r="Q14" s="239" t="s">
        <v>25</v>
      </c>
      <c r="R14" s="207">
        <f>IF(表1_86121822242672118[[#This Row],[目标国家]]="魏",0,IF(表1_86121822242672118[[#This Row],[目标国家]]="蜀",1,2))</f>
        <v>0</v>
      </c>
      <c r="S14" s="231">
        <v>6850</v>
      </c>
      <c r="T14" s="231">
        <v>0</v>
      </c>
      <c r="U14" s="231">
        <v>272530</v>
      </c>
      <c r="V14" s="231">
        <v>6957</v>
      </c>
      <c r="W14" s="231">
        <v>498473</v>
      </c>
      <c r="X14" s="303" t="str">
        <f>"{"&amp;"'coin':"&amp;表1_86121822242672118[[#This Row],[补偿Coin]]&amp;",'"&amp;配置!$A$2&amp;"':"&amp;表1_86121822242672118[[#This Row],[补偿辎重]]&amp;"},"</f>
        <v>{'coin':1000,'item036':10},</v>
      </c>
      <c r="Y14" s="305" t="str">
        <f>"      '"&amp;表1_86121822242672118[[#This Row],[区服]]&amp;"':{"</f>
        <v>      '5293':{</v>
      </c>
    </row>
    <row r="15" s="2" customFormat="1" ht="14.25" customHeight="1" spans="1:25">
      <c r="A15" s="205">
        <v>5293</v>
      </c>
      <c r="B15" s="205">
        <f>VLOOKUP(表1_86121822242672118[[#This Row],[区服]],$P$71:$Q$78,2,FALSE)</f>
        <v>39</v>
      </c>
      <c r="C15" s="291" t="s">
        <v>289</v>
      </c>
      <c r="D15" s="207" t="str">
        <f>表1_86121822242672118[[#This Row],[目标国家]]</f>
        <v>魏</v>
      </c>
      <c r="E15" s="292">
        <f>(VLOOKUP(表1_86121822242672118[[#This Row],[目标区服]],$R$71:$S$77,2,FALSE)-表1_86121822242672118[[#This Row],[开服天数]])*配置!$B$1</f>
        <v>1000</v>
      </c>
      <c r="F15" s="208">
        <f>表1_86121822242672118[[#This Row],[补偿Coin]]*(表1_86121822242672118[[#This Row],[活跃高战玩家数]]+表1_86121822242672118[[#This Row],[活跃中坚玩家数]])</f>
        <v>9000</v>
      </c>
      <c r="G15" s="208">
        <f>(VLOOKUP(表1_86121822242672118[[#This Row],[目标区服]],$R$71:$S$74,2,FALSE)-表1_86121822242672118[[#This Row],[开服天数]])*配置!$B$2</f>
        <v>10</v>
      </c>
      <c r="H15" s="207" t="s">
        <v>26</v>
      </c>
      <c r="I15" s="207">
        <f>IF(表1_86121822242672118[[#This Row],[原国家]]="魏",0,IF(表1_86121822242672118[[#This Row],[原国家]]="蜀",1,2))</f>
        <v>1</v>
      </c>
      <c r="J15" s="231">
        <v>1</v>
      </c>
      <c r="K15" s="231">
        <v>85</v>
      </c>
      <c r="L15" s="231">
        <v>1</v>
      </c>
      <c r="M15" s="231">
        <v>8</v>
      </c>
      <c r="N15" s="231">
        <v>46176</v>
      </c>
      <c r="O15" s="231">
        <v>718459</v>
      </c>
      <c r="P15" s="231">
        <v>3333329</v>
      </c>
      <c r="Q15" s="239" t="s">
        <v>25</v>
      </c>
      <c r="R15" s="207">
        <f>IF(表1_86121822242672118[[#This Row],[目标国家]]="魏",0,IF(表1_86121822242672118[[#This Row],[目标国家]]="蜀",1,2))</f>
        <v>0</v>
      </c>
      <c r="S15" s="231">
        <v>332</v>
      </c>
      <c r="T15" s="231">
        <v>0</v>
      </c>
      <c r="U15" s="231">
        <v>135088</v>
      </c>
      <c r="V15" s="231">
        <v>2310</v>
      </c>
      <c r="W15" s="231">
        <v>187307</v>
      </c>
      <c r="X15" s="303" t="str">
        <f>"{"&amp;"'coin':"&amp;表1_86121822242672118[[#This Row],[补偿Coin]]&amp;",'"&amp;配置!$A$2&amp;"':"&amp;表1_86121822242672118[[#This Row],[补偿辎重]]&amp;"},"</f>
        <v>{'coin':1000,'item036':10},</v>
      </c>
      <c r="Y15" s="305" t="str">
        <f>"            'to_zone':'"&amp;表1_86121822242672118[[#This Row],[目标区服]]&amp;"',
            'reward':"&amp;表1_86121822242672118[[#This Row],[辅助导出]]&amp;"
            'country':["&amp;R14&amp;","&amp;R15&amp;","&amp;R16&amp;"],"</f>
        <v>            'to_zone':'h1_621',
            'reward':{'coin':1000,'item036':10},
            'country':[0,0,0],</v>
      </c>
    </row>
    <row r="16" s="2" customFormat="1" ht="14.25" customHeight="1" spans="1:25">
      <c r="A16" s="205">
        <v>5293</v>
      </c>
      <c r="B16" s="205">
        <f>VLOOKUP(表1_86121822242672118[[#This Row],[区服]],$P$71:$Q$78,2,FALSE)</f>
        <v>39</v>
      </c>
      <c r="C16" s="291" t="s">
        <v>289</v>
      </c>
      <c r="D16" s="207" t="str">
        <f>表1_86121822242672118[[#This Row],[目标国家]]</f>
        <v>魏</v>
      </c>
      <c r="E16" s="292">
        <f>(VLOOKUP(表1_86121822242672118[[#This Row],[目标区服]],$R$71:$S$77,2,FALSE)-表1_86121822242672118[[#This Row],[开服天数]])*配置!$B$1</f>
        <v>1000</v>
      </c>
      <c r="F16" s="208">
        <f>表1_86121822242672118[[#This Row],[补偿Coin]]*(表1_86121822242672118[[#This Row],[活跃高战玩家数]]+表1_86121822242672118[[#This Row],[活跃中坚玩家数]])</f>
        <v>13000</v>
      </c>
      <c r="G16" s="208">
        <f>(VLOOKUP(表1_86121822242672118[[#This Row],[目标区服]],$R$71:$S$74,2,FALSE)-表1_86121822242672118[[#This Row],[开服天数]])*配置!$B$2</f>
        <v>10</v>
      </c>
      <c r="H16" s="207" t="s">
        <v>27</v>
      </c>
      <c r="I16" s="207">
        <f>IF(表1_86121822242672118[[#This Row],[原国家]]="魏",0,IF(表1_86121822242672118[[#This Row],[原国家]]="蜀",1,2))</f>
        <v>2</v>
      </c>
      <c r="J16" s="231">
        <v>0</v>
      </c>
      <c r="K16" s="231">
        <v>35</v>
      </c>
      <c r="L16" s="231">
        <v>1</v>
      </c>
      <c r="M16" s="231">
        <v>12</v>
      </c>
      <c r="N16" s="231">
        <v>68362</v>
      </c>
      <c r="O16" s="231">
        <v>1067721</v>
      </c>
      <c r="P16" s="231">
        <v>5014894</v>
      </c>
      <c r="Q16" s="239" t="s">
        <v>25</v>
      </c>
      <c r="R16" s="207">
        <f>IF(表1_86121822242672118[[#This Row],[目标国家]]="魏",0,IF(表1_86121822242672118[[#This Row],[目标国家]]="蜀",1,2))</f>
        <v>0</v>
      </c>
      <c r="S16" s="231">
        <v>2940</v>
      </c>
      <c r="T16" s="231">
        <v>0</v>
      </c>
      <c r="U16" s="231">
        <v>182714</v>
      </c>
      <c r="V16" s="231">
        <v>2440</v>
      </c>
      <c r="W16" s="231">
        <v>374099</v>
      </c>
      <c r="X16" s="303" t="str">
        <f>"{"&amp;"'coin':"&amp;表1_86121822242672118[[#This Row],[补偿Coin]]&amp;",'"&amp;配置!$A$2&amp;"':"&amp;表1_86121822242672118[[#This Row],[补偿辎重]]&amp;"},"</f>
        <v>{'coin':1000,'item036':10},</v>
      </c>
      <c r="Y16" s="305" t="str">
        <f>"      },"</f>
        <v>      },</v>
      </c>
    </row>
    <row r="17" s="2" customFormat="1" ht="14.25" customHeight="1" spans="1:25">
      <c r="A17" s="205">
        <v>5294</v>
      </c>
      <c r="B17" s="205">
        <f>VLOOKUP(表1_86121822242672118[[#This Row],[区服]],$P$71:$Q$78,2,FALSE)</f>
        <v>39</v>
      </c>
      <c r="C17" s="291" t="s">
        <v>289</v>
      </c>
      <c r="D17" s="207" t="str">
        <f>表1_86121822242672118[[#This Row],[目标国家]]</f>
        <v>蜀</v>
      </c>
      <c r="E17" s="292">
        <f>(VLOOKUP(表1_86121822242672118[[#This Row],[目标区服]],$R$71:$S$77,2,FALSE)-表1_86121822242672118[[#This Row],[开服天数]])*配置!$B$1</f>
        <v>1000</v>
      </c>
      <c r="F17" s="208">
        <f>表1_86121822242672118[[#This Row],[补偿Coin]]*(表1_86121822242672118[[#This Row],[活跃高战玩家数]]+表1_86121822242672118[[#This Row],[活跃中坚玩家数]])</f>
        <v>15000</v>
      </c>
      <c r="G17" s="208">
        <f>(VLOOKUP(表1_86121822242672118[[#This Row],[目标区服]],$R$71:$S$74,2,FALSE)-表1_86121822242672118[[#This Row],[开服天数]])*配置!$B$2</f>
        <v>10</v>
      </c>
      <c r="H17" s="207" t="s">
        <v>25</v>
      </c>
      <c r="I17" s="207">
        <f>IF(表1_86121822242672118[[#This Row],[原国家]]="魏",0,IF(表1_86121822242672118[[#This Row],[原国家]]="蜀",1,2))</f>
        <v>0</v>
      </c>
      <c r="J17" s="231">
        <v>1</v>
      </c>
      <c r="K17" s="231">
        <v>102</v>
      </c>
      <c r="L17" s="231">
        <v>2</v>
      </c>
      <c r="M17" s="231">
        <v>13</v>
      </c>
      <c r="N17" s="231">
        <v>51703</v>
      </c>
      <c r="O17" s="231">
        <v>1675737</v>
      </c>
      <c r="P17" s="231">
        <v>8792951</v>
      </c>
      <c r="Q17" s="239" t="s">
        <v>26</v>
      </c>
      <c r="R17" s="207">
        <f>IF(表1_86121822242672118[[#This Row],[目标国家]]="魏",0,IF(表1_86121822242672118[[#This Row],[目标国家]]="蜀",1,2))</f>
        <v>1</v>
      </c>
      <c r="S17" s="231">
        <v>8310</v>
      </c>
      <c r="T17" s="231">
        <v>0</v>
      </c>
      <c r="U17" s="231">
        <v>96614</v>
      </c>
      <c r="V17" s="231">
        <v>4231</v>
      </c>
      <c r="W17" s="231">
        <v>519059</v>
      </c>
      <c r="X17" s="303" t="str">
        <f>"{"&amp;"'coin':"&amp;表1_86121822242672118[[#This Row],[补偿Coin]]&amp;",'"&amp;配置!$A$2&amp;"':"&amp;表1_86121822242672118[[#This Row],[补偿辎重]]&amp;"},"</f>
        <v>{'coin':1000,'item036':10},</v>
      </c>
      <c r="Y17" s="305" t="str">
        <f>"      '"&amp;表1_86121822242672118[[#This Row],[区服]]&amp;"':{"</f>
        <v>      '5294':{</v>
      </c>
    </row>
    <row r="18" s="2" customFormat="1" ht="14.25" customHeight="1" spans="1:25">
      <c r="A18" s="205">
        <v>5294</v>
      </c>
      <c r="B18" s="205">
        <f>VLOOKUP(表1_86121822242672118[[#This Row],[区服]],$P$71:$Q$78,2,FALSE)</f>
        <v>39</v>
      </c>
      <c r="C18" s="291" t="s">
        <v>289</v>
      </c>
      <c r="D18" s="207" t="str">
        <f>表1_86121822242672118[[#This Row],[目标国家]]</f>
        <v>蜀</v>
      </c>
      <c r="E18" s="292">
        <f>(VLOOKUP(表1_86121822242672118[[#This Row],[目标区服]],$R$71:$S$77,2,FALSE)-表1_86121822242672118[[#This Row],[开服天数]])*配置!$B$1</f>
        <v>1000</v>
      </c>
      <c r="F18" s="208">
        <f>表1_86121822242672118[[#This Row],[补偿Coin]]*(表1_86121822242672118[[#This Row],[活跃高战玩家数]]+表1_86121822242672118[[#This Row],[活跃中坚玩家数]])</f>
        <v>29000</v>
      </c>
      <c r="G18" s="208">
        <f>(VLOOKUP(表1_86121822242672118[[#This Row],[目标区服]],$R$71:$S$74,2,FALSE)-表1_86121822242672118[[#This Row],[开服天数]])*配置!$B$2</f>
        <v>10</v>
      </c>
      <c r="H18" s="207" t="s">
        <v>26</v>
      </c>
      <c r="I18" s="207">
        <f>IF(表1_86121822242672118[[#This Row],[原国家]]="魏",0,IF(表1_86121822242672118[[#This Row],[原国家]]="蜀",1,2))</f>
        <v>1</v>
      </c>
      <c r="J18" s="231">
        <v>6</v>
      </c>
      <c r="K18" s="231">
        <v>216</v>
      </c>
      <c r="L18" s="231">
        <v>7</v>
      </c>
      <c r="M18" s="231">
        <v>22</v>
      </c>
      <c r="N18" s="231">
        <v>158629</v>
      </c>
      <c r="O18" s="231">
        <v>3121719</v>
      </c>
      <c r="P18" s="231">
        <v>25687261</v>
      </c>
      <c r="Q18" s="239" t="s">
        <v>26</v>
      </c>
      <c r="R18" s="207">
        <f>IF(表1_86121822242672118[[#This Row],[目标国家]]="魏",0,IF(表1_86121822242672118[[#This Row],[目标国家]]="蜀",1,2))</f>
        <v>1</v>
      </c>
      <c r="S18" s="231">
        <v>92534</v>
      </c>
      <c r="T18" s="231">
        <v>0</v>
      </c>
      <c r="U18" s="231">
        <v>914038</v>
      </c>
      <c r="V18" s="231">
        <v>12476</v>
      </c>
      <c r="W18" s="231">
        <v>827341</v>
      </c>
      <c r="X18" s="303" t="str">
        <f>"{"&amp;"'coin':"&amp;表1_86121822242672118[[#This Row],[补偿Coin]]&amp;",'"&amp;配置!$A$2&amp;"':"&amp;表1_86121822242672118[[#This Row],[补偿辎重]]&amp;"},"</f>
        <v>{'coin':1000,'item036':10},</v>
      </c>
      <c r="Y18" s="305" t="str">
        <f>"            'to_zone':'"&amp;表1_86121822242672118[[#This Row],[目标区服]]&amp;"',
            'reward':"&amp;表1_86121822242672118[[#This Row],[辅助导出]]&amp;"
            'country':["&amp;R17&amp;","&amp;R18&amp;","&amp;R19&amp;"],"</f>
        <v>            'to_zone':'h1_621',
            'reward':{'coin':1000,'item036':10},
            'country':[1,1,2],</v>
      </c>
    </row>
    <row r="19" s="2" customFormat="1" ht="14.25" customHeight="1" spans="1:25">
      <c r="A19" s="205">
        <v>5294</v>
      </c>
      <c r="B19" s="205">
        <f>VLOOKUP(表1_86121822242672118[[#This Row],[区服]],$P$71:$Q$78,2,FALSE)</f>
        <v>39</v>
      </c>
      <c r="C19" s="291" t="s">
        <v>289</v>
      </c>
      <c r="D19" s="207" t="str">
        <f>表1_86121822242672118[[#This Row],[目标国家]]</f>
        <v>吴</v>
      </c>
      <c r="E19" s="292">
        <f>(VLOOKUP(表1_86121822242672118[[#This Row],[目标区服]],$R$71:$S$77,2,FALSE)-表1_86121822242672118[[#This Row],[开服天数]])*配置!$B$1</f>
        <v>1000</v>
      </c>
      <c r="F19" s="208">
        <f>表1_86121822242672118[[#This Row],[补偿Coin]]*(表1_86121822242672118[[#This Row],[活跃高战玩家数]]+表1_86121822242672118[[#This Row],[活跃中坚玩家数]])</f>
        <v>21000</v>
      </c>
      <c r="G19" s="208">
        <f>(VLOOKUP(表1_86121822242672118[[#This Row],[目标区服]],$R$71:$S$74,2,FALSE)-表1_86121822242672118[[#This Row],[开服天数]])*配置!$B$2</f>
        <v>10</v>
      </c>
      <c r="H19" s="207" t="s">
        <v>27</v>
      </c>
      <c r="I19" s="207">
        <f>IF(表1_86121822242672118[[#This Row],[原国家]]="魏",0,IF(表1_86121822242672118[[#This Row],[原国家]]="蜀",1,2))</f>
        <v>2</v>
      </c>
      <c r="J19" s="231">
        <v>2</v>
      </c>
      <c r="K19" s="231">
        <v>77</v>
      </c>
      <c r="L19" s="231">
        <v>1</v>
      </c>
      <c r="M19" s="231">
        <v>20</v>
      </c>
      <c r="N19" s="231">
        <v>84278</v>
      </c>
      <c r="O19" s="231">
        <v>1738576</v>
      </c>
      <c r="P19" s="231">
        <v>12994092</v>
      </c>
      <c r="Q19" s="239" t="s">
        <v>27</v>
      </c>
      <c r="R19" s="207">
        <f>IF(表1_86121822242672118[[#This Row],[目标国家]]="魏",0,IF(表1_86121822242672118[[#This Row],[目标国家]]="蜀",1,2))</f>
        <v>2</v>
      </c>
      <c r="S19" s="231">
        <v>24440</v>
      </c>
      <c r="T19" s="231">
        <v>0</v>
      </c>
      <c r="U19" s="231">
        <v>244129</v>
      </c>
      <c r="V19" s="231">
        <v>5284</v>
      </c>
      <c r="W19" s="231">
        <v>562500</v>
      </c>
      <c r="X19" s="303" t="str">
        <f>"{"&amp;"'coin':"&amp;表1_86121822242672118[[#This Row],[补偿Coin]]&amp;",'"&amp;配置!$A$2&amp;"':"&amp;表1_86121822242672118[[#This Row],[补偿辎重]]&amp;"},"</f>
        <v>{'coin':1000,'item036':10},</v>
      </c>
      <c r="Y19" s="305" t="str">
        <f>"      },"</f>
        <v>      },</v>
      </c>
    </row>
    <row r="20" s="2" customFormat="1" ht="14.25" customHeight="1" spans="1:25">
      <c r="A20" s="205">
        <v>5295</v>
      </c>
      <c r="B20" s="205">
        <f>VLOOKUP(表1_86121822242672118[[#This Row],[区服]],$P$71:$Q$78,2,FALSE)</f>
        <v>39</v>
      </c>
      <c r="C20" s="291" t="s">
        <v>289</v>
      </c>
      <c r="D20" s="207" t="str">
        <f>表1_86121822242672118[[#This Row],[目标国家]]</f>
        <v>吴</v>
      </c>
      <c r="E20" s="292">
        <f>(VLOOKUP(表1_86121822242672118[[#This Row],[目标区服]],$R$71:$S$77,2,FALSE)-表1_86121822242672118[[#This Row],[开服天数]])*配置!$B$1</f>
        <v>1000</v>
      </c>
      <c r="F20" s="208">
        <f>表1_86121822242672118[[#This Row],[补偿Coin]]*(表1_86121822242672118[[#This Row],[活跃高战玩家数]]+表1_86121822242672118[[#This Row],[活跃中坚玩家数]])</f>
        <v>23000</v>
      </c>
      <c r="G20" s="208">
        <f>(VLOOKUP(表1_86121822242672118[[#This Row],[目标区服]],$R$71:$S$74,2,FALSE)-表1_86121822242672118[[#This Row],[开服天数]])*配置!$B$2</f>
        <v>10</v>
      </c>
      <c r="H20" s="207" t="s">
        <v>25</v>
      </c>
      <c r="I20" s="207">
        <f>IF(表1_86121822242672118[[#This Row],[原国家]]="魏",0,IF(表1_86121822242672118[[#This Row],[原国家]]="蜀",1,2))</f>
        <v>0</v>
      </c>
      <c r="J20" s="231">
        <v>3</v>
      </c>
      <c r="K20" s="231">
        <v>123</v>
      </c>
      <c r="L20" s="231">
        <v>4</v>
      </c>
      <c r="M20" s="231">
        <v>19</v>
      </c>
      <c r="N20" s="231">
        <v>124378</v>
      </c>
      <c r="O20" s="231">
        <v>2113791</v>
      </c>
      <c r="P20" s="231">
        <v>15849148</v>
      </c>
      <c r="Q20" s="239" t="s">
        <v>27</v>
      </c>
      <c r="R20" s="207">
        <f>IF(表1_86121822242672118[[#This Row],[目标国家]]="魏",0,IF(表1_86121822242672118[[#This Row],[目标国家]]="蜀",1,2))</f>
        <v>2</v>
      </c>
      <c r="S20" s="231">
        <v>42348</v>
      </c>
      <c r="T20" s="231">
        <v>0</v>
      </c>
      <c r="U20" s="231">
        <v>487188</v>
      </c>
      <c r="V20" s="231">
        <v>7364</v>
      </c>
      <c r="W20" s="231">
        <v>636035</v>
      </c>
      <c r="X20" s="303" t="str">
        <f>"{"&amp;"'coin':"&amp;表1_86121822242672118[[#This Row],[补偿Coin]]&amp;",'"&amp;配置!$A$2&amp;"':"&amp;表1_86121822242672118[[#This Row],[补偿辎重]]&amp;"},"</f>
        <v>{'coin':1000,'item036':10},</v>
      </c>
      <c r="Y20" s="305" t="str">
        <f>"      '"&amp;表1_86121822242672118[[#This Row],[区服]]&amp;"':{"</f>
        <v>      '5295':{</v>
      </c>
    </row>
    <row r="21" s="2" customFormat="1" ht="14.25" customHeight="1" spans="1:25">
      <c r="A21" s="205">
        <v>5295</v>
      </c>
      <c r="B21" s="205">
        <f>VLOOKUP(表1_86121822242672118[[#This Row],[区服]],$P$71:$Q$78,2,FALSE)</f>
        <v>39</v>
      </c>
      <c r="C21" s="291" t="s">
        <v>289</v>
      </c>
      <c r="D21" s="207" t="str">
        <f>表1_86121822242672118[[#This Row],[目标国家]]</f>
        <v>吴</v>
      </c>
      <c r="E21" s="292">
        <f>(VLOOKUP(表1_86121822242672118[[#This Row],[目标区服]],$R$71:$S$77,2,FALSE)-表1_86121822242672118[[#This Row],[开服天数]])*配置!$B$1</f>
        <v>1000</v>
      </c>
      <c r="F21" s="208">
        <f>表1_86121822242672118[[#This Row],[补偿Coin]]*(表1_86121822242672118[[#This Row],[活跃高战玩家数]]+表1_86121822242672118[[#This Row],[活跃中坚玩家数]])</f>
        <v>28000</v>
      </c>
      <c r="G21" s="208">
        <f>(VLOOKUP(表1_86121822242672118[[#This Row],[目标区服]],$R$71:$S$74,2,FALSE)-表1_86121822242672118[[#This Row],[开服天数]])*配置!$B$2</f>
        <v>10</v>
      </c>
      <c r="H21" s="207" t="s">
        <v>26</v>
      </c>
      <c r="I21" s="207">
        <f>IF(表1_86121822242672118[[#This Row],[原国家]]="魏",0,IF(表1_86121822242672118[[#This Row],[原国家]]="蜀",1,2))</f>
        <v>1</v>
      </c>
      <c r="J21" s="231">
        <v>5</v>
      </c>
      <c r="K21" s="231">
        <v>206</v>
      </c>
      <c r="L21" s="231">
        <v>5</v>
      </c>
      <c r="M21" s="231">
        <v>23</v>
      </c>
      <c r="N21" s="231">
        <v>124457</v>
      </c>
      <c r="O21" s="231">
        <v>2356271</v>
      </c>
      <c r="P21" s="231">
        <v>17213746</v>
      </c>
      <c r="Q21" s="239" t="s">
        <v>27</v>
      </c>
      <c r="R21" s="207">
        <f>IF(表1_86121822242672118[[#This Row],[目标国家]]="魏",0,IF(表1_86121822242672118[[#This Row],[目标国家]]="蜀",1,2))</f>
        <v>2</v>
      </c>
      <c r="S21" s="231">
        <v>35476</v>
      </c>
      <c r="T21" s="231">
        <v>0</v>
      </c>
      <c r="U21" s="231">
        <v>489983</v>
      </c>
      <c r="V21" s="231">
        <v>8569</v>
      </c>
      <c r="W21" s="231">
        <v>717127</v>
      </c>
      <c r="X21" s="303" t="str">
        <f>"{"&amp;"'coin':"&amp;表1_86121822242672118[[#This Row],[补偿Coin]]&amp;",'"&amp;配置!$A$2&amp;"':"&amp;表1_86121822242672118[[#This Row],[补偿辎重]]&amp;"},"</f>
        <v>{'coin':1000,'item036':10},</v>
      </c>
      <c r="Y21" s="305" t="str">
        <f>"            'to_zone':'"&amp;表1_86121822242672118[[#This Row],[目标区服]]&amp;"',
            'reward':"&amp;表1_86121822242672118[[#This Row],[辅助导出]]&amp;"
            'country':["&amp;R20&amp;","&amp;R21&amp;","&amp;R22&amp;"],"</f>
        <v>            'to_zone':'h1_621',
            'reward':{'coin':1000,'item036':10},
            'country':[2,2,0],</v>
      </c>
    </row>
    <row r="22" s="2" customFormat="1" ht="14.25" customHeight="1" spans="1:25">
      <c r="A22" s="205">
        <v>5295</v>
      </c>
      <c r="B22" s="205">
        <f>VLOOKUP(表1_86121822242672118[[#This Row],[区服]],$P$71:$Q$78,2,FALSE)</f>
        <v>39</v>
      </c>
      <c r="C22" s="291" t="s">
        <v>289</v>
      </c>
      <c r="D22" s="207" t="str">
        <f>表1_86121822242672118[[#This Row],[目标国家]]</f>
        <v>魏</v>
      </c>
      <c r="E22" s="292">
        <f>(VLOOKUP(表1_86121822242672118[[#This Row],[目标区服]],$R$71:$S$77,2,FALSE)-表1_86121822242672118[[#This Row],[开服天数]])*配置!$B$1</f>
        <v>1000</v>
      </c>
      <c r="F22" s="208">
        <f>表1_86121822242672118[[#This Row],[补偿Coin]]*(表1_86121822242672118[[#This Row],[活跃高战玩家数]]+表1_86121822242672118[[#This Row],[活跃中坚玩家数]])</f>
        <v>15000</v>
      </c>
      <c r="G22" s="208">
        <f>(VLOOKUP(表1_86121822242672118[[#This Row],[目标区服]],$R$71:$S$74,2,FALSE)-表1_86121822242672118[[#This Row],[开服天数]])*配置!$B$2</f>
        <v>10</v>
      </c>
      <c r="H22" s="207" t="s">
        <v>27</v>
      </c>
      <c r="I22" s="207">
        <f>IF(表1_86121822242672118[[#This Row],[原国家]]="魏",0,IF(表1_86121822242672118[[#This Row],[原国家]]="蜀",1,2))</f>
        <v>2</v>
      </c>
      <c r="J22" s="231">
        <v>1</v>
      </c>
      <c r="K22" s="231">
        <v>66</v>
      </c>
      <c r="L22" s="231">
        <v>1</v>
      </c>
      <c r="M22" s="231">
        <v>14</v>
      </c>
      <c r="N22" s="231">
        <v>46204</v>
      </c>
      <c r="O22" s="231">
        <v>867080</v>
      </c>
      <c r="P22" s="231">
        <v>6279770</v>
      </c>
      <c r="Q22" s="239" t="s">
        <v>25</v>
      </c>
      <c r="R22" s="207">
        <f>IF(表1_86121822242672118[[#This Row],[目标国家]]="魏",0,IF(表1_86121822242672118[[#This Row],[目标国家]]="蜀",1,2))</f>
        <v>0</v>
      </c>
      <c r="S22" s="231">
        <v>11664</v>
      </c>
      <c r="T22" s="231">
        <v>0</v>
      </c>
      <c r="U22" s="231">
        <v>96765</v>
      </c>
      <c r="V22" s="231">
        <v>2884</v>
      </c>
      <c r="W22" s="231">
        <v>257411</v>
      </c>
      <c r="X22" s="303" t="str">
        <f>"{"&amp;"'coin':"&amp;表1_86121822242672118[[#This Row],[补偿Coin]]&amp;",'"&amp;配置!$A$2&amp;"':"&amp;表1_86121822242672118[[#This Row],[补偿辎重]]&amp;"},"</f>
        <v>{'coin':1000,'item036':10},</v>
      </c>
      <c r="Y22" s="305" t="str">
        <f>"      },"</f>
        <v>      },</v>
      </c>
    </row>
    <row r="23" s="2" customFormat="1" ht="14.25" customHeight="1" spans="1:25">
      <c r="A23" s="214">
        <v>5296</v>
      </c>
      <c r="B23" s="214">
        <f>VLOOKUP(表1_86121822242672118[[#This Row],[区服]],$P$71:$Q$78,2,FALSE)</f>
        <v>38</v>
      </c>
      <c r="C23" s="293" t="s">
        <v>290</v>
      </c>
      <c r="D23" s="216" t="str">
        <f>表1_86121822242672118[[#This Row],[目标国家]]</f>
        <v>魏</v>
      </c>
      <c r="E23" s="294">
        <f>(VLOOKUP(表1_86121822242672118[[#This Row],[目标区服]],$R$71:$S$77,2,FALSE)-表1_86121822242672118[[#This Row],[开服天数]])*配置!$B$1</f>
        <v>1000</v>
      </c>
      <c r="F23" s="217">
        <f>表1_86121822242672118[[#This Row],[补偿Coin]]*(表1_86121822242672118[[#This Row],[活跃高战玩家数]]+表1_86121822242672118[[#This Row],[活跃中坚玩家数]])</f>
        <v>16000</v>
      </c>
      <c r="G23" s="217">
        <f>(VLOOKUP(表1_86121822242672118[[#This Row],[目标区服]],$R$71:$S$74,2,FALSE)-表1_86121822242672118[[#This Row],[开服天数]])*配置!$B$2</f>
        <v>10</v>
      </c>
      <c r="H23" s="216" t="s">
        <v>25</v>
      </c>
      <c r="I23" s="216">
        <f>IF(表1_86121822242672118[[#This Row],[原国家]]="魏",0,IF(表1_86121822242672118[[#This Row],[原国家]]="蜀",1,2))</f>
        <v>0</v>
      </c>
      <c r="J23" s="234">
        <v>2</v>
      </c>
      <c r="K23" s="234">
        <v>50</v>
      </c>
      <c r="L23" s="234">
        <v>1</v>
      </c>
      <c r="M23" s="234">
        <v>15</v>
      </c>
      <c r="N23" s="234">
        <v>56503</v>
      </c>
      <c r="O23" s="234">
        <v>1473959</v>
      </c>
      <c r="P23" s="234">
        <v>9346606</v>
      </c>
      <c r="Q23" s="247" t="s">
        <v>25</v>
      </c>
      <c r="R23" s="216">
        <f>IF(表1_86121822242672118[[#This Row],[目标国家]]="魏",0,IF(表1_86121822242672118[[#This Row],[目标国家]]="蜀",1,2))</f>
        <v>0</v>
      </c>
      <c r="S23" s="234">
        <v>19054</v>
      </c>
      <c r="T23" s="234">
        <v>0</v>
      </c>
      <c r="U23" s="234">
        <v>188652</v>
      </c>
      <c r="V23" s="234">
        <v>4057</v>
      </c>
      <c r="W23" s="234">
        <v>539417</v>
      </c>
      <c r="X23" s="249" t="str">
        <f>"{"&amp;"'coin':"&amp;表1_86121822242672118[[#This Row],[补偿Coin]]&amp;",'"&amp;配置!$A$2&amp;"':"&amp;表1_86121822242672118[[#This Row],[补偿辎重]]&amp;"},"</f>
        <v>{'coin':1000,'item036':10},</v>
      </c>
      <c r="Y23" s="251" t="str">
        <f>"      '"&amp;表1_86121822242672118[[#This Row],[区服]]&amp;"':{"</f>
        <v>      '5296':{</v>
      </c>
    </row>
    <row r="24" s="2" customFormat="1" ht="14.25" customHeight="1" spans="1:25">
      <c r="A24" s="214">
        <v>5296</v>
      </c>
      <c r="B24" s="214">
        <f>VLOOKUP(表1_86121822242672118[[#This Row],[区服]],$P$71:$Q$78,2,FALSE)</f>
        <v>38</v>
      </c>
      <c r="C24" s="293" t="s">
        <v>290</v>
      </c>
      <c r="D24" s="216" t="str">
        <f>表1_86121822242672118[[#This Row],[目标国家]]</f>
        <v>蜀</v>
      </c>
      <c r="E24" s="294">
        <f>(VLOOKUP(表1_86121822242672118[[#This Row],[目标区服]],$R$71:$S$77,2,FALSE)-表1_86121822242672118[[#This Row],[开服天数]])*配置!$B$1</f>
        <v>1000</v>
      </c>
      <c r="F24" s="217">
        <f>表1_86121822242672118[[#This Row],[补偿Coin]]*(表1_86121822242672118[[#This Row],[活跃高战玩家数]]+表1_86121822242672118[[#This Row],[活跃中坚玩家数]])</f>
        <v>26000</v>
      </c>
      <c r="G24" s="217">
        <f>(VLOOKUP(表1_86121822242672118[[#This Row],[目标区服]],$R$71:$S$74,2,FALSE)-表1_86121822242672118[[#This Row],[开服天数]])*配置!$B$2</f>
        <v>10</v>
      </c>
      <c r="H24" s="216" t="s">
        <v>26</v>
      </c>
      <c r="I24" s="216">
        <f>IF(表1_86121822242672118[[#This Row],[原国家]]="魏",0,IF(表1_86121822242672118[[#This Row],[原国家]]="蜀",1,2))</f>
        <v>1</v>
      </c>
      <c r="J24" s="234">
        <v>3</v>
      </c>
      <c r="K24" s="234">
        <v>140</v>
      </c>
      <c r="L24" s="234">
        <v>2</v>
      </c>
      <c r="M24" s="234">
        <v>24</v>
      </c>
      <c r="N24" s="234">
        <v>132209</v>
      </c>
      <c r="O24" s="234">
        <v>2066483</v>
      </c>
      <c r="P24" s="234">
        <v>20328769</v>
      </c>
      <c r="Q24" s="247" t="s">
        <v>26</v>
      </c>
      <c r="R24" s="216">
        <f>IF(表1_86121822242672118[[#This Row],[目标国家]]="魏",0,IF(表1_86121822242672118[[#This Row],[目标国家]]="蜀",1,2))</f>
        <v>1</v>
      </c>
      <c r="S24" s="234">
        <v>57316</v>
      </c>
      <c r="T24" s="234">
        <v>68</v>
      </c>
      <c r="U24" s="234">
        <v>483285</v>
      </c>
      <c r="V24" s="234">
        <v>8422</v>
      </c>
      <c r="W24" s="234">
        <v>572703</v>
      </c>
      <c r="X24" s="249" t="str">
        <f>"{"&amp;"'coin':"&amp;表1_86121822242672118[[#This Row],[补偿Coin]]&amp;",'"&amp;配置!$A$2&amp;"':"&amp;表1_86121822242672118[[#This Row],[补偿辎重]]&amp;"},"</f>
        <v>{'coin':1000,'item036':10},</v>
      </c>
      <c r="Y24" s="251" t="str">
        <f>"            'to_zone':'"&amp;表1_86121822242672118[[#This Row],[目标区服]]&amp;"',
            'reward':"&amp;表1_86121822242672118[[#This Row],[辅助导出]]&amp;"
            'country':["&amp;R23&amp;","&amp;R24&amp;","&amp;R25&amp;"],"</f>
        <v>            'to_zone':'h1_622',
            'reward':{'coin':1000,'item036':10},
            'country':[0,1,2],</v>
      </c>
    </row>
    <row r="25" s="2" customFormat="1" ht="14.25" customHeight="1" spans="1:25">
      <c r="A25" s="214">
        <v>5296</v>
      </c>
      <c r="B25" s="214">
        <f>VLOOKUP(表1_86121822242672118[[#This Row],[区服]],$P$71:$Q$78,2,FALSE)</f>
        <v>38</v>
      </c>
      <c r="C25" s="293" t="s">
        <v>290</v>
      </c>
      <c r="D25" s="216" t="str">
        <f>表1_86121822242672118[[#This Row],[目标国家]]</f>
        <v>吴</v>
      </c>
      <c r="E25" s="294">
        <f>(VLOOKUP(表1_86121822242672118[[#This Row],[目标区服]],$R$71:$S$77,2,FALSE)-表1_86121822242672118[[#This Row],[开服天数]])*配置!$B$1</f>
        <v>1000</v>
      </c>
      <c r="F25" s="217">
        <f>表1_86121822242672118[[#This Row],[补偿Coin]]*(表1_86121822242672118[[#This Row],[活跃高战玩家数]]+表1_86121822242672118[[#This Row],[活跃中坚玩家数]])</f>
        <v>18000</v>
      </c>
      <c r="G25" s="217">
        <f>(VLOOKUP(表1_86121822242672118[[#This Row],[目标区服]],$R$71:$S$74,2,FALSE)-表1_86121822242672118[[#This Row],[开服天数]])*配置!$B$2</f>
        <v>10</v>
      </c>
      <c r="H25" s="216" t="s">
        <v>27</v>
      </c>
      <c r="I25" s="216">
        <f>IF(表1_86121822242672118[[#This Row],[原国家]]="魏",0,IF(表1_86121822242672118[[#This Row],[原国家]]="蜀",1,2))</f>
        <v>2</v>
      </c>
      <c r="J25" s="234">
        <v>4</v>
      </c>
      <c r="K25" s="234">
        <v>205</v>
      </c>
      <c r="L25" s="234">
        <v>7</v>
      </c>
      <c r="M25" s="234">
        <v>11</v>
      </c>
      <c r="N25" s="234">
        <v>112804</v>
      </c>
      <c r="O25" s="234">
        <v>2649373</v>
      </c>
      <c r="P25" s="234">
        <v>18490599</v>
      </c>
      <c r="Q25" s="247" t="s">
        <v>27</v>
      </c>
      <c r="R25" s="216">
        <f>IF(表1_86121822242672118[[#This Row],[目标国家]]="魏",0,IF(表1_86121822242672118[[#This Row],[目标国家]]="蜀",1,2))</f>
        <v>2</v>
      </c>
      <c r="S25" s="234">
        <v>82295</v>
      </c>
      <c r="T25" s="234">
        <v>0</v>
      </c>
      <c r="U25" s="234">
        <v>420587</v>
      </c>
      <c r="V25" s="234">
        <v>10191</v>
      </c>
      <c r="W25" s="234">
        <v>875139</v>
      </c>
      <c r="X25" s="249" t="str">
        <f>"{"&amp;"'coin':"&amp;表1_86121822242672118[[#This Row],[补偿Coin]]&amp;",'"&amp;配置!$A$2&amp;"':"&amp;表1_86121822242672118[[#This Row],[补偿辎重]]&amp;"},"</f>
        <v>{'coin':1000,'item036':10},</v>
      </c>
      <c r="Y25" s="251" t="str">
        <f>"      },"</f>
        <v>      },</v>
      </c>
    </row>
    <row r="26" s="2" customFormat="1" ht="14.25" customHeight="1" spans="1:25">
      <c r="A26" s="214">
        <v>5297</v>
      </c>
      <c r="B26" s="214">
        <f>VLOOKUP(表1_86121822242672118[[#This Row],[区服]],$P$71:$Q$92,2,FALSE)</f>
        <v>38</v>
      </c>
      <c r="C26" s="293" t="s">
        <v>290</v>
      </c>
      <c r="D26" s="216" t="str">
        <f>表1_86121822242672118[[#This Row],[目标国家]]</f>
        <v>魏</v>
      </c>
      <c r="E26" s="294">
        <f>(VLOOKUP(表1_86121822242672118[[#This Row],[目标区服]],$R$71:$S$77,2,FALSE)-表1_86121822242672118[[#This Row],[开服天数]])*配置!$B$1</f>
        <v>1000</v>
      </c>
      <c r="F26" s="217">
        <f>表1_86121822242672118[[#This Row],[补偿Coin]]*(表1_86121822242672118[[#This Row],[活跃高战玩家数]]+表1_86121822242672118[[#This Row],[活跃中坚玩家数]])</f>
        <v>9000</v>
      </c>
      <c r="G26" s="217">
        <f>(VLOOKUP(表1_86121822242672118[[#This Row],[目标区服]],$R$71:$S$74,2,FALSE)-表1_86121822242672118[[#This Row],[开服天数]])*配置!$B$2</f>
        <v>10</v>
      </c>
      <c r="H26" s="216" t="s">
        <v>25</v>
      </c>
      <c r="I26" s="216">
        <f>IF(表1_86121822242672118[[#This Row],[原国家]]="魏",0,IF(表1_86121822242672118[[#This Row],[原国家]]="蜀",1,2))</f>
        <v>0</v>
      </c>
      <c r="J26" s="234">
        <v>1</v>
      </c>
      <c r="K26" s="234">
        <v>69</v>
      </c>
      <c r="L26" s="234">
        <v>2</v>
      </c>
      <c r="M26" s="234">
        <v>7</v>
      </c>
      <c r="N26" s="234">
        <v>46385</v>
      </c>
      <c r="O26" s="234">
        <v>1537500</v>
      </c>
      <c r="P26" s="234">
        <v>5757389</v>
      </c>
      <c r="Q26" s="247" t="s">
        <v>25</v>
      </c>
      <c r="R26" s="216">
        <f>IF(表1_86121822242672118[[#This Row],[目标国家]]="魏",0,IF(表1_86121822242672118[[#This Row],[目标国家]]="蜀",1,2))</f>
        <v>0</v>
      </c>
      <c r="S26" s="234">
        <v>28466</v>
      </c>
      <c r="T26" s="234">
        <v>0</v>
      </c>
      <c r="U26" s="234">
        <v>90838</v>
      </c>
      <c r="V26" s="234">
        <v>4034</v>
      </c>
      <c r="W26" s="234">
        <v>416502</v>
      </c>
      <c r="X26" s="249" t="str">
        <f>"{"&amp;"'coin':"&amp;表1_86121822242672118[[#This Row],[补偿Coin]]&amp;",'"&amp;配置!$A$2&amp;"':"&amp;表1_86121822242672118[[#This Row],[补偿辎重]]&amp;"},"</f>
        <v>{'coin':1000,'item036':10},</v>
      </c>
      <c r="Y26" s="251" t="str">
        <f>"      '"&amp;表1_86121822242672118[[#This Row],[区服]]&amp;"':{"</f>
        <v>      '5297':{</v>
      </c>
    </row>
    <row r="27" s="2" customFormat="1" ht="14.25" customHeight="1" spans="1:25">
      <c r="A27" s="214">
        <v>5297</v>
      </c>
      <c r="B27" s="214">
        <f>VLOOKUP(表1_86121822242672118[[#This Row],[区服]],$P$71:$Q$92,2,FALSE)</f>
        <v>38</v>
      </c>
      <c r="C27" s="293" t="s">
        <v>290</v>
      </c>
      <c r="D27" s="216" t="str">
        <f>表1_86121822242672118[[#This Row],[目标国家]]</f>
        <v>吴</v>
      </c>
      <c r="E27" s="294">
        <f>(VLOOKUP(表1_86121822242672118[[#This Row],[目标区服]],$R$71:$S$77,2,FALSE)-表1_86121822242672118[[#This Row],[开服天数]])*配置!$B$1</f>
        <v>1000</v>
      </c>
      <c r="F27" s="217">
        <f>表1_86121822242672118[[#This Row],[补偿Coin]]*(表1_86121822242672118[[#This Row],[活跃高战玩家数]]+表1_86121822242672118[[#This Row],[活跃中坚玩家数]])</f>
        <v>27000</v>
      </c>
      <c r="G27" s="217">
        <f>(VLOOKUP(表1_86121822242672118[[#This Row],[目标区服]],$R$71:$S$74,2,FALSE)-表1_86121822242672118[[#This Row],[开服天数]])*配置!$B$2</f>
        <v>10</v>
      </c>
      <c r="H27" s="216" t="s">
        <v>26</v>
      </c>
      <c r="I27" s="216">
        <f>IF(表1_86121822242672118[[#This Row],[原国家]]="魏",0,IF(表1_86121822242672118[[#This Row],[原国家]]="蜀",1,2))</f>
        <v>1</v>
      </c>
      <c r="J27" s="234">
        <v>7</v>
      </c>
      <c r="K27" s="234">
        <v>266</v>
      </c>
      <c r="L27" s="234">
        <v>7</v>
      </c>
      <c r="M27" s="234">
        <v>20</v>
      </c>
      <c r="N27" s="234">
        <v>152102</v>
      </c>
      <c r="O27" s="234">
        <v>2020237</v>
      </c>
      <c r="P27" s="234">
        <v>18220911</v>
      </c>
      <c r="Q27" s="247" t="s">
        <v>27</v>
      </c>
      <c r="R27" s="216">
        <f>IF(表1_86121822242672118[[#This Row],[目标国家]]="魏",0,IF(表1_86121822242672118[[#This Row],[目标国家]]="蜀",1,2))</f>
        <v>2</v>
      </c>
      <c r="S27" s="234">
        <v>45984</v>
      </c>
      <c r="T27" s="234">
        <v>0</v>
      </c>
      <c r="U27" s="234">
        <v>324139</v>
      </c>
      <c r="V27" s="234">
        <v>9504</v>
      </c>
      <c r="W27" s="234">
        <v>537583</v>
      </c>
      <c r="X27" s="249" t="str">
        <f>"{"&amp;"'coin':"&amp;表1_86121822242672118[[#This Row],[补偿Coin]]&amp;",'"&amp;配置!$A$2&amp;"':"&amp;表1_86121822242672118[[#This Row],[补偿辎重]]&amp;"},"</f>
        <v>{'coin':1000,'item036':10},</v>
      </c>
      <c r="Y27" s="251" t="str">
        <f>"            'to_zone':'"&amp;表1_86121822242672118[[#This Row],[目标区服]]&amp;"',
            'reward':"&amp;表1_86121822242672118[[#This Row],[辅助导出]]&amp;"
            'country':["&amp;R26&amp;","&amp;R27&amp;","&amp;R28&amp;"],"</f>
        <v>            'to_zone':'h1_622',
            'reward':{'coin':1000,'item036':10},
            'country':[0,2,1],</v>
      </c>
    </row>
    <row r="28" s="2" customFormat="1" ht="14.25" customHeight="1" spans="1:25">
      <c r="A28" s="214">
        <v>5297</v>
      </c>
      <c r="B28" s="214">
        <f>VLOOKUP(表1_86121822242672118[[#This Row],[区服]],$P$71:$Q$92,2,FALSE)</f>
        <v>38</v>
      </c>
      <c r="C28" s="293" t="s">
        <v>290</v>
      </c>
      <c r="D28" s="216" t="str">
        <f>表1_86121822242672118[[#This Row],[目标国家]]</f>
        <v>蜀</v>
      </c>
      <c r="E28" s="294">
        <f>(VLOOKUP(表1_86121822242672118[[#This Row],[目标区服]],$R$71:$S$77,2,FALSE)-表1_86121822242672118[[#This Row],[开服天数]])*配置!$B$1</f>
        <v>1000</v>
      </c>
      <c r="F28" s="217">
        <f>表1_86121822242672118[[#This Row],[补偿Coin]]*(表1_86121822242672118[[#This Row],[活跃高战玩家数]]+表1_86121822242672118[[#This Row],[活跃中坚玩家数]])</f>
        <v>14000</v>
      </c>
      <c r="G28" s="217">
        <f>(VLOOKUP(表1_86121822242672118[[#This Row],[目标区服]],$R$71:$S$74,2,FALSE)-表1_86121822242672118[[#This Row],[开服天数]])*配置!$B$2</f>
        <v>10</v>
      </c>
      <c r="H28" s="216" t="s">
        <v>27</v>
      </c>
      <c r="I28" s="216">
        <f>IF(表1_86121822242672118[[#This Row],[原国家]]="魏",0,IF(表1_86121822242672118[[#This Row],[原国家]]="蜀",1,2))</f>
        <v>2</v>
      </c>
      <c r="J28" s="234">
        <v>1</v>
      </c>
      <c r="K28" s="234">
        <v>60</v>
      </c>
      <c r="L28" s="234">
        <v>1</v>
      </c>
      <c r="M28" s="234">
        <v>13</v>
      </c>
      <c r="N28" s="234">
        <v>62978</v>
      </c>
      <c r="O28" s="234">
        <v>891342</v>
      </c>
      <c r="P28" s="234">
        <v>6033373</v>
      </c>
      <c r="Q28" s="247" t="s">
        <v>26</v>
      </c>
      <c r="R28" s="216">
        <f>IF(表1_86121822242672118[[#This Row],[目标国家]]="魏",0,IF(表1_86121822242672118[[#This Row],[目标国家]]="蜀",1,2))</f>
        <v>1</v>
      </c>
      <c r="S28" s="234">
        <v>3414</v>
      </c>
      <c r="T28" s="234">
        <v>0</v>
      </c>
      <c r="U28" s="234">
        <v>147877</v>
      </c>
      <c r="V28" s="234">
        <v>2685</v>
      </c>
      <c r="W28" s="234">
        <v>344845</v>
      </c>
      <c r="X28" s="249" t="str">
        <f>"{"&amp;"'coin':"&amp;表1_86121822242672118[[#This Row],[补偿Coin]]&amp;",'"&amp;配置!$A$2&amp;"':"&amp;表1_86121822242672118[[#This Row],[补偿辎重]]&amp;"},"</f>
        <v>{'coin':1000,'item036':10},</v>
      </c>
      <c r="Y28" s="251" t="str">
        <f>"      },"</f>
        <v>      },</v>
      </c>
    </row>
    <row r="29" s="2" customFormat="1" ht="14.25" customHeight="1" spans="1:25">
      <c r="A29" s="214">
        <v>5298</v>
      </c>
      <c r="B29" s="214">
        <f>VLOOKUP(表1_86121822242672118[[#This Row],[区服]],$P$71:$Q$92,2,FALSE)</f>
        <v>38</v>
      </c>
      <c r="C29" s="293" t="s">
        <v>290</v>
      </c>
      <c r="D29" s="216" t="str">
        <f>表1_86121822242672118[[#This Row],[目标国家]]</f>
        <v>魏</v>
      </c>
      <c r="E29" s="294">
        <f>(VLOOKUP(表1_86121822242672118[[#This Row],[目标区服]],$R$71:$S$77,2,FALSE)-表1_86121822242672118[[#This Row],[开服天数]])*配置!$B$1</f>
        <v>1000</v>
      </c>
      <c r="F29" s="217">
        <f>表1_86121822242672118[[#This Row],[补偿Coin]]*(表1_86121822242672118[[#This Row],[活跃高战玩家数]]+表1_86121822242672118[[#This Row],[活跃中坚玩家数]])</f>
        <v>19000</v>
      </c>
      <c r="G29" s="217">
        <f>(VLOOKUP(表1_86121822242672118[[#This Row],[目标区服]],$R$71:$S$74,2,FALSE)-表1_86121822242672118[[#This Row],[开服天数]])*配置!$B$2</f>
        <v>10</v>
      </c>
      <c r="H29" s="216" t="s">
        <v>25</v>
      </c>
      <c r="I29" s="216">
        <f>IF(表1_86121822242672118[[#This Row],[原国家]]="魏",0,IF(表1_86121822242672118[[#This Row],[原国家]]="蜀",1,2))</f>
        <v>0</v>
      </c>
      <c r="J29" s="234">
        <v>2</v>
      </c>
      <c r="K29" s="234">
        <v>87</v>
      </c>
      <c r="L29" s="234">
        <v>1</v>
      </c>
      <c r="M29" s="234">
        <v>18</v>
      </c>
      <c r="N29" s="234">
        <v>81358</v>
      </c>
      <c r="O29" s="234">
        <v>1907191</v>
      </c>
      <c r="P29" s="234">
        <v>11355023</v>
      </c>
      <c r="Q29" s="247" t="s">
        <v>25</v>
      </c>
      <c r="R29" s="216">
        <f>IF(表1_86121822242672118[[#This Row],[目标国家]]="魏",0,IF(表1_86121822242672118[[#This Row],[目标国家]]="蜀",1,2))</f>
        <v>0</v>
      </c>
      <c r="S29" s="234">
        <v>30804</v>
      </c>
      <c r="T29" s="234">
        <v>0</v>
      </c>
      <c r="U29" s="234">
        <v>158004</v>
      </c>
      <c r="V29" s="234">
        <v>5522</v>
      </c>
      <c r="W29" s="234">
        <v>677429</v>
      </c>
      <c r="X29" s="249" t="str">
        <f>"{"&amp;"'coin':"&amp;表1_86121822242672118[[#This Row],[补偿Coin]]&amp;",'"&amp;配置!$A$2&amp;"':"&amp;表1_86121822242672118[[#This Row],[补偿辎重]]&amp;"},"</f>
        <v>{'coin':1000,'item036':10},</v>
      </c>
      <c r="Y29" s="251" t="str">
        <f>"      '"&amp;表1_86121822242672118[[#This Row],[区服]]&amp;"':{"</f>
        <v>      '5298':{</v>
      </c>
    </row>
    <row r="30" s="2" customFormat="1" ht="14.25" customHeight="1" spans="1:25">
      <c r="A30" s="214">
        <v>5298</v>
      </c>
      <c r="B30" s="214">
        <f>VLOOKUP(表1_86121822242672118[[#This Row],[区服]],$P$71:$Q$92,2,FALSE)</f>
        <v>38</v>
      </c>
      <c r="C30" s="293" t="s">
        <v>290</v>
      </c>
      <c r="D30" s="216" t="str">
        <f>表1_86121822242672118[[#This Row],[目标国家]]</f>
        <v>蜀</v>
      </c>
      <c r="E30" s="294">
        <f>(VLOOKUP(表1_86121822242672118[[#This Row],[目标区服]],$R$71:$S$77,2,FALSE)-表1_86121822242672118[[#This Row],[开服天数]])*配置!$B$1</f>
        <v>1000</v>
      </c>
      <c r="F30" s="217">
        <f>表1_86121822242672118[[#This Row],[补偿Coin]]*(表1_86121822242672118[[#This Row],[活跃高战玩家数]]+表1_86121822242672118[[#This Row],[活跃中坚玩家数]])</f>
        <v>21000</v>
      </c>
      <c r="G30" s="217">
        <f>(VLOOKUP(表1_86121822242672118[[#This Row],[目标区服]],$R$71:$S$74,2,FALSE)-表1_86121822242672118[[#This Row],[开服天数]])*配置!$B$2</f>
        <v>10</v>
      </c>
      <c r="H30" s="216" t="s">
        <v>26</v>
      </c>
      <c r="I30" s="216">
        <f>IF(表1_86121822242672118[[#This Row],[原国家]]="魏",0,IF(表1_86121822242672118[[#This Row],[原国家]]="蜀",1,2))</f>
        <v>1</v>
      </c>
      <c r="J30" s="234">
        <v>4</v>
      </c>
      <c r="K30" s="234">
        <v>185</v>
      </c>
      <c r="L30" s="234">
        <v>3</v>
      </c>
      <c r="M30" s="234">
        <v>18</v>
      </c>
      <c r="N30" s="234">
        <v>102404</v>
      </c>
      <c r="O30" s="234">
        <v>2208708</v>
      </c>
      <c r="P30" s="234">
        <v>14648114</v>
      </c>
      <c r="Q30" s="247" t="s">
        <v>26</v>
      </c>
      <c r="R30" s="216">
        <f>IF(表1_86121822242672118[[#This Row],[目标国家]]="魏",0,IF(表1_86121822242672118[[#This Row],[目标国家]]="蜀",1,2))</f>
        <v>1</v>
      </c>
      <c r="S30" s="234">
        <v>22484</v>
      </c>
      <c r="T30" s="234">
        <v>0</v>
      </c>
      <c r="U30" s="234">
        <v>362144</v>
      </c>
      <c r="V30" s="234">
        <v>7291</v>
      </c>
      <c r="W30" s="234">
        <v>606481</v>
      </c>
      <c r="X30" s="249" t="str">
        <f>"{"&amp;"'coin':"&amp;表1_86121822242672118[[#This Row],[补偿Coin]]&amp;",'"&amp;配置!$A$2&amp;"':"&amp;表1_86121822242672118[[#This Row],[补偿辎重]]&amp;"},"</f>
        <v>{'coin':1000,'item036':10},</v>
      </c>
      <c r="Y30" s="251" t="str">
        <f>"            'to_zone':'"&amp;表1_86121822242672118[[#This Row],[目标区服]]&amp;"',
            'reward':"&amp;表1_86121822242672118[[#This Row],[辅助导出]]&amp;"
            'country':["&amp;R29&amp;","&amp;R30&amp;","&amp;R31&amp;"],"</f>
        <v>            'to_zone':'h1_622',
            'reward':{'coin':1000,'item036':10},
            'country':[0,1,0],</v>
      </c>
    </row>
    <row r="31" s="2" customFormat="1" ht="14.25" customHeight="1" spans="1:25">
      <c r="A31" s="214">
        <v>5298</v>
      </c>
      <c r="B31" s="214">
        <f>VLOOKUP(表1_86121822242672118[[#This Row],[区服]],$P$71:$Q$92,2,FALSE)</f>
        <v>38</v>
      </c>
      <c r="C31" s="293" t="s">
        <v>290</v>
      </c>
      <c r="D31" s="216" t="str">
        <f>表1_86121822242672118[[#This Row],[目标国家]]</f>
        <v>魏</v>
      </c>
      <c r="E31" s="294">
        <f>(VLOOKUP(表1_86121822242672118[[#This Row],[目标区服]],$R$71:$S$77,2,FALSE)-表1_86121822242672118[[#This Row],[开服天数]])*配置!$B$1</f>
        <v>1000</v>
      </c>
      <c r="F31" s="217">
        <f>表1_86121822242672118[[#This Row],[补偿Coin]]*(表1_86121822242672118[[#This Row],[活跃高战玩家数]]+表1_86121822242672118[[#This Row],[活跃中坚玩家数]])</f>
        <v>20000</v>
      </c>
      <c r="G31" s="217">
        <f>(VLOOKUP(表1_86121822242672118[[#This Row],[目标区服]],$R$71:$S$74,2,FALSE)-表1_86121822242672118[[#This Row],[开服天数]])*配置!$B$2</f>
        <v>10</v>
      </c>
      <c r="H31" s="216" t="s">
        <v>27</v>
      </c>
      <c r="I31" s="216">
        <f>IF(表1_86121822242672118[[#This Row],[原国家]]="魏",0,IF(表1_86121822242672118[[#This Row],[原国家]]="蜀",1,2))</f>
        <v>2</v>
      </c>
      <c r="J31" s="234">
        <v>3</v>
      </c>
      <c r="K31" s="234">
        <v>123</v>
      </c>
      <c r="L31" s="234">
        <v>6</v>
      </c>
      <c r="M31" s="234">
        <v>14</v>
      </c>
      <c r="N31" s="234">
        <v>107585</v>
      </c>
      <c r="O31" s="234">
        <v>1904991</v>
      </c>
      <c r="P31" s="234">
        <v>14976333</v>
      </c>
      <c r="Q31" s="247" t="s">
        <v>25</v>
      </c>
      <c r="R31" s="216">
        <f>IF(表1_86121822242672118[[#This Row],[目标国家]]="魏",0,IF(表1_86121822242672118[[#This Row],[目标国家]]="蜀",1,2))</f>
        <v>0</v>
      </c>
      <c r="S31" s="234">
        <v>30146</v>
      </c>
      <c r="T31" s="234">
        <v>0</v>
      </c>
      <c r="U31" s="234">
        <v>323831</v>
      </c>
      <c r="V31" s="234">
        <v>6536</v>
      </c>
      <c r="W31" s="234">
        <v>533617</v>
      </c>
      <c r="X31" s="249" t="str">
        <f>"{"&amp;"'coin':"&amp;表1_86121822242672118[[#This Row],[补偿Coin]]&amp;",'"&amp;配置!$A$2&amp;"':"&amp;表1_86121822242672118[[#This Row],[补偿辎重]]&amp;"},"</f>
        <v>{'coin':1000,'item036':10},</v>
      </c>
      <c r="Y31" s="251" t="str">
        <f>"      },"</f>
        <v>      },</v>
      </c>
    </row>
    <row r="32" s="2" customFormat="1" ht="14.25" customHeight="1" spans="1:25">
      <c r="A32" s="150">
        <v>5299</v>
      </c>
      <c r="B32" s="150">
        <f>VLOOKUP(表1_86121822242672118[[#This Row],[区服]],$P$71:$Q$92,2,FALSE)</f>
        <v>38</v>
      </c>
      <c r="C32" s="151" t="s">
        <v>291</v>
      </c>
      <c r="D32" s="152" t="str">
        <f>表1_86121822242672118[[#This Row],[目标国家]]</f>
        <v>魏</v>
      </c>
      <c r="E32" s="153">
        <f>(VLOOKUP(表1_86121822242672118[[#This Row],[目标区服]],$R$71:$S$77,2,FALSE)-表1_86121822242672118[[#This Row],[开服天数]])*配置!$B$1</f>
        <v>1000</v>
      </c>
      <c r="F32" s="154">
        <f>表1_86121822242672118[[#This Row],[补偿Coin]]*(表1_86121822242672118[[#This Row],[活跃高战玩家数]]+表1_86121822242672118[[#This Row],[活跃中坚玩家数]])</f>
        <v>20000</v>
      </c>
      <c r="G32" s="154">
        <f>(VLOOKUP(表1_86121822242672118[[#This Row],[目标区服]],$R$71:$S$74,2,FALSE)-表1_86121822242672118[[#This Row],[开服天数]])*配置!$B$2</f>
        <v>10</v>
      </c>
      <c r="H32" s="152" t="s">
        <v>25</v>
      </c>
      <c r="I32" s="152">
        <f>IF(表1_86121822242672118[[#This Row],[原国家]]="魏",0,IF(表1_86121822242672118[[#This Row],[原国家]]="蜀",1,2))</f>
        <v>0</v>
      </c>
      <c r="J32" s="191">
        <v>0</v>
      </c>
      <c r="K32" s="191">
        <v>40</v>
      </c>
      <c r="L32" s="191">
        <v>1</v>
      </c>
      <c r="M32" s="191">
        <v>19</v>
      </c>
      <c r="N32" s="191">
        <v>71081</v>
      </c>
      <c r="O32" s="191">
        <v>1173188</v>
      </c>
      <c r="P32" s="191">
        <v>8919136</v>
      </c>
      <c r="Q32" s="193" t="s">
        <v>25</v>
      </c>
      <c r="R32" s="152">
        <f>IF(表1_86121822242672118[[#This Row],[目标国家]]="魏",0,IF(表1_86121822242672118[[#This Row],[目标国家]]="蜀",1,2))</f>
        <v>0</v>
      </c>
      <c r="S32" s="191">
        <v>20916</v>
      </c>
      <c r="T32" s="191">
        <v>0</v>
      </c>
      <c r="U32" s="191">
        <v>240158</v>
      </c>
      <c r="V32" s="191">
        <v>3568</v>
      </c>
      <c r="W32" s="191">
        <v>467145</v>
      </c>
      <c r="X32" s="196" t="str">
        <f>"{"&amp;"'coin':"&amp;表1_86121822242672118[[#This Row],[补偿Coin]]&amp;",'"&amp;配置!$A$2&amp;"':"&amp;表1_86121822242672118[[#This Row],[补偿辎重]]&amp;"},"</f>
        <v>{'coin':1000,'item036':10},</v>
      </c>
      <c r="Y32" s="194" t="str">
        <f>"      '"&amp;表1_86121822242672118[[#This Row],[区服]]&amp;"':{"</f>
        <v>      '5299':{</v>
      </c>
    </row>
    <row r="33" s="2" customFormat="1" ht="14.25" customHeight="1" spans="1:25">
      <c r="A33" s="150">
        <v>5299</v>
      </c>
      <c r="B33" s="150">
        <f>VLOOKUP(表1_86121822242672118[[#This Row],[区服]],$P$71:$Q$92,2,FALSE)</f>
        <v>38</v>
      </c>
      <c r="C33" s="151" t="s">
        <v>291</v>
      </c>
      <c r="D33" s="152" t="str">
        <f>表1_86121822242672118[[#This Row],[目标国家]]</f>
        <v>魏</v>
      </c>
      <c r="E33" s="153">
        <f>(VLOOKUP(表1_86121822242672118[[#This Row],[目标区服]],$R$71:$S$77,2,FALSE)-表1_86121822242672118[[#This Row],[开服天数]])*配置!$B$1</f>
        <v>1000</v>
      </c>
      <c r="F33" s="154">
        <f>表1_86121822242672118[[#This Row],[补偿Coin]]*(表1_86121822242672118[[#This Row],[活跃高战玩家数]]+表1_86121822242672118[[#This Row],[活跃中坚玩家数]])</f>
        <v>19000</v>
      </c>
      <c r="G33" s="154">
        <f>(VLOOKUP(表1_86121822242672118[[#This Row],[目标区服]],$R$71:$S$74,2,FALSE)-表1_86121822242672118[[#This Row],[开服天数]])*配置!$B$2</f>
        <v>10</v>
      </c>
      <c r="H33" s="152" t="s">
        <v>26</v>
      </c>
      <c r="I33" s="152">
        <f>IF(表1_86121822242672118[[#This Row],[原国家]]="魏",0,IF(表1_86121822242672118[[#This Row],[原国家]]="蜀",1,2))</f>
        <v>1</v>
      </c>
      <c r="J33" s="191">
        <v>1</v>
      </c>
      <c r="K33" s="191">
        <v>63</v>
      </c>
      <c r="L33" s="191">
        <v>1</v>
      </c>
      <c r="M33" s="191">
        <v>18</v>
      </c>
      <c r="N33" s="191">
        <v>59276</v>
      </c>
      <c r="O33" s="191">
        <v>1120839</v>
      </c>
      <c r="P33" s="191">
        <v>7809291</v>
      </c>
      <c r="Q33" s="193" t="s">
        <v>25</v>
      </c>
      <c r="R33" s="152">
        <f>IF(表1_86121822242672118[[#This Row],[目标国家]]="魏",0,IF(表1_86121822242672118[[#This Row],[目标国家]]="蜀",1,2))</f>
        <v>0</v>
      </c>
      <c r="S33" s="191">
        <v>12894</v>
      </c>
      <c r="T33" s="191">
        <v>0</v>
      </c>
      <c r="U33" s="191">
        <v>41288</v>
      </c>
      <c r="V33" s="191">
        <v>3335</v>
      </c>
      <c r="W33" s="191">
        <v>378193</v>
      </c>
      <c r="X33" s="196" t="str">
        <f>"{"&amp;"'coin':"&amp;表1_86121822242672118[[#This Row],[补偿Coin]]&amp;",'"&amp;配置!$A$2&amp;"':"&amp;表1_86121822242672118[[#This Row],[补偿辎重]]&amp;"},"</f>
        <v>{'coin':1000,'item036':10},</v>
      </c>
      <c r="Y33" s="194" t="str">
        <f>"            'to_zone':'"&amp;表1_86121822242672118[[#This Row],[目标区服]]&amp;"',
            'reward':"&amp;表1_86121822242672118[[#This Row],[辅助导出]]&amp;"
            'country':["&amp;R32&amp;","&amp;R33&amp;","&amp;R34&amp;"],"</f>
        <v>            'to_zone':'h1_623',
            'reward':{'coin':1000,'item036':10},
            'country':[0,0,2],</v>
      </c>
    </row>
    <row r="34" s="2" customFormat="1" ht="14.25" customHeight="1" spans="1:25">
      <c r="A34" s="150">
        <v>5299</v>
      </c>
      <c r="B34" s="150">
        <f>VLOOKUP(表1_86121822242672118[[#This Row],[区服]],$P$71:$Q$92,2,FALSE)</f>
        <v>38</v>
      </c>
      <c r="C34" s="151" t="s">
        <v>291</v>
      </c>
      <c r="D34" s="152" t="str">
        <f>表1_86121822242672118[[#This Row],[目标国家]]</f>
        <v>吴</v>
      </c>
      <c r="E34" s="153">
        <f>(VLOOKUP(表1_86121822242672118[[#This Row],[目标区服]],$R$71:$S$77,2,FALSE)-表1_86121822242672118[[#This Row],[开服天数]])*配置!$B$1</f>
        <v>1000</v>
      </c>
      <c r="F34" s="154">
        <f>表1_86121822242672118[[#This Row],[补偿Coin]]*(表1_86121822242672118[[#This Row],[活跃高战玩家数]]+表1_86121822242672118[[#This Row],[活跃中坚玩家数]])</f>
        <v>27000</v>
      </c>
      <c r="G34" s="154">
        <f>(VLOOKUP(表1_86121822242672118[[#This Row],[目标区服]],$R$71:$S$74,2,FALSE)-表1_86121822242672118[[#This Row],[开服天数]])*配置!$B$2</f>
        <v>10</v>
      </c>
      <c r="H34" s="152" t="s">
        <v>27</v>
      </c>
      <c r="I34" s="152">
        <f>IF(表1_86121822242672118[[#This Row],[原国家]]="魏",0,IF(表1_86121822242672118[[#This Row],[原国家]]="蜀",1,2))</f>
        <v>2</v>
      </c>
      <c r="J34" s="191">
        <v>8</v>
      </c>
      <c r="K34" s="191">
        <v>292</v>
      </c>
      <c r="L34" s="191">
        <v>8</v>
      </c>
      <c r="M34" s="191">
        <v>19</v>
      </c>
      <c r="N34" s="191">
        <v>154491</v>
      </c>
      <c r="O34" s="191">
        <v>2744110</v>
      </c>
      <c r="P34" s="191">
        <v>20561880</v>
      </c>
      <c r="Q34" s="193" t="s">
        <v>27</v>
      </c>
      <c r="R34" s="152">
        <f>IF(表1_86121822242672118[[#This Row],[目标国家]]="魏",0,IF(表1_86121822242672118[[#This Row],[目标国家]]="蜀",1,2))</f>
        <v>2</v>
      </c>
      <c r="S34" s="191">
        <v>60348</v>
      </c>
      <c r="T34" s="191">
        <v>0</v>
      </c>
      <c r="U34" s="191">
        <v>405557</v>
      </c>
      <c r="V34" s="191">
        <v>11305</v>
      </c>
      <c r="W34" s="191">
        <v>850094</v>
      </c>
      <c r="X34" s="196" t="str">
        <f>"{"&amp;"'coin':"&amp;表1_86121822242672118[[#This Row],[补偿Coin]]&amp;",'"&amp;配置!$A$2&amp;"':"&amp;表1_86121822242672118[[#This Row],[补偿辎重]]&amp;"},"</f>
        <v>{'coin':1000,'item036':10},</v>
      </c>
      <c r="Y34" s="194" t="str">
        <f>"      },"</f>
        <v>      },</v>
      </c>
    </row>
    <row r="35" s="2" customFormat="1" ht="14.25" customHeight="1" spans="1:25">
      <c r="A35" s="150">
        <v>5300</v>
      </c>
      <c r="B35" s="150">
        <f>VLOOKUP(表1_86121822242672118[[#This Row],[区服]],$P$71:$Q$92,2,FALSE)</f>
        <v>38</v>
      </c>
      <c r="C35" s="151" t="s">
        <v>291</v>
      </c>
      <c r="D35" s="152" t="str">
        <f>表1_86121822242672118[[#This Row],[目标国家]]</f>
        <v>吴</v>
      </c>
      <c r="E35" s="153">
        <f>(VLOOKUP(表1_86121822242672118[[#This Row],[目标区服]],$R$71:$S$77,2,FALSE)-表1_86121822242672118[[#This Row],[开服天数]])*配置!$B$1</f>
        <v>1000</v>
      </c>
      <c r="F35" s="154">
        <f>表1_86121822242672118[[#This Row],[补偿Coin]]*(表1_86121822242672118[[#This Row],[活跃高战玩家数]]+表1_86121822242672118[[#This Row],[活跃中坚玩家数]])</f>
        <v>13000</v>
      </c>
      <c r="G35" s="154">
        <f>(VLOOKUP(表1_86121822242672118[[#This Row],[目标区服]],$R$71:$S$74,2,FALSE)-表1_86121822242672118[[#This Row],[开服天数]])*配置!$B$2</f>
        <v>10</v>
      </c>
      <c r="H35" s="152" t="s">
        <v>25</v>
      </c>
      <c r="I35" s="152">
        <f>IF(表1_86121822242672118[[#This Row],[原国家]]="魏",0,IF(表1_86121822242672118[[#This Row],[原国家]]="蜀",1,2))</f>
        <v>0</v>
      </c>
      <c r="J35" s="191">
        <v>0</v>
      </c>
      <c r="K35" s="191">
        <v>30</v>
      </c>
      <c r="L35" s="191">
        <v>1</v>
      </c>
      <c r="M35" s="191">
        <v>12</v>
      </c>
      <c r="N35" s="191">
        <v>30615</v>
      </c>
      <c r="O35" s="191">
        <v>1375252</v>
      </c>
      <c r="P35" s="191">
        <v>6733429</v>
      </c>
      <c r="Q35" s="193" t="s">
        <v>27</v>
      </c>
      <c r="R35" s="152">
        <f>IF(表1_86121822242672118[[#This Row],[目标国家]]="魏",0,IF(表1_86121822242672118[[#This Row],[目标国家]]="蜀",1,2))</f>
        <v>2</v>
      </c>
      <c r="S35" s="191">
        <v>5928</v>
      </c>
      <c r="T35" s="191">
        <v>0</v>
      </c>
      <c r="U35" s="191">
        <v>106394</v>
      </c>
      <c r="V35" s="191">
        <v>2732</v>
      </c>
      <c r="W35" s="191">
        <v>578373</v>
      </c>
      <c r="X35" s="196" t="str">
        <f>"{"&amp;"'coin':"&amp;表1_86121822242672118[[#This Row],[补偿Coin]]&amp;",'"&amp;配置!$A$2&amp;"':"&amp;表1_86121822242672118[[#This Row],[补偿辎重]]&amp;"},"</f>
        <v>{'coin':1000,'item036':10},</v>
      </c>
      <c r="Y35" s="194" t="str">
        <f>"      '"&amp;表1_86121822242672118[[#This Row],[区服]]&amp;"':{"</f>
        <v>      '5300':{</v>
      </c>
    </row>
    <row r="36" s="2" customFormat="1" ht="14.25" customHeight="1" spans="1:25">
      <c r="A36" s="150">
        <v>5300</v>
      </c>
      <c r="B36" s="150">
        <f>VLOOKUP(表1_86121822242672118[[#This Row],[区服]],$P$71:$Q$92,2,FALSE)</f>
        <v>38</v>
      </c>
      <c r="C36" s="151" t="s">
        <v>291</v>
      </c>
      <c r="D36" s="152" t="str">
        <f>表1_86121822242672118[[#This Row],[目标国家]]</f>
        <v>蜀</v>
      </c>
      <c r="E36" s="153">
        <f>(VLOOKUP(表1_86121822242672118[[#This Row],[目标区服]],$R$71:$S$77,2,FALSE)-表1_86121822242672118[[#This Row],[开服天数]])*配置!$B$1</f>
        <v>1000</v>
      </c>
      <c r="F36" s="154">
        <f>表1_86121822242672118[[#This Row],[补偿Coin]]*(表1_86121822242672118[[#This Row],[活跃高战玩家数]]+表1_86121822242672118[[#This Row],[活跃中坚玩家数]])</f>
        <v>39000</v>
      </c>
      <c r="G36" s="154">
        <f>(VLOOKUP(表1_86121822242672118[[#This Row],[目标区服]],$R$71:$S$74,2,FALSE)-表1_86121822242672118[[#This Row],[开服天数]])*配置!$B$2</f>
        <v>10</v>
      </c>
      <c r="H36" s="152" t="s">
        <v>26</v>
      </c>
      <c r="I36" s="152">
        <f>IF(表1_86121822242672118[[#This Row],[原国家]]="魏",0,IF(表1_86121822242672118[[#This Row],[原国家]]="蜀",1,2))</f>
        <v>1</v>
      </c>
      <c r="J36" s="191">
        <v>7</v>
      </c>
      <c r="K36" s="191">
        <v>283</v>
      </c>
      <c r="L36" s="191">
        <v>8</v>
      </c>
      <c r="M36" s="191">
        <v>31</v>
      </c>
      <c r="N36" s="191">
        <v>182264</v>
      </c>
      <c r="O36" s="191">
        <v>2445131</v>
      </c>
      <c r="P36" s="191">
        <v>29629752</v>
      </c>
      <c r="Q36" s="193" t="s">
        <v>26</v>
      </c>
      <c r="R36" s="152">
        <f>IF(表1_86121822242672118[[#This Row],[目标国家]]="魏",0,IF(表1_86121822242672118[[#This Row],[目标国家]]="蜀",1,2))</f>
        <v>1</v>
      </c>
      <c r="S36" s="191">
        <v>110944</v>
      </c>
      <c r="T36" s="191">
        <v>0</v>
      </c>
      <c r="U36" s="191">
        <v>848534</v>
      </c>
      <c r="V36" s="191">
        <v>13602</v>
      </c>
      <c r="W36" s="191">
        <v>652357</v>
      </c>
      <c r="X36" s="196" t="str">
        <f>"{"&amp;"'coin':"&amp;表1_86121822242672118[[#This Row],[补偿Coin]]&amp;",'"&amp;配置!$A$2&amp;"':"&amp;表1_86121822242672118[[#This Row],[补偿辎重]]&amp;"},"</f>
        <v>{'coin':1000,'item036':10},</v>
      </c>
      <c r="Y36" s="194" t="str">
        <f>"            'to_zone':'"&amp;表1_86121822242672118[[#This Row],[目标区服]]&amp;"',
            'reward':"&amp;表1_86121822242672118[[#This Row],[辅助导出]]&amp;"
            'country':["&amp;R35&amp;","&amp;R36&amp;","&amp;R37&amp;"],"</f>
        <v>            'to_zone':'h1_623',
            'reward':{'coin':1000,'item036':10},
            'country':[2,1,1],</v>
      </c>
    </row>
    <row r="37" s="2" customFormat="1" ht="14.25" customHeight="1" spans="1:25">
      <c r="A37" s="150">
        <v>5300</v>
      </c>
      <c r="B37" s="150">
        <f>VLOOKUP(表1_86121822242672118[[#This Row],[区服]],$P$71:$Q$92,2,FALSE)</f>
        <v>38</v>
      </c>
      <c r="C37" s="151" t="s">
        <v>291</v>
      </c>
      <c r="D37" s="152" t="str">
        <f>表1_86121822242672118[[#This Row],[目标国家]]</f>
        <v>蜀</v>
      </c>
      <c r="E37" s="153">
        <f>(VLOOKUP(表1_86121822242672118[[#This Row],[目标区服]],$R$71:$S$77,2,FALSE)-表1_86121822242672118[[#This Row],[开服天数]])*配置!$B$1</f>
        <v>1000</v>
      </c>
      <c r="F37" s="154">
        <f>表1_86121822242672118[[#This Row],[补偿Coin]]*(表1_86121822242672118[[#This Row],[活跃高战玩家数]]+表1_86121822242672118[[#This Row],[活跃中坚玩家数]])</f>
        <v>20000</v>
      </c>
      <c r="G37" s="154">
        <f>(VLOOKUP(表1_86121822242672118[[#This Row],[目标区服]],$R$71:$S$74,2,FALSE)-表1_86121822242672118[[#This Row],[开服天数]])*配置!$B$2</f>
        <v>10</v>
      </c>
      <c r="H37" s="152" t="s">
        <v>27</v>
      </c>
      <c r="I37" s="152">
        <f>IF(表1_86121822242672118[[#This Row],[原国家]]="魏",0,IF(表1_86121822242672118[[#This Row],[原国家]]="蜀",1,2))</f>
        <v>2</v>
      </c>
      <c r="J37" s="191">
        <v>2</v>
      </c>
      <c r="K37" s="191">
        <v>82</v>
      </c>
      <c r="L37" s="191">
        <v>1</v>
      </c>
      <c r="M37" s="191">
        <v>19</v>
      </c>
      <c r="N37" s="191">
        <v>83052</v>
      </c>
      <c r="O37" s="191">
        <v>1392000</v>
      </c>
      <c r="P37" s="191">
        <v>12831812</v>
      </c>
      <c r="Q37" s="193" t="s">
        <v>26</v>
      </c>
      <c r="R37" s="152">
        <f>IF(表1_86121822242672118[[#This Row],[目标国家]]="魏",0,IF(表1_86121822242672118[[#This Row],[目标国家]]="蜀",1,2))</f>
        <v>1</v>
      </c>
      <c r="S37" s="191">
        <v>6590</v>
      </c>
      <c r="T37" s="191">
        <v>0</v>
      </c>
      <c r="U37" s="191">
        <v>171513</v>
      </c>
      <c r="V37" s="191">
        <v>4393</v>
      </c>
      <c r="W37" s="191">
        <v>427575</v>
      </c>
      <c r="X37" s="196" t="str">
        <f>"{"&amp;"'coin':"&amp;表1_86121822242672118[[#This Row],[补偿Coin]]&amp;",'"&amp;配置!$A$2&amp;"':"&amp;表1_86121822242672118[[#This Row],[补偿辎重]]&amp;"},"</f>
        <v>{'coin':1000,'item036':10},</v>
      </c>
      <c r="Y37" s="194" t="str">
        <f>"      },"</f>
        <v>      },</v>
      </c>
    </row>
    <row r="38" s="2" customFormat="1" ht="14.25" customHeight="1" spans="1:25">
      <c r="A38" s="150">
        <v>5301</v>
      </c>
      <c r="B38" s="150">
        <f>VLOOKUP(表1_86121822242672118[[#This Row],[区服]],$P$71:$Q$92,2,FALSE)</f>
        <v>38</v>
      </c>
      <c r="C38" s="151" t="s">
        <v>291</v>
      </c>
      <c r="D38" s="152" t="str">
        <f>表1_86121822242672118[[#This Row],[目标国家]]</f>
        <v>蜀</v>
      </c>
      <c r="E38" s="153">
        <f>(VLOOKUP(表1_86121822242672118[[#This Row],[目标区服]],$R$71:$S$77,2,FALSE)-表1_86121822242672118[[#This Row],[开服天数]])*配置!$B$1</f>
        <v>1000</v>
      </c>
      <c r="F38" s="154">
        <f>表1_86121822242672118[[#This Row],[补偿Coin]]*(表1_86121822242672118[[#This Row],[活跃高战玩家数]]+表1_86121822242672118[[#This Row],[活跃中坚玩家数]])</f>
        <v>8000</v>
      </c>
      <c r="G38" s="154">
        <f>(VLOOKUP(表1_86121822242672118[[#This Row],[目标区服]],$R$71:$S$74,2,FALSE)-表1_86121822242672118[[#This Row],[开服天数]])*配置!$B$2</f>
        <v>10</v>
      </c>
      <c r="H38" s="152" t="s">
        <v>25</v>
      </c>
      <c r="I38" s="152">
        <f>IF(表1_86121822242672118[[#This Row],[原国家]]="魏",0,IF(表1_86121822242672118[[#This Row],[原国家]]="蜀",1,2))</f>
        <v>0</v>
      </c>
      <c r="J38" s="191">
        <v>0</v>
      </c>
      <c r="K38" s="191">
        <v>26</v>
      </c>
      <c r="L38" s="191">
        <v>1</v>
      </c>
      <c r="M38" s="191">
        <v>7</v>
      </c>
      <c r="N38" s="191">
        <v>35932</v>
      </c>
      <c r="O38" s="191">
        <v>933480</v>
      </c>
      <c r="P38" s="191">
        <v>4188710</v>
      </c>
      <c r="Q38" s="193" t="s">
        <v>26</v>
      </c>
      <c r="R38" s="152">
        <f>IF(表1_86121822242672118[[#This Row],[目标国家]]="魏",0,IF(表1_86121822242672118[[#This Row],[目标国家]]="蜀",1,2))</f>
        <v>1</v>
      </c>
      <c r="S38" s="191">
        <v>858</v>
      </c>
      <c r="T38" s="191">
        <v>0</v>
      </c>
      <c r="U38" s="191">
        <v>93713</v>
      </c>
      <c r="V38" s="191">
        <v>1864</v>
      </c>
      <c r="W38" s="191">
        <v>265880</v>
      </c>
      <c r="X38" s="196" t="str">
        <f>"{"&amp;"'coin':"&amp;表1_86121822242672118[[#This Row],[补偿Coin]]&amp;",'"&amp;配置!$A$2&amp;"':"&amp;表1_86121822242672118[[#This Row],[补偿辎重]]&amp;"},"</f>
        <v>{'coin':1000,'item036':10},</v>
      </c>
      <c r="Y38" s="194" t="str">
        <f>"      '"&amp;表1_86121822242672118[[#This Row],[区服]]&amp;"':{"</f>
        <v>      '5301':{</v>
      </c>
    </row>
    <row r="39" s="2" customFormat="1" ht="14.25" customHeight="1" spans="1:25">
      <c r="A39" s="150">
        <v>5301</v>
      </c>
      <c r="B39" s="150">
        <f>VLOOKUP(表1_86121822242672118[[#This Row],[区服]],$P$71:$Q$92,2,FALSE)</f>
        <v>38</v>
      </c>
      <c r="C39" s="151" t="s">
        <v>291</v>
      </c>
      <c r="D39" s="152" t="str">
        <f>表1_86121822242672118[[#This Row],[目标国家]]</f>
        <v>魏</v>
      </c>
      <c r="E39" s="153">
        <f>(VLOOKUP(表1_86121822242672118[[#This Row],[目标区服]],$R$71:$S$77,2,FALSE)-表1_86121822242672118[[#This Row],[开服天数]])*配置!$B$1</f>
        <v>1000</v>
      </c>
      <c r="F39" s="154">
        <f>表1_86121822242672118[[#This Row],[补偿Coin]]*(表1_86121822242672118[[#This Row],[活跃高战玩家数]]+表1_86121822242672118[[#This Row],[活跃中坚玩家数]])</f>
        <v>25000</v>
      </c>
      <c r="G39" s="154">
        <f>(VLOOKUP(表1_86121822242672118[[#This Row],[目标区服]],$R$71:$S$74,2,FALSE)-表1_86121822242672118[[#This Row],[开服天数]])*配置!$B$2</f>
        <v>10</v>
      </c>
      <c r="H39" s="152" t="s">
        <v>26</v>
      </c>
      <c r="I39" s="152">
        <f>IF(表1_86121822242672118[[#This Row],[原国家]]="魏",0,IF(表1_86121822242672118[[#This Row],[原国家]]="蜀",1,2))</f>
        <v>1</v>
      </c>
      <c r="J39" s="191">
        <v>7</v>
      </c>
      <c r="K39" s="191">
        <v>297</v>
      </c>
      <c r="L39" s="191">
        <v>5</v>
      </c>
      <c r="M39" s="191">
        <v>20</v>
      </c>
      <c r="N39" s="191">
        <v>143902</v>
      </c>
      <c r="O39" s="191">
        <v>2989336</v>
      </c>
      <c r="P39" s="191">
        <v>20526442</v>
      </c>
      <c r="Q39" s="193" t="s">
        <v>25</v>
      </c>
      <c r="R39" s="152">
        <f>IF(表1_86121822242672118[[#This Row],[目标国家]]="魏",0,IF(表1_86121822242672118[[#This Row],[目标国家]]="蜀",1,2))</f>
        <v>0</v>
      </c>
      <c r="S39" s="191">
        <v>72026</v>
      </c>
      <c r="T39" s="191">
        <v>0</v>
      </c>
      <c r="U39" s="191">
        <v>474141</v>
      </c>
      <c r="V39" s="191">
        <v>11829</v>
      </c>
      <c r="W39" s="191">
        <v>832887</v>
      </c>
      <c r="X39" s="196" t="str">
        <f>"{"&amp;"'coin':"&amp;表1_86121822242672118[[#This Row],[补偿Coin]]&amp;",'"&amp;配置!$A$2&amp;"':"&amp;表1_86121822242672118[[#This Row],[补偿辎重]]&amp;"},"</f>
        <v>{'coin':1000,'item036':10},</v>
      </c>
      <c r="Y39" s="194" t="str">
        <f>"            'to_zone':'"&amp;表1_86121822242672118[[#This Row],[目标区服]]&amp;"',
            'reward':"&amp;表1_86121822242672118[[#This Row],[辅助导出]]&amp;"
            'country':["&amp;R38&amp;","&amp;R39&amp;","&amp;R40&amp;"],"</f>
        <v>            'to_zone':'h1_623',
            'reward':{'coin':1000,'item036':10},
            'country':[1,0,2],</v>
      </c>
    </row>
    <row r="40" s="2" customFormat="1" ht="14.25" customHeight="1" spans="1:25">
      <c r="A40" s="150">
        <v>5301</v>
      </c>
      <c r="B40" s="150">
        <f>VLOOKUP(表1_86121822242672118[[#This Row],[区服]],$P$71:$Q$92,2,FALSE)</f>
        <v>38</v>
      </c>
      <c r="C40" s="151" t="s">
        <v>291</v>
      </c>
      <c r="D40" s="152" t="str">
        <f>表1_86121822242672118[[#This Row],[目标国家]]</f>
        <v>吴</v>
      </c>
      <c r="E40" s="153">
        <f>(VLOOKUP(表1_86121822242672118[[#This Row],[目标区服]],$R$71:$S$77,2,FALSE)-表1_86121822242672118[[#This Row],[开服天数]])*配置!$B$1</f>
        <v>1000</v>
      </c>
      <c r="F40" s="154">
        <f>表1_86121822242672118[[#This Row],[补偿Coin]]*(表1_86121822242672118[[#This Row],[活跃高战玩家数]]+表1_86121822242672118[[#This Row],[活跃中坚玩家数]])</f>
        <v>29000</v>
      </c>
      <c r="G40" s="154">
        <f>(VLOOKUP(表1_86121822242672118[[#This Row],[目标区服]],$R$71:$S$77,2,FALSE)-表1_86121822242672118[[#This Row],[开服天数]])*配置!$B$2</f>
        <v>10</v>
      </c>
      <c r="H40" s="152" t="s">
        <v>27</v>
      </c>
      <c r="I40" s="152">
        <f>IF(表1_86121822242672118[[#This Row],[原国家]]="魏",0,IF(表1_86121822242672118[[#This Row],[原国家]]="蜀",1,2))</f>
        <v>2</v>
      </c>
      <c r="J40" s="191">
        <v>2</v>
      </c>
      <c r="K40" s="191">
        <v>72</v>
      </c>
      <c r="L40" s="191">
        <v>4</v>
      </c>
      <c r="M40" s="191">
        <v>25</v>
      </c>
      <c r="N40" s="191">
        <v>119849</v>
      </c>
      <c r="O40" s="191">
        <v>1441962</v>
      </c>
      <c r="P40" s="191">
        <v>15552463</v>
      </c>
      <c r="Q40" s="193" t="s">
        <v>27</v>
      </c>
      <c r="R40" s="152">
        <f>IF(表1_86121822242672118[[#This Row],[目标国家]]="魏",0,IF(表1_86121822242672118[[#This Row],[目标国家]]="蜀",1,2))</f>
        <v>2</v>
      </c>
      <c r="S40" s="191">
        <v>35750</v>
      </c>
      <c r="T40" s="191">
        <v>0</v>
      </c>
      <c r="U40" s="191">
        <v>215610</v>
      </c>
      <c r="V40" s="191">
        <v>5696</v>
      </c>
      <c r="W40" s="191">
        <v>406266</v>
      </c>
      <c r="X40" s="196" t="str">
        <f>"{"&amp;"'coin':"&amp;表1_86121822242672118[[#This Row],[补偿Coin]]&amp;",'"&amp;配置!$A$2&amp;"':"&amp;表1_86121822242672118[[#This Row],[补偿辎重]]&amp;"},"</f>
        <v>{'coin':1000,'item036':10},</v>
      </c>
      <c r="Y40" s="194" t="str">
        <f>"      },"</f>
        <v>      },</v>
      </c>
    </row>
    <row r="41" s="2" customFormat="1" ht="14.25" customHeight="1" spans="1:25">
      <c r="A41" s="86">
        <v>5302</v>
      </c>
      <c r="B41" s="86">
        <f>VLOOKUP(表1_86121822242672118[[#This Row],[区服]],$P$71:$Q$92,2,FALSE)</f>
        <v>37</v>
      </c>
      <c r="C41" s="87" t="s">
        <v>292</v>
      </c>
      <c r="D41" s="88" t="str">
        <f>表1_86121822242672118[[#This Row],[目标国家]]</f>
        <v>魏</v>
      </c>
      <c r="E41" s="295">
        <f>(VLOOKUP(表1_86121822242672118[[#This Row],[目标区服]],$R$71:$S$77,2,FALSE)-表1_86121822242672118[[#This Row],[开服天数]])*配置!$B$1</f>
        <v>1000</v>
      </c>
      <c r="F41" s="90">
        <f>表1_86121822242672118[[#This Row],[补偿Coin]]*(表1_86121822242672118[[#This Row],[活跃高战玩家数]]+表1_86121822242672118[[#This Row],[活跃中坚玩家数]])</f>
        <v>15000</v>
      </c>
      <c r="G41" s="90">
        <f>(VLOOKUP(表1_86121822242672118[[#This Row],[目标区服]],$R$71:$S$77,2,FALSE)-表1_86121822242672118[[#This Row],[开服天数]])*配置!$B$2</f>
        <v>10</v>
      </c>
      <c r="H41" s="88" t="s">
        <v>25</v>
      </c>
      <c r="I41" s="88">
        <f>IF(表1_86121822242672118[[#This Row],[原国家]]="魏",0,IF(表1_86121822242672118[[#This Row],[原国家]]="蜀",1,2))</f>
        <v>0</v>
      </c>
      <c r="J41" s="108">
        <v>0</v>
      </c>
      <c r="K41" s="108">
        <v>27</v>
      </c>
      <c r="L41" s="108">
        <v>1</v>
      </c>
      <c r="M41" s="108">
        <v>14</v>
      </c>
      <c r="N41" s="108">
        <v>34145</v>
      </c>
      <c r="O41" s="108">
        <v>1037611</v>
      </c>
      <c r="P41" s="108">
        <v>7125545</v>
      </c>
      <c r="Q41" s="132" t="s">
        <v>25</v>
      </c>
      <c r="R41" s="88">
        <f>IF(表1_86121822242672118[[#This Row],[目标国家]]="魏",0,IF(表1_86121822242672118[[#This Row],[目标国家]]="蜀",1,2))</f>
        <v>0</v>
      </c>
      <c r="S41" s="108">
        <v>17604</v>
      </c>
      <c r="T41" s="108">
        <v>0</v>
      </c>
      <c r="U41" s="108">
        <v>118949</v>
      </c>
      <c r="V41" s="108">
        <v>2778</v>
      </c>
      <c r="W41" s="108">
        <v>889874</v>
      </c>
      <c r="X41" s="134" t="str">
        <f>"{"&amp;"'coin':"&amp;表1_86121822242672118[[#This Row],[补偿Coin]]&amp;",'"&amp;配置!$A$2&amp;"':"&amp;表1_86121822242672118[[#This Row],[补偿辎重]]&amp;"},"</f>
        <v>{'coin':1000,'item036':10},</v>
      </c>
      <c r="Y41" s="136" t="str">
        <f>"      '"&amp;表1_86121822242672118[[#This Row],[区服]]&amp;"':{"</f>
        <v>      '5302':{</v>
      </c>
    </row>
    <row r="42" s="2" customFormat="1" ht="14.25" customHeight="1" spans="1:25">
      <c r="A42" s="86">
        <v>5302</v>
      </c>
      <c r="B42" s="86">
        <f>VLOOKUP(表1_86121822242672118[[#This Row],[区服]],$P$71:$Q$92,2,FALSE)</f>
        <v>37</v>
      </c>
      <c r="C42" s="87" t="s">
        <v>292</v>
      </c>
      <c r="D42" s="88" t="str">
        <f>表1_86121822242672118[[#This Row],[目标国家]]</f>
        <v>魏</v>
      </c>
      <c r="E42" s="295">
        <f>(VLOOKUP(表1_86121822242672118[[#This Row],[目标区服]],$R$71:$S$77,2,FALSE)-表1_86121822242672118[[#This Row],[开服天数]])*配置!$B$1</f>
        <v>1000</v>
      </c>
      <c r="F42" s="90">
        <f>表1_86121822242672118[[#This Row],[补偿Coin]]*(表1_86121822242672118[[#This Row],[活跃高战玩家数]]+表1_86121822242672118[[#This Row],[活跃中坚玩家数]])</f>
        <v>41000</v>
      </c>
      <c r="G42" s="90">
        <f>(VLOOKUP(表1_86121822242672118[[#This Row],[目标区服]],$R$71:$S$77,2,FALSE)-表1_86121822242672118[[#This Row],[开服天数]])*配置!$B$2</f>
        <v>10</v>
      </c>
      <c r="H42" s="88" t="s">
        <v>26</v>
      </c>
      <c r="I42" s="88">
        <f>IF(表1_86121822242672118[[#This Row],[原国家]]="魏",0,IF(表1_86121822242672118[[#This Row],[原国家]]="蜀",1,2))</f>
        <v>1</v>
      </c>
      <c r="J42" s="108">
        <v>7</v>
      </c>
      <c r="K42" s="108">
        <v>301</v>
      </c>
      <c r="L42" s="108">
        <v>7</v>
      </c>
      <c r="M42" s="108">
        <v>34</v>
      </c>
      <c r="N42" s="108">
        <v>191071</v>
      </c>
      <c r="O42" s="108">
        <v>3645071</v>
      </c>
      <c r="P42" s="108">
        <v>33458416</v>
      </c>
      <c r="Q42" s="132" t="s">
        <v>25</v>
      </c>
      <c r="R42" s="88">
        <f>IF(表1_86121822242672118[[#This Row],[目标国家]]="魏",0,IF(表1_86121822242672118[[#This Row],[目标国家]]="蜀",1,2))</f>
        <v>0</v>
      </c>
      <c r="S42" s="108">
        <v>167420</v>
      </c>
      <c r="T42" s="108">
        <v>0</v>
      </c>
      <c r="U42" s="108">
        <v>790176</v>
      </c>
      <c r="V42" s="108">
        <v>17073</v>
      </c>
      <c r="W42" s="108">
        <v>1001217</v>
      </c>
      <c r="X42" s="134" t="str">
        <f>"{"&amp;"'coin':"&amp;表1_86121822242672118[[#This Row],[补偿Coin]]&amp;",'"&amp;配置!$A$2&amp;"':"&amp;表1_86121822242672118[[#This Row],[补偿辎重]]&amp;"},"</f>
        <v>{'coin':1000,'item036':10},</v>
      </c>
      <c r="Y42" s="136" t="str">
        <f>"            'to_zone':'"&amp;表1_86121822242672118[[#This Row],[目标区服]]&amp;"',
            'reward':"&amp;表1_86121822242672118[[#This Row],[辅助导出]]&amp;"
            'country':["&amp;R41&amp;","&amp;R42&amp;","&amp;R43&amp;"],"</f>
        <v>            'to_zone':'h1_624',
            'reward':{'coin':1000,'item036':10},
            'country':[0,0,2],</v>
      </c>
    </row>
    <row r="43" s="2" customFormat="1" ht="14.25" customHeight="1" spans="1:25">
      <c r="A43" s="86">
        <v>5302</v>
      </c>
      <c r="B43" s="86">
        <f>VLOOKUP(表1_86121822242672118[[#This Row],[区服]],$P$71:$Q$92,2,FALSE)</f>
        <v>37</v>
      </c>
      <c r="C43" s="87" t="s">
        <v>292</v>
      </c>
      <c r="D43" s="88" t="str">
        <f>表1_86121822242672118[[#This Row],[目标国家]]</f>
        <v>吴</v>
      </c>
      <c r="E43" s="295">
        <f>(VLOOKUP(表1_86121822242672118[[#This Row],[目标区服]],$R$71:$S$77,2,FALSE)-表1_86121822242672118[[#This Row],[开服天数]])*配置!$B$1</f>
        <v>1000</v>
      </c>
      <c r="F43" s="90">
        <f>表1_86121822242672118[[#This Row],[补偿Coin]]*(表1_86121822242672118[[#This Row],[活跃高战玩家数]]+表1_86121822242672118[[#This Row],[活跃中坚玩家数]])</f>
        <v>23000</v>
      </c>
      <c r="G43" s="90">
        <f>(VLOOKUP(表1_86121822242672118[[#This Row],[目标区服]],$R$71:$S$77,2,FALSE)-表1_86121822242672118[[#This Row],[开服天数]])*配置!$B$2</f>
        <v>10</v>
      </c>
      <c r="H43" s="88" t="s">
        <v>27</v>
      </c>
      <c r="I43" s="88">
        <f>IF(表1_86121822242672118[[#This Row],[原国家]]="魏",0,IF(表1_86121822242672118[[#This Row],[原国家]]="蜀",1,2))</f>
        <v>2</v>
      </c>
      <c r="J43" s="108">
        <v>2</v>
      </c>
      <c r="K43" s="108">
        <v>67</v>
      </c>
      <c r="L43" s="108">
        <v>1</v>
      </c>
      <c r="M43" s="108">
        <v>22</v>
      </c>
      <c r="N43" s="108">
        <v>74751</v>
      </c>
      <c r="O43" s="108">
        <v>1520065</v>
      </c>
      <c r="P43" s="108">
        <v>12922053</v>
      </c>
      <c r="Q43" s="132" t="s">
        <v>27</v>
      </c>
      <c r="R43" s="88">
        <f>IF(表1_86121822242672118[[#This Row],[目标国家]]="魏",0,IF(表1_86121822242672118[[#This Row],[目标国家]]="蜀",1,2))</f>
        <v>2</v>
      </c>
      <c r="S43" s="108">
        <v>25330</v>
      </c>
      <c r="T43" s="108">
        <v>0</v>
      </c>
      <c r="U43" s="108">
        <v>229181</v>
      </c>
      <c r="V43" s="108">
        <v>4930</v>
      </c>
      <c r="W43" s="108">
        <v>600885</v>
      </c>
      <c r="X43" s="134" t="str">
        <f>"{"&amp;"'coin':"&amp;表1_86121822242672118[[#This Row],[补偿Coin]]&amp;",'"&amp;配置!$A$2&amp;"':"&amp;表1_86121822242672118[[#This Row],[补偿辎重]]&amp;"},"</f>
        <v>{'coin':1000,'item036':10},</v>
      </c>
      <c r="Y43" s="136" t="str">
        <f>"      },"</f>
        <v>      },</v>
      </c>
    </row>
    <row r="44" ht="14.25" customHeight="1" spans="1:25">
      <c r="A44" s="86">
        <v>5303</v>
      </c>
      <c r="B44" s="86">
        <f>VLOOKUP(表1_86121822242672118[[#This Row],[区服]],$P$71:$Q$92,2,FALSE)</f>
        <v>37</v>
      </c>
      <c r="C44" s="87" t="s">
        <v>292</v>
      </c>
      <c r="D44" s="88" t="str">
        <f>表1_86121822242672118[[#This Row],[目标国家]]</f>
        <v>魏</v>
      </c>
      <c r="E44" s="295">
        <f>(VLOOKUP(表1_86121822242672118[[#This Row],[目标区服]],$R$71:$S$77,2,FALSE)-表1_86121822242672118[[#This Row],[开服天数]])*配置!$B$1</f>
        <v>1000</v>
      </c>
      <c r="F44" s="90">
        <f>表1_86121822242672118[[#This Row],[补偿Coin]]*(表1_86121822242672118[[#This Row],[活跃高战玩家数]]+表1_86121822242672118[[#This Row],[活跃中坚玩家数]])</f>
        <v>23000</v>
      </c>
      <c r="G44" s="90">
        <f>(VLOOKUP(表1_86121822242672118[[#This Row],[目标区服]],$R$71:$S$77,2,FALSE)-表1_86121822242672118[[#This Row],[开服天数]])*配置!$B$2</f>
        <v>10</v>
      </c>
      <c r="H44" s="88" t="s">
        <v>25</v>
      </c>
      <c r="I44" s="88">
        <f>IF(表1_86121822242672118[[#This Row],[原国家]]="魏",0,IF(表1_86121822242672118[[#This Row],[原国家]]="蜀",1,2))</f>
        <v>0</v>
      </c>
      <c r="J44" s="108">
        <v>0</v>
      </c>
      <c r="K44" s="108">
        <v>81</v>
      </c>
      <c r="L44" s="108">
        <v>3</v>
      </c>
      <c r="M44" s="108">
        <v>20</v>
      </c>
      <c r="N44" s="108">
        <v>77606</v>
      </c>
      <c r="O44" s="108">
        <v>2881397</v>
      </c>
      <c r="P44" s="108">
        <v>17626949</v>
      </c>
      <c r="Q44" s="132" t="s">
        <v>25</v>
      </c>
      <c r="R44" s="88">
        <f>IF(表1_86121822242672118[[#This Row],[目标国家]]="魏",0,IF(表1_86121822242672118[[#This Row],[目标国家]]="蜀",1,2))</f>
        <v>0</v>
      </c>
      <c r="S44" s="108">
        <v>78168</v>
      </c>
      <c r="T44" s="108">
        <v>0</v>
      </c>
      <c r="U44" s="108">
        <v>348754</v>
      </c>
      <c r="V44" s="108">
        <v>8361</v>
      </c>
      <c r="W44" s="108">
        <v>1088149</v>
      </c>
      <c r="X44" s="134" t="str">
        <f>"{"&amp;"'coin':"&amp;表1_86121822242672118[[#This Row],[补偿Coin]]&amp;",'"&amp;配置!$A$2&amp;"':"&amp;表1_86121822242672118[[#This Row],[补偿辎重]]&amp;"},"</f>
        <v>{'coin':1000,'item036':10},</v>
      </c>
      <c r="Y44" s="136" t="str">
        <f>"      '"&amp;表1_86121822242672118[[#This Row],[区服]]&amp;"':{"</f>
        <v>      '5303':{</v>
      </c>
    </row>
    <row r="45" ht="14.25" customHeight="1" spans="1:25">
      <c r="A45" s="86">
        <v>5303</v>
      </c>
      <c r="B45" s="86">
        <f>VLOOKUP(表1_86121822242672118[[#This Row],[区服]],$P$71:$Q$92,2,FALSE)</f>
        <v>37</v>
      </c>
      <c r="C45" s="87" t="s">
        <v>292</v>
      </c>
      <c r="D45" s="88" t="str">
        <f>表1_86121822242672118[[#This Row],[目标国家]]</f>
        <v>蜀</v>
      </c>
      <c r="E45" s="295">
        <f>(VLOOKUP(表1_86121822242672118[[#This Row],[目标区服]],$R$71:$S$77,2,FALSE)-表1_86121822242672118[[#This Row],[开服天数]])*配置!$B$1</f>
        <v>1000</v>
      </c>
      <c r="F45" s="90">
        <f>表1_86121822242672118[[#This Row],[补偿Coin]]*(表1_86121822242672118[[#This Row],[活跃高战玩家数]]+表1_86121822242672118[[#This Row],[活跃中坚玩家数]])</f>
        <v>29000</v>
      </c>
      <c r="G45" s="90">
        <f>(VLOOKUP(表1_86121822242672118[[#This Row],[目标区服]],$R$71:$S$77,2,FALSE)-表1_86121822242672118[[#This Row],[开服天数]])*配置!$B$2</f>
        <v>10</v>
      </c>
      <c r="H45" s="88" t="s">
        <v>26</v>
      </c>
      <c r="I45" s="88">
        <f>IF(表1_86121822242672118[[#This Row],[原国家]]="魏",0,IF(表1_86121822242672118[[#This Row],[原国家]]="蜀",1,2))</f>
        <v>1</v>
      </c>
      <c r="J45" s="108">
        <v>6</v>
      </c>
      <c r="K45" s="108">
        <v>221</v>
      </c>
      <c r="L45" s="108">
        <v>3</v>
      </c>
      <c r="M45" s="108">
        <v>26</v>
      </c>
      <c r="N45" s="108">
        <v>137094</v>
      </c>
      <c r="O45" s="108">
        <v>4512614</v>
      </c>
      <c r="P45" s="108">
        <v>28975053</v>
      </c>
      <c r="Q45" s="132" t="s">
        <v>26</v>
      </c>
      <c r="R45" s="88">
        <f>IF(表1_86121822242672118[[#This Row],[目标国家]]="魏",0,IF(表1_86121822242672118[[#This Row],[目标国家]]="蜀",1,2))</f>
        <v>1</v>
      </c>
      <c r="S45" s="108">
        <v>135058</v>
      </c>
      <c r="T45" s="108">
        <v>100682</v>
      </c>
      <c r="U45" s="108">
        <v>565929</v>
      </c>
      <c r="V45" s="108">
        <v>16247</v>
      </c>
      <c r="W45" s="108">
        <v>1219581</v>
      </c>
      <c r="X45" s="134" t="str">
        <f>"{"&amp;"'coin':"&amp;表1_86121822242672118[[#This Row],[补偿Coin]]&amp;",'"&amp;配置!$A$2&amp;"':"&amp;表1_86121822242672118[[#This Row],[补偿辎重]]&amp;"},"</f>
        <v>{'coin':1000,'item036':10},</v>
      </c>
      <c r="Y45" s="136" t="str">
        <f>"            'to_zone':'"&amp;表1_86121822242672118[[#This Row],[目标区服]]&amp;"',
            'reward':"&amp;表1_86121822242672118[[#This Row],[辅助导出]]&amp;"
            'country':["&amp;R44&amp;","&amp;R45&amp;","&amp;R46&amp;"],"</f>
        <v>            'to_zone':'h1_624',
            'reward':{'coin':1000,'item036':10},
            'country':[0,1,2],</v>
      </c>
    </row>
    <row r="46" ht="14.25" customHeight="1" spans="1:25">
      <c r="A46" s="86">
        <v>5303</v>
      </c>
      <c r="B46" s="86">
        <f>VLOOKUP(表1_86121822242672118[[#This Row],[区服]],$P$71:$Q$92,2,FALSE)</f>
        <v>37</v>
      </c>
      <c r="C46" s="87" t="s">
        <v>292</v>
      </c>
      <c r="D46" s="88" t="str">
        <f>表1_86121822242672118[[#This Row],[目标国家]]</f>
        <v>吴</v>
      </c>
      <c r="E46" s="295">
        <f>(VLOOKUP(表1_86121822242672118[[#This Row],[目标区服]],$R$71:$S$77,2,FALSE)-表1_86121822242672118[[#This Row],[开服天数]])*配置!$B$1</f>
        <v>1000</v>
      </c>
      <c r="F46" s="90">
        <f>表1_86121822242672118[[#This Row],[补偿Coin]]*(表1_86121822242672118[[#This Row],[活跃高战玩家数]]+表1_86121822242672118[[#This Row],[活跃中坚玩家数]])</f>
        <v>26000</v>
      </c>
      <c r="G46" s="90">
        <f>(VLOOKUP(表1_86121822242672118[[#This Row],[目标区服]],$R$71:$S$77,2,FALSE)-表1_86121822242672118[[#This Row],[开服天数]])*配置!$B$2</f>
        <v>10</v>
      </c>
      <c r="H46" s="88" t="s">
        <v>27</v>
      </c>
      <c r="I46" s="88">
        <f>IF(表1_86121822242672118[[#This Row],[原国家]]="魏",0,IF(表1_86121822242672118[[#This Row],[原国家]]="蜀",1,2))</f>
        <v>2</v>
      </c>
      <c r="J46" s="108">
        <v>3</v>
      </c>
      <c r="K46" s="108">
        <v>93</v>
      </c>
      <c r="L46" s="108">
        <v>4</v>
      </c>
      <c r="M46" s="108">
        <v>22</v>
      </c>
      <c r="N46" s="108">
        <v>95380</v>
      </c>
      <c r="O46" s="108">
        <v>3451745</v>
      </c>
      <c r="P46" s="108">
        <v>21328029</v>
      </c>
      <c r="Q46" s="132" t="s">
        <v>27</v>
      </c>
      <c r="R46" s="88">
        <f>IF(表1_86121822242672118[[#This Row],[目标国家]]="魏",0,IF(表1_86121822242672118[[#This Row],[目标国家]]="蜀",1,2))</f>
        <v>2</v>
      </c>
      <c r="S46" s="108">
        <v>61542</v>
      </c>
      <c r="T46" s="108">
        <v>65816</v>
      </c>
      <c r="U46" s="108">
        <v>892991</v>
      </c>
      <c r="V46" s="108">
        <v>10242</v>
      </c>
      <c r="W46" s="108">
        <v>1070910</v>
      </c>
      <c r="X46" s="134" t="str">
        <f>"{"&amp;"'coin':"&amp;表1_86121822242672118[[#This Row],[补偿Coin]]&amp;",'"&amp;配置!$A$2&amp;"':"&amp;表1_86121822242672118[[#This Row],[补偿辎重]]&amp;"},"</f>
        <v>{'coin':1000,'item036':10},</v>
      </c>
      <c r="Y46" s="136" t="str">
        <f>"      },"</f>
        <v>      },</v>
      </c>
    </row>
    <row r="47" ht="14.25" customHeight="1" spans="1:25">
      <c r="A47" s="86">
        <v>5304</v>
      </c>
      <c r="B47" s="86">
        <f>VLOOKUP(表1_86121822242672118[[#This Row],[区服]],$P$71:$Q$92,2,FALSE)</f>
        <v>37</v>
      </c>
      <c r="C47" s="87" t="s">
        <v>292</v>
      </c>
      <c r="D47" s="88" t="str">
        <f>表1_86121822242672118[[#This Row],[目标国家]]</f>
        <v>蜀</v>
      </c>
      <c r="E47" s="295">
        <f>(VLOOKUP(表1_86121822242672118[[#This Row],[目标区服]],$R$71:$S$77,2,FALSE)-表1_86121822242672118[[#This Row],[开服天数]])*配置!$B$1</f>
        <v>1000</v>
      </c>
      <c r="F47" s="90">
        <f>表1_86121822242672118[[#This Row],[补偿Coin]]*(表1_86121822242672118[[#This Row],[活跃高战玩家数]]+表1_86121822242672118[[#This Row],[活跃中坚玩家数]])</f>
        <v>22000</v>
      </c>
      <c r="G47" s="90">
        <f>(VLOOKUP(表1_86121822242672118[[#This Row],[目标区服]],$R$71:$S$77,2,FALSE)-表1_86121822242672118[[#This Row],[开服天数]])*配置!$B$2</f>
        <v>10</v>
      </c>
      <c r="H47" s="88" t="s">
        <v>25</v>
      </c>
      <c r="I47" s="88">
        <f>IF(表1_86121822242672118[[#This Row],[原国家]]="魏",0,IF(表1_86121822242672118[[#This Row],[原国家]]="蜀",1,2))</f>
        <v>0</v>
      </c>
      <c r="J47" s="108">
        <v>2</v>
      </c>
      <c r="K47" s="108">
        <v>87</v>
      </c>
      <c r="L47" s="108">
        <v>6</v>
      </c>
      <c r="M47" s="108">
        <v>16</v>
      </c>
      <c r="N47" s="108">
        <v>93956</v>
      </c>
      <c r="O47" s="108">
        <v>1810134</v>
      </c>
      <c r="P47" s="108">
        <v>14016602</v>
      </c>
      <c r="Q47" s="132" t="s">
        <v>26</v>
      </c>
      <c r="R47" s="88">
        <f>IF(表1_86121822242672118[[#This Row],[目标国家]]="魏",0,IF(表1_86121822242672118[[#This Row],[目标国家]]="蜀",1,2))</f>
        <v>1</v>
      </c>
      <c r="S47" s="108">
        <v>11650</v>
      </c>
      <c r="T47" s="108">
        <v>0</v>
      </c>
      <c r="U47" s="108">
        <v>213133</v>
      </c>
      <c r="V47" s="108">
        <v>5207</v>
      </c>
      <c r="W47" s="108">
        <v>492188</v>
      </c>
      <c r="X47" s="136" t="str">
        <f>"{"&amp;"'coin':"&amp;表1_86121822242672118[[#This Row],[补偿Coin]]&amp;",'"&amp;配置!$A$2&amp;"':"&amp;表1_86121822242672118[[#This Row],[补偿辎重]]&amp;"},"</f>
        <v>{'coin':1000,'item036':10},</v>
      </c>
      <c r="Y47" s="136" t="str">
        <f>"      '"&amp;表1_86121822242672118[[#This Row],[区服]]&amp;"':{"</f>
        <v>      '5304':{</v>
      </c>
    </row>
    <row r="48" ht="14.25" customHeight="1" spans="1:25">
      <c r="A48" s="86">
        <v>5304</v>
      </c>
      <c r="B48" s="86">
        <f>VLOOKUP(表1_86121822242672118[[#This Row],[区服]],$P$71:$Q$92,2,FALSE)</f>
        <v>37</v>
      </c>
      <c r="C48" s="87" t="s">
        <v>292</v>
      </c>
      <c r="D48" s="88" t="str">
        <f>表1_86121822242672118[[#This Row],[目标国家]]</f>
        <v>蜀</v>
      </c>
      <c r="E48" s="295">
        <f>(VLOOKUP(表1_86121822242672118[[#This Row],[目标区服]],$R$71:$S$77,2,FALSE)-表1_86121822242672118[[#This Row],[开服天数]])*配置!$B$1</f>
        <v>1000</v>
      </c>
      <c r="F48" s="90">
        <f>表1_86121822242672118[[#This Row],[补偿Coin]]*(表1_86121822242672118[[#This Row],[活跃高战玩家数]]+表1_86121822242672118[[#This Row],[活跃中坚玩家数]])</f>
        <v>24000</v>
      </c>
      <c r="G48" s="90">
        <f>(VLOOKUP(表1_86121822242672118[[#This Row],[目标区服]],$R$71:$S$77,2,FALSE)-表1_86121822242672118[[#This Row],[开服天数]])*配置!$B$2</f>
        <v>10</v>
      </c>
      <c r="H48" s="88" t="s">
        <v>26</v>
      </c>
      <c r="I48" s="88">
        <f>IF(表1_86121822242672118[[#This Row],[原国家]]="魏",0,IF(表1_86121822242672118[[#This Row],[原国家]]="蜀",1,2))</f>
        <v>1</v>
      </c>
      <c r="J48" s="108">
        <v>0</v>
      </c>
      <c r="K48" s="108">
        <v>50</v>
      </c>
      <c r="L48" s="108">
        <v>1</v>
      </c>
      <c r="M48" s="108">
        <v>23</v>
      </c>
      <c r="N48" s="108">
        <v>85873</v>
      </c>
      <c r="O48" s="108">
        <v>1155366</v>
      </c>
      <c r="P48" s="108">
        <v>13341564</v>
      </c>
      <c r="Q48" s="132" t="s">
        <v>26</v>
      </c>
      <c r="R48" s="88">
        <f>IF(表1_86121822242672118[[#This Row],[目标国家]]="魏",0,IF(表1_86121822242672118[[#This Row],[目标国家]]="蜀",1,2))</f>
        <v>1</v>
      </c>
      <c r="S48" s="108">
        <v>10560</v>
      </c>
      <c r="T48" s="108">
        <v>0</v>
      </c>
      <c r="U48" s="108">
        <v>178282</v>
      </c>
      <c r="V48" s="108">
        <v>3824</v>
      </c>
      <c r="W48" s="108">
        <v>355962</v>
      </c>
      <c r="X48" s="136" t="str">
        <f>"{"&amp;"'coin':"&amp;表1_86121822242672118[[#This Row],[补偿Coin]]&amp;",'"&amp;配置!$A$2&amp;"':"&amp;表1_86121822242672118[[#This Row],[补偿辎重]]&amp;"},"</f>
        <v>{'coin':1000,'item036':10},</v>
      </c>
      <c r="Y48" s="136" t="str">
        <f>"            'to_zone':'"&amp;表1_86121822242672118[[#This Row],[目标区服]]&amp;"',
            'reward':"&amp;表1_86121822242672118[[#This Row],[辅助导出]]&amp;"
            'country':["&amp;R47&amp;","&amp;R48&amp;","&amp;R49&amp;"],"</f>
        <v>            'to_zone':'h1_624',
            'reward':{'coin':1000,'item036':10},
            'country':[1,1,2],</v>
      </c>
    </row>
    <row r="49" ht="14.25" customHeight="1" spans="1:25">
      <c r="A49" s="86">
        <v>5304</v>
      </c>
      <c r="B49" s="86">
        <f>VLOOKUP(表1_86121822242672118[[#This Row],[区服]],$P$71:$Q$92,2,FALSE)</f>
        <v>37</v>
      </c>
      <c r="C49" s="87" t="s">
        <v>292</v>
      </c>
      <c r="D49" s="88" t="str">
        <f>表1_86121822242672118[[#This Row],[目标国家]]</f>
        <v>吴</v>
      </c>
      <c r="E49" s="295">
        <f>(VLOOKUP(表1_86121822242672118[[#This Row],[目标区服]],$R$71:$S$77,2,FALSE)-表1_86121822242672118[[#This Row],[开服天数]])*配置!$B$1</f>
        <v>1000</v>
      </c>
      <c r="F49" s="90">
        <f>表1_86121822242672118[[#This Row],[补偿Coin]]*(表1_86121822242672118[[#This Row],[活跃高战玩家数]]+表1_86121822242672118[[#This Row],[活跃中坚玩家数]])</f>
        <v>30000</v>
      </c>
      <c r="G49" s="90">
        <f>(VLOOKUP(表1_86121822242672118[[#This Row],[目标区服]],$R$71:$S$77,2,FALSE)-表1_86121822242672118[[#This Row],[开服天数]])*配置!$B$2</f>
        <v>10</v>
      </c>
      <c r="H49" s="88" t="s">
        <v>27</v>
      </c>
      <c r="I49" s="88">
        <f>IF(表1_86121822242672118[[#This Row],[原国家]]="魏",0,IF(表1_86121822242672118[[#This Row],[原国家]]="蜀",1,2))</f>
        <v>2</v>
      </c>
      <c r="J49" s="108">
        <v>7</v>
      </c>
      <c r="K49" s="108">
        <v>258</v>
      </c>
      <c r="L49" s="108">
        <v>3</v>
      </c>
      <c r="M49" s="108">
        <v>27</v>
      </c>
      <c r="N49" s="108">
        <v>127713</v>
      </c>
      <c r="O49" s="108">
        <v>2982093</v>
      </c>
      <c r="P49" s="108">
        <v>22120199</v>
      </c>
      <c r="Q49" s="132" t="s">
        <v>27</v>
      </c>
      <c r="R49" s="88">
        <f>IF(表1_86121822242672118[[#This Row],[目标国家]]="魏",0,IF(表1_86121822242672118[[#This Row],[目标国家]]="蜀",1,2))</f>
        <v>2</v>
      </c>
      <c r="S49" s="108">
        <v>108242</v>
      </c>
      <c r="T49" s="108">
        <v>0</v>
      </c>
      <c r="U49" s="108">
        <v>841516</v>
      </c>
      <c r="V49" s="108">
        <v>12780</v>
      </c>
      <c r="W49" s="108">
        <v>891731</v>
      </c>
      <c r="X49" s="134" t="str">
        <f>"{"&amp;"'coin':"&amp;表1_86121822242672118[[#This Row],[补偿Coin]]&amp;",'"&amp;配置!$A$2&amp;"':"&amp;表1_86121822242672118[[#This Row],[补偿辎重]]&amp;"},"</f>
        <v>{'coin':1000,'item036':10},</v>
      </c>
      <c r="Y49" s="136" t="str">
        <f>"      },"</f>
        <v>      },</v>
      </c>
    </row>
    <row r="50" ht="14.25" customHeight="1" spans="1:25">
      <c r="A50" s="91">
        <v>5305</v>
      </c>
      <c r="B50" s="91">
        <f>VLOOKUP(表1_86121822242672118[[#This Row],[区服]],$P$71:$Q$92,2,FALSE)</f>
        <v>37</v>
      </c>
      <c r="C50" s="92" t="s">
        <v>293</v>
      </c>
      <c r="D50" s="93" t="str">
        <f>表1_86121822242672118[[#This Row],[目标国家]]</f>
        <v>魏</v>
      </c>
      <c r="E50" s="94">
        <f>(VLOOKUP(表1_86121822242672118[[#This Row],[目标区服]],$R$71:$S$77,2,FALSE)-表1_86121822242672118[[#This Row],[开服天数]])*配置!$B$1</f>
        <v>1000</v>
      </c>
      <c r="F50" s="95">
        <f>表1_86121822242672118[[#This Row],[补偿Coin]]*(表1_86121822242672118[[#This Row],[活跃高战玩家数]]+表1_86121822242672118[[#This Row],[活跃中坚玩家数]])</f>
        <v>16000</v>
      </c>
      <c r="G50" s="95">
        <f>(VLOOKUP(表1_86121822242672118[[#This Row],[目标区服]],$R$71:$S$77,2,FALSE)-表1_86121822242672118[[#This Row],[开服天数]])*配置!$B$2</f>
        <v>10</v>
      </c>
      <c r="H50" s="93" t="s">
        <v>25</v>
      </c>
      <c r="I50" s="93">
        <f>IF(表1_86121822242672118[[#This Row],[原国家]]="魏",0,IF(表1_86121822242672118[[#This Row],[原国家]]="蜀",1,2))</f>
        <v>0</v>
      </c>
      <c r="J50" s="109">
        <v>0</v>
      </c>
      <c r="K50" s="109">
        <v>54</v>
      </c>
      <c r="L50" s="109">
        <v>0</v>
      </c>
      <c r="M50" s="109">
        <v>16</v>
      </c>
      <c r="N50" s="109">
        <v>37505</v>
      </c>
      <c r="O50" s="109">
        <v>646659</v>
      </c>
      <c r="P50" s="109">
        <v>6133478</v>
      </c>
      <c r="Q50" s="137" t="s">
        <v>25</v>
      </c>
      <c r="R50" s="93">
        <f>IF(表1_86121822242672118[[#This Row],[目标国家]]="魏",0,IF(表1_86121822242672118[[#This Row],[目标国家]]="蜀",1,2))</f>
        <v>0</v>
      </c>
      <c r="S50" s="109">
        <v>3568</v>
      </c>
      <c r="T50" s="109">
        <v>0</v>
      </c>
      <c r="U50" s="109">
        <v>56322</v>
      </c>
      <c r="V50" s="109">
        <v>2122</v>
      </c>
      <c r="W50" s="109">
        <v>207093</v>
      </c>
      <c r="X50" s="138" t="str">
        <f>"{"&amp;"'coin':"&amp;表1_86121822242672118[[#This Row],[补偿Coin]]&amp;",'"&amp;配置!$A$2&amp;"':"&amp;表1_86121822242672118[[#This Row],[补偿辎重]]&amp;"},"</f>
        <v>{'coin':1000,'item036':10},</v>
      </c>
      <c r="Y50" s="138" t="str">
        <f>"      '"&amp;表1_86121822242672118[[#This Row],[区服]]&amp;"':{"</f>
        <v>      '5305':{</v>
      </c>
    </row>
    <row r="51" ht="14.25" customHeight="1" spans="1:25">
      <c r="A51" s="91">
        <v>5305</v>
      </c>
      <c r="B51" s="91">
        <f>VLOOKUP(表1_86121822242672118[[#This Row],[区服]],$P$71:$Q$92,2,FALSE)</f>
        <v>37</v>
      </c>
      <c r="C51" s="92" t="s">
        <v>293</v>
      </c>
      <c r="D51" s="93" t="str">
        <f>表1_86121822242672118[[#This Row],[目标国家]]</f>
        <v>蜀</v>
      </c>
      <c r="E51" s="94">
        <f>(VLOOKUP(表1_86121822242672118[[#This Row],[目标区服]],$R$71:$S$77,2,FALSE)-表1_86121822242672118[[#This Row],[开服天数]])*配置!$B$1</f>
        <v>1000</v>
      </c>
      <c r="F51" s="95">
        <f>表1_86121822242672118[[#This Row],[补偿Coin]]*(表1_86121822242672118[[#This Row],[活跃高战玩家数]]+表1_86121822242672118[[#This Row],[活跃中坚玩家数]])</f>
        <v>22000</v>
      </c>
      <c r="G51" s="95">
        <f>(VLOOKUP(表1_86121822242672118[[#This Row],[目标区服]],$R$71:$S$77,2,FALSE)-表1_86121822242672118[[#This Row],[开服天数]])*配置!$B$2</f>
        <v>10</v>
      </c>
      <c r="H51" s="93" t="s">
        <v>26</v>
      </c>
      <c r="I51" s="93">
        <f>IF(表1_86121822242672118[[#This Row],[原国家]]="魏",0,IF(表1_86121822242672118[[#This Row],[原国家]]="蜀",1,2))</f>
        <v>1</v>
      </c>
      <c r="J51" s="109">
        <v>0</v>
      </c>
      <c r="K51" s="109">
        <v>91</v>
      </c>
      <c r="L51" s="109">
        <v>1</v>
      </c>
      <c r="M51" s="109">
        <v>21</v>
      </c>
      <c r="N51" s="109">
        <v>78247</v>
      </c>
      <c r="O51" s="109">
        <v>1391900</v>
      </c>
      <c r="P51" s="109">
        <v>11170700</v>
      </c>
      <c r="Q51" s="137" t="s">
        <v>26</v>
      </c>
      <c r="R51" s="93">
        <f>IF(表1_86121822242672118[[#This Row],[目标国家]]="魏",0,IF(表1_86121822242672118[[#This Row],[目标国家]]="蜀",1,2))</f>
        <v>1</v>
      </c>
      <c r="S51" s="109">
        <v>29728</v>
      </c>
      <c r="T51" s="109">
        <v>0</v>
      </c>
      <c r="U51" s="109">
        <v>210442</v>
      </c>
      <c r="V51" s="109">
        <v>4807</v>
      </c>
      <c r="W51" s="109">
        <v>637256</v>
      </c>
      <c r="X51" s="138" t="str">
        <f>"{"&amp;"'coin':"&amp;表1_86121822242672118[[#This Row],[补偿Coin]]&amp;",'"&amp;配置!$A$2&amp;"':"&amp;表1_86121822242672118[[#This Row],[补偿辎重]]&amp;"},"</f>
        <v>{'coin':1000,'item036':10},</v>
      </c>
      <c r="Y51" s="138" t="str">
        <f>"            'to_zone':'"&amp;表1_86121822242672118[[#This Row],[目标区服]]&amp;"',
            'reward':"&amp;表1_86121822242672118[[#This Row],[辅助导出]]&amp;"
            'country':["&amp;R50&amp;","&amp;R51&amp;","&amp;R52&amp;"],"</f>
        <v>            'to_zone':'h1_625',
            'reward':{'coin':1000,'item036':10},
            'country':[0,1,0],</v>
      </c>
    </row>
    <row r="52" ht="14.25" customHeight="1" spans="1:25">
      <c r="A52" s="91">
        <v>5305</v>
      </c>
      <c r="B52" s="91">
        <f>VLOOKUP(表1_86121822242672118[[#This Row],[区服]],$P$71:$Q$92,2,FALSE)</f>
        <v>37</v>
      </c>
      <c r="C52" s="92" t="s">
        <v>293</v>
      </c>
      <c r="D52" s="93" t="str">
        <f>表1_86121822242672118[[#This Row],[目标国家]]</f>
        <v>魏</v>
      </c>
      <c r="E52" s="94">
        <f>(VLOOKUP(表1_86121822242672118[[#This Row],[目标区服]],$R$71:$S$77,2,FALSE)-表1_86121822242672118[[#This Row],[开服天数]])*配置!$B$1</f>
        <v>1000</v>
      </c>
      <c r="F52" s="95">
        <f>表1_86121822242672118[[#This Row],[补偿Coin]]*(表1_86121822242672118[[#This Row],[活跃高战玩家数]]+表1_86121822242672118[[#This Row],[活跃中坚玩家数]])</f>
        <v>34000</v>
      </c>
      <c r="G52" s="95">
        <f>(VLOOKUP(表1_86121822242672118[[#This Row],[目标区服]],$R$71:$S$77,2,FALSE)-表1_86121822242672118[[#This Row],[开服天数]])*配置!$B$2</f>
        <v>10</v>
      </c>
      <c r="H52" s="93" t="s">
        <v>27</v>
      </c>
      <c r="I52" s="93">
        <f>IF(表1_86121822242672118[[#This Row],[原国家]]="魏",0,IF(表1_86121822242672118[[#This Row],[原国家]]="蜀",1,2))</f>
        <v>2</v>
      </c>
      <c r="J52" s="109">
        <v>9</v>
      </c>
      <c r="K52" s="109">
        <v>250</v>
      </c>
      <c r="L52" s="109">
        <v>9</v>
      </c>
      <c r="M52" s="109">
        <v>25</v>
      </c>
      <c r="N52" s="109">
        <v>194079</v>
      </c>
      <c r="O52" s="109">
        <v>1996489</v>
      </c>
      <c r="P52" s="109">
        <v>24654632</v>
      </c>
      <c r="Q52" s="137" t="s">
        <v>25</v>
      </c>
      <c r="R52" s="93">
        <f>IF(表1_86121822242672118[[#This Row],[目标国家]]="魏",0,IF(表1_86121822242672118[[#This Row],[目标国家]]="蜀",1,2))</f>
        <v>0</v>
      </c>
      <c r="S52" s="109">
        <v>44420</v>
      </c>
      <c r="T52" s="109">
        <v>0</v>
      </c>
      <c r="U52" s="109">
        <v>722090</v>
      </c>
      <c r="V52" s="109">
        <v>10525</v>
      </c>
      <c r="W52" s="109">
        <v>584163</v>
      </c>
      <c r="X52" s="140" t="str">
        <f>"{"&amp;"'coin':"&amp;表1_86121822242672118[[#This Row],[补偿Coin]]&amp;",'"&amp;配置!$A$2&amp;"':"&amp;表1_86121822242672118[[#This Row],[补偿辎重]]&amp;"},"</f>
        <v>{'coin':1000,'item036':10},</v>
      </c>
      <c r="Y52" s="138" t="str">
        <f>"      },"</f>
        <v>      },</v>
      </c>
    </row>
    <row r="53" ht="14.25" customHeight="1" spans="1:25">
      <c r="A53" s="91">
        <v>5306</v>
      </c>
      <c r="B53" s="91">
        <f>VLOOKUP(表1_86121822242672118[[#This Row],[区服]],$P$71:$Q$92,2,FALSE)</f>
        <v>36</v>
      </c>
      <c r="C53" s="92" t="s">
        <v>293</v>
      </c>
      <c r="D53" s="93" t="str">
        <f>表1_86121822242672118[[#This Row],[目标国家]]</f>
        <v>魏</v>
      </c>
      <c r="E53" s="94">
        <f>(VLOOKUP(表1_86121822242672118[[#This Row],[目标区服]],$R$71:$S$77,2,FALSE)-表1_86121822242672118[[#This Row],[开服天数]])*配置!$B$1</f>
        <v>1500</v>
      </c>
      <c r="F53" s="95">
        <f>表1_86121822242672118[[#This Row],[补偿Coin]]*(表1_86121822242672118[[#This Row],[活跃高战玩家数]]+表1_86121822242672118[[#This Row],[活跃中坚玩家数]])</f>
        <v>22500</v>
      </c>
      <c r="G53" s="95">
        <f>(VLOOKUP(表1_86121822242672118[[#This Row],[目标区服]],$R$71:$S$77,2,FALSE)-表1_86121822242672118[[#This Row],[开服天数]])*配置!$B$2</f>
        <v>15</v>
      </c>
      <c r="H53" s="93" t="s">
        <v>25</v>
      </c>
      <c r="I53" s="93">
        <f>IF(表1_86121822242672118[[#This Row],[原国家]]="魏",0,IF(表1_86121822242672118[[#This Row],[原国家]]="蜀",1,2))</f>
        <v>0</v>
      </c>
      <c r="J53" s="109">
        <v>2</v>
      </c>
      <c r="K53" s="109">
        <v>77</v>
      </c>
      <c r="L53" s="109">
        <v>3</v>
      </c>
      <c r="M53" s="109">
        <v>12</v>
      </c>
      <c r="N53" s="109">
        <v>57593</v>
      </c>
      <c r="O53" s="109">
        <v>2029443</v>
      </c>
      <c r="P53" s="109">
        <v>10523753</v>
      </c>
      <c r="Q53" s="137" t="s">
        <v>25</v>
      </c>
      <c r="R53" s="93">
        <f>IF(表1_86121822242672118[[#This Row],[目标国家]]="魏",0,IF(表1_86121822242672118[[#This Row],[目标国家]]="蜀",1,2))</f>
        <v>0</v>
      </c>
      <c r="S53" s="109">
        <v>15384</v>
      </c>
      <c r="T53" s="109">
        <v>35034</v>
      </c>
      <c r="U53" s="109">
        <v>228880</v>
      </c>
      <c r="V53" s="109">
        <v>5266</v>
      </c>
      <c r="W53" s="109">
        <v>653667</v>
      </c>
      <c r="X53" s="138" t="str">
        <f>"{"&amp;"'coin':"&amp;表1_86121822242672118[[#This Row],[补偿Coin]]&amp;",'"&amp;配置!$A$2&amp;"':"&amp;表1_86121822242672118[[#This Row],[补偿辎重]]&amp;"},"</f>
        <v>{'coin':1500,'item036':15},</v>
      </c>
      <c r="Y53" s="138" t="str">
        <f>"      '"&amp;表1_86121822242672118[[#This Row],[区服]]&amp;"':{"</f>
        <v>      '5306':{</v>
      </c>
    </row>
    <row r="54" ht="14.25" customHeight="1" spans="1:25">
      <c r="A54" s="91">
        <v>5306</v>
      </c>
      <c r="B54" s="91">
        <f>VLOOKUP(表1_86121822242672118[[#This Row],[区服]],$P$71:$Q$92,2,FALSE)</f>
        <v>36</v>
      </c>
      <c r="C54" s="92" t="s">
        <v>293</v>
      </c>
      <c r="D54" s="93" t="str">
        <f>表1_86121822242672118[[#This Row],[目标国家]]</f>
        <v>蜀</v>
      </c>
      <c r="E54" s="94">
        <f>(VLOOKUP(表1_86121822242672118[[#This Row],[目标区服]],$R$71:$S$77,2,FALSE)-表1_86121822242672118[[#This Row],[开服天数]])*配置!$B$1</f>
        <v>1500</v>
      </c>
      <c r="F54" s="95">
        <f>表1_86121822242672118[[#This Row],[补偿Coin]]*(表1_86121822242672118[[#This Row],[活跃高战玩家数]]+表1_86121822242672118[[#This Row],[活跃中坚玩家数]])</f>
        <v>58500</v>
      </c>
      <c r="G54" s="95">
        <f>(VLOOKUP(表1_86121822242672118[[#This Row],[目标区服]],$R$71:$S$77,2,FALSE)-表1_86121822242672118[[#This Row],[开服天数]])*配置!$B$2</f>
        <v>15</v>
      </c>
      <c r="H54" s="93" t="s">
        <v>26</v>
      </c>
      <c r="I54" s="93">
        <f>IF(表1_86121822242672118[[#This Row],[原国家]]="魏",0,IF(表1_86121822242672118[[#This Row],[原国家]]="蜀",1,2))</f>
        <v>1</v>
      </c>
      <c r="J54" s="109">
        <v>7</v>
      </c>
      <c r="K54" s="109">
        <v>300</v>
      </c>
      <c r="L54" s="109">
        <v>5</v>
      </c>
      <c r="M54" s="109">
        <v>34</v>
      </c>
      <c r="N54" s="109">
        <v>170874</v>
      </c>
      <c r="O54" s="109">
        <v>2382855</v>
      </c>
      <c r="P54" s="109">
        <v>27130278</v>
      </c>
      <c r="Q54" s="137" t="s">
        <v>26</v>
      </c>
      <c r="R54" s="93">
        <f>IF(表1_86121822242672118[[#This Row],[目标国家]]="魏",0,IF(表1_86121822242672118[[#This Row],[目标国家]]="蜀",1,2))</f>
        <v>1</v>
      </c>
      <c r="S54" s="109">
        <v>59266</v>
      </c>
      <c r="T54" s="109">
        <v>0</v>
      </c>
      <c r="U54" s="109">
        <v>535247</v>
      </c>
      <c r="V54" s="109">
        <v>11695</v>
      </c>
      <c r="W54" s="109">
        <v>703740</v>
      </c>
      <c r="X54" s="138" t="str">
        <f>"{"&amp;"'coin':"&amp;表1_86121822242672118[[#This Row],[补偿Coin]]&amp;",'"&amp;配置!$A$2&amp;"':"&amp;表1_86121822242672118[[#This Row],[补偿辎重]]&amp;"},"</f>
        <v>{'coin':1500,'item036':15},</v>
      </c>
      <c r="Y54" s="138" t="str">
        <f>"            'to_zone':'"&amp;表1_86121822242672118[[#This Row],[目标区服]]&amp;"',
            'reward':"&amp;表1_86121822242672118[[#This Row],[辅助导出]]&amp;"
            'country':["&amp;R53&amp;","&amp;R54&amp;","&amp;R55&amp;"],"</f>
        <v>            'to_zone':'h1_625',
            'reward':{'coin':1500,'item036':15},
            'country':[0,1,0],</v>
      </c>
    </row>
    <row r="55" ht="14.25" customHeight="1" spans="1:25">
      <c r="A55" s="91">
        <v>5306</v>
      </c>
      <c r="B55" s="91">
        <f>VLOOKUP(表1_86121822242672118[[#This Row],[区服]],$P$71:$Q$92,2,FALSE)</f>
        <v>36</v>
      </c>
      <c r="C55" s="92" t="s">
        <v>293</v>
      </c>
      <c r="D55" s="93" t="str">
        <f>表1_86121822242672118[[#This Row],[目标国家]]</f>
        <v>魏</v>
      </c>
      <c r="E55" s="94">
        <f>(VLOOKUP(表1_86121822242672118[[#This Row],[目标区服]],$R$71:$S$77,2,FALSE)-表1_86121822242672118[[#This Row],[开服天数]])*配置!$B$1</f>
        <v>1500</v>
      </c>
      <c r="F55" s="95">
        <f>表1_86121822242672118[[#This Row],[补偿Coin]]*(表1_86121822242672118[[#This Row],[活跃高战玩家数]]+表1_86121822242672118[[#This Row],[活跃中坚玩家数]])</f>
        <v>25500</v>
      </c>
      <c r="G55" s="95">
        <f>(VLOOKUP(表1_86121822242672118[[#This Row],[目标区服]],$R$71:$S$77,2,FALSE)-表1_86121822242672118[[#This Row],[开服天数]])*配置!$B$2</f>
        <v>15</v>
      </c>
      <c r="H55" s="93" t="s">
        <v>27</v>
      </c>
      <c r="I55" s="93">
        <f>IF(表1_86121822242672118[[#This Row],[原国家]]="魏",0,IF(表1_86121822242672118[[#This Row],[原国家]]="蜀",1,2))</f>
        <v>2</v>
      </c>
      <c r="J55" s="109">
        <v>0</v>
      </c>
      <c r="K55" s="109">
        <v>18</v>
      </c>
      <c r="L55" s="109">
        <v>2</v>
      </c>
      <c r="M55" s="109">
        <v>15</v>
      </c>
      <c r="N55" s="109">
        <v>50015</v>
      </c>
      <c r="O55" s="109">
        <v>1538316</v>
      </c>
      <c r="P55" s="109">
        <v>9351335</v>
      </c>
      <c r="Q55" s="137" t="s">
        <v>25</v>
      </c>
      <c r="R55" s="93">
        <f>IF(表1_86121822242672118[[#This Row],[目标国家]]="魏",0,IF(表1_86121822242672118[[#This Row],[目标国家]]="蜀",1,2))</f>
        <v>0</v>
      </c>
      <c r="S55" s="109">
        <v>27764</v>
      </c>
      <c r="T55" s="109">
        <v>0</v>
      </c>
      <c r="U55" s="109">
        <v>79783</v>
      </c>
      <c r="V55" s="109">
        <v>3776</v>
      </c>
      <c r="W55" s="109">
        <v>490363</v>
      </c>
      <c r="X55" s="140" t="str">
        <f>"{"&amp;"'coin':"&amp;表1_86121822242672118[[#This Row],[补偿Coin]]&amp;",'"&amp;配置!$A$2&amp;"':"&amp;表1_86121822242672118[[#This Row],[补偿辎重]]&amp;"},"</f>
        <v>{'coin':1500,'item036':15},</v>
      </c>
      <c r="Y55" s="138" t="str">
        <f>"      },"</f>
        <v>      },</v>
      </c>
    </row>
    <row r="56" ht="14.25" customHeight="1" spans="1:25">
      <c r="A56" s="91">
        <v>5307</v>
      </c>
      <c r="B56" s="91">
        <f>VLOOKUP(表1_86121822242672118[[#This Row],[区服]],$P$71:$Q$92,2,FALSE)</f>
        <v>36</v>
      </c>
      <c r="C56" s="92" t="s">
        <v>293</v>
      </c>
      <c r="D56" s="93" t="str">
        <f>表1_86121822242672118[[#This Row],[目标国家]]</f>
        <v>蜀</v>
      </c>
      <c r="E56" s="94">
        <f>(VLOOKUP(表1_86121822242672118[[#This Row],[目标区服]],$R$71:$S$77,2,FALSE)-表1_86121822242672118[[#This Row],[开服天数]])*配置!$B$1</f>
        <v>1500</v>
      </c>
      <c r="F56" s="95">
        <f>表1_86121822242672118[[#This Row],[补偿Coin]]*(表1_86121822242672118[[#This Row],[活跃高战玩家数]]+表1_86121822242672118[[#This Row],[活跃中坚玩家数]])</f>
        <v>21000</v>
      </c>
      <c r="G56" s="95">
        <f>(VLOOKUP(表1_86121822242672118[[#This Row],[目标区服]],$R$71:$S$77,2,FALSE)-表1_86121822242672118[[#This Row],[开服天数]])*配置!$B$2</f>
        <v>15</v>
      </c>
      <c r="H56" s="93" t="s">
        <v>25</v>
      </c>
      <c r="I56" s="93">
        <f>IF(表1_86121822242672118[[#This Row],[原国家]]="魏",0,IF(表1_86121822242672118[[#This Row],[原国家]]="蜀",1,2))</f>
        <v>0</v>
      </c>
      <c r="J56" s="109">
        <v>0</v>
      </c>
      <c r="K56" s="109">
        <v>27</v>
      </c>
      <c r="L56" s="109">
        <v>0</v>
      </c>
      <c r="M56" s="109">
        <v>14</v>
      </c>
      <c r="N56" s="109">
        <v>43708</v>
      </c>
      <c r="O56" s="109">
        <v>1009811</v>
      </c>
      <c r="P56" s="109">
        <v>6971504</v>
      </c>
      <c r="Q56" s="137" t="s">
        <v>26</v>
      </c>
      <c r="R56" s="93">
        <f>IF(表1_86121822242672118[[#This Row],[目标国家]]="魏",0,IF(表1_86121822242672118[[#This Row],[目标国家]]="蜀",1,2))</f>
        <v>1</v>
      </c>
      <c r="S56" s="109">
        <v>4020</v>
      </c>
      <c r="T56" s="109">
        <v>0</v>
      </c>
      <c r="U56" s="109">
        <v>73364</v>
      </c>
      <c r="V56" s="109">
        <v>2352</v>
      </c>
      <c r="W56" s="109">
        <v>293728</v>
      </c>
      <c r="X56" s="138" t="str">
        <f>"{"&amp;"'coin':"&amp;表1_86121822242672118[[#This Row],[补偿Coin]]&amp;",'"&amp;配置!$A$2&amp;"':"&amp;表1_86121822242672118[[#This Row],[补偿辎重]]&amp;"},"</f>
        <v>{'coin':1500,'item036':15},</v>
      </c>
      <c r="Y56" s="138" t="str">
        <f>"      '"&amp;表1_86121822242672118[[#This Row],[区服]]&amp;"':{"</f>
        <v>      '5307':{</v>
      </c>
    </row>
    <row r="57" ht="14.25" customHeight="1" spans="1:25">
      <c r="A57" s="91">
        <v>5307</v>
      </c>
      <c r="B57" s="91">
        <f>VLOOKUP(表1_86121822242672118[[#This Row],[区服]],$P$71:$Q$92,2,FALSE)</f>
        <v>36</v>
      </c>
      <c r="C57" s="92" t="s">
        <v>293</v>
      </c>
      <c r="D57" s="93" t="str">
        <f>表1_86121822242672118[[#This Row],[目标国家]]</f>
        <v>吴</v>
      </c>
      <c r="E57" s="94">
        <f>(VLOOKUP(表1_86121822242672118[[#This Row],[目标区服]],$R$71:$S$77,2,FALSE)-表1_86121822242672118[[#This Row],[开服天数]])*配置!$B$1</f>
        <v>1500</v>
      </c>
      <c r="F57" s="95">
        <f>表1_86121822242672118[[#This Row],[补偿Coin]]*(表1_86121822242672118[[#This Row],[活跃高战玩家数]]+表1_86121822242672118[[#This Row],[活跃中坚玩家数]])</f>
        <v>16500</v>
      </c>
      <c r="G57" s="95">
        <f>(VLOOKUP(表1_86121822242672118[[#This Row],[目标区服]],$R$71:$S$77,2,FALSE)-表1_86121822242672118[[#This Row],[开服天数]])*配置!$B$2</f>
        <v>15</v>
      </c>
      <c r="H57" s="93" t="s">
        <v>26</v>
      </c>
      <c r="I57" s="93">
        <f>IF(表1_86121822242672118[[#This Row],[原国家]]="魏",0,IF(表1_86121822242672118[[#This Row],[原国家]]="蜀",1,2))</f>
        <v>1</v>
      </c>
      <c r="J57" s="109">
        <v>0</v>
      </c>
      <c r="K57" s="109">
        <v>37</v>
      </c>
      <c r="L57" s="109">
        <v>1</v>
      </c>
      <c r="M57" s="109">
        <v>10</v>
      </c>
      <c r="N57" s="109">
        <v>27710</v>
      </c>
      <c r="O57" s="109">
        <v>1546063</v>
      </c>
      <c r="P57" s="109">
        <v>5960718</v>
      </c>
      <c r="Q57" s="137" t="s">
        <v>27</v>
      </c>
      <c r="R57" s="93">
        <f>IF(表1_86121822242672118[[#This Row],[目标国家]]="魏",0,IF(表1_86121822242672118[[#This Row],[目标国家]]="蜀",1,2))</f>
        <v>2</v>
      </c>
      <c r="S57" s="109">
        <v>29658</v>
      </c>
      <c r="T57" s="109">
        <v>0</v>
      </c>
      <c r="U57" s="109">
        <v>211697</v>
      </c>
      <c r="V57" s="109">
        <v>3646</v>
      </c>
      <c r="W57" s="109">
        <v>655773</v>
      </c>
      <c r="X57" s="138" t="str">
        <f>"{"&amp;"'coin':"&amp;表1_86121822242672118[[#This Row],[补偿Coin]]&amp;",'"&amp;配置!$A$2&amp;"':"&amp;表1_86121822242672118[[#This Row],[补偿辎重]]&amp;"},"</f>
        <v>{'coin':1500,'item036':15},</v>
      </c>
      <c r="Y57" s="138" t="str">
        <f>"            'to_zone':'"&amp;表1_86121822242672118[[#This Row],[目标区服]]&amp;"',
            'reward':"&amp;表1_86121822242672118[[#This Row],[辅助导出]]&amp;"
            'country':["&amp;R56&amp;","&amp;R57&amp;","&amp;R58&amp;"],"</f>
        <v>            'to_zone':'h1_625',
            'reward':{'coin':1500,'item036':15},
            'country':[1,2,2],</v>
      </c>
    </row>
    <row r="58" ht="14.25" customHeight="1" spans="1:25">
      <c r="A58" s="91">
        <v>5307</v>
      </c>
      <c r="B58" s="91">
        <f>VLOOKUP(表1_86121822242672118[[#This Row],[区服]],$P$71:$Q$92,2,FALSE)</f>
        <v>36</v>
      </c>
      <c r="C58" s="92" t="s">
        <v>293</v>
      </c>
      <c r="D58" s="93" t="str">
        <f>表1_86121822242672118[[#This Row],[目标国家]]</f>
        <v>吴</v>
      </c>
      <c r="E58" s="94">
        <f>(VLOOKUP(表1_86121822242672118[[#This Row],[目标区服]],$R$71:$S$77,2,FALSE)-表1_86121822242672118[[#This Row],[开服天数]])*配置!$B$1</f>
        <v>1500</v>
      </c>
      <c r="F58" s="95">
        <f>表1_86121822242672118[[#This Row],[补偿Coin]]*(表1_86121822242672118[[#This Row],[活跃高战玩家数]]+表1_86121822242672118[[#This Row],[活跃中坚玩家数]])</f>
        <v>61500</v>
      </c>
      <c r="G58" s="95">
        <f>(VLOOKUP(表1_86121822242672118[[#This Row],[目标区服]],$R$71:$S$77,2,FALSE)-表1_86121822242672118[[#This Row],[开服天数]])*配置!$B$2</f>
        <v>15</v>
      </c>
      <c r="H58" s="93" t="s">
        <v>27</v>
      </c>
      <c r="I58" s="93">
        <f>IF(表1_86121822242672118[[#This Row],[原国家]]="魏",0,IF(表1_86121822242672118[[#This Row],[原国家]]="蜀",1,2))</f>
        <v>2</v>
      </c>
      <c r="J58" s="109">
        <v>9</v>
      </c>
      <c r="K58" s="109">
        <v>331</v>
      </c>
      <c r="L58" s="109">
        <v>9</v>
      </c>
      <c r="M58" s="109">
        <v>32</v>
      </c>
      <c r="N58" s="109">
        <v>213511</v>
      </c>
      <c r="O58" s="109">
        <v>2637289</v>
      </c>
      <c r="P58" s="109">
        <v>34526531</v>
      </c>
      <c r="Q58" s="137" t="s">
        <v>27</v>
      </c>
      <c r="R58" s="93">
        <f>IF(表1_86121822242672118[[#This Row],[目标国家]]="魏",0,IF(表1_86121822242672118[[#This Row],[目标国家]]="蜀",1,2))</f>
        <v>2</v>
      </c>
      <c r="S58" s="109">
        <v>117100</v>
      </c>
      <c r="T58" s="109">
        <v>0</v>
      </c>
      <c r="U58" s="109">
        <v>913467</v>
      </c>
      <c r="V58" s="109">
        <v>15337</v>
      </c>
      <c r="W58" s="109">
        <v>740793</v>
      </c>
      <c r="X58" s="140" t="str">
        <f>"{"&amp;"'coin':"&amp;表1_86121822242672118[[#This Row],[补偿Coin]]&amp;",'"&amp;配置!$A$2&amp;"':"&amp;表1_86121822242672118[[#This Row],[补偿辎重]]&amp;"},"</f>
        <v>{'coin':1500,'item036':15},</v>
      </c>
      <c r="Y58" s="138" t="str">
        <f>"      },"</f>
        <v>      },</v>
      </c>
    </row>
    <row r="59" ht="14.25" customHeight="1" spans="1:25">
      <c r="A59" s="210">
        <v>5308</v>
      </c>
      <c r="B59" s="210">
        <f>VLOOKUP(表1_86121822242672118[[#This Row],[区服]],$P$71:$Q$92,2,FALSE)</f>
        <v>36</v>
      </c>
      <c r="C59" s="296" t="s">
        <v>294</v>
      </c>
      <c r="D59" s="212" t="str">
        <f>表1_86121822242672118[[#This Row],[目标国家]]</f>
        <v>蜀</v>
      </c>
      <c r="E59" s="68">
        <f>(VLOOKUP(表1_86121822242672118[[#This Row],[目标区服]],$R$71:$S$77,2,FALSE)-表1_86121822242672118[[#This Row],[开服天数]])*配置!$B$1</f>
        <v>1000</v>
      </c>
      <c r="F59" s="213">
        <f>表1_86121822242672118[[#This Row],[补偿Coin]]*(表1_86121822242672118[[#This Row],[活跃高战玩家数]]+表1_86121822242672118[[#This Row],[活跃中坚玩家数]])</f>
        <v>20000</v>
      </c>
      <c r="G59" s="213">
        <f>(VLOOKUP(表1_86121822242672118[[#This Row],[目标区服]],$R$71:$S$77,2,FALSE)-表1_86121822242672118[[#This Row],[开服天数]])*配置!$B$2</f>
        <v>10</v>
      </c>
      <c r="H59" s="212" t="s">
        <v>25</v>
      </c>
      <c r="I59" s="212">
        <f>IF(表1_86121822242672118[[#This Row],[原国家]]="魏",0,IF(表1_86121822242672118[[#This Row],[原国家]]="蜀",1,2))</f>
        <v>0</v>
      </c>
      <c r="J59" s="299">
        <v>3</v>
      </c>
      <c r="K59" s="299">
        <v>115</v>
      </c>
      <c r="L59" s="299">
        <v>3</v>
      </c>
      <c r="M59" s="299">
        <v>17</v>
      </c>
      <c r="N59" s="299">
        <v>88154</v>
      </c>
      <c r="O59" s="299">
        <v>2047197</v>
      </c>
      <c r="P59" s="299">
        <v>13498165</v>
      </c>
      <c r="Q59" s="243" t="s">
        <v>26</v>
      </c>
      <c r="R59" s="212">
        <f>IF(表1_86121822242672118[[#This Row],[目标国家]]="魏",0,IF(表1_86121822242672118[[#This Row],[目标国家]]="蜀",1,2))</f>
        <v>1</v>
      </c>
      <c r="S59" s="299">
        <v>46624</v>
      </c>
      <c r="T59" s="299">
        <v>0</v>
      </c>
      <c r="U59" s="299">
        <v>227973</v>
      </c>
      <c r="V59" s="299">
        <v>6800</v>
      </c>
      <c r="W59" s="299">
        <v>701152</v>
      </c>
      <c r="X59" s="254" t="str">
        <f>"{"&amp;"'coin':"&amp;表1_86121822242672118[[#This Row],[补偿Coin]]&amp;",'"&amp;配置!$A$2&amp;"':"&amp;表1_86121822242672118[[#This Row],[补偿辎重]]&amp;"},"</f>
        <v>{'coin':1000,'item036':10},</v>
      </c>
      <c r="Y59" s="254" t="str">
        <f>"      '"&amp;表1_86121822242672118[[#This Row],[区服]]&amp;"':{"</f>
        <v>      '5308':{</v>
      </c>
    </row>
    <row r="60" ht="14.25" customHeight="1" spans="1:25">
      <c r="A60" s="210">
        <v>5308</v>
      </c>
      <c r="B60" s="210">
        <f>VLOOKUP(表1_86121822242672118[[#This Row],[区服]],$P$71:$Q$92,2,FALSE)</f>
        <v>36</v>
      </c>
      <c r="C60" s="296" t="s">
        <v>294</v>
      </c>
      <c r="D60" s="212" t="str">
        <f>表1_86121822242672118[[#This Row],[目标国家]]</f>
        <v>蜀</v>
      </c>
      <c r="E60" s="68">
        <f>(VLOOKUP(表1_86121822242672118[[#This Row],[目标区服]],$R$71:$S$77,2,FALSE)-表1_86121822242672118[[#This Row],[开服天数]])*配置!$B$1</f>
        <v>1000</v>
      </c>
      <c r="F60" s="213">
        <f>表1_86121822242672118[[#This Row],[补偿Coin]]*(表1_86121822242672118[[#This Row],[活跃高战玩家数]]+表1_86121822242672118[[#This Row],[活跃中坚玩家数]])</f>
        <v>25000</v>
      </c>
      <c r="G60" s="213">
        <f>(VLOOKUP(表1_86121822242672118[[#This Row],[目标区服]],$R$71:$S$77,2,FALSE)-表1_86121822242672118[[#This Row],[开服天数]])*配置!$B$2</f>
        <v>10</v>
      </c>
      <c r="H60" s="212" t="s">
        <v>26</v>
      </c>
      <c r="I60" s="212">
        <f>IF(表1_86121822242672118[[#This Row],[原国家]]="魏",0,IF(表1_86121822242672118[[#This Row],[原国家]]="蜀",1,2))</f>
        <v>1</v>
      </c>
      <c r="J60" s="299">
        <v>2</v>
      </c>
      <c r="K60" s="299">
        <v>116</v>
      </c>
      <c r="L60" s="299">
        <v>2</v>
      </c>
      <c r="M60" s="299">
        <v>23</v>
      </c>
      <c r="N60" s="299">
        <v>91737</v>
      </c>
      <c r="O60" s="299">
        <v>1581193</v>
      </c>
      <c r="P60" s="299">
        <v>13467771</v>
      </c>
      <c r="Q60" s="243" t="s">
        <v>26</v>
      </c>
      <c r="R60" s="212">
        <f>IF(表1_86121822242672118[[#This Row],[目标国家]]="魏",0,IF(表1_86121822242672118[[#This Row],[目标国家]]="蜀",1,2))</f>
        <v>1</v>
      </c>
      <c r="S60" s="299">
        <v>20510</v>
      </c>
      <c r="T60" s="299">
        <v>0</v>
      </c>
      <c r="U60" s="299">
        <v>271813</v>
      </c>
      <c r="V60" s="299">
        <v>5497</v>
      </c>
      <c r="W60" s="299">
        <v>441716</v>
      </c>
      <c r="X60" s="254" t="str">
        <f>"{"&amp;"'coin':"&amp;表1_86121822242672118[[#This Row],[补偿Coin]]&amp;",'"&amp;配置!$A$2&amp;"':"&amp;表1_86121822242672118[[#This Row],[补偿辎重]]&amp;"},"</f>
        <v>{'coin':1000,'item036':10},</v>
      </c>
      <c r="Y60" s="254" t="str">
        <f>"            'to_zone':'"&amp;表1_86121822242672118[[#This Row],[目标区服]]&amp;"',
            'reward':"&amp;表1_86121822242672118[[#This Row],[辅助导出]]&amp;"
            'country':["&amp;R59&amp;","&amp;R60&amp;","&amp;R61&amp;"],"</f>
        <v>            'to_zone':'h1_626',
            'reward':{'coin':1000,'item036':10},
            'country':[1,1,0],</v>
      </c>
    </row>
    <row r="61" ht="14.25" customHeight="1" spans="1:25">
      <c r="A61" s="210">
        <v>5308</v>
      </c>
      <c r="B61" s="210">
        <f>VLOOKUP(表1_86121822242672118[[#This Row],[区服]],$P$71:$Q$92,2,FALSE)</f>
        <v>36</v>
      </c>
      <c r="C61" s="296" t="s">
        <v>294</v>
      </c>
      <c r="D61" s="212" t="str">
        <f>表1_86121822242672118[[#This Row],[目标国家]]</f>
        <v>魏</v>
      </c>
      <c r="E61" s="68">
        <f>(VLOOKUP(表1_86121822242672118[[#This Row],[目标区服]],$R$71:$S$77,2,FALSE)-表1_86121822242672118[[#This Row],[开服天数]])*配置!$B$1</f>
        <v>1000</v>
      </c>
      <c r="F61" s="213">
        <f>表1_86121822242672118[[#This Row],[补偿Coin]]*(表1_86121822242672118[[#This Row],[活跃高战玩家数]]+表1_86121822242672118[[#This Row],[活跃中坚玩家数]])</f>
        <v>28000</v>
      </c>
      <c r="G61" s="213">
        <f>(VLOOKUP(表1_86121822242672118[[#This Row],[目标区服]],$R$71:$S$77,2,FALSE)-表1_86121822242672118[[#This Row],[开服天数]])*配置!$B$2</f>
        <v>10</v>
      </c>
      <c r="H61" s="212" t="s">
        <v>27</v>
      </c>
      <c r="I61" s="212">
        <f>IF(表1_86121822242672118[[#This Row],[原国家]]="魏",0,IF(表1_86121822242672118[[#This Row],[原国家]]="蜀",1,2))</f>
        <v>2</v>
      </c>
      <c r="J61" s="299">
        <v>4</v>
      </c>
      <c r="K61" s="299">
        <v>164</v>
      </c>
      <c r="L61" s="299">
        <v>5</v>
      </c>
      <c r="M61" s="299">
        <v>23</v>
      </c>
      <c r="N61" s="299">
        <v>135542</v>
      </c>
      <c r="O61" s="299">
        <v>2726718</v>
      </c>
      <c r="P61" s="299">
        <v>20615098</v>
      </c>
      <c r="Q61" s="243" t="s">
        <v>25</v>
      </c>
      <c r="R61" s="212">
        <f>IF(表1_86121822242672118[[#This Row],[目标国家]]="魏",0,IF(表1_86121822242672118[[#This Row],[目标国家]]="蜀",1,2))</f>
        <v>0</v>
      </c>
      <c r="S61" s="299">
        <v>10620</v>
      </c>
      <c r="T61" s="299">
        <v>117356</v>
      </c>
      <c r="U61" s="299">
        <v>917034</v>
      </c>
      <c r="V61" s="299">
        <v>9456</v>
      </c>
      <c r="W61" s="299">
        <v>923085</v>
      </c>
      <c r="X61" s="245" t="str">
        <f>"{"&amp;"'coin':"&amp;表1_86121822242672118[[#This Row],[补偿Coin]]&amp;",'"&amp;配置!$A$2&amp;"':"&amp;表1_86121822242672118[[#This Row],[补偿辎重]]&amp;"},"</f>
        <v>{'coin':1000,'item036':10},</v>
      </c>
      <c r="Y61" s="254" t="str">
        <f>"      },"</f>
        <v>      },</v>
      </c>
    </row>
    <row r="62" ht="14.25" customHeight="1" spans="1:25">
      <c r="A62" s="210">
        <v>5309</v>
      </c>
      <c r="B62" s="210">
        <f>VLOOKUP(表1_86121822242672118[[#This Row],[区服]],$P$71:$Q$92,2,FALSE)</f>
        <v>36</v>
      </c>
      <c r="C62" s="296" t="s">
        <v>294</v>
      </c>
      <c r="D62" s="212" t="str">
        <f>表1_86121822242672118[[#This Row],[目标国家]]</f>
        <v>魏</v>
      </c>
      <c r="E62" s="68">
        <f>(VLOOKUP(表1_86121822242672118[[#This Row],[目标区服]],$R$71:$S$77,2,FALSE)-表1_86121822242672118[[#This Row],[开服天数]])*配置!$B$1</f>
        <v>1000</v>
      </c>
      <c r="F62" s="213">
        <f>表1_86121822242672118[[#This Row],[补偿Coin]]*(表1_86121822242672118[[#This Row],[活跃高战玩家数]]+表1_86121822242672118[[#This Row],[活跃中坚玩家数]])</f>
        <v>11000</v>
      </c>
      <c r="G62" s="213">
        <f>(VLOOKUP(表1_86121822242672118[[#This Row],[目标区服]],$R$71:$S$77,2,FALSE)-表1_86121822242672118[[#This Row],[开服天数]])*配置!$B$2</f>
        <v>10</v>
      </c>
      <c r="H62" s="212" t="s">
        <v>25</v>
      </c>
      <c r="I62" s="212">
        <f>IF(表1_86121822242672118[[#This Row],[原国家]]="魏",0,IF(表1_86121822242672118[[#This Row],[原国家]]="蜀",1,2))</f>
        <v>0</v>
      </c>
      <c r="J62" s="299">
        <v>0</v>
      </c>
      <c r="K62" s="299">
        <v>34</v>
      </c>
      <c r="L62" s="299">
        <v>0</v>
      </c>
      <c r="M62" s="299">
        <v>11</v>
      </c>
      <c r="N62" s="299">
        <v>25321</v>
      </c>
      <c r="O62" s="299">
        <v>912741</v>
      </c>
      <c r="P62" s="299">
        <v>5181509</v>
      </c>
      <c r="Q62" s="243" t="s">
        <v>25</v>
      </c>
      <c r="R62" s="212">
        <f>IF(表1_86121822242672118[[#This Row],[目标国家]]="魏",0,IF(表1_86121822242672118[[#This Row],[目标国家]]="蜀",1,2))</f>
        <v>0</v>
      </c>
      <c r="S62" s="299">
        <v>2490</v>
      </c>
      <c r="T62" s="299">
        <v>0</v>
      </c>
      <c r="U62" s="299">
        <v>83043</v>
      </c>
      <c r="V62" s="299">
        <v>2013</v>
      </c>
      <c r="W62" s="299">
        <v>318244</v>
      </c>
      <c r="X62" s="254" t="str">
        <f>"{"&amp;"'coin':"&amp;表1_86121822242672118[[#This Row],[补偿Coin]]&amp;",'"&amp;配置!$A$2&amp;"':"&amp;表1_86121822242672118[[#This Row],[补偿辎重]]&amp;"},"</f>
        <v>{'coin':1000,'item036':10},</v>
      </c>
      <c r="Y62" s="254" t="str">
        <f>"      '"&amp;表1_86121822242672118[[#This Row],[区服]]&amp;"':{"</f>
        <v>      '5309':{</v>
      </c>
    </row>
    <row r="63" ht="14.25" customHeight="1" spans="1:25">
      <c r="A63" s="210">
        <v>5309</v>
      </c>
      <c r="B63" s="210">
        <f>VLOOKUP(表1_86121822242672118[[#This Row],[区服]],$P$71:$Q$92,2,FALSE)</f>
        <v>36</v>
      </c>
      <c r="C63" s="296" t="s">
        <v>294</v>
      </c>
      <c r="D63" s="212" t="str">
        <f>表1_86121822242672118[[#This Row],[目标国家]]</f>
        <v>吴</v>
      </c>
      <c r="E63" s="68">
        <f>(VLOOKUP(表1_86121822242672118[[#This Row],[目标区服]],$R$71:$S$77,2,FALSE)-表1_86121822242672118[[#This Row],[开服天数]])*配置!$B$1</f>
        <v>1000</v>
      </c>
      <c r="F63" s="213">
        <f>表1_86121822242672118[[#This Row],[补偿Coin]]*(表1_86121822242672118[[#This Row],[活跃高战玩家数]]+表1_86121822242672118[[#This Row],[活跃中坚玩家数]])</f>
        <v>20000</v>
      </c>
      <c r="G63" s="213">
        <f>(VLOOKUP(表1_86121822242672118[[#This Row],[目标区服]],$R$71:$S$77,2,FALSE)-表1_86121822242672118[[#This Row],[开服天数]])*配置!$B$2</f>
        <v>10</v>
      </c>
      <c r="H63" s="212" t="s">
        <v>26</v>
      </c>
      <c r="I63" s="212">
        <f>IF(表1_86121822242672118[[#This Row],[原国家]]="魏",0,IF(表1_86121822242672118[[#This Row],[原国家]]="蜀",1,2))</f>
        <v>1</v>
      </c>
      <c r="J63" s="299">
        <v>0</v>
      </c>
      <c r="K63" s="299">
        <v>42</v>
      </c>
      <c r="L63" s="299">
        <v>0</v>
      </c>
      <c r="M63" s="299">
        <v>20</v>
      </c>
      <c r="N63" s="299">
        <v>61880</v>
      </c>
      <c r="O63" s="299">
        <v>1088262</v>
      </c>
      <c r="P63" s="299">
        <v>11027746</v>
      </c>
      <c r="Q63" s="243" t="s">
        <v>27</v>
      </c>
      <c r="R63" s="212">
        <f>IF(表1_86121822242672118[[#This Row],[目标国家]]="魏",0,IF(表1_86121822242672118[[#This Row],[目标国家]]="蜀",1,2))</f>
        <v>2</v>
      </c>
      <c r="S63" s="299">
        <v>12750</v>
      </c>
      <c r="T63" s="299">
        <v>0</v>
      </c>
      <c r="U63" s="299">
        <v>195462</v>
      </c>
      <c r="V63" s="299">
        <v>3400</v>
      </c>
      <c r="W63" s="299">
        <v>568442</v>
      </c>
      <c r="X63" s="254" t="str">
        <f>"{"&amp;"'coin':"&amp;表1_86121822242672118[[#This Row],[补偿Coin]]&amp;",'"&amp;配置!$A$2&amp;"':"&amp;表1_86121822242672118[[#This Row],[补偿辎重]]&amp;"},"</f>
        <v>{'coin':1000,'item036':10},</v>
      </c>
      <c r="Y63" s="254" t="str">
        <f>"            'to_zone':'"&amp;表1_86121822242672118[[#This Row],[目标区服]]&amp;"',
            'reward':"&amp;表1_86121822242672118[[#This Row],[辅助导出]]&amp;"
            'country':["&amp;R62&amp;","&amp;R63&amp;","&amp;R64&amp;"],"</f>
        <v>            'to_zone':'h1_626',
            'reward':{'coin':1000,'item036':10},
            'country':[0,2,2],</v>
      </c>
    </row>
    <row r="64" ht="14.25" customHeight="1" spans="1:25">
      <c r="A64" s="210">
        <v>5309</v>
      </c>
      <c r="B64" s="210">
        <f>VLOOKUP(表1_86121822242672118[[#This Row],[区服]],$P$71:$Q$92,2,FALSE)</f>
        <v>36</v>
      </c>
      <c r="C64" s="296" t="s">
        <v>294</v>
      </c>
      <c r="D64" s="212" t="str">
        <f>表1_86121822242672118[[#This Row],[目标国家]]</f>
        <v>吴</v>
      </c>
      <c r="E64" s="68">
        <f>(VLOOKUP(表1_86121822242672118[[#This Row],[目标区服]],$R$71:$S$77,2,FALSE)-表1_86121822242672118[[#This Row],[开服天数]])*配置!$B$1</f>
        <v>1000</v>
      </c>
      <c r="F64" s="213">
        <f>表1_86121822242672118[[#This Row],[补偿Coin]]*(表1_86121822242672118[[#This Row],[活跃高战玩家数]]+表1_86121822242672118[[#This Row],[活跃中坚玩家数]])</f>
        <v>35000</v>
      </c>
      <c r="G64" s="213">
        <f>(VLOOKUP(表1_86121822242672118[[#This Row],[目标区服]],$R$71:$S$77,2,FALSE)-表1_86121822242672118[[#This Row],[开服天数]])*配置!$B$2</f>
        <v>10</v>
      </c>
      <c r="H64" s="212" t="s">
        <v>27</v>
      </c>
      <c r="I64" s="212">
        <f>IF(表1_86121822242672118[[#This Row],[原国家]]="魏",0,IF(表1_86121822242672118[[#This Row],[原国家]]="蜀",1,2))</f>
        <v>2</v>
      </c>
      <c r="J64" s="299">
        <v>9</v>
      </c>
      <c r="K64" s="299">
        <v>319</v>
      </c>
      <c r="L64" s="299">
        <v>7</v>
      </c>
      <c r="M64" s="299">
        <v>28</v>
      </c>
      <c r="N64" s="299">
        <v>184545</v>
      </c>
      <c r="O64" s="299">
        <v>3912851</v>
      </c>
      <c r="P64" s="299">
        <v>32620097</v>
      </c>
      <c r="Q64" s="243" t="s">
        <v>27</v>
      </c>
      <c r="R64" s="212">
        <f>IF(表1_86121822242672118[[#This Row],[目标国家]]="魏",0,IF(表1_86121822242672118[[#This Row],[目标国家]]="蜀",1,2))</f>
        <v>2</v>
      </c>
      <c r="S64" s="299">
        <v>133018</v>
      </c>
      <c r="T64" s="299">
        <v>107846</v>
      </c>
      <c r="U64" s="299">
        <v>1688482</v>
      </c>
      <c r="V64" s="299">
        <v>18100</v>
      </c>
      <c r="W64" s="299">
        <v>1072301</v>
      </c>
      <c r="X64" s="245" t="str">
        <f>"{"&amp;"'coin':"&amp;表1_86121822242672118[[#This Row],[补偿Coin]]&amp;",'"&amp;配置!$A$2&amp;"':"&amp;表1_86121822242672118[[#This Row],[补偿辎重]]&amp;"},"</f>
        <v>{'coin':1000,'item036':10},</v>
      </c>
      <c r="Y64" s="254" t="str">
        <f>"      },"</f>
        <v>      },</v>
      </c>
    </row>
    <row r="65" ht="14.25" customHeight="1" spans="1:25">
      <c r="A65" s="210">
        <v>5310</v>
      </c>
      <c r="B65" s="210">
        <f>VLOOKUP(表1_86121822242672118[[#This Row],[区服]],$P$71:$Q$92,2,FALSE)</f>
        <v>35</v>
      </c>
      <c r="C65" s="296" t="s">
        <v>294</v>
      </c>
      <c r="D65" s="212" t="str">
        <f>表1_86121822242672118[[#This Row],[目标国家]]</f>
        <v>魏</v>
      </c>
      <c r="E65" s="68">
        <f>(VLOOKUP(表1_86121822242672118[[#This Row],[目标区服]],$R$71:$S$77,2,FALSE)-表1_86121822242672118[[#This Row],[开服天数]])*配置!$B$1</f>
        <v>1500</v>
      </c>
      <c r="F65" s="213">
        <f>表1_86121822242672118[[#This Row],[补偿Coin]]*(表1_86121822242672118[[#This Row],[活跃高战玩家数]]+表1_86121822242672118[[#This Row],[活跃中坚玩家数]])</f>
        <v>52500</v>
      </c>
      <c r="G65" s="213">
        <f>(VLOOKUP(表1_86121822242672118[[#This Row],[目标区服]],$R$71:$S$77,2,FALSE)-表1_86121822242672118[[#This Row],[开服天数]])*配置!$B$2</f>
        <v>15</v>
      </c>
      <c r="H65" s="212" t="s">
        <v>25</v>
      </c>
      <c r="I65" s="212">
        <f>IF(表1_86121822242672118[[#This Row],[原国家]]="魏",0,IF(表1_86121822242672118[[#This Row],[原国家]]="蜀",1,2))</f>
        <v>0</v>
      </c>
      <c r="J65" s="299">
        <v>4</v>
      </c>
      <c r="K65" s="299">
        <v>154</v>
      </c>
      <c r="L65" s="299">
        <v>4</v>
      </c>
      <c r="M65" s="299">
        <v>31</v>
      </c>
      <c r="N65" s="299">
        <v>153740</v>
      </c>
      <c r="O65" s="299">
        <v>2479415</v>
      </c>
      <c r="P65" s="299">
        <v>25014909</v>
      </c>
      <c r="Q65" s="243" t="s">
        <v>25</v>
      </c>
      <c r="R65" s="212">
        <f>IF(表1_86121822242672118[[#This Row],[目标国家]]="魏",0,IF(表1_86121822242672118[[#This Row],[目标国家]]="蜀",1,2))</f>
        <v>0</v>
      </c>
      <c r="S65" s="299">
        <v>71456</v>
      </c>
      <c r="T65" s="299">
        <v>0</v>
      </c>
      <c r="U65" s="299">
        <v>345807</v>
      </c>
      <c r="V65" s="299">
        <v>10006</v>
      </c>
      <c r="W65" s="299">
        <v>935788</v>
      </c>
      <c r="X65" s="254" t="str">
        <f>"{"&amp;"'coin':"&amp;表1_86121822242672118[[#This Row],[补偿Coin]]&amp;",'"&amp;配置!$A$2&amp;"':"&amp;表1_86121822242672118[[#This Row],[补偿辎重]]&amp;"},"</f>
        <v>{'coin':1500,'item036':15},</v>
      </c>
      <c r="Y65" s="254" t="str">
        <f>"      '"&amp;表1_86121822242672118[[#This Row],[区服]]&amp;"':{"</f>
        <v>      '5310':{</v>
      </c>
    </row>
    <row r="66" ht="14.25" customHeight="1" spans="1:25">
      <c r="A66" s="210">
        <v>5310</v>
      </c>
      <c r="B66" s="210">
        <f>VLOOKUP(表1_86121822242672118[[#This Row],[区服]],$P$71:$Q$92,2,FALSE)</f>
        <v>35</v>
      </c>
      <c r="C66" s="296" t="s">
        <v>294</v>
      </c>
      <c r="D66" s="212" t="str">
        <f>表1_86121822242672118[[#This Row],[目标国家]]</f>
        <v>蜀</v>
      </c>
      <c r="E66" s="68">
        <f>(VLOOKUP(表1_86121822242672118[[#This Row],[目标区服]],$R$71:$S$77,2,FALSE)-表1_86121822242672118[[#This Row],[开服天数]])*配置!$B$1</f>
        <v>1500</v>
      </c>
      <c r="F66" s="213">
        <f>表1_86121822242672118[[#This Row],[补偿Coin]]*(表1_86121822242672118[[#This Row],[活跃高战玩家数]]+表1_86121822242672118[[#This Row],[活跃中坚玩家数]])</f>
        <v>42000</v>
      </c>
      <c r="G66" s="213">
        <f>(VLOOKUP(表1_86121822242672118[[#This Row],[目标区服]],$R$71:$S$77,2,FALSE)-表1_86121822242672118[[#This Row],[开服天数]])*配置!$B$2</f>
        <v>15</v>
      </c>
      <c r="H66" s="212" t="s">
        <v>26</v>
      </c>
      <c r="I66" s="212">
        <f>IF(表1_86121822242672118[[#This Row],[原国家]]="魏",0,IF(表1_86121822242672118[[#This Row],[原国家]]="蜀",1,2))</f>
        <v>1</v>
      </c>
      <c r="J66" s="299">
        <v>3</v>
      </c>
      <c r="K66" s="299">
        <v>169</v>
      </c>
      <c r="L66" s="299">
        <v>5</v>
      </c>
      <c r="M66" s="299">
        <v>23</v>
      </c>
      <c r="N66" s="299">
        <v>105094</v>
      </c>
      <c r="O66" s="299">
        <v>2772079</v>
      </c>
      <c r="P66" s="299">
        <v>19455348</v>
      </c>
      <c r="Q66" s="243" t="s">
        <v>26</v>
      </c>
      <c r="R66" s="212">
        <f>IF(表1_86121822242672118[[#This Row],[目标国家]]="魏",0,IF(表1_86121822242672118[[#This Row],[目标国家]]="蜀",1,2))</f>
        <v>1</v>
      </c>
      <c r="S66" s="299">
        <v>101346</v>
      </c>
      <c r="T66" s="299">
        <v>0</v>
      </c>
      <c r="U66" s="299">
        <v>519635</v>
      </c>
      <c r="V66" s="299">
        <v>10533</v>
      </c>
      <c r="W66" s="299">
        <v>943251</v>
      </c>
      <c r="X66" s="254" t="str">
        <f>"{"&amp;"'coin':"&amp;表1_86121822242672118[[#This Row],[补偿Coin]]&amp;",'"&amp;配置!$A$2&amp;"':"&amp;表1_86121822242672118[[#This Row],[补偿辎重]]&amp;"},"</f>
        <v>{'coin':1500,'item036':15},</v>
      </c>
      <c r="Y66" s="254" t="str">
        <f>"            'to_zone':'"&amp;表1_86121822242672118[[#This Row],[目标区服]]&amp;"',
            'reward':"&amp;表1_86121822242672118[[#This Row],[辅助导出]]&amp;"
            'country':["&amp;R65&amp;","&amp;R66&amp;","&amp;R67&amp;"],"</f>
        <v>            'to_zone':'h1_626',
            'reward':{'coin':1500,'item036':15},
            'country':[0,1,2],</v>
      </c>
    </row>
    <row r="67" ht="14.25" customHeight="1" spans="1:25">
      <c r="A67" s="210">
        <v>5310</v>
      </c>
      <c r="B67" s="210">
        <f>VLOOKUP(表1_86121822242672118[[#This Row],[区服]],$P$71:$Q$92,2,FALSE)</f>
        <v>35</v>
      </c>
      <c r="C67" s="296" t="s">
        <v>294</v>
      </c>
      <c r="D67" s="212" t="str">
        <f>表1_86121822242672118[[#This Row],[目标国家]]</f>
        <v>吴</v>
      </c>
      <c r="E67" s="68">
        <f>(VLOOKUP(表1_86121822242672118[[#This Row],[目标区服]],$R$71:$S$77,2,FALSE)-表1_86121822242672118[[#This Row],[开服天数]])*配置!$B$1</f>
        <v>1500</v>
      </c>
      <c r="F67" s="213">
        <f>表1_86121822242672118[[#This Row],[补偿Coin]]*(表1_86121822242672118[[#This Row],[活跃高战玩家数]]+表1_86121822242672118[[#This Row],[活跃中坚玩家数]])</f>
        <v>27000</v>
      </c>
      <c r="G67" s="213">
        <f>(VLOOKUP(表1_86121822242672118[[#This Row],[目标区服]],$R$71:$S$77,2,FALSE)-表1_86121822242672118[[#This Row],[开服天数]])*配置!$B$2</f>
        <v>15</v>
      </c>
      <c r="H67" s="212" t="s">
        <v>27</v>
      </c>
      <c r="I67" s="212">
        <f>IF(表1_86121822242672118[[#This Row],[原国家]]="魏",0,IF(表1_86121822242672118[[#This Row],[原国家]]="蜀",1,2))</f>
        <v>2</v>
      </c>
      <c r="J67" s="299">
        <v>2</v>
      </c>
      <c r="K67" s="299">
        <v>72</v>
      </c>
      <c r="L67" s="299">
        <v>1</v>
      </c>
      <c r="M67" s="299">
        <v>17</v>
      </c>
      <c r="N67" s="299">
        <v>57616</v>
      </c>
      <c r="O67" s="299">
        <v>1862894</v>
      </c>
      <c r="P67" s="299">
        <v>10633122</v>
      </c>
      <c r="Q67" s="243" t="s">
        <v>27</v>
      </c>
      <c r="R67" s="212">
        <f>IF(表1_86121822242672118[[#This Row],[目标国家]]="魏",0,IF(表1_86121822242672118[[#This Row],[目标国家]]="蜀",1,2))</f>
        <v>2</v>
      </c>
      <c r="S67" s="299">
        <v>5990</v>
      </c>
      <c r="T67" s="299">
        <v>42124</v>
      </c>
      <c r="U67" s="299">
        <v>245735</v>
      </c>
      <c r="V67" s="299">
        <v>4858</v>
      </c>
      <c r="W67" s="299">
        <v>765327</v>
      </c>
      <c r="X67" s="245" t="str">
        <f>"{"&amp;"'coin':"&amp;表1_86121822242672118[[#This Row],[补偿Coin]]&amp;",'"&amp;配置!$A$2&amp;"':"&amp;表1_86121822242672118[[#This Row],[补偿辎重]]&amp;"},"</f>
        <v>{'coin':1500,'item036':15},</v>
      </c>
      <c r="Y67" s="254" t="str">
        <f>"      },"</f>
        <v>      },</v>
      </c>
    </row>
    <row r="70" ht="37.5" customHeight="1" spans="1:19">
      <c r="A70" s="36" t="s">
        <v>28</v>
      </c>
      <c r="B70" s="37" t="s">
        <v>29</v>
      </c>
      <c r="C70" s="38" t="s">
        <v>30</v>
      </c>
      <c r="D70" s="38" t="s">
        <v>31</v>
      </c>
      <c r="E70" s="38" t="s">
        <v>32</v>
      </c>
      <c r="F70" s="38" t="s">
        <v>33</v>
      </c>
      <c r="G70" s="38" t="s">
        <v>15</v>
      </c>
      <c r="H70" s="37" t="s">
        <v>18</v>
      </c>
      <c r="I70" s="37" t="s">
        <v>19</v>
      </c>
      <c r="J70" s="37" t="s">
        <v>34</v>
      </c>
      <c r="K70" s="38" t="s">
        <v>35</v>
      </c>
      <c r="L70" s="38" t="s">
        <v>36</v>
      </c>
      <c r="M70" s="38" t="s">
        <v>37</v>
      </c>
      <c r="N70" s="38" t="s">
        <v>88</v>
      </c>
      <c r="P70" s="51" t="s">
        <v>0</v>
      </c>
      <c r="Q70" s="51" t="s">
        <v>1</v>
      </c>
      <c r="R70" s="51"/>
      <c r="S70" s="51" t="s">
        <v>38</v>
      </c>
    </row>
    <row r="71" ht="15.75" customHeight="1" spans="1:19">
      <c r="A71" s="306" t="s">
        <v>288</v>
      </c>
      <c r="B71" s="306" t="s">
        <v>25</v>
      </c>
      <c r="C71" s="306">
        <f>COUNTIFS(表1_86121822242672118[目标区服],表2_97131923252773119[[#This Row],[合区区服]],表1_86121822242672118[目标国家（映射）],表2_97131923252773119[[#This Row],[国家]])</f>
        <v>3</v>
      </c>
      <c r="D71" s="306">
        <f>SUMIFS(表1_86121822242672118[活跃高战玩家数],表1_86121822242672118[目标区服],表2_97131923252773119[[#This Row],[合区区服]],表1_86121822242672118[目标国家（映射）],表2_97131923252773119[[#This Row],[国家]])</f>
        <v>10</v>
      </c>
      <c r="E71" s="306">
        <f>SUMIFS(表1_86121822242672118[活跃中坚玩家数],表1_86121822242672118[目标区服],表2_97131923252773119[[#This Row],[合区区服]],表1_86121822242672118[目标国家（映射）],表2_97131923252773119[[#This Row],[国家]])</f>
        <v>46</v>
      </c>
      <c r="F71" s="306">
        <f t="array" ref="F71">MAX((表1_86121822242672118[目标区服]=表2_97131923252773119[[#This Row],[合区区服]])*(表1_86121822242672118[目标国家（映射）]=表2_97131923252773119[[#This Row],[国家]])*表1_86121822242672118[活跃尖端战力])</f>
        <v>2529770</v>
      </c>
      <c r="G71" s="307">
        <f>SUMIFS(表1_86121822242672118[活跃总战力],表1_86121822242672118[目标区服],表2_97131923252773119[[#This Row],[合区区服]],表1_86121822242672118[目标国家（映射）],表2_97131923252773119[[#This Row],[国家]])</f>
        <v>37420740</v>
      </c>
      <c r="H71" s="306">
        <f>SUMIFS(表1_86121822242672118[活跃实际充值],表1_86121822242672118[目标区服],表2_97131923252773119[[#This Row],[合区区服]],表1_86121822242672118[目标国家（映射）],表2_97131923252773119[[#This Row],[国家]])</f>
        <v>93460</v>
      </c>
      <c r="I71" s="306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71" s="306">
        <f>SUMIFS(表1_86121822242672118[活跃Coin],表1_86121822242672118[目标区服],表2_97131923252773119[[#This Row],[合区区服]],表1_86121822242672118[目标国家（映射）],表2_97131923252773119[[#This Row],[国家]])</f>
        <v>1133679</v>
      </c>
      <c r="K71" s="306">
        <f>SUMIFS(表1_86121822242672118[共计补偿Coin],表1_86121822242672118[目标区服],表2_97131923252773119[[#This Row],[合区区服]],表1_86121822242672118[目标国家（映射）],表2_97131923252773119[[#This Row],[国家]])</f>
        <v>56000</v>
      </c>
      <c r="L71" s="306">
        <f>表2_97131923252773119[[#This Row],[活跃Coin]]+表2_97131923252773119[[#This Row],[共计补偿Coin]]</f>
        <v>1189679</v>
      </c>
      <c r="M71" s="306">
        <f>SUMIFS(表1_86121822242672118[综合国力],表1_86121822242672118[目标区服],表2_97131923252773119[[#This Row],[合区区服]],表1_86121822242672118[目标国家（映射）],表2_97131923252773119[[#This Row],[国家]])</f>
        <v>19847</v>
      </c>
      <c r="N71" s="306">
        <f t="array" ref="N71">MAX((表1_86121822242672118[目标区服]=表2_97131923252773119[[#This Row],[合区区服]])*(表1_86121822242672118[目标国家（映射）]=表2_97131923252773119[[#This Row],[国家]])*表1_86121822242672118[单将最高战力])</f>
        <v>801935</v>
      </c>
      <c r="P71" s="51">
        <v>5289</v>
      </c>
      <c r="Q71" s="51">
        <v>39</v>
      </c>
      <c r="R71" s="51" t="s">
        <v>288</v>
      </c>
      <c r="S71" s="51">
        <v>41</v>
      </c>
    </row>
    <row r="72" ht="15" spans="1:19">
      <c r="A72" s="306" t="s">
        <v>288</v>
      </c>
      <c r="B72" s="306" t="s">
        <v>26</v>
      </c>
      <c r="C72" s="306">
        <f>COUNTIFS(表1_86121822242672118[目标区服],表2_97131923252773119[[#This Row],[合区区服]],表1_86121822242672118[目标国家（映射）],表2_97131923252773119[[#This Row],[国家]])</f>
        <v>2</v>
      </c>
      <c r="D72" s="306">
        <f>SUMIFS(表1_86121822242672118[活跃高战玩家数],表1_86121822242672118[目标区服],表2_97131923252773119[[#This Row],[合区区服]],表1_86121822242672118[目标国家（映射）],表2_97131923252773119[[#This Row],[国家]])</f>
        <v>9</v>
      </c>
      <c r="E72" s="306">
        <f>SUMIFS(表1_86121822242672118[活跃中坚玩家数],表1_86121822242672118[目标区服],表2_97131923252773119[[#This Row],[合区区服]],表1_86121822242672118[目标国家（映射）],表2_97131923252773119[[#This Row],[国家]])</f>
        <v>40</v>
      </c>
      <c r="F72" s="306">
        <f t="array" ref="F72">MAX((表1_86121822242672118[目标区服]=表2_97131923252773119[[#This Row],[合区区服]])*(表1_86121822242672118[目标国家（映射）]=表2_97131923252773119[[#This Row],[国家]])*表1_86121822242672118[活跃尖端战力])</f>
        <v>2829161</v>
      </c>
      <c r="G72" s="307">
        <f>SUMIFS(表1_86121822242672118[活跃总战力],表1_86121822242672118[目标区服],表2_97131923252773119[[#This Row],[合区区服]],表1_86121822242672118[目标国家（映射）],表2_97131923252773119[[#This Row],[国家]])</f>
        <v>38131953</v>
      </c>
      <c r="H72" s="306">
        <f>SUMIFS(表1_86121822242672118[活跃实际充值],表1_86121822242672118[目标区服],表2_97131923252773119[[#This Row],[合区区服]],表1_86121822242672118[目标国家（映射）],表2_97131923252773119[[#This Row],[国家]])</f>
        <v>85626</v>
      </c>
      <c r="I72" s="306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72" s="306">
        <f>SUMIFS(表1_86121822242672118[活跃Coin],表1_86121822242672118[目标区服],表2_97131923252773119[[#This Row],[合区区服]],表1_86121822242672118[目标国家（映射）],表2_97131923252773119[[#This Row],[国家]])</f>
        <v>690055</v>
      </c>
      <c r="K72" s="306">
        <f>SUMIFS(表1_86121822242672118[共计补偿Coin],表1_86121822242672118[目标区服],表2_97131923252773119[[#This Row],[合区区服]],表1_86121822242672118[目标国家（映射）],表2_97131923252773119[[#This Row],[国家]])</f>
        <v>49000</v>
      </c>
      <c r="L72" s="306">
        <f>表2_97131923252773119[[#This Row],[活跃Coin]]+表2_97131923252773119[[#This Row],[共计补偿Coin]]</f>
        <v>739055</v>
      </c>
      <c r="M72" s="306">
        <f>SUMIFS(表1_86121822242672118[综合国力],表1_86121822242672118[目标区服],表2_97131923252773119[[#This Row],[合区区服]],表1_86121822242672118[目标国家（映射）],表2_97131923252773119[[#This Row],[国家]])</f>
        <v>16196</v>
      </c>
      <c r="N72" s="306">
        <f t="array" ref="N72">MAX((表1_86121822242672118[目标区服]=表2_97131923252773119[[#This Row],[合区区服]])*(表1_86121822242672118[目标国家（映射）]=表2_97131923252773119[[#This Row],[国家]])*表1_86121822242672118[单将最高战力])</f>
        <v>882787</v>
      </c>
      <c r="P72" s="51">
        <v>5290</v>
      </c>
      <c r="Q72" s="51">
        <v>39</v>
      </c>
      <c r="R72" s="51" t="s">
        <v>289</v>
      </c>
      <c r="S72" s="51">
        <v>41</v>
      </c>
    </row>
    <row r="73" ht="15" spans="1:19">
      <c r="A73" s="306" t="s">
        <v>288</v>
      </c>
      <c r="B73" s="306" t="s">
        <v>27</v>
      </c>
      <c r="C73" s="306">
        <f>COUNTIFS(表1_86121822242672118[目标区服],表2_97131923252773119[[#This Row],[合区区服]],表1_86121822242672118[目标国家（映射）],表2_97131923252773119[[#This Row],[国家]])</f>
        <v>4</v>
      </c>
      <c r="D73" s="306">
        <f>SUMIFS(表1_86121822242672118[活跃高战玩家数],表1_86121822242672118[目标区服],表2_97131923252773119[[#This Row],[合区区服]],表1_86121822242672118[目标国家（映射）],表2_97131923252773119[[#This Row],[国家]])</f>
        <v>10</v>
      </c>
      <c r="E73" s="306">
        <f>SUMIFS(表1_86121822242672118[活跃中坚玩家数],表1_86121822242672118[目标区服],表2_97131923252773119[[#This Row],[合区区服]],表1_86121822242672118[目标国家（映射）],表2_97131923252773119[[#This Row],[国家]])</f>
        <v>55</v>
      </c>
      <c r="F73" s="306">
        <f t="array" ref="F73">MAX((表1_86121822242672118[目标区服]=表2_97131923252773119[[#This Row],[合区区服]])*(表1_86121822242672118[目标国家（映射）]=表2_97131923252773119[[#This Row],[国家]])*表1_86121822242672118[活跃尖端战力])</f>
        <v>2364284</v>
      </c>
      <c r="G73" s="307">
        <f>SUMIFS(表1_86121822242672118[活跃总战力],表1_86121822242672118[目标区服],表2_97131923252773119[[#This Row],[合区区服]],表1_86121822242672118[目标国家（映射）],表2_97131923252773119[[#This Row],[国家]])</f>
        <v>44315434</v>
      </c>
      <c r="H73" s="306">
        <f>SUMIFS(表1_86121822242672118[活跃实际充值],表1_86121822242672118[目标区服],表2_97131923252773119[[#This Row],[合区区服]],表1_86121822242672118[目标国家（映射）],表2_97131923252773119[[#This Row],[国家]])</f>
        <v>102572</v>
      </c>
      <c r="I73" s="306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73" s="306">
        <f>SUMIFS(表1_86121822242672118[活跃Coin],表1_86121822242672118[目标区服],表2_97131923252773119[[#This Row],[合区区服]],表1_86121822242672118[目标国家（映射）],表2_97131923252773119[[#This Row],[国家]])</f>
        <v>1080798</v>
      </c>
      <c r="K73" s="306">
        <f>SUMIFS(表1_86121822242672118[共计补偿Coin],表1_86121822242672118[目标区服],表2_97131923252773119[[#This Row],[合区区服]],表1_86121822242672118[目标国家（映射）],表2_97131923252773119[[#This Row],[国家]])</f>
        <v>65000</v>
      </c>
      <c r="L73" s="306">
        <f>表2_97131923252773119[[#This Row],[活跃Coin]]+表2_97131923252773119[[#This Row],[共计补偿Coin]]</f>
        <v>1145798</v>
      </c>
      <c r="M73" s="306">
        <f>SUMIFS(表1_86121822242672118[综合国力],表1_86121822242672118[目标区服],表2_97131923252773119[[#This Row],[合区区服]],表1_86121822242672118[目标国家（映射）],表2_97131923252773119[[#This Row],[国家]])</f>
        <v>21851</v>
      </c>
      <c r="N73" s="306">
        <f t="array" ref="N73">MAX((表1_86121822242672118[目标区服]=表2_97131923252773119[[#This Row],[合区区服]])*(表1_86121822242672118[目标国家（映射）]=表2_97131923252773119[[#This Row],[国家]])*表1_86121822242672118[单将最高战力])</f>
        <v>812836</v>
      </c>
      <c r="P73" s="51">
        <v>5291</v>
      </c>
      <c r="Q73" s="51">
        <v>39</v>
      </c>
      <c r="R73" s="51" t="s">
        <v>290</v>
      </c>
      <c r="S73" s="51">
        <v>40</v>
      </c>
    </row>
    <row r="74" ht="15" spans="1:19">
      <c r="A74" s="220" t="s">
        <v>289</v>
      </c>
      <c r="B74" s="220" t="s">
        <v>25</v>
      </c>
      <c r="C74" s="220">
        <f>COUNTIFS(表1_86121822242672118[目标区服],表2_97131923252773119[[#This Row],[合区区服]],表1_86121822242672118[目标国家（映射）],表2_97131923252773119[[#This Row],[国家]])</f>
        <v>5</v>
      </c>
      <c r="D74" s="220">
        <f>SUMIFS(表1_86121822242672118[活跃高战玩家数],表1_86121822242672118[目标区服],表2_97131923252773119[[#This Row],[合区区服]],表1_86121822242672118[目标国家（映射）],表2_97131923252773119[[#This Row],[国家]])</f>
        <v>17</v>
      </c>
      <c r="E74" s="220">
        <f>SUMIFS(表1_86121822242672118[活跃中坚玩家数],表1_86121822242672118[目标区服],表2_97131923252773119[[#This Row],[合区区服]],表1_86121822242672118[目标国家（映射）],表2_97131923252773119[[#This Row],[国家]])</f>
        <v>63</v>
      </c>
      <c r="F74" s="220">
        <f t="array" ref="F74">MAX((表1_86121822242672118[目标区服]=表2_97131923252773119[[#This Row],[合区区服]])*(表1_86121822242672118[目标国家（映射）]=表2_97131923252773119[[#This Row],[国家]])*表1_86121822242672118[活跃尖端战力])</f>
        <v>2598849</v>
      </c>
      <c r="G74" s="221">
        <f>SUMIFS(表1_86121822242672118[活跃总战力],表1_86121822242672118[目标区服],表2_97131923252773119[[#This Row],[合区区服]],表1_86121822242672118[目标国家（映射）],表2_97131923252773119[[#This Row],[国家]])</f>
        <v>44624605</v>
      </c>
      <c r="H74" s="220">
        <f>SUMIFS(表1_86121822242672118[活跃实际充值],表1_86121822242672118[目标区服],表2_97131923252773119[[#This Row],[合区区服]],表1_86121822242672118[目标国家（映射）],表2_97131923252773119[[#This Row],[国家]])</f>
        <v>110646</v>
      </c>
      <c r="I74" s="220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74" s="220">
        <f>SUMIFS(表1_86121822242672118[活跃Coin],表1_86121822242672118[目标区服],表2_97131923252773119[[#This Row],[合区区服]],表1_86121822242672118[目标国家（映射）],表2_97131923252773119[[#This Row],[国家]])</f>
        <v>1128268</v>
      </c>
      <c r="K74" s="220">
        <f>SUMIFS(表1_86121822242672118[共计补偿Coin],表1_86121822242672118[目标区服],表2_97131923252773119[[#This Row],[合区区服]],表1_86121822242672118[目标国家（映射）],表2_97131923252773119[[#This Row],[国家]])</f>
        <v>80000</v>
      </c>
      <c r="L74" s="220">
        <f>表2_97131923252773119[[#This Row],[活跃Coin]]+表2_97131923252773119[[#This Row],[共计补偿Coin]]</f>
        <v>1208268</v>
      </c>
      <c r="M74" s="220">
        <f>SUMIFS(表1_86121822242672118[综合国力],表1_86121822242672118[目标区服],表2_97131923252773119[[#This Row],[合区区服]],表1_86121822242672118[目标国家（映射）],表2_97131923252773119[[#This Row],[国家]])</f>
        <v>26916</v>
      </c>
      <c r="N74" s="220">
        <f t="array" ref="N74">MAX((表1_86121822242672118[目标区服]=表2_97131923252773119[[#This Row],[合区区服]])*(表1_86121822242672118[目标国家（映射）]=表2_97131923252773119[[#This Row],[国家]])*表1_86121822242672118[单将最高战力])</f>
        <v>811833</v>
      </c>
      <c r="P74" s="51">
        <v>5292</v>
      </c>
      <c r="Q74" s="51">
        <v>39</v>
      </c>
      <c r="R74" s="51" t="s">
        <v>291</v>
      </c>
      <c r="S74" s="51">
        <v>40</v>
      </c>
    </row>
    <row r="75" ht="15" spans="1:19">
      <c r="A75" s="220" t="s">
        <v>289</v>
      </c>
      <c r="B75" s="220" t="s">
        <v>26</v>
      </c>
      <c r="C75" s="220">
        <f>COUNTIFS(表1_86121822242672118[目标区服],表2_97131923252773119[[#This Row],[合区区服]],表1_86121822242672118[目标国家（映射）],表2_97131923252773119[[#This Row],[国家]])</f>
        <v>4</v>
      </c>
      <c r="D75" s="220">
        <f>SUMIFS(表1_86121822242672118[活跃高战玩家数],表1_86121822242672118[目标区服],表2_97131923252773119[[#This Row],[合区区服]],表1_86121822242672118[目标国家（映射）],表2_97131923252773119[[#This Row],[国家]])</f>
        <v>10</v>
      </c>
      <c r="E75" s="220">
        <f>SUMIFS(表1_86121822242672118[活跃中坚玩家数],表1_86121822242672118[目标区服],表2_97131923252773119[[#This Row],[合区区服]],表1_86121822242672118[目标国家（映射）],表2_97131923252773119[[#This Row],[国家]])</f>
        <v>56</v>
      </c>
      <c r="F75" s="220">
        <f t="array" ref="F75">MAX((表1_86121822242672118[目标区服]=表2_97131923252773119[[#This Row],[合区区服]])*(表1_86121822242672118[目标国家（映射）]=表2_97131923252773119[[#This Row],[国家]])*表1_86121822242672118[活跃尖端战力])</f>
        <v>3121719</v>
      </c>
      <c r="G75" s="221">
        <f>SUMIFS(表1_86121822242672118[活跃总战力],表1_86121822242672118[目标区服],表2_97131923252773119[[#This Row],[合区区服]],表1_86121822242672118[目标国家（映射）],表2_97131923252773119[[#This Row],[国家]])</f>
        <v>42335863</v>
      </c>
      <c r="H75" s="220">
        <f>SUMIFS(表1_86121822242672118[活跃实际充值],表1_86121822242672118[目标区服],表2_97131923252773119[[#This Row],[合区区服]],表1_86121822242672118[目标国家（映射）],表2_97131923252773119[[#This Row],[国家]])</f>
        <v>103532</v>
      </c>
      <c r="I75" s="220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75" s="220">
        <f>SUMIFS(表1_86121822242672118[活跃Coin],表1_86121822242672118[目标区服],表2_97131923252773119[[#This Row],[合区区服]],表1_86121822242672118[目标国家（映射）],表2_97131923252773119[[#This Row],[国家]])</f>
        <v>1094327</v>
      </c>
      <c r="K75" s="220">
        <f>SUMIFS(表1_86121822242672118[共计补偿Coin],表1_86121822242672118[目标区服],表2_97131923252773119[[#This Row],[合区区服]],表1_86121822242672118[目标国家（映射）],表2_97131923252773119[[#This Row],[国家]])</f>
        <v>66000</v>
      </c>
      <c r="L75" s="220">
        <f>表2_97131923252773119[[#This Row],[活跃Coin]]+表2_97131923252773119[[#This Row],[共计补偿Coin]]</f>
        <v>1160327</v>
      </c>
      <c r="M75" s="220">
        <f>SUMIFS(表1_86121822242672118[综合国力],表1_86121822242672118[目标区服],表2_97131923252773119[[#This Row],[合区区服]],表1_86121822242672118[目标国家（映射）],表2_97131923252773119[[#This Row],[国家]])</f>
        <v>20218</v>
      </c>
      <c r="N75" s="220">
        <f t="array" ref="N75">MAX((表1_86121822242672118[目标区服]=表2_97131923252773119[[#This Row],[合区区服]])*(表1_86121822242672118[目标国家（映射）]=表2_97131923252773119[[#This Row],[国家]])*表1_86121822242672118[单将最高战力])</f>
        <v>827341</v>
      </c>
      <c r="P75" s="51">
        <v>5293</v>
      </c>
      <c r="Q75" s="51">
        <v>39</v>
      </c>
      <c r="R75" s="51" t="s">
        <v>292</v>
      </c>
      <c r="S75" s="51">
        <v>39</v>
      </c>
    </row>
    <row r="76" ht="15" spans="1:19">
      <c r="A76" s="220" t="s">
        <v>289</v>
      </c>
      <c r="B76" s="222" t="s">
        <v>27</v>
      </c>
      <c r="C76" s="222">
        <f>COUNTIFS(表1_86121822242672118[目标区服],表2_97131923252773119[[#This Row],[合区区服]],表1_86121822242672118[目标国家（映射）],表2_97131923252773119[[#This Row],[国家]])</f>
        <v>3</v>
      </c>
      <c r="D76" s="222">
        <f>SUMIFS(表1_86121822242672118[活跃高战玩家数],表1_86121822242672118[目标区服],表2_97131923252773119[[#This Row],[合区区服]],表1_86121822242672118[目标国家（映射）],表2_97131923252773119[[#This Row],[国家]])</f>
        <v>10</v>
      </c>
      <c r="E76" s="222">
        <f>SUMIFS(表1_86121822242672118[活跃中坚玩家数],表1_86121822242672118[目标区服],表2_97131923252773119[[#This Row],[合区区服]],表1_86121822242672118[目标国家（映射）],表2_97131923252773119[[#This Row],[国家]])</f>
        <v>62</v>
      </c>
      <c r="F76" s="222">
        <f t="array" ref="F76">MAX((表1_86121822242672118[目标区服]=表2_97131923252773119[[#This Row],[合区区服]])*(表1_86121822242672118[目标国家（映射）]=表2_97131923252773119[[#This Row],[国家]])*表1_86121822242672118[活跃尖端战力])</f>
        <v>2356271</v>
      </c>
      <c r="G76" s="223">
        <f>SUMIFS(表1_86121822242672118[活跃总战力],表1_86121822242672118[目标区服],表2_97131923252773119[[#This Row],[合区区服]],表1_86121822242672118[目标国家（映射）],表2_97131923252773119[[#This Row],[国家]])</f>
        <v>46056986</v>
      </c>
      <c r="H76" s="222">
        <f>SUMIFS(表1_86121822242672118[活跃实际充值],表1_86121822242672118[目标区服],表2_97131923252773119[[#This Row],[合区区服]],表1_86121822242672118[目标国家（映射）],表2_97131923252773119[[#This Row],[国家]])</f>
        <v>102264</v>
      </c>
      <c r="I76" s="222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76" s="222">
        <f>SUMIFS(表1_86121822242672118[活跃Coin],表1_86121822242672118[目标区服],表2_97131923252773119[[#This Row],[合区区服]],表1_86121822242672118[目标国家（映射）],表2_97131923252773119[[#This Row],[国家]])</f>
        <v>1221300</v>
      </c>
      <c r="K76" s="222">
        <f>SUMIFS(表1_86121822242672118[共计补偿Coin],表1_86121822242672118[目标区服],表2_97131923252773119[[#This Row],[合区区服]],表1_86121822242672118[目标国家（映射）],表2_97131923252773119[[#This Row],[国家]])</f>
        <v>72000</v>
      </c>
      <c r="L76" s="222">
        <f>表2_97131923252773119[[#This Row],[活跃Coin]]+表2_97131923252773119[[#This Row],[共计补偿Coin]]</f>
        <v>1293300</v>
      </c>
      <c r="M76" s="222">
        <f>SUMIFS(表1_86121822242672118[综合国力],表1_86121822242672118[目标区服],表2_97131923252773119[[#This Row],[合区区服]],表1_86121822242672118[目标国家（映射）],表2_97131923252773119[[#This Row],[国家]])</f>
        <v>21217</v>
      </c>
      <c r="N76" s="220">
        <f t="array" ref="N76">MAX((表1_86121822242672118[目标区服]=表2_97131923252773119[[#This Row],[合区区服]])*(表1_86121822242672118[目标国家（映射）]=表2_97131923252773119[[#This Row],[国家]])*表1_86121822242672118[单将最高战力])</f>
        <v>717127</v>
      </c>
      <c r="P76" s="51">
        <v>5294</v>
      </c>
      <c r="Q76" s="51">
        <v>39</v>
      </c>
      <c r="R76" s="51" t="s">
        <v>293</v>
      </c>
      <c r="S76" s="51">
        <v>39</v>
      </c>
    </row>
    <row r="77" ht="15" spans="1:19">
      <c r="A77" s="308" t="s">
        <v>290</v>
      </c>
      <c r="B77" s="224" t="s">
        <v>25</v>
      </c>
      <c r="C77" s="224">
        <f>COUNTIFS(表1_86121822242672118[目标区服],表2_97131923252773119[[#This Row],[合区区服]],表1_86121822242672118[目标国家（映射）],表2_97131923252773119[[#This Row],[国家]])</f>
        <v>4</v>
      </c>
      <c r="D77" s="224">
        <f>SUMIFS(表1_86121822242672118[活跃高战玩家数],表1_86121822242672118[目标区服],表2_97131923252773119[[#This Row],[合区区服]],表1_86121822242672118[目标国家（映射）],表2_97131923252773119[[#This Row],[国家]])</f>
        <v>10</v>
      </c>
      <c r="E77" s="224">
        <f>SUMIFS(表1_86121822242672118[活跃中坚玩家数],表1_86121822242672118[目标区服],表2_97131923252773119[[#This Row],[合区区服]],表1_86121822242672118[目标国家（映射）],表2_97131923252773119[[#This Row],[国家]])</f>
        <v>54</v>
      </c>
      <c r="F77" s="224">
        <f t="array" ref="F77">MAX((表1_86121822242672118[目标区服]=表2_97131923252773119[[#This Row],[合区区服]])*(表1_86121822242672118[目标国家（映射）]=表2_97131923252773119[[#This Row],[国家]])*表1_86121822242672118[活跃尖端战力])</f>
        <v>1907191</v>
      </c>
      <c r="G77" s="225">
        <f>SUMIFS(表1_86121822242672118[活跃总战力],表1_86121822242672118[目标区服],表2_97131923252773119[[#This Row],[合区区服]],表1_86121822242672118[目标国家（映射）],表2_97131923252773119[[#This Row],[国家]])</f>
        <v>41435351</v>
      </c>
      <c r="H77" s="224">
        <f>SUMIFS(表1_86121822242672118[活跃实际充值],表1_86121822242672118[目标区服],表2_97131923252773119[[#This Row],[合区区服]],表1_86121822242672118[目标国家（映射）],表2_97131923252773119[[#This Row],[国家]])</f>
        <v>108470</v>
      </c>
      <c r="I77" s="224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77" s="224">
        <f>SUMIFS(表1_86121822242672118[活跃Coin],表1_86121822242672118[目标区服],表2_97131923252773119[[#This Row],[合区区服]],表1_86121822242672118[目标国家（映射）],表2_97131923252773119[[#This Row],[国家]])</f>
        <v>761325</v>
      </c>
      <c r="K77" s="224">
        <f>SUMIFS(表1_86121822242672118[共计补偿Coin],表1_86121822242672118[目标区服],表2_97131923252773119[[#This Row],[合区区服]],表1_86121822242672118[目标国家（映射）],表2_97131923252773119[[#This Row],[国家]])</f>
        <v>64000</v>
      </c>
      <c r="L77" s="224">
        <f>表2_97131923252773119[[#This Row],[活跃Coin]]+表2_97131923252773119[[#This Row],[共计补偿Coin]]</f>
        <v>825325</v>
      </c>
      <c r="M77" s="224">
        <f>SUMIFS(表1_86121822242672118[综合国力],表1_86121822242672118[目标区服],表2_97131923252773119[[#This Row],[合区区服]],表1_86121822242672118[目标国家（映射）],表2_97131923252773119[[#This Row],[国家]])</f>
        <v>20149</v>
      </c>
      <c r="N77" s="224">
        <f t="array" ref="N77">MAX((表1_86121822242672118[目标区服]=表2_97131923252773119[[#This Row],[合区区服]])*(表1_86121822242672118[目标国家（映射）]=表2_97131923252773119[[#This Row],[国家]])*表1_86121822242672118[单将最高战力])</f>
        <v>677429</v>
      </c>
      <c r="P77" s="51">
        <v>5295</v>
      </c>
      <c r="Q77" s="51">
        <v>39</v>
      </c>
      <c r="R77" s="51" t="s">
        <v>294</v>
      </c>
      <c r="S77" s="51">
        <v>38</v>
      </c>
    </row>
    <row r="78" ht="15" spans="1:17">
      <c r="A78" s="308" t="s">
        <v>290</v>
      </c>
      <c r="B78" s="224" t="s">
        <v>26</v>
      </c>
      <c r="C78" s="224">
        <f>COUNTIFS(表1_86121822242672118[目标区服],表2_97131923252773119[[#This Row],[合区区服]],表1_86121822242672118[目标国家（映射）],表2_97131923252773119[[#This Row],[国家]])</f>
        <v>3</v>
      </c>
      <c r="D78" s="224">
        <f>SUMIFS(表1_86121822242672118[活跃高战玩家数],表1_86121822242672118[目标区服],表2_97131923252773119[[#This Row],[合区区服]],表1_86121822242672118[目标国家（映射）],表2_97131923252773119[[#This Row],[国家]])</f>
        <v>6</v>
      </c>
      <c r="E78" s="224">
        <f>SUMIFS(表1_86121822242672118[活跃中坚玩家数],表1_86121822242672118[目标区服],表2_97131923252773119[[#This Row],[合区区服]],表1_86121822242672118[目标国家（映射）],表2_97131923252773119[[#This Row],[国家]])</f>
        <v>55</v>
      </c>
      <c r="F78" s="224">
        <f t="array" ref="F78">MAX((表1_86121822242672118[目标区服]=表2_97131923252773119[[#This Row],[合区区服]])*(表1_86121822242672118[目标国家（映射）]=表2_97131923252773119[[#This Row],[国家]])*表1_86121822242672118[活跃尖端战力])</f>
        <v>2208708</v>
      </c>
      <c r="G78" s="225">
        <f>SUMIFS(表1_86121822242672118[活跃总战力],表1_86121822242672118[目标区服],表2_97131923252773119[[#This Row],[合区区服]],表1_86121822242672118[目标国家（映射）],表2_97131923252773119[[#This Row],[国家]])</f>
        <v>41010256</v>
      </c>
      <c r="H78" s="224">
        <f>SUMIFS(表1_86121822242672118[活跃实际充值],表1_86121822242672118[目标区服],表2_97131923252773119[[#This Row],[合区区服]],表1_86121822242672118[目标国家（映射）],表2_97131923252773119[[#This Row],[国家]])</f>
        <v>83214</v>
      </c>
      <c r="I78" s="224">
        <f>SUMIFS(表1_86121822242672118[活跃虚拟充值],表1_86121822242672118[目标区服],表2_97131923252773119[[#This Row],[合区区服]],表1_86121822242672118[目标国家（映射）],表2_97131923252773119[[#This Row],[国家]])</f>
        <v>68</v>
      </c>
      <c r="J78" s="224">
        <f>SUMIFS(表1_86121822242672118[活跃Coin],表1_86121822242672118[目标区服],表2_97131923252773119[[#This Row],[合区区服]],表1_86121822242672118[目标国家（映射）],表2_97131923252773119[[#This Row],[国家]])</f>
        <v>993306</v>
      </c>
      <c r="K78" s="224">
        <f>SUMIFS(表1_86121822242672118[共计补偿Coin],表1_86121822242672118[目标区服],表2_97131923252773119[[#This Row],[合区区服]],表1_86121822242672118[目标国家（映射）],表2_97131923252773119[[#This Row],[国家]])</f>
        <v>61000</v>
      </c>
      <c r="L78" s="224">
        <f>表2_97131923252773119[[#This Row],[活跃Coin]]+表2_97131923252773119[[#This Row],[共计补偿Coin]]</f>
        <v>1054306</v>
      </c>
      <c r="M78" s="224">
        <f>SUMIFS(表1_86121822242672118[综合国力],表1_86121822242672118[目标区服],表2_97131923252773119[[#This Row],[合区区服]],表1_86121822242672118[目标国家（映射）],表2_97131923252773119[[#This Row],[国家]])</f>
        <v>18398</v>
      </c>
      <c r="N78" s="224">
        <f t="array" ref="N78">MAX((表1_86121822242672118[目标区服]=表2_97131923252773119[[#This Row],[合区区服]])*(表1_86121822242672118[目标国家（映射）]=表2_97131923252773119[[#This Row],[国家]])*表1_86121822242672118[单将最高战力])</f>
        <v>606481</v>
      </c>
      <c r="P78" s="51">
        <v>5296</v>
      </c>
      <c r="Q78" s="51">
        <v>38</v>
      </c>
    </row>
    <row r="79" ht="15" spans="1:17">
      <c r="A79" s="308" t="s">
        <v>290</v>
      </c>
      <c r="B79" s="226" t="s">
        <v>27</v>
      </c>
      <c r="C79" s="226">
        <f>COUNTIFS(表1_86121822242672118[目标区服],表2_97131923252773119[[#This Row],[合区区服]],表1_86121822242672118[目标国家（映射）],表2_97131923252773119[[#This Row],[国家]])</f>
        <v>2</v>
      </c>
      <c r="D79" s="226">
        <f>SUMIFS(表1_86121822242672118[活跃高战玩家数],表1_86121822242672118[目标区服],表2_97131923252773119[[#This Row],[合区区服]],表1_86121822242672118[目标国家（映射）],表2_97131923252773119[[#This Row],[国家]])</f>
        <v>14</v>
      </c>
      <c r="E79" s="226">
        <f>SUMIFS(表1_86121822242672118[活跃中坚玩家数],表1_86121822242672118[目标区服],表2_97131923252773119[[#This Row],[合区区服]],表1_86121822242672118[目标国家（映射）],表2_97131923252773119[[#This Row],[国家]])</f>
        <v>31</v>
      </c>
      <c r="F79" s="226">
        <f t="array" ref="F79">MAX((表1_86121822242672118[目标区服]=表2_97131923252773119[[#This Row],[合区区服]])*(表1_86121822242672118[目标国家（映射）]=表2_97131923252773119[[#This Row],[国家]])*表1_86121822242672118[活跃尖端战力])</f>
        <v>2649373</v>
      </c>
      <c r="G79" s="227">
        <f>SUMIFS(表1_86121822242672118[活跃总战力],表1_86121822242672118[目标区服],表2_97131923252773119[[#This Row],[合区区服]],表1_86121822242672118[目标国家（映射）],表2_97131923252773119[[#This Row],[国家]])</f>
        <v>36711510</v>
      </c>
      <c r="H79" s="226">
        <f>SUMIFS(表1_86121822242672118[活跃实际充值],表1_86121822242672118[目标区服],表2_97131923252773119[[#This Row],[合区区服]],表1_86121822242672118[目标国家（映射）],表2_97131923252773119[[#This Row],[国家]])</f>
        <v>128279</v>
      </c>
      <c r="I79" s="226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79" s="226">
        <f>SUMIFS(表1_86121822242672118[活跃Coin],表1_86121822242672118[目标区服],表2_97131923252773119[[#This Row],[合区区服]],表1_86121822242672118[目标国家（映射）],表2_97131923252773119[[#This Row],[国家]])</f>
        <v>744726</v>
      </c>
      <c r="K79" s="226">
        <f>SUMIFS(表1_86121822242672118[共计补偿Coin],表1_86121822242672118[目标区服],表2_97131923252773119[[#This Row],[合区区服]],表1_86121822242672118[目标国家（映射）],表2_97131923252773119[[#This Row],[国家]])</f>
        <v>45000</v>
      </c>
      <c r="L79" s="226">
        <f>表2_97131923252773119[[#This Row],[活跃Coin]]+表2_97131923252773119[[#This Row],[共计补偿Coin]]</f>
        <v>789726</v>
      </c>
      <c r="M79" s="226">
        <f>SUMIFS(表1_86121822242672118[综合国力],表1_86121822242672118[目标区服],表2_97131923252773119[[#This Row],[合区区服]],表1_86121822242672118[目标国家（映射）],表2_97131923252773119[[#This Row],[国家]])</f>
        <v>19695</v>
      </c>
      <c r="N79" s="224">
        <f t="array" ref="N79">MAX((表1_86121822242672118[目标区服]=表2_97131923252773119[[#This Row],[合区区服]])*(表1_86121822242672118[目标国家（映射）]=表2_97131923252773119[[#This Row],[国家]])*表1_86121822242672118[单将最高战力])</f>
        <v>875139</v>
      </c>
      <c r="P79" s="51">
        <v>5297</v>
      </c>
      <c r="Q79" s="51">
        <v>38</v>
      </c>
    </row>
    <row r="80" ht="15" spans="1:17">
      <c r="A80" s="185" t="s">
        <v>291</v>
      </c>
      <c r="B80" s="186" t="s">
        <v>25</v>
      </c>
      <c r="C80" s="186">
        <f>COUNTIFS(表1_86121822242672118[目标区服],表2_97131923252773119[[#This Row],[合区区服]],表1_86121822242672118[目标国家（映射）],表2_97131923252773119[[#This Row],[国家]])</f>
        <v>3</v>
      </c>
      <c r="D80" s="186">
        <f>SUMIFS(表1_86121822242672118[活跃高战玩家数],表1_86121822242672118[目标区服],表2_97131923252773119[[#This Row],[合区区服]],表1_86121822242672118[目标国家（映射）],表2_97131923252773119[[#This Row],[国家]])</f>
        <v>7</v>
      </c>
      <c r="E80" s="186">
        <f>SUMIFS(表1_86121822242672118[活跃中坚玩家数],表1_86121822242672118[目标区服],表2_97131923252773119[[#This Row],[合区区服]],表1_86121822242672118[目标国家（映射）],表2_97131923252773119[[#This Row],[国家]])</f>
        <v>57</v>
      </c>
      <c r="F80" s="186">
        <f t="array" ref="F80">MAX((表1_86121822242672118[目标区服]=表2_97131923252773119[[#This Row],[合区区服]])*(表1_86121822242672118[目标国家（映射）]=表2_97131923252773119[[#This Row],[国家]])*表1_86121822242672118[活跃尖端战力])</f>
        <v>2989336</v>
      </c>
      <c r="G80" s="187">
        <f>SUMIFS(表1_86121822242672118[活跃总战力],表1_86121822242672118[目标区服],表2_97131923252773119[[#This Row],[合区区服]],表1_86121822242672118[目标国家（映射）],表2_97131923252773119[[#This Row],[国家]])</f>
        <v>37254869</v>
      </c>
      <c r="H80" s="186">
        <f>SUMIFS(表1_86121822242672118[活跃实际充值],表1_86121822242672118[目标区服],表2_97131923252773119[[#This Row],[合区区服]],表1_86121822242672118[目标国家（映射）],表2_97131923252773119[[#This Row],[国家]])</f>
        <v>105836</v>
      </c>
      <c r="I80" s="186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80" s="186">
        <f>SUMIFS(表1_86121822242672118[活跃Coin],表1_86121822242672118[目标区服],表2_97131923252773119[[#This Row],[合区区服]],表1_86121822242672118[目标国家（映射）],表2_97131923252773119[[#This Row],[国家]])</f>
        <v>755587</v>
      </c>
      <c r="K80" s="186">
        <f>SUMIFS(表1_86121822242672118[共计补偿Coin],表1_86121822242672118[目标区服],表2_97131923252773119[[#This Row],[合区区服]],表1_86121822242672118[目标国家（映射）],表2_97131923252773119[[#This Row],[国家]])</f>
        <v>64000</v>
      </c>
      <c r="L80" s="186">
        <f>表2_97131923252773119[[#This Row],[活跃Coin]]+表2_97131923252773119[[#This Row],[共计补偿Coin]]</f>
        <v>819587</v>
      </c>
      <c r="M80" s="186">
        <f>SUMIFS(表1_86121822242672118[综合国力],表1_86121822242672118[目标区服],表2_97131923252773119[[#This Row],[合区区服]],表1_86121822242672118[目标国家（映射）],表2_97131923252773119[[#This Row],[国家]])</f>
        <v>18732</v>
      </c>
      <c r="N80" s="186">
        <f t="array" ref="N80">MAX((表1_86121822242672118[目标区服]=表2_97131923252773119[[#This Row],[合区区服]])*(表1_86121822242672118[目标国家（映射）]=表2_97131923252773119[[#This Row],[国家]])*表1_86121822242672118[单将最高战力])</f>
        <v>832887</v>
      </c>
      <c r="P80" s="51">
        <v>5298</v>
      </c>
      <c r="Q80" s="51">
        <v>38</v>
      </c>
    </row>
    <row r="81" ht="15" spans="1:17">
      <c r="A81" s="185" t="s">
        <v>291</v>
      </c>
      <c r="B81" s="186" t="s">
        <v>26</v>
      </c>
      <c r="C81" s="186">
        <f>COUNTIFS(表1_86121822242672118[目标区服],表2_97131923252773119[[#This Row],[合区区服]],表1_86121822242672118[目标国家（映射）],表2_97131923252773119[[#This Row],[国家]])</f>
        <v>3</v>
      </c>
      <c r="D81" s="186">
        <f>SUMIFS(表1_86121822242672118[活跃高战玩家数],表1_86121822242672118[目标区服],表2_97131923252773119[[#This Row],[合区区服]],表1_86121822242672118[目标国家（映射）],表2_97131923252773119[[#This Row],[国家]])</f>
        <v>10</v>
      </c>
      <c r="E81" s="186">
        <f>SUMIFS(表1_86121822242672118[活跃中坚玩家数],表1_86121822242672118[目标区服],表2_97131923252773119[[#This Row],[合区区服]],表1_86121822242672118[目标国家（映射）],表2_97131923252773119[[#This Row],[国家]])</f>
        <v>57</v>
      </c>
      <c r="F81" s="186">
        <f t="array" ref="F81">MAX((表1_86121822242672118[目标区服]=表2_97131923252773119[[#This Row],[合区区服]])*(表1_86121822242672118[目标国家（映射）]=表2_97131923252773119[[#This Row],[国家]])*表1_86121822242672118[活跃尖端战力])</f>
        <v>2445131</v>
      </c>
      <c r="G81" s="187">
        <f>SUMIFS(表1_86121822242672118[活跃总战力],表1_86121822242672118[目标区服],表2_97131923252773119[[#This Row],[合区区服]],表1_86121822242672118[目标国家（映射）],表2_97131923252773119[[#This Row],[国家]])</f>
        <v>46650274</v>
      </c>
      <c r="H81" s="186">
        <f>SUMIFS(表1_86121822242672118[活跃实际充值],表1_86121822242672118[目标区服],表2_97131923252773119[[#This Row],[合区区服]],表1_86121822242672118[目标国家（映射）],表2_97131923252773119[[#This Row],[国家]])</f>
        <v>118392</v>
      </c>
      <c r="I81" s="186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81" s="186">
        <f>SUMIFS(表1_86121822242672118[活跃Coin],表1_86121822242672118[目标区服],表2_97131923252773119[[#This Row],[合区区服]],表1_86121822242672118[目标国家（映射）],表2_97131923252773119[[#This Row],[国家]])</f>
        <v>1113760</v>
      </c>
      <c r="K81" s="186">
        <f>SUMIFS(表1_86121822242672118[共计补偿Coin],表1_86121822242672118[目标区服],表2_97131923252773119[[#This Row],[合区区服]],表1_86121822242672118[目标国家（映射）],表2_97131923252773119[[#This Row],[国家]])</f>
        <v>67000</v>
      </c>
      <c r="L81" s="186">
        <f>表2_97131923252773119[[#This Row],[活跃Coin]]+表2_97131923252773119[[#This Row],[共计补偿Coin]]</f>
        <v>1180760</v>
      </c>
      <c r="M81" s="186">
        <f>SUMIFS(表1_86121822242672118[综合国力],表1_86121822242672118[目标区服],表2_97131923252773119[[#This Row],[合区区服]],表1_86121822242672118[目标国家（映射）],表2_97131923252773119[[#This Row],[国家]])</f>
        <v>19859</v>
      </c>
      <c r="N81" s="186">
        <f t="array" ref="N81">MAX((表1_86121822242672118[目标区服]=表2_97131923252773119[[#This Row],[合区区服]])*(表1_86121822242672118[目标国家（映射）]=表2_97131923252773119[[#This Row],[国家]])*表1_86121822242672118[单将最高战力])</f>
        <v>652357</v>
      </c>
      <c r="P81" s="51">
        <v>5299</v>
      </c>
      <c r="Q81" s="51">
        <v>38</v>
      </c>
    </row>
    <row r="82" ht="15" spans="1:17">
      <c r="A82" s="185" t="s">
        <v>291</v>
      </c>
      <c r="B82" s="188" t="s">
        <v>27</v>
      </c>
      <c r="C82" s="188">
        <f>COUNTIFS(表1_86121822242672118[目标区服],表2_97131923252773119[[#This Row],[合区区服]],表1_86121822242672118[目标国家（映射）],表2_97131923252773119[[#This Row],[国家]])</f>
        <v>3</v>
      </c>
      <c r="D82" s="188">
        <f>SUMIFS(表1_86121822242672118[活跃高战玩家数],表1_86121822242672118[目标区服],表2_97131923252773119[[#This Row],[合区区服]],表1_86121822242672118[目标国家（映射）],表2_97131923252773119[[#This Row],[国家]])</f>
        <v>13</v>
      </c>
      <c r="E82" s="188">
        <f>SUMIFS(表1_86121822242672118[活跃中坚玩家数],表1_86121822242672118[目标区服],表2_97131923252773119[[#This Row],[合区区服]],表1_86121822242672118[目标国家（映射）],表2_97131923252773119[[#This Row],[国家]])</f>
        <v>56</v>
      </c>
      <c r="F82" s="188">
        <f t="array" ref="F82">MAX((表1_86121822242672118[目标区服]=表2_97131923252773119[[#This Row],[合区区服]])*(表1_86121822242672118[目标国家（映射）]=表2_97131923252773119[[#This Row],[国家]])*表1_86121822242672118[活跃尖端战力])</f>
        <v>2744110</v>
      </c>
      <c r="G82" s="309">
        <f>SUMIFS(表1_86121822242672118[活跃总战力],表1_86121822242672118[目标区服],表2_97131923252773119[[#This Row],[合区区服]],表1_86121822242672118[目标国家（映射）],表2_97131923252773119[[#This Row],[国家]])</f>
        <v>42847772</v>
      </c>
      <c r="H82" s="188">
        <f>SUMIFS(表1_86121822242672118[活跃实际充值],表1_86121822242672118[目标区服],表2_97131923252773119[[#This Row],[合区区服]],表1_86121822242672118[目标国家（映射）],表2_97131923252773119[[#This Row],[国家]])</f>
        <v>102026</v>
      </c>
      <c r="I82" s="188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82" s="188">
        <f>SUMIFS(表1_86121822242672118[活跃Coin],表1_86121822242672118[目标区服],表2_97131923252773119[[#This Row],[合区区服]],表1_86121822242672118[目标国家（映射）],表2_97131923252773119[[#This Row],[国家]])</f>
        <v>727561</v>
      </c>
      <c r="K82" s="188">
        <f>SUMIFS(表1_86121822242672118[共计补偿Coin],表1_86121822242672118[目标区服],表2_97131923252773119[[#This Row],[合区区服]],表1_86121822242672118[目标国家（映射）],表2_97131923252773119[[#This Row],[国家]])</f>
        <v>69000</v>
      </c>
      <c r="L82" s="188">
        <f>表2_97131923252773119[[#This Row],[活跃Coin]]+表2_97131923252773119[[#This Row],[共计补偿Coin]]</f>
        <v>796561</v>
      </c>
      <c r="M82" s="188">
        <f>SUMIFS(表1_86121822242672118[综合国力],表1_86121822242672118[目标区服],表2_97131923252773119[[#This Row],[合区区服]],表1_86121822242672118[目标国家（映射）],表2_97131923252773119[[#This Row],[国家]])</f>
        <v>19733</v>
      </c>
      <c r="N82" s="186">
        <f t="array" ref="N82">MAX((表1_86121822242672118[目标区服]=表2_97131923252773119[[#This Row],[合区区服]])*(表1_86121822242672118[目标国家（映射）]=表2_97131923252773119[[#This Row],[国家]])*表1_86121822242672118[单将最高战力])</f>
        <v>850094</v>
      </c>
      <c r="P82" s="51">
        <v>5300</v>
      </c>
      <c r="Q82" s="51">
        <v>38</v>
      </c>
    </row>
    <row r="83" ht="15" spans="1:17">
      <c r="A83" s="310" t="s">
        <v>292</v>
      </c>
      <c r="B83" s="173" t="s">
        <v>25</v>
      </c>
      <c r="C83" s="173">
        <f>COUNTIFS(表1_86121822242672118[目标区服],表2_97131923252773119[[#This Row],[合区区服]],表1_86121822242672118[目标国家（映射）],表2_97131923252773119[[#This Row],[国家]])</f>
        <v>3</v>
      </c>
      <c r="D83" s="173">
        <f>SUMIFS(表1_86121822242672118[活跃高战玩家数],表1_86121822242672118[目标区服],表2_97131923252773119[[#This Row],[合区区服]],表1_86121822242672118[目标国家（映射）],表2_97131923252773119[[#This Row],[国家]])</f>
        <v>11</v>
      </c>
      <c r="E83" s="173">
        <f>SUMIFS(表1_86121822242672118[活跃中坚玩家数],表1_86121822242672118[目标区服],表2_97131923252773119[[#This Row],[合区区服]],表1_86121822242672118[目标国家（映射）],表2_97131923252773119[[#This Row],[国家]])</f>
        <v>68</v>
      </c>
      <c r="F83" s="173">
        <f t="array" ref="F83">MAX((表1_86121822242672118[目标区服]=表2_97131923252773119[[#This Row],[合区区服]])*(表1_86121822242672118[目标国家（映射）]=表2_97131923252773119[[#This Row],[国家]])*表1_86121822242672118[活跃尖端战力])</f>
        <v>3645071</v>
      </c>
      <c r="G83" s="174">
        <f>SUMIFS(表1_86121822242672118[活跃总战力],表1_86121822242672118[目标区服],表2_97131923252773119[[#This Row],[合区区服]],表1_86121822242672118[目标国家（映射）],表2_97131923252773119[[#This Row],[国家]])</f>
        <v>58210910</v>
      </c>
      <c r="H83" s="173">
        <f>SUMIFS(表1_86121822242672118[活跃实际充值],表1_86121822242672118[目标区服],表2_97131923252773119[[#This Row],[合区区服]],表1_86121822242672118[目标国家（映射）],表2_97131923252773119[[#This Row],[国家]])</f>
        <v>263192</v>
      </c>
      <c r="I83" s="173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83" s="173">
        <f>SUMIFS(表1_86121822242672118[活跃Coin],表1_86121822242672118[目标区服],表2_97131923252773119[[#This Row],[合区区服]],表1_86121822242672118[目标国家（映射）],表2_97131923252773119[[#This Row],[国家]])</f>
        <v>1257879</v>
      </c>
      <c r="K83" s="173">
        <f>SUMIFS(表1_86121822242672118[共计补偿Coin],表1_86121822242672118[目标区服],表2_97131923252773119[[#This Row],[合区区服]],表1_86121822242672118[目标国家（映射）],表2_97131923252773119[[#This Row],[国家]])</f>
        <v>79000</v>
      </c>
      <c r="L83" s="173">
        <f>表2_97131923252773119[[#This Row],[活跃Coin]]+表2_97131923252773119[[#This Row],[共计补偿Coin]]</f>
        <v>1336879</v>
      </c>
      <c r="M83" s="173">
        <f>SUMIFS(表1_86121822242672118[综合国力],表1_86121822242672118[目标区服],表2_97131923252773119[[#This Row],[合区区服]],表1_86121822242672118[目标国家（映射）],表2_97131923252773119[[#This Row],[国家]])</f>
        <v>28212</v>
      </c>
      <c r="N83" s="173">
        <f t="array" ref="N83">MAX((表1_86121822242672118[目标区服]=表2_97131923252773119[[#This Row],[合区区服]])*(表1_86121822242672118[目标国家（映射）]=表2_97131923252773119[[#This Row],[国家]])*表1_86121822242672118[单将最高战力])</f>
        <v>1088149</v>
      </c>
      <c r="P83" s="51">
        <v>5301</v>
      </c>
      <c r="Q83" s="51">
        <v>38</v>
      </c>
    </row>
    <row r="84" ht="15" spans="1:17">
      <c r="A84" s="310" t="s">
        <v>292</v>
      </c>
      <c r="B84" s="173" t="s">
        <v>26</v>
      </c>
      <c r="C84" s="173">
        <f>COUNTIFS(表1_86121822242672118[目标区服],表2_97131923252773119[[#This Row],[合区区服]],表1_86121822242672118[目标国家（映射）],表2_97131923252773119[[#This Row],[国家]])</f>
        <v>3</v>
      </c>
      <c r="D84" s="173">
        <f>SUMIFS(表1_86121822242672118[活跃高战玩家数],表1_86121822242672118[目标区服],表2_97131923252773119[[#This Row],[合区区服]],表1_86121822242672118[目标国家（映射）],表2_97131923252773119[[#This Row],[国家]])</f>
        <v>10</v>
      </c>
      <c r="E84" s="173">
        <f>SUMIFS(表1_86121822242672118[活跃中坚玩家数],表1_86121822242672118[目标区服],表2_97131923252773119[[#This Row],[合区区服]],表1_86121822242672118[目标国家（映射）],表2_97131923252773119[[#This Row],[国家]])</f>
        <v>65</v>
      </c>
      <c r="F84" s="173">
        <f t="array" ref="F84">MAX((表1_86121822242672118[目标区服]=表2_97131923252773119[[#This Row],[合区区服]])*(表1_86121822242672118[目标国家（映射）]=表2_97131923252773119[[#This Row],[国家]])*表1_86121822242672118[活跃尖端战力])</f>
        <v>4512614</v>
      </c>
      <c r="G84" s="174">
        <f>SUMIFS(表1_86121822242672118[活跃总战力],表1_86121822242672118[目标区服],表2_97131923252773119[[#This Row],[合区区服]],表1_86121822242672118[目标国家（映射）],表2_97131923252773119[[#This Row],[国家]])</f>
        <v>56333219</v>
      </c>
      <c r="H84" s="173">
        <f>SUMIFS(表1_86121822242672118[活跃实际充值],表1_86121822242672118[目标区服],表2_97131923252773119[[#This Row],[合区区服]],表1_86121822242672118[目标国家（映射）],表2_97131923252773119[[#This Row],[国家]])</f>
        <v>157268</v>
      </c>
      <c r="I84" s="173">
        <f>SUMIFS(表1_86121822242672118[活跃虚拟充值],表1_86121822242672118[目标区服],表2_97131923252773119[[#This Row],[合区区服]],表1_86121822242672118[目标国家（映射）],表2_97131923252773119[[#This Row],[国家]])</f>
        <v>100682</v>
      </c>
      <c r="J84" s="173">
        <f>SUMIFS(表1_86121822242672118[活跃Coin],表1_86121822242672118[目标区服],表2_97131923252773119[[#This Row],[合区区服]],表1_86121822242672118[目标国家（映射）],表2_97131923252773119[[#This Row],[国家]])</f>
        <v>957344</v>
      </c>
      <c r="K84" s="173">
        <f>SUMIFS(表1_86121822242672118[共计补偿Coin],表1_86121822242672118[目标区服],表2_97131923252773119[[#This Row],[合区区服]],表1_86121822242672118[目标国家（映射）],表2_97131923252773119[[#This Row],[国家]])</f>
        <v>75000</v>
      </c>
      <c r="L84" s="173">
        <f>表2_97131923252773119[[#This Row],[活跃Coin]]+表2_97131923252773119[[#This Row],[共计补偿Coin]]</f>
        <v>1032344</v>
      </c>
      <c r="M84" s="173">
        <f>SUMIFS(表1_86121822242672118[综合国力],表1_86121822242672118[目标区服],表2_97131923252773119[[#This Row],[合区区服]],表1_86121822242672118[目标国家（映射）],表2_97131923252773119[[#This Row],[国家]])</f>
        <v>25278</v>
      </c>
      <c r="N84" s="173">
        <f t="array" ref="N84">MAX((表1_86121822242672118[目标区服]=表2_97131923252773119[[#This Row],[合区区服]])*(表1_86121822242672118[目标国家（映射）]=表2_97131923252773119[[#This Row],[国家]])*表1_86121822242672118[单将最高战力])</f>
        <v>1219581</v>
      </c>
      <c r="P84" s="51">
        <v>5302</v>
      </c>
      <c r="Q84" s="51">
        <v>37</v>
      </c>
    </row>
    <row r="85" ht="15" spans="1:17">
      <c r="A85" s="310" t="s">
        <v>292</v>
      </c>
      <c r="B85" s="175" t="s">
        <v>27</v>
      </c>
      <c r="C85" s="175">
        <f>COUNTIFS(表1_86121822242672118[目标区服],表2_97131923252773119[[#This Row],[合区区服]],表1_86121822242672118[目标国家（映射）],表2_97131923252773119[[#This Row],[国家]])</f>
        <v>3</v>
      </c>
      <c r="D85" s="175">
        <f>SUMIFS(表1_86121822242672118[活跃高战玩家数],表1_86121822242672118[目标区服],表2_97131923252773119[[#This Row],[合区区服]],表1_86121822242672118[目标国家（映射）],表2_97131923252773119[[#This Row],[国家]])</f>
        <v>8</v>
      </c>
      <c r="E85" s="175">
        <f>SUMIFS(表1_86121822242672118[活跃中坚玩家数],表1_86121822242672118[目标区服],表2_97131923252773119[[#This Row],[合区区服]],表1_86121822242672118[目标国家（映射）],表2_97131923252773119[[#This Row],[国家]])</f>
        <v>71</v>
      </c>
      <c r="F85" s="175">
        <f t="array" ref="F85">MAX((表1_86121822242672118[目标区服]=表2_97131923252773119[[#This Row],[合区区服]])*(表1_86121822242672118[目标国家（映射）]=表2_97131923252773119[[#This Row],[国家]])*表1_86121822242672118[活跃尖端战力])</f>
        <v>3451745</v>
      </c>
      <c r="G85" s="176">
        <f>SUMIFS(表1_86121822242672118[活跃总战力],表1_86121822242672118[目标区服],表2_97131923252773119[[#This Row],[合区区服]],表1_86121822242672118[目标国家（映射）],表2_97131923252773119[[#This Row],[国家]])</f>
        <v>56370281</v>
      </c>
      <c r="H85" s="175">
        <f>SUMIFS(表1_86121822242672118[活跃实际充值],表1_86121822242672118[目标区服],表2_97131923252773119[[#This Row],[合区区服]],表1_86121822242672118[目标国家（映射）],表2_97131923252773119[[#This Row],[国家]])</f>
        <v>195114</v>
      </c>
      <c r="I85" s="175">
        <f>SUMIFS(表1_86121822242672118[活跃虚拟充值],表1_86121822242672118[目标区服],表2_97131923252773119[[#This Row],[合区区服]],表1_86121822242672118[目标国家（映射）],表2_97131923252773119[[#This Row],[国家]])</f>
        <v>65816</v>
      </c>
      <c r="J85" s="175">
        <f>SUMIFS(表1_86121822242672118[活跃Coin],表1_86121822242672118[目标区服],表2_97131923252773119[[#This Row],[合区区服]],表1_86121822242672118[目标国家（映射）],表2_97131923252773119[[#This Row],[国家]])</f>
        <v>1963688</v>
      </c>
      <c r="K85" s="175">
        <f>SUMIFS(表1_86121822242672118[共计补偿Coin],表1_86121822242672118[目标区服],表2_97131923252773119[[#This Row],[合区区服]],表1_86121822242672118[目标国家（映射）],表2_97131923252773119[[#This Row],[国家]])</f>
        <v>79000</v>
      </c>
      <c r="L85" s="175">
        <f>表2_97131923252773119[[#This Row],[活跃Coin]]+表2_97131923252773119[[#This Row],[共计补偿Coin]]</f>
        <v>2042688</v>
      </c>
      <c r="M85" s="175">
        <f>SUMIFS(表1_86121822242672118[综合国力],表1_86121822242672118[目标区服],表2_97131923252773119[[#This Row],[合区区服]],表1_86121822242672118[目标国家（映射）],表2_97131923252773119[[#This Row],[国家]])</f>
        <v>27952</v>
      </c>
      <c r="N85" s="173">
        <f t="array" ref="N85">MAX((表1_86121822242672118[目标区服]=表2_97131923252773119[[#This Row],[合区区服]])*(表1_86121822242672118[目标国家（映射）]=表2_97131923252773119[[#This Row],[国家]])*表1_86121822242672118[单将最高战力])</f>
        <v>1070910</v>
      </c>
      <c r="P85" s="51">
        <v>5303</v>
      </c>
      <c r="Q85" s="51">
        <v>37</v>
      </c>
    </row>
    <row r="86" ht="15" spans="1:17">
      <c r="A86" s="177" t="s">
        <v>293</v>
      </c>
      <c r="B86" s="178" t="s">
        <v>25</v>
      </c>
      <c r="C86" s="178">
        <f>COUNTIFS(表1_86121822242672118[目标区服],表2_97131923252773119[[#This Row],[合区区服]],表1_86121822242672118[目标国家（映射）],表2_97131923252773119[[#This Row],[国家]])</f>
        <v>4</v>
      </c>
      <c r="D86" s="178">
        <f>SUMIFS(表1_86121822242672118[活跃高战玩家数],表1_86121822242672118[目标区服],表2_97131923252773119[[#This Row],[合区区服]],表1_86121822242672118[目标国家（映射）],表2_97131923252773119[[#This Row],[国家]])</f>
        <v>14</v>
      </c>
      <c r="E86" s="178">
        <f>SUMIFS(表1_86121822242672118[活跃中坚玩家数],表1_86121822242672118[目标区服],表2_97131923252773119[[#This Row],[合区区服]],表1_86121822242672118[目标国家（映射）],表2_97131923252773119[[#This Row],[国家]])</f>
        <v>68</v>
      </c>
      <c r="F86" s="178">
        <f t="array" ref="F86">MAX((表1_86121822242672118[目标区服]=表2_97131923252773119[[#This Row],[合区区服]])*(表1_86121822242672118[目标国家（映射）]=表2_97131923252773119[[#This Row],[国家]])*表1_86121822242672118[活跃尖端战力])</f>
        <v>2029443</v>
      </c>
      <c r="G86" s="179">
        <f>SUMIFS(表1_86121822242672118[活跃总战力],表1_86121822242672118[目标区服],表2_97131923252773119[[#This Row],[合区区服]],表1_86121822242672118[目标国家（映射）],表2_97131923252773119[[#This Row],[国家]])</f>
        <v>50663198</v>
      </c>
      <c r="H86" s="178">
        <f>SUMIFS(表1_86121822242672118[活跃实际充值],表1_86121822242672118[目标区服],表2_97131923252773119[[#This Row],[合区区服]],表1_86121822242672118[目标国家（映射）],表2_97131923252773119[[#This Row],[国家]])</f>
        <v>91136</v>
      </c>
      <c r="I86" s="178">
        <f>SUMIFS(表1_86121822242672118[活跃虚拟充值],表1_86121822242672118[目标区服],表2_97131923252773119[[#This Row],[合区区服]],表1_86121822242672118[目标国家（映射）],表2_97131923252773119[[#This Row],[国家]])</f>
        <v>35034</v>
      </c>
      <c r="J86" s="178">
        <f>SUMIFS(表1_86121822242672118[活跃Coin],表1_86121822242672118[目标区服],表2_97131923252773119[[#This Row],[合区区服]],表1_86121822242672118[目标国家（映射）],表2_97131923252773119[[#This Row],[国家]])</f>
        <v>1087075</v>
      </c>
      <c r="K86" s="178">
        <f>SUMIFS(表1_86121822242672118[共计补偿Coin],表1_86121822242672118[目标区服],表2_97131923252773119[[#This Row],[合区区服]],表1_86121822242672118[目标国家（映射）],表2_97131923252773119[[#This Row],[国家]])</f>
        <v>98000</v>
      </c>
      <c r="L86" s="178">
        <f>表2_97131923252773119[[#This Row],[活跃Coin]]+表2_97131923252773119[[#This Row],[共计补偿Coin]]</f>
        <v>1185075</v>
      </c>
      <c r="M86" s="178">
        <f>SUMIFS(表1_86121822242672118[综合国力],表1_86121822242672118[目标区服],表2_97131923252773119[[#This Row],[合区区服]],表1_86121822242672118[目标国家（映射）],表2_97131923252773119[[#This Row],[国家]])</f>
        <v>21689</v>
      </c>
      <c r="N86" s="178">
        <f t="array" ref="N86">MAX((表1_86121822242672118[目标区服]=表2_97131923252773119[[#This Row],[合区区服]])*(表1_86121822242672118[目标国家（映射）]=表2_97131923252773119[[#This Row],[国家]])*表1_86121822242672118[单将最高战力])</f>
        <v>653667</v>
      </c>
      <c r="P86" s="51">
        <v>5304</v>
      </c>
      <c r="Q86" s="51">
        <v>37</v>
      </c>
    </row>
    <row r="87" ht="15" spans="1:17">
      <c r="A87" s="177" t="s">
        <v>293</v>
      </c>
      <c r="B87" s="178" t="s">
        <v>26</v>
      </c>
      <c r="C87" s="178">
        <f>COUNTIFS(表1_86121822242672118[目标区服],表2_97131923252773119[[#This Row],[合区区服]],表1_86121822242672118[目标国家（映射）],表2_97131923252773119[[#This Row],[国家]])</f>
        <v>3</v>
      </c>
      <c r="D87" s="178">
        <f>SUMIFS(表1_86121822242672118[活跃高战玩家数],表1_86121822242672118[目标区服],表2_97131923252773119[[#This Row],[合区区服]],表1_86121822242672118[目标国家（映射）],表2_97131923252773119[[#This Row],[国家]])</f>
        <v>6</v>
      </c>
      <c r="E87" s="178">
        <f>SUMIFS(表1_86121822242672118[活跃中坚玩家数],表1_86121822242672118[目标区服],表2_97131923252773119[[#This Row],[合区区服]],表1_86121822242672118[目标国家（映射）],表2_97131923252773119[[#This Row],[国家]])</f>
        <v>69</v>
      </c>
      <c r="F87" s="178">
        <f t="array" ref="F87">MAX((表1_86121822242672118[目标区服]=表2_97131923252773119[[#This Row],[合区区服]])*(表1_86121822242672118[目标国家（映射）]=表2_97131923252773119[[#This Row],[国家]])*表1_86121822242672118[活跃尖端战力])</f>
        <v>2382855</v>
      </c>
      <c r="G87" s="179">
        <f>SUMIFS(表1_86121822242672118[活跃总战力],表1_86121822242672118[目标区服],表2_97131923252773119[[#This Row],[合区区服]],表1_86121822242672118[目标国家（映射）],表2_97131923252773119[[#This Row],[国家]])</f>
        <v>45272482</v>
      </c>
      <c r="H87" s="178">
        <f>SUMIFS(表1_86121822242672118[活跃实际充值],表1_86121822242672118[目标区服],表2_97131923252773119[[#This Row],[合区区服]],表1_86121822242672118[目标国家（映射）],表2_97131923252773119[[#This Row],[国家]])</f>
        <v>93014</v>
      </c>
      <c r="I87" s="178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87" s="178">
        <f>SUMIFS(表1_86121822242672118[活跃Coin],表1_86121822242672118[目标区服],表2_97131923252773119[[#This Row],[合区区服]],表1_86121822242672118[目标国家（映射）],表2_97131923252773119[[#This Row],[国家]])</f>
        <v>819053</v>
      </c>
      <c r="K87" s="178">
        <f>SUMIFS(表1_86121822242672118[共计补偿Coin],表1_86121822242672118[目标区服],表2_97131923252773119[[#This Row],[合区区服]],表1_86121822242672118[目标国家（映射）],表2_97131923252773119[[#This Row],[国家]])</f>
        <v>101500</v>
      </c>
      <c r="L87" s="178">
        <f>表2_97131923252773119[[#This Row],[活跃Coin]]+表2_97131923252773119[[#This Row],[共计补偿Coin]]</f>
        <v>920553</v>
      </c>
      <c r="M87" s="178">
        <f>SUMIFS(表1_86121822242672118[综合国力],表1_86121822242672118[目标区服],表2_97131923252773119[[#This Row],[合区区服]],表1_86121822242672118[目标国家（映射）],表2_97131923252773119[[#This Row],[国家]])</f>
        <v>18854</v>
      </c>
      <c r="N87" s="178">
        <f t="array" ref="N87">MAX((表1_86121822242672118[目标区服]=表2_97131923252773119[[#This Row],[合区区服]])*(表1_86121822242672118[目标国家（映射）]=表2_97131923252773119[[#This Row],[国家]])*表1_86121822242672118[单将最高战力])</f>
        <v>703740</v>
      </c>
      <c r="P87" s="51">
        <v>5305</v>
      </c>
      <c r="Q87" s="51">
        <v>37</v>
      </c>
    </row>
    <row r="88" ht="15" spans="1:17">
      <c r="A88" s="177" t="s">
        <v>293</v>
      </c>
      <c r="B88" s="180" t="s">
        <v>27</v>
      </c>
      <c r="C88" s="180">
        <f>COUNTIFS(表1_86121822242672118[目标区服],表2_97131923252773119[[#This Row],[合区区服]],表1_86121822242672118[目标国家（映射）],表2_97131923252773119[[#This Row],[国家]])</f>
        <v>2</v>
      </c>
      <c r="D88" s="180">
        <f>SUMIFS(表1_86121822242672118[活跃高战玩家数],表1_86121822242672118[目标区服],表2_97131923252773119[[#This Row],[合区区服]],表1_86121822242672118[目标国家（映射）],表2_97131923252773119[[#This Row],[国家]])</f>
        <v>10</v>
      </c>
      <c r="E88" s="180">
        <f>SUMIFS(表1_86121822242672118[活跃中坚玩家数],表1_86121822242672118[目标区服],表2_97131923252773119[[#This Row],[合区区服]],表1_86121822242672118[目标国家（映射）],表2_97131923252773119[[#This Row],[国家]])</f>
        <v>42</v>
      </c>
      <c r="F88" s="180">
        <f t="array" ref="F88">MAX((表1_86121822242672118[目标区服]=表2_97131923252773119[[#This Row],[合区区服]])*(表1_86121822242672118[目标国家（映射）]=表2_97131923252773119[[#This Row],[国家]])*表1_86121822242672118[活跃尖端战力])</f>
        <v>2637289</v>
      </c>
      <c r="G88" s="262">
        <f>SUMIFS(表1_86121822242672118[活跃总战力],表1_86121822242672118[目标区服],表2_97131923252773119[[#This Row],[合区区服]],表1_86121822242672118[目标国家（映射）],表2_97131923252773119[[#This Row],[国家]])</f>
        <v>40487249</v>
      </c>
      <c r="H88" s="180">
        <f>SUMIFS(表1_86121822242672118[活跃实际充值],表1_86121822242672118[目标区服],表2_97131923252773119[[#This Row],[合区区服]],表1_86121822242672118[目标国家（映射）],表2_97131923252773119[[#This Row],[国家]])</f>
        <v>146758</v>
      </c>
      <c r="I88" s="180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88" s="180">
        <f>SUMIFS(表1_86121822242672118[活跃Coin],表1_86121822242672118[目标区服],表2_97131923252773119[[#This Row],[合区区服]],表1_86121822242672118[目标国家（映射）],表2_97131923252773119[[#This Row],[国家]])</f>
        <v>1125164</v>
      </c>
      <c r="K88" s="180">
        <f>SUMIFS(表1_86121822242672118[共计补偿Coin],表1_86121822242672118[目标区服],表2_97131923252773119[[#This Row],[合区区服]],表1_86121822242672118[目标国家（映射）],表2_97131923252773119[[#This Row],[国家]])</f>
        <v>78000</v>
      </c>
      <c r="L88" s="180">
        <f>表2_97131923252773119[[#This Row],[活跃Coin]]+表2_97131923252773119[[#This Row],[共计补偿Coin]]</f>
        <v>1203164</v>
      </c>
      <c r="M88" s="180">
        <f>SUMIFS(表1_86121822242672118[综合国力],表1_86121822242672118[目标区服],表2_97131923252773119[[#This Row],[合区区服]],表1_86121822242672118[目标国家（映射）],表2_97131923252773119[[#This Row],[国家]])</f>
        <v>18983</v>
      </c>
      <c r="N88" s="178">
        <f t="array" ref="N88">MAX((表1_86121822242672118[目标区服]=表2_97131923252773119[[#This Row],[合区区服]])*(表1_86121822242672118[目标国家（映射）]=表2_97131923252773119[[#This Row],[国家]])*表1_86121822242672118[单将最高战力])</f>
        <v>740793</v>
      </c>
      <c r="P88" s="51">
        <v>5306</v>
      </c>
      <c r="Q88" s="51">
        <v>36</v>
      </c>
    </row>
    <row r="89" ht="15" spans="1:17">
      <c r="A89" s="311" t="s">
        <v>294</v>
      </c>
      <c r="B89" s="41" t="s">
        <v>25</v>
      </c>
      <c r="C89" s="41">
        <f>COUNTIFS(表1_86121822242672118[目标区服],表2_97131923252773119[[#This Row],[合区区服]],表1_86121822242672118[目标国家（映射）],表2_97131923252773119[[#This Row],[国家]])</f>
        <v>3</v>
      </c>
      <c r="D89" s="41">
        <f>SUMIFS(表1_86121822242672118[活跃高战玩家数],表1_86121822242672118[目标区服],表2_97131923252773119[[#This Row],[合区区服]],表1_86121822242672118[目标国家（映射）],表2_97131923252773119[[#This Row],[国家]])</f>
        <v>9</v>
      </c>
      <c r="E89" s="41">
        <f>SUMIFS(表1_86121822242672118[活跃中坚玩家数],表1_86121822242672118[目标区服],表2_97131923252773119[[#This Row],[合区区服]],表1_86121822242672118[目标国家（映射）],表2_97131923252773119[[#This Row],[国家]])</f>
        <v>65</v>
      </c>
      <c r="F89" s="41">
        <f t="array" ref="F89">MAX((表1_86121822242672118[目标区服]=表2_97131923252773119[[#This Row],[合区区服]])*(表1_86121822242672118[目标国家（映射）]=表2_97131923252773119[[#This Row],[国家]])*表1_86121822242672118[活跃尖端战力])</f>
        <v>2726718</v>
      </c>
      <c r="G89" s="42">
        <f>SUMIFS(表1_86121822242672118[活跃总战力],表1_86121822242672118[目标区服],表2_97131923252773119[[#This Row],[合区区服]],表1_86121822242672118[目标国家（映射）],表2_97131923252773119[[#This Row],[国家]])</f>
        <v>50811516</v>
      </c>
      <c r="H89" s="41">
        <f>SUMIFS(表1_86121822242672118[活跃实际充值],表1_86121822242672118[目标区服],表2_97131923252773119[[#This Row],[合区区服]],表1_86121822242672118[目标国家（映射）],表2_97131923252773119[[#This Row],[国家]])</f>
        <v>84566</v>
      </c>
      <c r="I89" s="41">
        <f>SUMIFS(表1_86121822242672118[活跃虚拟充值],表1_86121822242672118[目标区服],表2_97131923252773119[[#This Row],[合区区服]],表1_86121822242672118[目标国家（映射）],表2_97131923252773119[[#This Row],[国家]])</f>
        <v>117356</v>
      </c>
      <c r="J89" s="41">
        <f>SUMIFS(表1_86121822242672118[活跃Coin],表1_86121822242672118[目标区服],表2_97131923252773119[[#This Row],[合区区服]],表1_86121822242672118[目标国家（映射）],表2_97131923252773119[[#This Row],[国家]])</f>
        <v>1345884</v>
      </c>
      <c r="K89" s="41">
        <f>SUMIFS(表1_86121822242672118[共计补偿Coin],表1_86121822242672118[目标区服],表2_97131923252773119[[#This Row],[合区区服]],表1_86121822242672118[目标国家（映射）],表2_97131923252773119[[#This Row],[国家]])</f>
        <v>91500</v>
      </c>
      <c r="L89" s="41">
        <f>表2_97131923252773119[[#This Row],[活跃Coin]]+表2_97131923252773119[[#This Row],[共计补偿Coin]]</f>
        <v>1437384</v>
      </c>
      <c r="M89" s="41">
        <f>SUMIFS(表1_86121822242672118[综合国力],表1_86121822242672118[目标区服],表2_97131923252773119[[#This Row],[合区区服]],表1_86121822242672118[目标国家（映射）],表2_97131923252773119[[#This Row],[国家]])</f>
        <v>21475</v>
      </c>
      <c r="N89" s="41">
        <f t="array" ref="N89">MAX((表1_86121822242672118[目标区服]=表2_97131923252773119[[#This Row],[合区区服]])*(表1_86121822242672118[目标国家（映射）]=表2_97131923252773119[[#This Row],[国家]])*表1_86121822242672118[单将最高战力])</f>
        <v>935788</v>
      </c>
      <c r="P89" s="51">
        <v>5307</v>
      </c>
      <c r="Q89" s="51">
        <v>36</v>
      </c>
    </row>
    <row r="90" ht="15" spans="1:17">
      <c r="A90" s="311" t="s">
        <v>294</v>
      </c>
      <c r="B90" s="41" t="s">
        <v>26</v>
      </c>
      <c r="C90" s="41">
        <f>COUNTIFS(表1_86121822242672118[目标区服],表2_97131923252773119[[#This Row],[合区区服]],表1_86121822242672118[目标国家（映射）],表2_97131923252773119[[#This Row],[国家]])</f>
        <v>3</v>
      </c>
      <c r="D90" s="41">
        <f>SUMIFS(表1_86121822242672118[活跃高战玩家数],表1_86121822242672118[目标区服],表2_97131923252773119[[#This Row],[合区区服]],表1_86121822242672118[目标国家（映射）],表2_97131923252773119[[#This Row],[国家]])</f>
        <v>10</v>
      </c>
      <c r="E90" s="41">
        <f>SUMIFS(表1_86121822242672118[活跃中坚玩家数],表1_86121822242672118[目标区服],表2_97131923252773119[[#This Row],[合区区服]],表1_86121822242672118[目标国家（映射）],表2_97131923252773119[[#This Row],[国家]])</f>
        <v>63</v>
      </c>
      <c r="F90" s="41">
        <f t="array" ref="F90">MAX((表1_86121822242672118[目标区服]=表2_97131923252773119[[#This Row],[合区区服]])*(表1_86121822242672118[目标国家（映射）]=表2_97131923252773119[[#This Row],[国家]])*表1_86121822242672118[活跃尖端战力])</f>
        <v>2772079</v>
      </c>
      <c r="G90" s="42">
        <f>SUMIFS(表1_86121822242672118[活跃总战力],表1_86121822242672118[目标区服],表2_97131923252773119[[#This Row],[合区区服]],表1_86121822242672118[目标国家（映射）],表2_97131923252773119[[#This Row],[国家]])</f>
        <v>46421284</v>
      </c>
      <c r="H90" s="41">
        <f>SUMIFS(表1_86121822242672118[活跃实际充值],表1_86121822242672118[目标区服],表2_97131923252773119[[#This Row],[合区区服]],表1_86121822242672118[目标国家（映射）],表2_97131923252773119[[#This Row],[国家]])</f>
        <v>168480</v>
      </c>
      <c r="I90" s="41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90" s="41">
        <f>SUMIFS(表1_86121822242672118[活跃Coin],表1_86121822242672118[目标区服],表2_97131923252773119[[#This Row],[合区区服]],表1_86121822242672118[目标国家（映射）],表2_97131923252773119[[#This Row],[国家]])</f>
        <v>1019421</v>
      </c>
      <c r="K90" s="41">
        <f>SUMIFS(表1_86121822242672118[共计补偿Coin],表1_86121822242672118[目标区服],表2_97131923252773119[[#This Row],[合区区服]],表1_86121822242672118[目标国家（映射）],表2_97131923252773119[[#This Row],[国家]])</f>
        <v>87000</v>
      </c>
      <c r="L90" s="41">
        <f>表2_97131923252773119[[#This Row],[活跃Coin]]+表2_97131923252773119[[#This Row],[共计补偿Coin]]</f>
        <v>1106421</v>
      </c>
      <c r="M90" s="41">
        <f>SUMIFS(表1_86121822242672118[综合国力],表1_86121822242672118[目标区服],表2_97131923252773119[[#This Row],[合区区服]],表1_86121822242672118[目标国家（映射）],表2_97131923252773119[[#This Row],[国家]])</f>
        <v>22830</v>
      </c>
      <c r="N90" s="41">
        <f t="array" ref="N90">MAX((表1_86121822242672118[目标区服]=表2_97131923252773119[[#This Row],[合区区服]])*(表1_86121822242672118[目标国家（映射）]=表2_97131923252773119[[#This Row],[国家]])*表1_86121822242672118[单将最高战力])</f>
        <v>943251</v>
      </c>
      <c r="P90" s="51">
        <v>5308</v>
      </c>
      <c r="Q90" s="51">
        <v>36</v>
      </c>
    </row>
    <row r="91" ht="15" spans="1:17">
      <c r="A91" s="311" t="s">
        <v>294</v>
      </c>
      <c r="B91" s="43" t="s">
        <v>27</v>
      </c>
      <c r="C91" s="43">
        <f>COUNTIFS(表1_86121822242672118[目标区服],表2_97131923252773119[[#This Row],[合区区服]],表1_86121822242672118[目标国家（映射）],表2_97131923252773119[[#This Row],[国家]])</f>
        <v>3</v>
      </c>
      <c r="D91" s="43">
        <f>SUMIFS(表1_86121822242672118[活跃高战玩家数],表1_86121822242672118[目标区服],表2_97131923252773119[[#This Row],[合区区服]],表1_86121822242672118[目标国家（映射）],表2_97131923252773119[[#This Row],[国家]])</f>
        <v>8</v>
      </c>
      <c r="E91" s="43">
        <f>SUMIFS(表1_86121822242672118[活跃中坚玩家数],表1_86121822242672118[目标区服],表2_97131923252773119[[#This Row],[合区区服]],表1_86121822242672118[目标国家（映射）],表2_97131923252773119[[#This Row],[国家]])</f>
        <v>65</v>
      </c>
      <c r="F91" s="41">
        <f t="array" ref="F91">MAX((表1_86121822242672118[目标区服]=表2_97131923252773119[[#This Row],[合区区服]])*(表1_86121822242672118[目标国家（映射）]=表2_97131923252773119[[#This Row],[国家]])*表1_86121822242672118[活跃尖端战力])</f>
        <v>3912851</v>
      </c>
      <c r="G91" s="42">
        <f>SUMIFS(表1_86121822242672118[活跃总战力],表1_86121822242672118[目标区服],表2_97131923252773119[[#This Row],[合区区服]],表1_86121822242672118[目标国家（映射）],表2_97131923252773119[[#This Row],[国家]])</f>
        <v>54280965</v>
      </c>
      <c r="H91" s="41">
        <f>SUMIFS(表1_86121822242672118[活跃实际充值],表1_86121822242672118[目标区服],表2_97131923252773119[[#This Row],[合区区服]],表1_86121822242672118[目标国家（映射）],表2_97131923252773119[[#This Row],[国家]])</f>
        <v>151758</v>
      </c>
      <c r="I91" s="41">
        <f>SUMIFS(表1_86121822242672118[活跃虚拟充值],表1_86121822242672118[目标区服],表2_97131923252773119[[#This Row],[合区区服]],表1_86121822242672118[目标国家（映射）],表2_97131923252773119[[#This Row],[国家]])</f>
        <v>149970</v>
      </c>
      <c r="J91" s="41">
        <f>SUMIFS(表1_86121822242672118[活跃Coin],表1_86121822242672118[目标区服],表2_97131923252773119[[#This Row],[合区区服]],表1_86121822242672118[目标国家（映射）],表2_97131923252773119[[#This Row],[国家]])</f>
        <v>2129679</v>
      </c>
      <c r="K91" s="41">
        <f>SUMIFS(表1_86121822242672118[共计补偿Coin],表1_86121822242672118[目标区服],表2_97131923252773119[[#This Row],[合区区服]],表1_86121822242672118[目标国家（映射）],表2_97131923252773119[[#This Row],[国家]])</f>
        <v>82000</v>
      </c>
      <c r="L91" s="41">
        <f>表2_97131923252773119[[#This Row],[活跃Coin]]+表2_97131923252773119[[#This Row],[共计补偿Coin]]</f>
        <v>2211679</v>
      </c>
      <c r="M91" s="41">
        <f>SUMIFS(表1_86121822242672118[综合国力],表1_86121822242672118[目标区服],表2_97131923252773119[[#This Row],[合区区服]],表1_86121822242672118[目标国家（映射）],表2_97131923252773119[[#This Row],[国家]])</f>
        <v>26358</v>
      </c>
      <c r="N91" s="41">
        <f t="array" ref="N91">MAX((表1_86121822242672118[目标区服]=表2_97131923252773119[[#This Row],[合区区服]])*(表1_86121822242672118[目标国家（映射）]=表2_97131923252773119[[#This Row],[国家]])*表1_86121822242672118[单将最高战力])</f>
        <v>1072301</v>
      </c>
      <c r="P91" s="51">
        <v>5309</v>
      </c>
      <c r="Q91" s="51">
        <v>36</v>
      </c>
    </row>
    <row r="92" ht="15" spans="1:17">
      <c r="A92" s="45"/>
      <c r="B92" s="46" t="s">
        <v>25</v>
      </c>
      <c r="C92" s="46">
        <f>COUNTIFS(表1_86121822242672118[目标区服],表2_97131923252773119[[#This Row],[合区区服]],表1_86121822242672118[目标国家（映射）],表2_97131923252773119[[#This Row],[国家]])</f>
        <v>0</v>
      </c>
      <c r="D92" s="46">
        <f>SUMIFS(表1_86121822242672118[活跃高战玩家数],表1_86121822242672118[目标区服],表2_97131923252773119[[#This Row],[合区区服]],表1_86121822242672118[目标国家（映射）],表2_97131923252773119[[#This Row],[国家]])</f>
        <v>0</v>
      </c>
      <c r="E92" s="46">
        <f>SUMIFS(表1_86121822242672118[活跃中坚玩家数],表1_86121822242672118[目标区服],表2_97131923252773119[[#This Row],[合区区服]],表1_86121822242672118[目标国家（映射）],表2_97131923252773119[[#This Row],[国家]])</f>
        <v>0</v>
      </c>
      <c r="F92" s="46">
        <f t="array" ref="F92">MAX((表1_86121822242672118[目标区服]=表2_97131923252773119[[#This Row],[合区区服]])*(表1_86121822242672118[目标国家（映射）]=表2_97131923252773119[[#This Row],[国家]])*表1_86121822242672118[活跃尖端战力])</f>
        <v>0</v>
      </c>
      <c r="G92" s="47">
        <f>SUMIFS(表1_86121822242672118[活跃总战力],表1_86121822242672118[目标区服],表2_97131923252773119[[#This Row],[合区区服]],表1_86121822242672118[目标国家（映射）],表2_97131923252773119[[#This Row],[国家]])</f>
        <v>0</v>
      </c>
      <c r="H92" s="46">
        <f>SUMIFS(表1_86121822242672118[活跃实际充值],表1_86121822242672118[目标区服],表2_97131923252773119[[#This Row],[合区区服]],表1_86121822242672118[目标国家（映射）],表2_97131923252773119[[#This Row],[国家]])</f>
        <v>0</v>
      </c>
      <c r="I92" s="46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92" s="46">
        <f>SUMIFS(表1_86121822242672118[活跃Coin],表1_86121822242672118[目标区服],表2_97131923252773119[[#This Row],[合区区服]],表1_86121822242672118[目标国家（映射）],表2_97131923252773119[[#This Row],[国家]])</f>
        <v>0</v>
      </c>
      <c r="K92" s="46">
        <f>SUMIFS(表1_86121822242672118[共计补偿Coin],表1_86121822242672118[目标区服],表2_97131923252773119[[#This Row],[合区区服]],表1_86121822242672118[目标国家（映射）],表2_97131923252773119[[#This Row],[国家]])</f>
        <v>0</v>
      </c>
      <c r="L92" s="46">
        <f>表2_97131923252773119[[#This Row],[活跃Coin]]+表2_97131923252773119[[#This Row],[共计补偿Coin]]</f>
        <v>0</v>
      </c>
      <c r="M92" s="46">
        <f>SUMIFS(表1_86121822242672118[综合国力],表1_86121822242672118[目标区服],表2_97131923252773119[[#This Row],[合区区服]],表1_86121822242672118[目标国家（映射）],表2_97131923252773119[[#This Row],[国家]])</f>
        <v>0</v>
      </c>
      <c r="N92" s="46">
        <f t="array" ref="N92">MAX((表1_86121822242672118[目标区服]=表2_97131923252773119[[#This Row],[合区区服]])*(表1_86121822242672118[目标国家（映射）]=表2_97131923252773119[[#This Row],[国家]])*表1_86121822242672118[单将最高战力])</f>
        <v>0</v>
      </c>
      <c r="P92" s="51">
        <v>5310</v>
      </c>
      <c r="Q92" s="51">
        <v>35</v>
      </c>
    </row>
    <row r="93" ht="15" spans="1:14">
      <c r="A93" s="45"/>
      <c r="B93" s="46" t="s">
        <v>26</v>
      </c>
      <c r="C93" s="46">
        <f>COUNTIFS(表1_86121822242672118[目标区服],表2_97131923252773119[[#This Row],[合区区服]],表1_86121822242672118[目标国家（映射）],表2_97131923252773119[[#This Row],[国家]])</f>
        <v>0</v>
      </c>
      <c r="D93" s="46">
        <f>SUMIFS(表1_86121822242672118[活跃高战玩家数],表1_86121822242672118[目标区服],表2_97131923252773119[[#This Row],[合区区服]],表1_86121822242672118[目标国家（映射）],表2_97131923252773119[[#This Row],[国家]])</f>
        <v>0</v>
      </c>
      <c r="E93" s="46">
        <f>SUMIFS(表1_86121822242672118[活跃中坚玩家数],表1_86121822242672118[目标区服],表2_97131923252773119[[#This Row],[合区区服]],表1_86121822242672118[目标国家（映射）],表2_97131923252773119[[#This Row],[国家]])</f>
        <v>0</v>
      </c>
      <c r="F93" s="46">
        <f t="array" ref="F93">MAX((表1_86121822242672118[目标区服]=表2_97131923252773119[[#This Row],[合区区服]])*(表1_86121822242672118[目标国家（映射）]=表2_97131923252773119[[#This Row],[国家]])*表1_86121822242672118[活跃尖端战力])</f>
        <v>0</v>
      </c>
      <c r="G93" s="47">
        <f>SUMIFS(表1_86121822242672118[活跃总战力],表1_86121822242672118[目标区服],表2_97131923252773119[[#This Row],[合区区服]],表1_86121822242672118[目标国家（映射）],表2_97131923252773119[[#This Row],[国家]])</f>
        <v>0</v>
      </c>
      <c r="H93" s="46">
        <f>SUMIFS(表1_86121822242672118[活跃实际充值],表1_86121822242672118[目标区服],表2_97131923252773119[[#This Row],[合区区服]],表1_86121822242672118[目标国家（映射）],表2_97131923252773119[[#This Row],[国家]])</f>
        <v>0</v>
      </c>
      <c r="I93" s="46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93" s="46">
        <f>SUMIFS(表1_86121822242672118[活跃Coin],表1_86121822242672118[目标区服],表2_97131923252773119[[#This Row],[合区区服]],表1_86121822242672118[目标国家（映射）],表2_97131923252773119[[#This Row],[国家]])</f>
        <v>0</v>
      </c>
      <c r="K93" s="46">
        <f>SUMIFS(表1_86121822242672118[共计补偿Coin],表1_86121822242672118[目标区服],表2_97131923252773119[[#This Row],[合区区服]],表1_86121822242672118[目标国家（映射）],表2_97131923252773119[[#This Row],[国家]])</f>
        <v>0</v>
      </c>
      <c r="L93" s="46">
        <f>表2_97131923252773119[[#This Row],[活跃Coin]]+表2_97131923252773119[[#This Row],[共计补偿Coin]]</f>
        <v>0</v>
      </c>
      <c r="M93" s="46">
        <f>SUMIFS(表1_86121822242672118[综合国力],表1_86121822242672118[目标区服],表2_97131923252773119[[#This Row],[合区区服]],表1_86121822242672118[目标国家（映射）],表2_97131923252773119[[#This Row],[国家]])</f>
        <v>0</v>
      </c>
      <c r="N93" s="46">
        <f t="array" ref="N93">MAX((表1_86121822242672118[目标区服]=表2_97131923252773119[[#This Row],[合区区服]])*(表1_86121822242672118[目标国家（映射）]=表2_97131923252773119[[#This Row],[国家]])*表1_86121822242672118[单将最高战力])</f>
        <v>0</v>
      </c>
    </row>
    <row r="94" ht="15" spans="1:14">
      <c r="A94" s="45"/>
      <c r="B94" s="48" t="s">
        <v>27</v>
      </c>
      <c r="C94" s="48">
        <f>COUNTIFS(表1_86121822242672118[目标区服],表2_97131923252773119[[#This Row],[合区区服]],表1_86121822242672118[目标国家（映射）],表2_97131923252773119[[#This Row],[国家]])</f>
        <v>0</v>
      </c>
      <c r="D94" s="48">
        <f>SUMIFS(表1_86121822242672118[活跃高战玩家数],表1_86121822242672118[目标区服],表2_97131923252773119[[#This Row],[合区区服]],表1_86121822242672118[目标国家（映射）],表2_97131923252773119[[#This Row],[国家]])</f>
        <v>0</v>
      </c>
      <c r="E94" s="48">
        <f>SUMIFS(表1_86121822242672118[活跃中坚玩家数],表1_86121822242672118[目标区服],表2_97131923252773119[[#This Row],[合区区服]],表1_86121822242672118[目标国家（映射）],表2_97131923252773119[[#This Row],[国家]])</f>
        <v>0</v>
      </c>
      <c r="F94" s="46">
        <f t="array" ref="F94">MAX((表1_86121822242672118[目标区服]=表2_97131923252773119[[#This Row],[合区区服]])*(表1_86121822242672118[目标国家（映射）]=表2_97131923252773119[[#This Row],[国家]])*表1_86121822242672118[活跃尖端战力])</f>
        <v>0</v>
      </c>
      <c r="G94" s="47">
        <f>SUMIFS(表1_86121822242672118[活跃总战力],表1_86121822242672118[目标区服],表2_97131923252773119[[#This Row],[合区区服]],表1_86121822242672118[目标国家（映射）],表2_97131923252773119[[#This Row],[国家]])</f>
        <v>0</v>
      </c>
      <c r="H94" s="46">
        <f>SUMIFS(表1_86121822242672118[活跃实际充值],表1_86121822242672118[目标区服],表2_97131923252773119[[#This Row],[合区区服]],表1_86121822242672118[目标国家（映射）],表2_97131923252773119[[#This Row],[国家]])</f>
        <v>0</v>
      </c>
      <c r="I94" s="46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94" s="46">
        <f>SUMIFS(表1_86121822242672118[活跃Coin],表1_86121822242672118[目标区服],表2_97131923252773119[[#This Row],[合区区服]],表1_86121822242672118[目标国家（映射）],表2_97131923252773119[[#This Row],[国家]])</f>
        <v>0</v>
      </c>
      <c r="K94" s="46">
        <f>SUMIFS(表1_86121822242672118[共计补偿Coin],表1_86121822242672118[目标区服],表2_97131923252773119[[#This Row],[合区区服]],表1_86121822242672118[目标国家（映射）],表2_97131923252773119[[#This Row],[国家]])</f>
        <v>0</v>
      </c>
      <c r="L94" s="46">
        <f>表2_97131923252773119[[#This Row],[活跃Coin]]+表2_97131923252773119[[#This Row],[共计补偿Coin]]</f>
        <v>0</v>
      </c>
      <c r="M94" s="46">
        <f>SUMIFS(表1_86121822242672118[综合国力],表1_86121822242672118[目标区服],表2_97131923252773119[[#This Row],[合区区服]],表1_86121822242672118[目标国家（映射）],表2_97131923252773119[[#This Row],[国家]])</f>
        <v>0</v>
      </c>
      <c r="N94" s="46">
        <f t="array" ref="N94">MAX((表1_86121822242672118[目标区服]=表2_97131923252773119[[#This Row],[合区区服]])*(表1_86121822242672118[目标国家（映射）]=表2_97131923252773119[[#This Row],[国家]])*表1_86121822242672118[单将最高战力])</f>
        <v>0</v>
      </c>
    </row>
    <row r="95" ht="15" spans="1:14">
      <c r="A95" s="45"/>
      <c r="B95" s="46" t="s">
        <v>25</v>
      </c>
      <c r="C95" s="46">
        <f>COUNTIFS(表1_86121822242672118[目标区服],表2_97131923252773119[[#This Row],[合区区服]],表1_86121822242672118[目标国家（映射）],表2_97131923252773119[[#This Row],[国家]])</f>
        <v>0</v>
      </c>
      <c r="D95" s="46">
        <f>SUMIFS(表1_86121822242672118[活跃高战玩家数],表1_86121822242672118[目标区服],表2_97131923252773119[[#This Row],[合区区服]],表1_86121822242672118[目标国家（映射）],表2_97131923252773119[[#This Row],[国家]])</f>
        <v>0</v>
      </c>
      <c r="E95" s="46">
        <f>SUMIFS(表1_86121822242672118[活跃中坚玩家数],表1_86121822242672118[目标区服],表2_97131923252773119[[#This Row],[合区区服]],表1_86121822242672118[目标国家（映射）],表2_97131923252773119[[#This Row],[国家]])</f>
        <v>0</v>
      </c>
      <c r="F95" s="46">
        <f t="array" ref="F95">MAX((表1_86121822242672118[目标区服]=表2_97131923252773119[[#This Row],[合区区服]])*(表1_86121822242672118[目标国家（映射）]=表2_97131923252773119[[#This Row],[国家]])*表1_86121822242672118[活跃尖端战力])</f>
        <v>0</v>
      </c>
      <c r="G95" s="47">
        <f>SUMIFS(表1_86121822242672118[活跃总战力],表1_86121822242672118[目标区服],表2_97131923252773119[[#This Row],[合区区服]],表1_86121822242672118[目标国家（映射）],表2_97131923252773119[[#This Row],[国家]])</f>
        <v>0</v>
      </c>
      <c r="H95" s="46">
        <f>SUMIFS(表1_86121822242672118[活跃实际充值],表1_86121822242672118[目标区服],表2_97131923252773119[[#This Row],[合区区服]],表1_86121822242672118[目标国家（映射）],表2_97131923252773119[[#This Row],[国家]])</f>
        <v>0</v>
      </c>
      <c r="I95" s="46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95" s="46">
        <f>SUMIFS(表1_86121822242672118[活跃Coin],表1_86121822242672118[目标区服],表2_97131923252773119[[#This Row],[合区区服]],表1_86121822242672118[目标国家（映射）],表2_97131923252773119[[#This Row],[国家]])</f>
        <v>0</v>
      </c>
      <c r="K95" s="46">
        <f>SUMIFS(表1_86121822242672118[共计补偿Coin],表1_86121822242672118[目标区服],表2_97131923252773119[[#This Row],[合区区服]],表1_86121822242672118[目标国家（映射）],表2_97131923252773119[[#This Row],[国家]])</f>
        <v>0</v>
      </c>
      <c r="L95" s="46">
        <f>表2_97131923252773119[[#This Row],[活跃Coin]]+表2_97131923252773119[[#This Row],[共计补偿Coin]]</f>
        <v>0</v>
      </c>
      <c r="M95" s="46">
        <f>SUMIFS(表1_86121822242672118[综合国力],表1_86121822242672118[目标区服],表2_97131923252773119[[#This Row],[合区区服]],表1_86121822242672118[目标国家（映射）],表2_97131923252773119[[#This Row],[国家]])</f>
        <v>0</v>
      </c>
      <c r="N95" s="46">
        <f t="array" ref="N95">MAX((表1_86121822242672118[目标区服]=表2_97131923252773119[[#This Row],[合区区服]])*(表1_86121822242672118[目标国家（映射）]=表2_97131923252773119[[#This Row],[国家]])*表1_86121822242672118[单将最高战力])</f>
        <v>0</v>
      </c>
    </row>
    <row r="96" ht="15" spans="1:14">
      <c r="A96" s="45"/>
      <c r="B96" s="46" t="s">
        <v>26</v>
      </c>
      <c r="C96" s="46">
        <f>COUNTIFS(表1_86121822242672118[目标区服],表2_97131923252773119[[#This Row],[合区区服]],表1_86121822242672118[目标国家（映射）],表2_97131923252773119[[#This Row],[国家]])</f>
        <v>0</v>
      </c>
      <c r="D96" s="46">
        <f>SUMIFS(表1_86121822242672118[活跃高战玩家数],表1_86121822242672118[目标区服],表2_97131923252773119[[#This Row],[合区区服]],表1_86121822242672118[目标国家（映射）],表2_97131923252773119[[#This Row],[国家]])</f>
        <v>0</v>
      </c>
      <c r="E96" s="46">
        <f>SUMIFS(表1_86121822242672118[活跃中坚玩家数],表1_86121822242672118[目标区服],表2_97131923252773119[[#This Row],[合区区服]],表1_86121822242672118[目标国家（映射）],表2_97131923252773119[[#This Row],[国家]])</f>
        <v>0</v>
      </c>
      <c r="F96" s="46">
        <f t="array" ref="F96">MAX((表1_86121822242672118[目标区服]=表2_97131923252773119[[#This Row],[合区区服]])*(表1_86121822242672118[目标国家（映射）]=表2_97131923252773119[[#This Row],[国家]])*表1_86121822242672118[活跃尖端战力])</f>
        <v>0</v>
      </c>
      <c r="G96" s="47">
        <f>SUMIFS(表1_86121822242672118[活跃总战力],表1_86121822242672118[目标区服],表2_97131923252773119[[#This Row],[合区区服]],表1_86121822242672118[目标国家（映射）],表2_97131923252773119[[#This Row],[国家]])</f>
        <v>0</v>
      </c>
      <c r="H96" s="46">
        <f>SUMIFS(表1_86121822242672118[活跃实际充值],表1_86121822242672118[目标区服],表2_97131923252773119[[#This Row],[合区区服]],表1_86121822242672118[目标国家（映射）],表2_97131923252773119[[#This Row],[国家]])</f>
        <v>0</v>
      </c>
      <c r="I96" s="46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96" s="46">
        <f>SUMIFS(表1_86121822242672118[活跃Coin],表1_86121822242672118[目标区服],表2_97131923252773119[[#This Row],[合区区服]],表1_86121822242672118[目标国家（映射）],表2_97131923252773119[[#This Row],[国家]])</f>
        <v>0</v>
      </c>
      <c r="K96" s="46">
        <f>SUMIFS(表1_86121822242672118[共计补偿Coin],表1_86121822242672118[目标区服],表2_97131923252773119[[#This Row],[合区区服]],表1_86121822242672118[目标国家（映射）],表2_97131923252773119[[#This Row],[国家]])</f>
        <v>0</v>
      </c>
      <c r="L96" s="46">
        <f>表2_97131923252773119[[#This Row],[活跃Coin]]+表2_97131923252773119[[#This Row],[共计补偿Coin]]</f>
        <v>0</v>
      </c>
      <c r="M96" s="46">
        <f>SUMIFS(表1_86121822242672118[综合国力],表1_86121822242672118[目标区服],表2_97131923252773119[[#This Row],[合区区服]],表1_86121822242672118[目标国家（映射）],表2_97131923252773119[[#This Row],[国家]])</f>
        <v>0</v>
      </c>
      <c r="N96" s="46">
        <f t="array" ref="N96">MAX((表1_86121822242672118[目标区服]=表2_97131923252773119[[#This Row],[合区区服]])*(表1_86121822242672118[目标国家（映射）]=表2_97131923252773119[[#This Row],[国家]])*表1_86121822242672118[单将最高战力])</f>
        <v>0</v>
      </c>
    </row>
    <row r="97" ht="15" spans="1:14">
      <c r="A97" s="45"/>
      <c r="B97" s="48" t="s">
        <v>27</v>
      </c>
      <c r="C97" s="48">
        <f>COUNTIFS(表1_86121822242672118[目标区服],表2_97131923252773119[[#This Row],[合区区服]],表1_86121822242672118[目标国家（映射）],表2_97131923252773119[[#This Row],[国家]])</f>
        <v>0</v>
      </c>
      <c r="D97" s="48">
        <f>SUMIFS(表1_86121822242672118[活跃高战玩家数],表1_86121822242672118[目标区服],表2_97131923252773119[[#This Row],[合区区服]],表1_86121822242672118[目标国家（映射）],表2_97131923252773119[[#This Row],[国家]])</f>
        <v>0</v>
      </c>
      <c r="E97" s="48">
        <f>SUMIFS(表1_86121822242672118[活跃中坚玩家数],表1_86121822242672118[目标区服],表2_97131923252773119[[#This Row],[合区区服]],表1_86121822242672118[目标国家（映射）],表2_97131923252773119[[#This Row],[国家]])</f>
        <v>0</v>
      </c>
      <c r="F97" s="46">
        <f t="array" ref="F97">MAX((表1_86121822242672118[目标区服]=表2_97131923252773119[[#This Row],[合区区服]])*(表1_86121822242672118[目标国家（映射）]=表2_97131923252773119[[#This Row],[国家]])*表1_86121822242672118[活跃尖端战力])</f>
        <v>0</v>
      </c>
      <c r="G97" s="47">
        <f>SUMIFS(表1_86121822242672118[活跃总战力],表1_86121822242672118[目标区服],表2_97131923252773119[[#This Row],[合区区服]],表1_86121822242672118[目标国家（映射）],表2_97131923252773119[[#This Row],[国家]])</f>
        <v>0</v>
      </c>
      <c r="H97" s="46">
        <f>SUMIFS(表1_86121822242672118[活跃实际充值],表1_86121822242672118[目标区服],表2_97131923252773119[[#This Row],[合区区服]],表1_86121822242672118[目标国家（映射）],表2_97131923252773119[[#This Row],[国家]])</f>
        <v>0</v>
      </c>
      <c r="I97" s="46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97" s="46">
        <f>SUMIFS(表1_86121822242672118[活跃Coin],表1_86121822242672118[目标区服],表2_97131923252773119[[#This Row],[合区区服]],表1_86121822242672118[目标国家（映射）],表2_97131923252773119[[#This Row],[国家]])</f>
        <v>0</v>
      </c>
      <c r="K97" s="46">
        <f>SUMIFS(表1_86121822242672118[共计补偿Coin],表1_86121822242672118[目标区服],表2_97131923252773119[[#This Row],[合区区服]],表1_86121822242672118[目标国家（映射）],表2_97131923252773119[[#This Row],[国家]])</f>
        <v>0</v>
      </c>
      <c r="L97" s="46">
        <f>表2_97131923252773119[[#This Row],[活跃Coin]]+表2_97131923252773119[[#This Row],[共计补偿Coin]]</f>
        <v>0</v>
      </c>
      <c r="M97" s="46">
        <f>SUMIFS(表1_86121822242672118[综合国力],表1_86121822242672118[目标区服],表2_97131923252773119[[#This Row],[合区区服]],表1_86121822242672118[目标国家（映射）],表2_97131923252773119[[#This Row],[国家]])</f>
        <v>0</v>
      </c>
      <c r="N97" s="46">
        <f t="array" ref="N97">MAX((表1_86121822242672118[目标区服]=表2_97131923252773119[[#This Row],[合区区服]])*(表1_86121822242672118[目标国家（映射）]=表2_97131923252773119[[#This Row],[国家]])*表1_86121822242672118[单将最高战力])</f>
        <v>0</v>
      </c>
    </row>
    <row r="98" ht="15" spans="1:14">
      <c r="A98" s="45"/>
      <c r="B98" s="46" t="s">
        <v>25</v>
      </c>
      <c r="C98" s="46">
        <f>COUNTIFS(表1_86121822242672118[目标区服],表2_97131923252773119[[#This Row],[合区区服]],表1_86121822242672118[目标国家（映射）],表2_97131923252773119[[#This Row],[国家]])</f>
        <v>0</v>
      </c>
      <c r="D98" s="46">
        <f>SUMIFS(表1_86121822242672118[活跃高战玩家数],表1_86121822242672118[目标区服],表2_97131923252773119[[#This Row],[合区区服]],表1_86121822242672118[目标国家（映射）],表2_97131923252773119[[#This Row],[国家]])</f>
        <v>0</v>
      </c>
      <c r="E98" s="46">
        <f>SUMIFS(表1_86121822242672118[活跃中坚玩家数],表1_86121822242672118[目标区服],表2_97131923252773119[[#This Row],[合区区服]],表1_86121822242672118[目标国家（映射）],表2_97131923252773119[[#This Row],[国家]])</f>
        <v>0</v>
      </c>
      <c r="F98" s="46">
        <f t="array" ref="F98">MAX((表1_86121822242672118[目标区服]=表2_97131923252773119[[#This Row],[合区区服]])*(表1_86121822242672118[目标国家（映射）]=表2_97131923252773119[[#This Row],[国家]])*表1_86121822242672118[活跃尖端战力])</f>
        <v>0</v>
      </c>
      <c r="G98" s="47">
        <f>SUMIFS(表1_86121822242672118[活跃总战力],表1_86121822242672118[目标区服],表2_97131923252773119[[#This Row],[合区区服]],表1_86121822242672118[目标国家（映射）],表2_97131923252773119[[#This Row],[国家]])</f>
        <v>0</v>
      </c>
      <c r="H98" s="46">
        <f>SUMIFS(表1_86121822242672118[活跃实际充值],表1_86121822242672118[目标区服],表2_97131923252773119[[#This Row],[合区区服]],表1_86121822242672118[目标国家（映射）],表2_97131923252773119[[#This Row],[国家]])</f>
        <v>0</v>
      </c>
      <c r="I98" s="46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98" s="46">
        <f>SUMIFS(表1_86121822242672118[活跃Coin],表1_86121822242672118[目标区服],表2_97131923252773119[[#This Row],[合区区服]],表1_86121822242672118[目标国家（映射）],表2_97131923252773119[[#This Row],[国家]])</f>
        <v>0</v>
      </c>
      <c r="K98" s="46">
        <f>SUMIFS(表1_86121822242672118[共计补偿Coin],表1_86121822242672118[目标区服],表2_97131923252773119[[#This Row],[合区区服]],表1_86121822242672118[目标国家（映射）],表2_97131923252773119[[#This Row],[国家]])</f>
        <v>0</v>
      </c>
      <c r="L98" s="46">
        <f>表2_97131923252773119[[#This Row],[活跃Coin]]+表2_97131923252773119[[#This Row],[共计补偿Coin]]</f>
        <v>0</v>
      </c>
      <c r="M98" s="46">
        <f>SUMIFS(表1_86121822242672118[综合国力],表1_86121822242672118[目标区服],表2_97131923252773119[[#This Row],[合区区服]],表1_86121822242672118[目标国家（映射）],表2_97131923252773119[[#This Row],[国家]])</f>
        <v>0</v>
      </c>
      <c r="N98" s="46">
        <f t="array" ref="N98">MAX((表1_86121822242672118[目标区服]=表2_97131923252773119[[#This Row],[合区区服]])*(表1_86121822242672118[目标国家（映射）]=表2_97131923252773119[[#This Row],[国家]])*表1_86121822242672118[单将最高战力])</f>
        <v>0</v>
      </c>
    </row>
    <row r="99" ht="15" spans="1:14">
      <c r="A99" s="45"/>
      <c r="B99" s="46" t="s">
        <v>26</v>
      </c>
      <c r="C99" s="46">
        <f>COUNTIFS(表1_86121822242672118[目标区服],表2_97131923252773119[[#This Row],[合区区服]],表1_86121822242672118[目标国家（映射）],表2_97131923252773119[[#This Row],[国家]])</f>
        <v>0</v>
      </c>
      <c r="D99" s="46">
        <f>SUMIFS(表1_86121822242672118[活跃高战玩家数],表1_86121822242672118[目标区服],表2_97131923252773119[[#This Row],[合区区服]],表1_86121822242672118[目标国家（映射）],表2_97131923252773119[[#This Row],[国家]])</f>
        <v>0</v>
      </c>
      <c r="E99" s="46">
        <f>SUMIFS(表1_86121822242672118[活跃中坚玩家数],表1_86121822242672118[目标区服],表2_97131923252773119[[#This Row],[合区区服]],表1_86121822242672118[目标国家（映射）],表2_97131923252773119[[#This Row],[国家]])</f>
        <v>0</v>
      </c>
      <c r="F99" s="46">
        <f t="array" ref="F99">MAX((表1_86121822242672118[目标区服]=表2_97131923252773119[[#This Row],[合区区服]])*(表1_86121822242672118[目标国家（映射）]=表2_97131923252773119[[#This Row],[国家]])*表1_86121822242672118[活跃尖端战力])</f>
        <v>0</v>
      </c>
      <c r="G99" s="47">
        <f>SUMIFS(表1_86121822242672118[活跃总战力],表1_86121822242672118[目标区服],表2_97131923252773119[[#This Row],[合区区服]],表1_86121822242672118[目标国家（映射）],表2_97131923252773119[[#This Row],[国家]])</f>
        <v>0</v>
      </c>
      <c r="H99" s="46">
        <f>SUMIFS(表1_86121822242672118[活跃实际充值],表1_86121822242672118[目标区服],表2_97131923252773119[[#This Row],[合区区服]],表1_86121822242672118[目标国家（映射）],表2_97131923252773119[[#This Row],[国家]])</f>
        <v>0</v>
      </c>
      <c r="I99" s="46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99" s="46">
        <f>SUMIFS(表1_86121822242672118[活跃Coin],表1_86121822242672118[目标区服],表2_97131923252773119[[#This Row],[合区区服]],表1_86121822242672118[目标国家（映射）],表2_97131923252773119[[#This Row],[国家]])</f>
        <v>0</v>
      </c>
      <c r="K99" s="46">
        <f>SUMIFS(表1_86121822242672118[共计补偿Coin],表1_86121822242672118[目标区服],表2_97131923252773119[[#This Row],[合区区服]],表1_86121822242672118[目标国家（映射）],表2_97131923252773119[[#This Row],[国家]])</f>
        <v>0</v>
      </c>
      <c r="L99" s="46">
        <f>表2_97131923252773119[[#This Row],[活跃Coin]]+表2_97131923252773119[[#This Row],[共计补偿Coin]]</f>
        <v>0</v>
      </c>
      <c r="M99" s="46">
        <f>SUMIFS(表1_86121822242672118[综合国力],表1_86121822242672118[目标区服],表2_97131923252773119[[#This Row],[合区区服]],表1_86121822242672118[目标国家（映射）],表2_97131923252773119[[#This Row],[国家]])</f>
        <v>0</v>
      </c>
      <c r="N99" s="46">
        <f t="array" ref="N99">MAX((表1_86121822242672118[目标区服]=表2_97131923252773119[[#This Row],[合区区服]])*(表1_86121822242672118[目标国家（映射）]=表2_97131923252773119[[#This Row],[国家]])*表1_86121822242672118[单将最高战力])</f>
        <v>0</v>
      </c>
    </row>
    <row r="100" ht="15" spans="1:14">
      <c r="A100" s="45"/>
      <c r="B100" s="48" t="s">
        <v>27</v>
      </c>
      <c r="C100" s="48">
        <f>COUNTIFS(表1_86121822242672118[目标区服],表2_97131923252773119[[#This Row],[合区区服]],表1_86121822242672118[目标国家（映射）],表2_97131923252773119[[#This Row],[国家]])</f>
        <v>0</v>
      </c>
      <c r="D100" s="48">
        <f>SUMIFS(表1_86121822242672118[活跃高战玩家数],表1_86121822242672118[目标区服],表2_97131923252773119[[#This Row],[合区区服]],表1_86121822242672118[目标国家（映射）],表2_97131923252773119[[#This Row],[国家]])</f>
        <v>0</v>
      </c>
      <c r="E100" s="48">
        <f>SUMIFS(表1_86121822242672118[活跃中坚玩家数],表1_86121822242672118[目标区服],表2_97131923252773119[[#This Row],[合区区服]],表1_86121822242672118[目标国家（映射）],表2_97131923252773119[[#This Row],[国家]])</f>
        <v>0</v>
      </c>
      <c r="F100" s="46">
        <f t="array" ref="F100">MAX((表1_86121822242672118[目标区服]=表2_97131923252773119[[#This Row],[合区区服]])*(表1_86121822242672118[目标国家（映射）]=表2_97131923252773119[[#This Row],[国家]])*表1_86121822242672118[活跃尖端战力])</f>
        <v>0</v>
      </c>
      <c r="G100" s="47">
        <f>SUMIFS(表1_86121822242672118[活跃总战力],表1_86121822242672118[目标区服],表2_97131923252773119[[#This Row],[合区区服]],表1_86121822242672118[目标国家（映射）],表2_97131923252773119[[#This Row],[国家]])</f>
        <v>0</v>
      </c>
      <c r="H100" s="46">
        <f>SUMIFS(表1_86121822242672118[活跃实际充值],表1_86121822242672118[目标区服],表2_97131923252773119[[#This Row],[合区区服]],表1_86121822242672118[目标国家（映射）],表2_97131923252773119[[#This Row],[国家]])</f>
        <v>0</v>
      </c>
      <c r="I100" s="46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100" s="46">
        <f>SUMIFS(表1_86121822242672118[活跃Coin],表1_86121822242672118[目标区服],表2_97131923252773119[[#This Row],[合区区服]],表1_86121822242672118[目标国家（映射）],表2_97131923252773119[[#This Row],[国家]])</f>
        <v>0</v>
      </c>
      <c r="K100" s="46">
        <f>SUMIFS(表1_86121822242672118[共计补偿Coin],表1_86121822242672118[目标区服],表2_97131923252773119[[#This Row],[合区区服]],表1_86121822242672118[目标国家（映射）],表2_97131923252773119[[#This Row],[国家]])</f>
        <v>0</v>
      </c>
      <c r="L100" s="46">
        <f>表2_97131923252773119[[#This Row],[活跃Coin]]+表2_97131923252773119[[#This Row],[共计补偿Coin]]</f>
        <v>0</v>
      </c>
      <c r="M100" s="46">
        <f>SUMIFS(表1_86121822242672118[综合国力],表1_86121822242672118[目标区服],表2_97131923252773119[[#This Row],[合区区服]],表1_86121822242672118[目标国家（映射）],表2_97131923252773119[[#This Row],[国家]])</f>
        <v>0</v>
      </c>
      <c r="N100" s="46">
        <f t="array" ref="N100">MAX((表1_86121822242672118[目标区服]=表2_97131923252773119[[#This Row],[合区区服]])*(表1_86121822242672118[目标国家（映射）]=表2_97131923252773119[[#This Row],[国家]])*表1_86121822242672118[单将最高战力])</f>
        <v>0</v>
      </c>
    </row>
    <row r="101" ht="15" spans="1:14">
      <c r="A101" s="45"/>
      <c r="B101" s="46" t="s">
        <v>25</v>
      </c>
      <c r="C101" s="46">
        <f>COUNTIFS(表1_86121822242672118[目标区服],表2_97131923252773119[[#This Row],[合区区服]],表1_86121822242672118[目标国家（映射）],表2_97131923252773119[[#This Row],[国家]])</f>
        <v>0</v>
      </c>
      <c r="D101" s="46">
        <f>SUMIFS(表1_86121822242672118[活跃高战玩家数],表1_86121822242672118[目标区服],表2_97131923252773119[[#This Row],[合区区服]],表1_86121822242672118[目标国家（映射）],表2_97131923252773119[[#This Row],[国家]])</f>
        <v>0</v>
      </c>
      <c r="E101" s="46">
        <f>SUMIFS(表1_86121822242672118[活跃中坚玩家数],表1_86121822242672118[目标区服],表2_97131923252773119[[#This Row],[合区区服]],表1_86121822242672118[目标国家（映射）],表2_97131923252773119[[#This Row],[国家]])</f>
        <v>0</v>
      </c>
      <c r="F101" s="46">
        <f t="array" ref="F101">MAX((表1_86121822242672118[目标区服]=表2_97131923252773119[[#This Row],[合区区服]])*(表1_86121822242672118[目标国家（映射）]=表2_97131923252773119[[#This Row],[国家]])*表1_86121822242672118[活跃尖端战力])</f>
        <v>0</v>
      </c>
      <c r="G101" s="47">
        <f>SUMIFS(表1_86121822242672118[活跃总战力],表1_86121822242672118[目标区服],表2_97131923252773119[[#This Row],[合区区服]],表1_86121822242672118[目标国家（映射）],表2_97131923252773119[[#This Row],[国家]])</f>
        <v>0</v>
      </c>
      <c r="H101" s="46">
        <f>SUMIFS(表1_86121822242672118[活跃实际充值],表1_86121822242672118[目标区服],表2_97131923252773119[[#This Row],[合区区服]],表1_86121822242672118[目标国家（映射）],表2_97131923252773119[[#This Row],[国家]])</f>
        <v>0</v>
      </c>
      <c r="I101" s="46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101" s="46">
        <f>SUMIFS(表1_86121822242672118[活跃Coin],表1_86121822242672118[目标区服],表2_97131923252773119[[#This Row],[合区区服]],表1_86121822242672118[目标国家（映射）],表2_97131923252773119[[#This Row],[国家]])</f>
        <v>0</v>
      </c>
      <c r="K101" s="46">
        <f>SUMIFS(表1_86121822242672118[共计补偿Coin],表1_86121822242672118[目标区服],表2_97131923252773119[[#This Row],[合区区服]],表1_86121822242672118[目标国家（映射）],表2_97131923252773119[[#This Row],[国家]])</f>
        <v>0</v>
      </c>
      <c r="L101" s="46">
        <f>表2_97131923252773119[[#This Row],[活跃Coin]]+表2_97131923252773119[[#This Row],[共计补偿Coin]]</f>
        <v>0</v>
      </c>
      <c r="M101" s="46">
        <f>SUMIFS(表1_86121822242672118[综合国力],表1_86121822242672118[目标区服],表2_97131923252773119[[#This Row],[合区区服]],表1_86121822242672118[目标国家（映射）],表2_97131923252773119[[#This Row],[国家]])</f>
        <v>0</v>
      </c>
      <c r="N101" s="46">
        <f t="array" ref="N101">MAX((表1_86121822242672118[目标区服]=表2_97131923252773119[[#This Row],[合区区服]])*(表1_86121822242672118[目标国家（映射）]=表2_97131923252773119[[#This Row],[国家]])*表1_86121822242672118[单将最高战力])</f>
        <v>0</v>
      </c>
    </row>
    <row r="102" ht="15" spans="1:14">
      <c r="A102" s="45"/>
      <c r="B102" s="46" t="s">
        <v>26</v>
      </c>
      <c r="C102" s="46">
        <f>COUNTIFS(表1_86121822242672118[目标区服],表2_97131923252773119[[#This Row],[合区区服]],表1_86121822242672118[目标国家（映射）],表2_97131923252773119[[#This Row],[国家]])</f>
        <v>0</v>
      </c>
      <c r="D102" s="46">
        <f>SUMIFS(表1_86121822242672118[活跃高战玩家数],表1_86121822242672118[目标区服],表2_97131923252773119[[#This Row],[合区区服]],表1_86121822242672118[目标国家（映射）],表2_97131923252773119[[#This Row],[国家]])</f>
        <v>0</v>
      </c>
      <c r="E102" s="46">
        <f>SUMIFS(表1_86121822242672118[活跃中坚玩家数],表1_86121822242672118[目标区服],表2_97131923252773119[[#This Row],[合区区服]],表1_86121822242672118[目标国家（映射）],表2_97131923252773119[[#This Row],[国家]])</f>
        <v>0</v>
      </c>
      <c r="F102" s="46">
        <f t="array" ref="F102">MAX((表1_86121822242672118[目标区服]=表2_97131923252773119[[#This Row],[合区区服]])*(表1_86121822242672118[目标国家（映射）]=表2_97131923252773119[[#This Row],[国家]])*表1_86121822242672118[活跃尖端战力])</f>
        <v>0</v>
      </c>
      <c r="G102" s="47">
        <f>SUMIFS(表1_86121822242672118[活跃总战力],表1_86121822242672118[目标区服],表2_97131923252773119[[#This Row],[合区区服]],表1_86121822242672118[目标国家（映射）],表2_97131923252773119[[#This Row],[国家]])</f>
        <v>0</v>
      </c>
      <c r="H102" s="46">
        <f>SUMIFS(表1_86121822242672118[活跃实际充值],表1_86121822242672118[目标区服],表2_97131923252773119[[#This Row],[合区区服]],表1_86121822242672118[目标国家（映射）],表2_97131923252773119[[#This Row],[国家]])</f>
        <v>0</v>
      </c>
      <c r="I102" s="46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102" s="46">
        <f>SUMIFS(表1_86121822242672118[活跃Coin],表1_86121822242672118[目标区服],表2_97131923252773119[[#This Row],[合区区服]],表1_86121822242672118[目标国家（映射）],表2_97131923252773119[[#This Row],[国家]])</f>
        <v>0</v>
      </c>
      <c r="K102" s="46">
        <f>SUMIFS(表1_86121822242672118[共计补偿Coin],表1_86121822242672118[目标区服],表2_97131923252773119[[#This Row],[合区区服]],表1_86121822242672118[目标国家（映射）],表2_97131923252773119[[#This Row],[国家]])</f>
        <v>0</v>
      </c>
      <c r="L102" s="46">
        <f>表2_97131923252773119[[#This Row],[活跃Coin]]+表2_97131923252773119[[#This Row],[共计补偿Coin]]</f>
        <v>0</v>
      </c>
      <c r="M102" s="46">
        <f>SUMIFS(表1_86121822242672118[综合国力],表1_86121822242672118[目标区服],表2_97131923252773119[[#This Row],[合区区服]],表1_86121822242672118[目标国家（映射）],表2_97131923252773119[[#This Row],[国家]])</f>
        <v>0</v>
      </c>
      <c r="N102" s="46">
        <f t="array" ref="N102">MAX((表1_86121822242672118[目标区服]=表2_97131923252773119[[#This Row],[合区区服]])*(表1_86121822242672118[目标国家（映射）]=表2_97131923252773119[[#This Row],[国家]])*表1_86121822242672118[单将最高战力])</f>
        <v>0</v>
      </c>
    </row>
    <row r="103" ht="15" spans="1:14">
      <c r="A103" s="45"/>
      <c r="B103" s="48" t="s">
        <v>27</v>
      </c>
      <c r="C103" s="48">
        <f>COUNTIFS(表1_86121822242672118[目标区服],表2_97131923252773119[[#This Row],[合区区服]],表1_86121822242672118[目标国家（映射）],表2_97131923252773119[[#This Row],[国家]])</f>
        <v>0</v>
      </c>
      <c r="D103" s="48">
        <f>SUMIFS(表1_86121822242672118[活跃高战玩家数],表1_86121822242672118[目标区服],表2_97131923252773119[[#This Row],[合区区服]],表1_86121822242672118[目标国家（映射）],表2_97131923252773119[[#This Row],[国家]])</f>
        <v>0</v>
      </c>
      <c r="E103" s="48">
        <f>SUMIFS(表1_86121822242672118[活跃中坚玩家数],表1_86121822242672118[目标区服],表2_97131923252773119[[#This Row],[合区区服]],表1_86121822242672118[目标国家（映射）],表2_97131923252773119[[#This Row],[国家]])</f>
        <v>0</v>
      </c>
      <c r="F103" s="46">
        <f t="array" ref="F103">MAX((表1_86121822242672118[目标区服]=表2_97131923252773119[[#This Row],[合区区服]])*(表1_86121822242672118[目标国家（映射）]=表2_97131923252773119[[#This Row],[国家]])*表1_86121822242672118[活跃尖端战力])</f>
        <v>0</v>
      </c>
      <c r="G103" s="47">
        <f>SUMIFS(表1_86121822242672118[活跃总战力],表1_86121822242672118[目标区服],表2_97131923252773119[[#This Row],[合区区服]],表1_86121822242672118[目标国家（映射）],表2_97131923252773119[[#This Row],[国家]])</f>
        <v>0</v>
      </c>
      <c r="H103" s="46">
        <f>SUMIFS(表1_86121822242672118[活跃实际充值],表1_86121822242672118[目标区服],表2_97131923252773119[[#This Row],[合区区服]],表1_86121822242672118[目标国家（映射）],表2_97131923252773119[[#This Row],[国家]])</f>
        <v>0</v>
      </c>
      <c r="I103" s="46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103" s="46">
        <f>SUMIFS(表1_86121822242672118[活跃Coin],表1_86121822242672118[目标区服],表2_97131923252773119[[#This Row],[合区区服]],表1_86121822242672118[目标国家（映射）],表2_97131923252773119[[#This Row],[国家]])</f>
        <v>0</v>
      </c>
      <c r="K103" s="46">
        <f>SUMIFS(表1_86121822242672118[共计补偿Coin],表1_86121822242672118[目标区服],表2_97131923252773119[[#This Row],[合区区服]],表1_86121822242672118[目标国家（映射）],表2_97131923252773119[[#This Row],[国家]])</f>
        <v>0</v>
      </c>
      <c r="L103" s="46">
        <f>表2_97131923252773119[[#This Row],[活跃Coin]]+表2_97131923252773119[[#This Row],[共计补偿Coin]]</f>
        <v>0</v>
      </c>
      <c r="M103" s="46">
        <f>SUMIFS(表1_86121822242672118[综合国力],表1_86121822242672118[目标区服],表2_97131923252773119[[#This Row],[合区区服]],表1_86121822242672118[目标国家（映射）],表2_97131923252773119[[#This Row],[国家]])</f>
        <v>0</v>
      </c>
      <c r="N103" s="46">
        <f t="array" ref="N103">MAX((表1_86121822242672118[目标区服]=表2_97131923252773119[[#This Row],[合区区服]])*(表1_86121822242672118[目标国家（映射）]=表2_97131923252773119[[#This Row],[国家]])*表1_86121822242672118[单将最高战力])</f>
        <v>0</v>
      </c>
    </row>
    <row r="104" ht="15" spans="1:14">
      <c r="A104" s="45"/>
      <c r="B104" s="46" t="s">
        <v>25</v>
      </c>
      <c r="C104" s="46">
        <f>COUNTIFS(表1_86121822242672118[目标区服],表2_97131923252773119[[#This Row],[合区区服]],表1_86121822242672118[目标国家（映射）],表2_97131923252773119[[#This Row],[国家]])</f>
        <v>0</v>
      </c>
      <c r="D104" s="46">
        <f>SUMIFS(表1_86121822242672118[活跃高战玩家数],表1_86121822242672118[目标区服],表2_97131923252773119[[#This Row],[合区区服]],表1_86121822242672118[目标国家（映射）],表2_97131923252773119[[#This Row],[国家]])</f>
        <v>0</v>
      </c>
      <c r="E104" s="46">
        <f>SUMIFS(表1_86121822242672118[活跃中坚玩家数],表1_86121822242672118[目标区服],表2_97131923252773119[[#This Row],[合区区服]],表1_86121822242672118[目标国家（映射）],表2_97131923252773119[[#This Row],[国家]])</f>
        <v>0</v>
      </c>
      <c r="F104" s="46">
        <f t="array" ref="F104">MAX((表1_86121822242672118[目标区服]=表2_97131923252773119[[#This Row],[合区区服]])*(表1_86121822242672118[目标国家（映射）]=表2_97131923252773119[[#This Row],[国家]])*表1_86121822242672118[活跃尖端战力])</f>
        <v>0</v>
      </c>
      <c r="G104" s="47">
        <f>SUMIFS(表1_86121822242672118[活跃总战力],表1_86121822242672118[目标区服],表2_97131923252773119[[#This Row],[合区区服]],表1_86121822242672118[目标国家（映射）],表2_97131923252773119[[#This Row],[国家]])</f>
        <v>0</v>
      </c>
      <c r="H104" s="46">
        <f>SUMIFS(表1_86121822242672118[活跃实际充值],表1_86121822242672118[目标区服],表2_97131923252773119[[#This Row],[合区区服]],表1_86121822242672118[目标国家（映射）],表2_97131923252773119[[#This Row],[国家]])</f>
        <v>0</v>
      </c>
      <c r="I104" s="46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104" s="46">
        <f>SUMIFS(表1_86121822242672118[活跃Coin],表1_86121822242672118[目标区服],表2_97131923252773119[[#This Row],[合区区服]],表1_86121822242672118[目标国家（映射）],表2_97131923252773119[[#This Row],[国家]])</f>
        <v>0</v>
      </c>
      <c r="K104" s="46">
        <f>SUMIFS(表1_86121822242672118[共计补偿Coin],表1_86121822242672118[目标区服],表2_97131923252773119[[#This Row],[合区区服]],表1_86121822242672118[目标国家（映射）],表2_97131923252773119[[#This Row],[国家]])</f>
        <v>0</v>
      </c>
      <c r="L104" s="46">
        <f>表2_97131923252773119[[#This Row],[活跃Coin]]+表2_97131923252773119[[#This Row],[共计补偿Coin]]</f>
        <v>0</v>
      </c>
      <c r="M104" s="46">
        <f>SUMIFS(表1_86121822242672118[综合国力],表1_86121822242672118[目标区服],表2_97131923252773119[[#This Row],[合区区服]],表1_86121822242672118[目标国家（映射）],表2_97131923252773119[[#This Row],[国家]])</f>
        <v>0</v>
      </c>
      <c r="N104" s="46">
        <f t="array" ref="N104">MAX((表1_86121822242672118[目标区服]=表2_97131923252773119[[#This Row],[合区区服]])*(表1_86121822242672118[目标国家（映射）]=表2_97131923252773119[[#This Row],[国家]])*表1_86121822242672118[单将最高战力])</f>
        <v>0</v>
      </c>
    </row>
    <row r="105" ht="15" spans="1:14">
      <c r="A105" s="45"/>
      <c r="B105" s="46" t="s">
        <v>26</v>
      </c>
      <c r="C105" s="46">
        <f>COUNTIFS(表1_86121822242672118[目标区服],表2_97131923252773119[[#This Row],[合区区服]],表1_86121822242672118[目标国家（映射）],表2_97131923252773119[[#This Row],[国家]])</f>
        <v>0</v>
      </c>
      <c r="D105" s="46">
        <f>SUMIFS(表1_86121822242672118[活跃高战玩家数],表1_86121822242672118[目标区服],表2_97131923252773119[[#This Row],[合区区服]],表1_86121822242672118[目标国家（映射）],表2_97131923252773119[[#This Row],[国家]])</f>
        <v>0</v>
      </c>
      <c r="E105" s="46">
        <f>SUMIFS(表1_86121822242672118[活跃中坚玩家数],表1_86121822242672118[目标区服],表2_97131923252773119[[#This Row],[合区区服]],表1_86121822242672118[目标国家（映射）],表2_97131923252773119[[#This Row],[国家]])</f>
        <v>0</v>
      </c>
      <c r="F105" s="46">
        <f t="array" ref="F105">MAX((表1_86121822242672118[目标区服]=表2_97131923252773119[[#This Row],[合区区服]])*(表1_86121822242672118[目标国家（映射）]=表2_97131923252773119[[#This Row],[国家]])*表1_86121822242672118[活跃尖端战力])</f>
        <v>0</v>
      </c>
      <c r="G105" s="47">
        <f>SUMIFS(表1_86121822242672118[活跃总战力],表1_86121822242672118[目标区服],表2_97131923252773119[[#This Row],[合区区服]],表1_86121822242672118[目标国家（映射）],表2_97131923252773119[[#This Row],[国家]])</f>
        <v>0</v>
      </c>
      <c r="H105" s="46">
        <f>SUMIFS(表1_86121822242672118[活跃实际充值],表1_86121822242672118[目标区服],表2_97131923252773119[[#This Row],[合区区服]],表1_86121822242672118[目标国家（映射）],表2_97131923252773119[[#This Row],[国家]])</f>
        <v>0</v>
      </c>
      <c r="I105" s="46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105" s="46">
        <f>SUMIFS(表1_86121822242672118[活跃Coin],表1_86121822242672118[目标区服],表2_97131923252773119[[#This Row],[合区区服]],表1_86121822242672118[目标国家（映射）],表2_97131923252773119[[#This Row],[国家]])</f>
        <v>0</v>
      </c>
      <c r="K105" s="46">
        <f>SUMIFS(表1_86121822242672118[共计补偿Coin],表1_86121822242672118[目标区服],表2_97131923252773119[[#This Row],[合区区服]],表1_86121822242672118[目标国家（映射）],表2_97131923252773119[[#This Row],[国家]])</f>
        <v>0</v>
      </c>
      <c r="L105" s="46">
        <f>表2_97131923252773119[[#This Row],[活跃Coin]]+表2_97131923252773119[[#This Row],[共计补偿Coin]]</f>
        <v>0</v>
      </c>
      <c r="M105" s="46">
        <f>SUMIFS(表1_86121822242672118[综合国力],表1_86121822242672118[目标区服],表2_97131923252773119[[#This Row],[合区区服]],表1_86121822242672118[目标国家（映射）],表2_97131923252773119[[#This Row],[国家]])</f>
        <v>0</v>
      </c>
      <c r="N105" s="46">
        <f t="array" ref="N105">MAX((表1_86121822242672118[目标区服]=表2_97131923252773119[[#This Row],[合区区服]])*(表1_86121822242672118[目标国家（映射）]=表2_97131923252773119[[#This Row],[国家]])*表1_86121822242672118[单将最高战力])</f>
        <v>0</v>
      </c>
    </row>
    <row r="106" ht="15" spans="1:14">
      <c r="A106" s="45"/>
      <c r="B106" s="48" t="s">
        <v>27</v>
      </c>
      <c r="C106" s="48">
        <f>COUNTIFS(表1_86121822242672118[目标区服],表2_97131923252773119[[#This Row],[合区区服]],表1_86121822242672118[目标国家（映射）],表2_97131923252773119[[#This Row],[国家]])</f>
        <v>0</v>
      </c>
      <c r="D106" s="48">
        <f>SUMIFS(表1_86121822242672118[活跃高战玩家数],表1_86121822242672118[目标区服],表2_97131923252773119[[#This Row],[合区区服]],表1_86121822242672118[目标国家（映射）],表2_97131923252773119[[#This Row],[国家]])</f>
        <v>0</v>
      </c>
      <c r="E106" s="48">
        <f>SUMIFS(表1_86121822242672118[活跃中坚玩家数],表1_86121822242672118[目标区服],表2_97131923252773119[[#This Row],[合区区服]],表1_86121822242672118[目标国家（映射）],表2_97131923252773119[[#This Row],[国家]])</f>
        <v>0</v>
      </c>
      <c r="F106" s="46">
        <f t="array" ref="F106">MAX((表1_86121822242672118[目标区服]=表2_97131923252773119[[#This Row],[合区区服]])*(表1_86121822242672118[目标国家（映射）]=表2_97131923252773119[[#This Row],[国家]])*表1_86121822242672118[活跃尖端战力])</f>
        <v>0</v>
      </c>
      <c r="G106" s="47">
        <f>SUMIFS(表1_86121822242672118[活跃总战力],表1_86121822242672118[目标区服],表2_97131923252773119[[#This Row],[合区区服]],表1_86121822242672118[目标国家（映射）],表2_97131923252773119[[#This Row],[国家]])</f>
        <v>0</v>
      </c>
      <c r="H106" s="46">
        <f>SUMIFS(表1_86121822242672118[活跃实际充值],表1_86121822242672118[目标区服],表2_97131923252773119[[#This Row],[合区区服]],表1_86121822242672118[目标国家（映射）],表2_97131923252773119[[#This Row],[国家]])</f>
        <v>0</v>
      </c>
      <c r="I106" s="46">
        <f>SUMIFS(表1_86121822242672118[活跃虚拟充值],表1_86121822242672118[目标区服],表2_97131923252773119[[#This Row],[合区区服]],表1_86121822242672118[目标国家（映射）],表2_97131923252773119[[#This Row],[国家]])</f>
        <v>0</v>
      </c>
      <c r="J106" s="46">
        <f>SUMIFS(表1_86121822242672118[活跃Coin],表1_86121822242672118[目标区服],表2_97131923252773119[[#This Row],[合区区服]],表1_86121822242672118[目标国家（映射）],表2_97131923252773119[[#This Row],[国家]])</f>
        <v>0</v>
      </c>
      <c r="K106" s="46">
        <f>SUMIFS(表1_86121822242672118[共计补偿Coin],表1_86121822242672118[目标区服],表2_97131923252773119[[#This Row],[合区区服]],表1_86121822242672118[目标国家（映射）],表2_97131923252773119[[#This Row],[国家]])</f>
        <v>0</v>
      </c>
      <c r="L106" s="46">
        <f>表2_97131923252773119[[#This Row],[活跃Coin]]+表2_97131923252773119[[#This Row],[共计补偿Coin]]</f>
        <v>0</v>
      </c>
      <c r="M106" s="46">
        <f>SUMIFS(表1_86121822242672118[综合国力],表1_86121822242672118[目标区服],表2_97131923252773119[[#This Row],[合区区服]],表1_86121822242672118[目标国家（映射）],表2_97131923252773119[[#This Row],[国家]])</f>
        <v>0</v>
      </c>
      <c r="N106" s="46">
        <f t="array" ref="N106">MAX((表1_86121822242672118[目标区服]=表2_97131923252773119[[#This Row],[合区区服]])*(表1_86121822242672118[目标国家（映射）]=表2_97131923252773119[[#This Row],[国家]])*表1_86121822242672118[单将最高战力])</f>
        <v>0</v>
      </c>
    </row>
    <row r="112" ht="27" spans="2:14">
      <c r="B112" s="263"/>
      <c r="C112" s="264" t="s">
        <v>9</v>
      </c>
      <c r="D112" s="264" t="s">
        <v>10</v>
      </c>
      <c r="E112" s="264" t="s">
        <v>11</v>
      </c>
      <c r="F112" s="264" t="s">
        <v>12</v>
      </c>
      <c r="G112" s="264" t="s">
        <v>13</v>
      </c>
      <c r="H112" s="264" t="s">
        <v>14</v>
      </c>
      <c r="I112" s="264" t="s">
        <v>15</v>
      </c>
      <c r="J112" s="264" t="s">
        <v>18</v>
      </c>
      <c r="K112" s="264" t="s">
        <v>19</v>
      </c>
      <c r="L112" s="264" t="s">
        <v>20</v>
      </c>
      <c r="M112" s="264" t="s">
        <v>21</v>
      </c>
      <c r="N112" s="264" t="s">
        <v>82</v>
      </c>
    </row>
    <row r="113" spans="1:14">
      <c r="A113" s="192">
        <v>5289</v>
      </c>
      <c r="B113" s="189" t="s">
        <v>25</v>
      </c>
      <c r="C113" s="189">
        <v>1</v>
      </c>
      <c r="D113" s="189">
        <v>73</v>
      </c>
      <c r="E113" s="189">
        <v>1</v>
      </c>
      <c r="F113" s="189">
        <v>17</v>
      </c>
      <c r="G113" s="189">
        <v>73845</v>
      </c>
      <c r="H113" s="189">
        <v>1391511</v>
      </c>
      <c r="I113" s="189">
        <v>11915169</v>
      </c>
      <c r="J113" s="189">
        <v>6916</v>
      </c>
      <c r="K113" s="189">
        <v>0</v>
      </c>
      <c r="L113" s="189">
        <v>139523</v>
      </c>
      <c r="M113" s="189">
        <v>4059</v>
      </c>
      <c r="N113" s="189">
        <v>370209</v>
      </c>
    </row>
    <row r="114" spans="1:14">
      <c r="A114" s="192"/>
      <c r="B114" s="189" t="s">
        <v>26</v>
      </c>
      <c r="C114" s="189">
        <v>7</v>
      </c>
      <c r="D114" s="189">
        <v>262</v>
      </c>
      <c r="E114" s="189">
        <v>8</v>
      </c>
      <c r="F114" s="189">
        <v>26</v>
      </c>
      <c r="G114" s="189">
        <v>177149</v>
      </c>
      <c r="H114" s="189">
        <v>2829161</v>
      </c>
      <c r="I114" s="189">
        <v>29577225</v>
      </c>
      <c r="J114" s="189">
        <v>75942</v>
      </c>
      <c r="K114" s="189">
        <v>0</v>
      </c>
      <c r="L114" s="189">
        <v>577308</v>
      </c>
      <c r="M114" s="189">
        <v>12559</v>
      </c>
      <c r="N114" s="189">
        <v>882787</v>
      </c>
    </row>
    <row r="115" spans="1:14">
      <c r="A115" s="192"/>
      <c r="B115" s="189" t="s">
        <v>27</v>
      </c>
      <c r="C115" s="189">
        <v>1</v>
      </c>
      <c r="D115" s="189">
        <v>60</v>
      </c>
      <c r="E115" s="189">
        <v>1</v>
      </c>
      <c r="F115" s="189">
        <v>13</v>
      </c>
      <c r="G115" s="189">
        <v>62733</v>
      </c>
      <c r="H115" s="189">
        <v>1806782</v>
      </c>
      <c r="I115" s="189">
        <v>10175154</v>
      </c>
      <c r="J115" s="189">
        <v>29192</v>
      </c>
      <c r="K115" s="189">
        <v>0</v>
      </c>
      <c r="L115" s="189">
        <v>253460</v>
      </c>
      <c r="M115" s="189">
        <v>4840</v>
      </c>
      <c r="N115" s="189">
        <v>620043</v>
      </c>
    </row>
    <row r="116" spans="1:14">
      <c r="A116" s="192">
        <v>5290</v>
      </c>
      <c r="B116" s="189" t="s">
        <v>25</v>
      </c>
      <c r="C116" s="189">
        <v>3</v>
      </c>
      <c r="D116" s="189">
        <v>117</v>
      </c>
      <c r="E116" s="189">
        <v>5</v>
      </c>
      <c r="F116" s="189">
        <v>9</v>
      </c>
      <c r="G116" s="189">
        <v>78846</v>
      </c>
      <c r="H116" s="189">
        <v>2260463</v>
      </c>
      <c r="I116" s="189">
        <v>11317527</v>
      </c>
      <c r="J116" s="189">
        <v>41446</v>
      </c>
      <c r="K116" s="189">
        <v>0</v>
      </c>
      <c r="L116" s="189">
        <v>292839</v>
      </c>
      <c r="M116" s="189">
        <v>6646</v>
      </c>
      <c r="N116" s="189">
        <v>589380</v>
      </c>
    </row>
    <row r="117" spans="1:14">
      <c r="A117" s="192"/>
      <c r="B117" s="189" t="s">
        <v>26</v>
      </c>
      <c r="C117" s="189">
        <v>5</v>
      </c>
      <c r="D117" s="189">
        <v>216</v>
      </c>
      <c r="E117" s="189">
        <v>4</v>
      </c>
      <c r="F117" s="189">
        <v>24</v>
      </c>
      <c r="G117" s="189">
        <v>141796</v>
      </c>
      <c r="H117" s="189">
        <v>2529770</v>
      </c>
      <c r="I117" s="189">
        <v>20034623</v>
      </c>
      <c r="J117" s="189">
        <v>45346</v>
      </c>
      <c r="K117" s="189">
        <v>0</v>
      </c>
      <c r="L117" s="189">
        <v>619919</v>
      </c>
      <c r="M117" s="189">
        <v>9572</v>
      </c>
      <c r="N117" s="189">
        <v>801935</v>
      </c>
    </row>
    <row r="118" spans="1:14">
      <c r="A118" s="192"/>
      <c r="B118" s="189" t="s">
        <v>27</v>
      </c>
      <c r="C118" s="189">
        <v>1</v>
      </c>
      <c r="D118" s="189">
        <v>62</v>
      </c>
      <c r="E118" s="189">
        <v>1</v>
      </c>
      <c r="F118" s="189">
        <v>14</v>
      </c>
      <c r="G118" s="189">
        <v>60617</v>
      </c>
      <c r="H118" s="189">
        <v>1411933</v>
      </c>
      <c r="I118" s="189">
        <v>8554728</v>
      </c>
      <c r="J118" s="189">
        <v>9684</v>
      </c>
      <c r="K118" s="189">
        <v>0</v>
      </c>
      <c r="L118" s="189">
        <v>112747</v>
      </c>
      <c r="M118" s="189">
        <v>3637</v>
      </c>
      <c r="N118" s="189">
        <v>490243</v>
      </c>
    </row>
    <row r="119" spans="1:14">
      <c r="A119" s="192">
        <v>5291</v>
      </c>
      <c r="B119" s="189" t="s">
        <v>25</v>
      </c>
      <c r="C119" s="189">
        <v>2</v>
      </c>
      <c r="D119" s="189">
        <v>101</v>
      </c>
      <c r="E119" s="189">
        <v>3</v>
      </c>
      <c r="F119" s="189">
        <v>17</v>
      </c>
      <c r="G119" s="189">
        <v>101928</v>
      </c>
      <c r="H119" s="189">
        <v>1319350</v>
      </c>
      <c r="I119" s="189">
        <v>10583924</v>
      </c>
      <c r="J119" s="189">
        <v>11916</v>
      </c>
      <c r="K119" s="189">
        <v>0</v>
      </c>
      <c r="L119" s="189">
        <v>174895</v>
      </c>
      <c r="M119" s="189">
        <v>4542</v>
      </c>
      <c r="N119" s="189">
        <v>355276</v>
      </c>
    </row>
    <row r="120" spans="1:14">
      <c r="A120" s="192"/>
      <c r="B120" s="189" t="s">
        <v>26</v>
      </c>
      <c r="C120" s="189">
        <v>5</v>
      </c>
      <c r="D120" s="189">
        <v>203</v>
      </c>
      <c r="E120" s="189">
        <v>5</v>
      </c>
      <c r="F120" s="189">
        <v>8</v>
      </c>
      <c r="G120" s="189">
        <v>91926</v>
      </c>
      <c r="H120" s="189">
        <v>2364284</v>
      </c>
      <c r="I120" s="189">
        <v>11641187</v>
      </c>
      <c r="J120" s="189">
        <v>54548</v>
      </c>
      <c r="K120" s="189">
        <v>0</v>
      </c>
      <c r="L120" s="189">
        <v>512920</v>
      </c>
      <c r="M120" s="189">
        <v>8410</v>
      </c>
      <c r="N120" s="189">
        <v>812836</v>
      </c>
    </row>
    <row r="121" spans="1:14">
      <c r="A121" s="192"/>
      <c r="B121" s="189" t="s">
        <v>27</v>
      </c>
      <c r="C121" s="189">
        <v>2</v>
      </c>
      <c r="D121" s="189">
        <v>91</v>
      </c>
      <c r="E121" s="189">
        <v>1</v>
      </c>
      <c r="F121" s="189">
        <v>13</v>
      </c>
      <c r="G121" s="189">
        <v>58702</v>
      </c>
      <c r="H121" s="189">
        <v>1309102</v>
      </c>
      <c r="I121" s="189">
        <v>6068590</v>
      </c>
      <c r="J121" s="189">
        <v>6668</v>
      </c>
      <c r="K121" s="189">
        <v>0</v>
      </c>
      <c r="L121" s="189">
        <v>220921</v>
      </c>
      <c r="M121" s="189">
        <v>3629</v>
      </c>
      <c r="N121" s="189">
        <v>515265</v>
      </c>
    </row>
    <row r="122" spans="1:14">
      <c r="A122" s="192">
        <v>5292</v>
      </c>
      <c r="B122" s="189" t="s">
        <v>25</v>
      </c>
      <c r="C122" s="189">
        <v>9</v>
      </c>
      <c r="D122" s="189">
        <v>310</v>
      </c>
      <c r="E122" s="189">
        <v>8</v>
      </c>
      <c r="F122" s="189">
        <v>18</v>
      </c>
      <c r="G122" s="189">
        <v>157652</v>
      </c>
      <c r="H122" s="189">
        <v>2598849</v>
      </c>
      <c r="I122" s="189">
        <v>20517363</v>
      </c>
      <c r="J122" s="189">
        <v>88860</v>
      </c>
      <c r="K122" s="189">
        <v>0</v>
      </c>
      <c r="L122" s="189">
        <v>441171</v>
      </c>
      <c r="M122" s="189">
        <v>12325</v>
      </c>
      <c r="N122" s="189">
        <v>811833</v>
      </c>
    </row>
    <row r="123" spans="1:14">
      <c r="A123" s="192"/>
      <c r="B123" s="189" t="s">
        <v>26</v>
      </c>
      <c r="C123" s="189">
        <v>0</v>
      </c>
      <c r="D123" s="189">
        <v>49</v>
      </c>
      <c r="E123" s="189">
        <v>0</v>
      </c>
      <c r="F123" s="189">
        <v>10</v>
      </c>
      <c r="G123" s="189">
        <v>31650</v>
      </c>
      <c r="H123" s="189">
        <v>471679</v>
      </c>
      <c r="I123" s="189">
        <v>3060241</v>
      </c>
      <c r="J123" s="189">
        <v>426</v>
      </c>
      <c r="K123" s="189">
        <v>0</v>
      </c>
      <c r="L123" s="189">
        <v>44724</v>
      </c>
      <c r="M123" s="189">
        <v>1461</v>
      </c>
      <c r="N123" s="189">
        <v>123502</v>
      </c>
    </row>
    <row r="124" spans="1:14">
      <c r="A124" s="192"/>
      <c r="B124" s="189" t="s">
        <v>27</v>
      </c>
      <c r="C124" s="189">
        <v>0</v>
      </c>
      <c r="D124" s="189">
        <v>36</v>
      </c>
      <c r="E124" s="189">
        <v>1</v>
      </c>
      <c r="F124" s="189">
        <v>11</v>
      </c>
      <c r="G124" s="189">
        <v>50903</v>
      </c>
      <c r="H124" s="189">
        <v>868735</v>
      </c>
      <c r="I124" s="189">
        <v>4795410</v>
      </c>
      <c r="J124" s="189">
        <v>2262</v>
      </c>
      <c r="K124" s="189">
        <v>0</v>
      </c>
      <c r="L124" s="189">
        <v>38951</v>
      </c>
      <c r="M124" s="189">
        <v>2050</v>
      </c>
      <c r="N124" s="189">
        <v>239800</v>
      </c>
    </row>
    <row r="125" spans="1:14">
      <c r="A125" s="192">
        <v>5293</v>
      </c>
      <c r="B125" s="189" t="s">
        <v>25</v>
      </c>
      <c r="C125" s="189">
        <v>8</v>
      </c>
      <c r="D125" s="189">
        <v>275</v>
      </c>
      <c r="E125" s="189">
        <v>6</v>
      </c>
      <c r="F125" s="189">
        <v>11</v>
      </c>
      <c r="G125" s="189">
        <v>110953</v>
      </c>
      <c r="H125" s="189">
        <v>1563074</v>
      </c>
      <c r="I125" s="189">
        <v>9479249</v>
      </c>
      <c r="J125" s="189">
        <v>6850</v>
      </c>
      <c r="K125" s="189">
        <v>0</v>
      </c>
      <c r="L125" s="189">
        <v>272530</v>
      </c>
      <c r="M125" s="189">
        <v>6957</v>
      </c>
      <c r="N125" s="189">
        <v>498473</v>
      </c>
    </row>
    <row r="126" spans="1:14">
      <c r="A126" s="192"/>
      <c r="B126" s="189" t="s">
        <v>26</v>
      </c>
      <c r="C126" s="189">
        <v>1</v>
      </c>
      <c r="D126" s="189">
        <v>85</v>
      </c>
      <c r="E126" s="189">
        <v>1</v>
      </c>
      <c r="F126" s="189">
        <v>8</v>
      </c>
      <c r="G126" s="189">
        <v>46176</v>
      </c>
      <c r="H126" s="189">
        <v>718459</v>
      </c>
      <c r="I126" s="189">
        <v>3333329</v>
      </c>
      <c r="J126" s="189">
        <v>332</v>
      </c>
      <c r="K126" s="189">
        <v>0</v>
      </c>
      <c r="L126" s="189">
        <v>135088</v>
      </c>
      <c r="M126" s="189">
        <v>2310</v>
      </c>
      <c r="N126" s="189">
        <v>187307</v>
      </c>
    </row>
    <row r="127" spans="1:14">
      <c r="A127" s="192"/>
      <c r="B127" s="189" t="s">
        <v>27</v>
      </c>
      <c r="C127" s="189">
        <v>0</v>
      </c>
      <c r="D127" s="189">
        <v>35</v>
      </c>
      <c r="E127" s="189">
        <v>1</v>
      </c>
      <c r="F127" s="189">
        <v>12</v>
      </c>
      <c r="G127" s="189">
        <v>68362</v>
      </c>
      <c r="H127" s="189">
        <v>1067721</v>
      </c>
      <c r="I127" s="189">
        <v>5014894</v>
      </c>
      <c r="J127" s="189">
        <v>2940</v>
      </c>
      <c r="K127" s="189">
        <v>0</v>
      </c>
      <c r="L127" s="189">
        <v>182714</v>
      </c>
      <c r="M127" s="189">
        <v>2440</v>
      </c>
      <c r="N127" s="189">
        <v>374099</v>
      </c>
    </row>
    <row r="128" spans="1:14">
      <c r="A128" s="192">
        <v>5294</v>
      </c>
      <c r="B128" s="189" t="s">
        <v>25</v>
      </c>
      <c r="C128" s="189">
        <v>1</v>
      </c>
      <c r="D128" s="189">
        <v>102</v>
      </c>
      <c r="E128" s="189">
        <v>2</v>
      </c>
      <c r="F128" s="189">
        <v>13</v>
      </c>
      <c r="G128" s="189">
        <v>51703</v>
      </c>
      <c r="H128" s="189">
        <v>1675737</v>
      </c>
      <c r="I128" s="189">
        <v>8792951</v>
      </c>
      <c r="J128" s="189">
        <v>8310</v>
      </c>
      <c r="K128" s="189">
        <v>0</v>
      </c>
      <c r="L128" s="189">
        <v>96614</v>
      </c>
      <c r="M128" s="189">
        <v>4231</v>
      </c>
      <c r="N128" s="189">
        <v>519059</v>
      </c>
    </row>
    <row r="129" spans="1:14">
      <c r="A129" s="192"/>
      <c r="B129" s="189" t="s">
        <v>26</v>
      </c>
      <c r="C129" s="189">
        <v>6</v>
      </c>
      <c r="D129" s="189">
        <v>216</v>
      </c>
      <c r="E129" s="189">
        <v>7</v>
      </c>
      <c r="F129" s="189">
        <v>22</v>
      </c>
      <c r="G129" s="189">
        <v>158629</v>
      </c>
      <c r="H129" s="189">
        <v>3121719</v>
      </c>
      <c r="I129" s="189">
        <v>25687261</v>
      </c>
      <c r="J129" s="189">
        <v>92534</v>
      </c>
      <c r="K129" s="189">
        <v>0</v>
      </c>
      <c r="L129" s="189">
        <v>914038</v>
      </c>
      <c r="M129" s="189">
        <v>12476</v>
      </c>
      <c r="N129" s="189">
        <v>827341</v>
      </c>
    </row>
    <row r="130" spans="1:14">
      <c r="A130" s="192"/>
      <c r="B130" s="189" t="s">
        <v>27</v>
      </c>
      <c r="C130" s="189">
        <v>2</v>
      </c>
      <c r="D130" s="189">
        <v>77</v>
      </c>
      <c r="E130" s="189">
        <v>1</v>
      </c>
      <c r="F130" s="189">
        <v>20</v>
      </c>
      <c r="G130" s="189">
        <v>84278</v>
      </c>
      <c r="H130" s="189">
        <v>1738576</v>
      </c>
      <c r="I130" s="189">
        <v>12994092</v>
      </c>
      <c r="J130" s="189">
        <v>24440</v>
      </c>
      <c r="K130" s="189">
        <v>0</v>
      </c>
      <c r="L130" s="189">
        <v>244129</v>
      </c>
      <c r="M130" s="189">
        <v>5284</v>
      </c>
      <c r="N130" s="189">
        <v>562500</v>
      </c>
    </row>
    <row r="131" spans="1:14">
      <c r="A131" s="192">
        <v>5295</v>
      </c>
      <c r="B131" s="189" t="s">
        <v>25</v>
      </c>
      <c r="C131" s="189">
        <v>3</v>
      </c>
      <c r="D131" s="189">
        <v>123</v>
      </c>
      <c r="E131" s="189">
        <v>4</v>
      </c>
      <c r="F131" s="189">
        <v>19</v>
      </c>
      <c r="G131" s="189">
        <v>124378</v>
      </c>
      <c r="H131" s="189">
        <v>2113791</v>
      </c>
      <c r="I131" s="189">
        <v>15849148</v>
      </c>
      <c r="J131" s="189">
        <v>42348</v>
      </c>
      <c r="K131" s="189">
        <v>0</v>
      </c>
      <c r="L131" s="189">
        <v>487188</v>
      </c>
      <c r="M131" s="189">
        <v>7364</v>
      </c>
      <c r="N131" s="189">
        <v>636035</v>
      </c>
    </row>
    <row r="132" spans="1:14">
      <c r="A132" s="192"/>
      <c r="B132" s="189" t="s">
        <v>26</v>
      </c>
      <c r="C132" s="189">
        <v>5</v>
      </c>
      <c r="D132" s="189">
        <v>206</v>
      </c>
      <c r="E132" s="189">
        <v>5</v>
      </c>
      <c r="F132" s="189">
        <v>23</v>
      </c>
      <c r="G132" s="189">
        <v>124457</v>
      </c>
      <c r="H132" s="189">
        <v>2356271</v>
      </c>
      <c r="I132" s="189">
        <v>17213746</v>
      </c>
      <c r="J132" s="189">
        <v>35476</v>
      </c>
      <c r="K132" s="189">
        <v>0</v>
      </c>
      <c r="L132" s="189">
        <v>489983</v>
      </c>
      <c r="M132" s="189">
        <v>8569</v>
      </c>
      <c r="N132" s="189">
        <v>717127</v>
      </c>
    </row>
    <row r="133" spans="1:14">
      <c r="A133" s="192"/>
      <c r="B133" s="189" t="s">
        <v>27</v>
      </c>
      <c r="C133" s="189">
        <v>1</v>
      </c>
      <c r="D133" s="189">
        <v>66</v>
      </c>
      <c r="E133" s="189">
        <v>1</v>
      </c>
      <c r="F133" s="189">
        <v>14</v>
      </c>
      <c r="G133" s="189">
        <v>46204</v>
      </c>
      <c r="H133" s="189">
        <v>867080</v>
      </c>
      <c r="I133" s="189">
        <v>6279770</v>
      </c>
      <c r="J133" s="189">
        <v>11664</v>
      </c>
      <c r="K133" s="189">
        <v>0</v>
      </c>
      <c r="L133" s="189">
        <v>96765</v>
      </c>
      <c r="M133" s="189">
        <v>2884</v>
      </c>
      <c r="N133" s="189">
        <v>257411</v>
      </c>
    </row>
    <row r="134" spans="1:14">
      <c r="A134" s="192">
        <v>5296</v>
      </c>
      <c r="B134" s="192" t="s">
        <v>25</v>
      </c>
      <c r="C134" s="192">
        <v>2</v>
      </c>
      <c r="D134" s="192">
        <v>50</v>
      </c>
      <c r="E134" s="192">
        <v>1</v>
      </c>
      <c r="F134" s="192">
        <v>15</v>
      </c>
      <c r="G134" s="192">
        <v>56503</v>
      </c>
      <c r="H134" s="192">
        <v>1473959</v>
      </c>
      <c r="I134" s="192">
        <v>9346606</v>
      </c>
      <c r="J134" s="192">
        <v>19054</v>
      </c>
      <c r="K134" s="192">
        <v>0</v>
      </c>
      <c r="L134" s="192">
        <v>188652</v>
      </c>
      <c r="M134" s="192">
        <v>4057</v>
      </c>
      <c r="N134" s="192">
        <v>539417</v>
      </c>
    </row>
    <row r="135" spans="1:14">
      <c r="A135" s="192"/>
      <c r="B135" s="192" t="s">
        <v>26</v>
      </c>
      <c r="C135" s="192">
        <v>3</v>
      </c>
      <c r="D135" s="192">
        <v>140</v>
      </c>
      <c r="E135" s="192">
        <v>2</v>
      </c>
      <c r="F135" s="192">
        <v>24</v>
      </c>
      <c r="G135" s="192">
        <v>132209</v>
      </c>
      <c r="H135" s="192">
        <v>2066483</v>
      </c>
      <c r="I135" s="192">
        <v>20328769</v>
      </c>
      <c r="J135" s="192">
        <v>57316</v>
      </c>
      <c r="K135" s="192">
        <v>68</v>
      </c>
      <c r="L135" s="192">
        <v>483285</v>
      </c>
      <c r="M135" s="192">
        <v>8422</v>
      </c>
      <c r="N135" s="192">
        <v>572703</v>
      </c>
    </row>
    <row r="136" spans="1:14">
      <c r="A136" s="192"/>
      <c r="B136" s="192" t="s">
        <v>27</v>
      </c>
      <c r="C136" s="192">
        <v>4</v>
      </c>
      <c r="D136" s="192">
        <v>205</v>
      </c>
      <c r="E136" s="192">
        <v>7</v>
      </c>
      <c r="F136" s="192">
        <v>11</v>
      </c>
      <c r="G136" s="192">
        <v>112804</v>
      </c>
      <c r="H136" s="192">
        <v>2649373</v>
      </c>
      <c r="I136" s="192">
        <v>18490599</v>
      </c>
      <c r="J136" s="192">
        <v>82295</v>
      </c>
      <c r="K136" s="192">
        <v>0</v>
      </c>
      <c r="L136" s="192">
        <v>420587</v>
      </c>
      <c r="M136" s="192">
        <v>10191</v>
      </c>
      <c r="N136" s="192">
        <v>875139</v>
      </c>
    </row>
    <row r="137" spans="1:14">
      <c r="A137" s="192">
        <v>5297</v>
      </c>
      <c r="B137" s="192" t="s">
        <v>25</v>
      </c>
      <c r="C137" s="192">
        <v>1</v>
      </c>
      <c r="D137" s="192">
        <v>69</v>
      </c>
      <c r="E137" s="192">
        <v>2</v>
      </c>
      <c r="F137" s="192">
        <v>7</v>
      </c>
      <c r="G137" s="192">
        <v>46385</v>
      </c>
      <c r="H137" s="192">
        <v>1537500</v>
      </c>
      <c r="I137" s="192">
        <v>5757389</v>
      </c>
      <c r="J137" s="192">
        <v>28466</v>
      </c>
      <c r="K137" s="192">
        <v>0</v>
      </c>
      <c r="L137" s="192">
        <v>90838</v>
      </c>
      <c r="M137" s="192">
        <v>4034</v>
      </c>
      <c r="N137" s="192">
        <v>416502</v>
      </c>
    </row>
    <row r="138" spans="1:14">
      <c r="A138" s="192"/>
      <c r="B138" s="192" t="s">
        <v>26</v>
      </c>
      <c r="C138" s="192">
        <v>7</v>
      </c>
      <c r="D138" s="192">
        <v>266</v>
      </c>
      <c r="E138" s="192">
        <v>7</v>
      </c>
      <c r="F138" s="192">
        <v>20</v>
      </c>
      <c r="G138" s="192">
        <v>152102</v>
      </c>
      <c r="H138" s="192">
        <v>2020237</v>
      </c>
      <c r="I138" s="192">
        <v>18220911</v>
      </c>
      <c r="J138" s="192">
        <v>45984</v>
      </c>
      <c r="K138" s="192">
        <v>0</v>
      </c>
      <c r="L138" s="192">
        <v>324139</v>
      </c>
      <c r="M138" s="192">
        <v>9504</v>
      </c>
      <c r="N138" s="192">
        <v>537583</v>
      </c>
    </row>
    <row r="139" spans="1:14">
      <c r="A139" s="192"/>
      <c r="B139" s="192" t="s">
        <v>27</v>
      </c>
      <c r="C139" s="192">
        <v>1</v>
      </c>
      <c r="D139" s="192">
        <v>60</v>
      </c>
      <c r="E139" s="192">
        <v>1</v>
      </c>
      <c r="F139" s="192">
        <v>13</v>
      </c>
      <c r="G139" s="192">
        <v>62978</v>
      </c>
      <c r="H139" s="192">
        <v>891342</v>
      </c>
      <c r="I139" s="192">
        <v>6033373</v>
      </c>
      <c r="J139" s="192">
        <v>3414</v>
      </c>
      <c r="K139" s="192">
        <v>0</v>
      </c>
      <c r="L139" s="192">
        <v>147877</v>
      </c>
      <c r="M139" s="192">
        <v>2685</v>
      </c>
      <c r="N139" s="192">
        <v>344845</v>
      </c>
    </row>
    <row r="140" spans="1:14">
      <c r="A140" s="192">
        <v>5298</v>
      </c>
      <c r="B140" s="192" t="s">
        <v>25</v>
      </c>
      <c r="C140" s="192">
        <v>2</v>
      </c>
      <c r="D140" s="192">
        <v>87</v>
      </c>
      <c r="E140" s="192">
        <v>1</v>
      </c>
      <c r="F140" s="192">
        <v>18</v>
      </c>
      <c r="G140" s="192">
        <v>81358</v>
      </c>
      <c r="H140" s="192">
        <v>1907191</v>
      </c>
      <c r="I140" s="192">
        <v>11355023</v>
      </c>
      <c r="J140" s="192">
        <v>30804</v>
      </c>
      <c r="K140" s="192">
        <v>0</v>
      </c>
      <c r="L140" s="192">
        <v>158004</v>
      </c>
      <c r="M140" s="192">
        <v>5522</v>
      </c>
      <c r="N140" s="192">
        <v>677429</v>
      </c>
    </row>
    <row r="141" spans="1:14">
      <c r="A141" s="192"/>
      <c r="B141" s="192" t="s">
        <v>26</v>
      </c>
      <c r="C141" s="192">
        <v>4</v>
      </c>
      <c r="D141" s="192">
        <v>185</v>
      </c>
      <c r="E141" s="192">
        <v>3</v>
      </c>
      <c r="F141" s="192">
        <v>18</v>
      </c>
      <c r="G141" s="192">
        <v>102404</v>
      </c>
      <c r="H141" s="192">
        <v>2208708</v>
      </c>
      <c r="I141" s="192">
        <v>14648114</v>
      </c>
      <c r="J141" s="192">
        <v>22484</v>
      </c>
      <c r="K141" s="192">
        <v>0</v>
      </c>
      <c r="L141" s="192">
        <v>362144</v>
      </c>
      <c r="M141" s="192">
        <v>7291</v>
      </c>
      <c r="N141" s="192">
        <v>606481</v>
      </c>
    </row>
    <row r="142" spans="1:14">
      <c r="A142" s="192"/>
      <c r="B142" s="192" t="s">
        <v>27</v>
      </c>
      <c r="C142" s="192">
        <v>3</v>
      </c>
      <c r="D142" s="192">
        <v>123</v>
      </c>
      <c r="E142" s="192">
        <v>6</v>
      </c>
      <c r="F142" s="192">
        <v>14</v>
      </c>
      <c r="G142" s="192">
        <v>107585</v>
      </c>
      <c r="H142" s="192">
        <v>1904991</v>
      </c>
      <c r="I142" s="192">
        <v>14976333</v>
      </c>
      <c r="J142" s="192">
        <v>30146</v>
      </c>
      <c r="K142" s="192">
        <v>0</v>
      </c>
      <c r="L142" s="192">
        <v>323831</v>
      </c>
      <c r="M142" s="192">
        <v>6536</v>
      </c>
      <c r="N142" s="192">
        <v>533617</v>
      </c>
    </row>
    <row r="143" spans="1:14">
      <c r="A143" s="192">
        <v>5299</v>
      </c>
      <c r="B143" s="192" t="s">
        <v>25</v>
      </c>
      <c r="C143" s="192">
        <v>0</v>
      </c>
      <c r="D143" s="192">
        <v>40</v>
      </c>
      <c r="E143" s="192">
        <v>1</v>
      </c>
      <c r="F143" s="192">
        <v>19</v>
      </c>
      <c r="G143" s="192">
        <v>71081</v>
      </c>
      <c r="H143" s="192">
        <v>1173188</v>
      </c>
      <c r="I143" s="192">
        <v>8919136</v>
      </c>
      <c r="J143" s="192">
        <v>20916</v>
      </c>
      <c r="K143" s="192">
        <v>0</v>
      </c>
      <c r="L143" s="192">
        <v>240158</v>
      </c>
      <c r="M143" s="192">
        <v>3568</v>
      </c>
      <c r="N143" s="192">
        <v>467145</v>
      </c>
    </row>
    <row r="144" spans="1:14">
      <c r="A144" s="192"/>
      <c r="B144" s="192" t="s">
        <v>26</v>
      </c>
      <c r="C144" s="192">
        <v>1</v>
      </c>
      <c r="D144" s="192">
        <v>63</v>
      </c>
      <c r="E144" s="192">
        <v>1</v>
      </c>
      <c r="F144" s="192">
        <v>18</v>
      </c>
      <c r="G144" s="192">
        <v>59276</v>
      </c>
      <c r="H144" s="192">
        <v>1120839</v>
      </c>
      <c r="I144" s="192">
        <v>7809291</v>
      </c>
      <c r="J144" s="192">
        <v>12894</v>
      </c>
      <c r="K144" s="192">
        <v>0</v>
      </c>
      <c r="L144" s="192">
        <v>41288</v>
      </c>
      <c r="M144" s="192">
        <v>3335</v>
      </c>
      <c r="N144" s="192">
        <v>378193</v>
      </c>
    </row>
    <row r="145" spans="1:14">
      <c r="A145" s="192"/>
      <c r="B145" s="192" t="s">
        <v>27</v>
      </c>
      <c r="C145" s="192">
        <v>8</v>
      </c>
      <c r="D145" s="192">
        <v>292</v>
      </c>
      <c r="E145" s="192">
        <v>8</v>
      </c>
      <c r="F145" s="192">
        <v>19</v>
      </c>
      <c r="G145" s="192">
        <v>154491</v>
      </c>
      <c r="H145" s="192">
        <v>2744110</v>
      </c>
      <c r="I145" s="192">
        <v>20561880</v>
      </c>
      <c r="J145" s="192">
        <v>60348</v>
      </c>
      <c r="K145" s="192">
        <v>0</v>
      </c>
      <c r="L145" s="192">
        <v>405557</v>
      </c>
      <c r="M145" s="192">
        <v>11305</v>
      </c>
      <c r="N145" s="192">
        <v>850094</v>
      </c>
    </row>
    <row r="146" spans="1:14">
      <c r="A146" s="192">
        <v>5300</v>
      </c>
      <c r="B146" s="192" t="s">
        <v>25</v>
      </c>
      <c r="C146" s="192">
        <v>0</v>
      </c>
      <c r="D146" s="192">
        <v>30</v>
      </c>
      <c r="E146" s="192">
        <v>1</v>
      </c>
      <c r="F146" s="192">
        <v>12</v>
      </c>
      <c r="G146" s="192">
        <v>30615</v>
      </c>
      <c r="H146" s="192">
        <v>1375252</v>
      </c>
      <c r="I146" s="192">
        <v>6733429</v>
      </c>
      <c r="J146" s="192">
        <v>5928</v>
      </c>
      <c r="K146" s="192">
        <v>0</v>
      </c>
      <c r="L146" s="192">
        <v>106394</v>
      </c>
      <c r="M146" s="192">
        <v>2732</v>
      </c>
      <c r="N146" s="192">
        <v>578373</v>
      </c>
    </row>
    <row r="147" spans="1:14">
      <c r="A147" s="192"/>
      <c r="B147" s="192" t="s">
        <v>26</v>
      </c>
      <c r="C147" s="192">
        <v>7</v>
      </c>
      <c r="D147" s="192">
        <v>283</v>
      </c>
      <c r="E147" s="192">
        <v>8</v>
      </c>
      <c r="F147" s="192">
        <v>31</v>
      </c>
      <c r="G147" s="192">
        <v>182264</v>
      </c>
      <c r="H147" s="192">
        <v>2445131</v>
      </c>
      <c r="I147" s="192">
        <v>29629752</v>
      </c>
      <c r="J147" s="192">
        <v>110944</v>
      </c>
      <c r="K147" s="192">
        <v>0</v>
      </c>
      <c r="L147" s="192">
        <v>848534</v>
      </c>
      <c r="M147" s="192">
        <v>13602</v>
      </c>
      <c r="N147" s="192">
        <v>652357</v>
      </c>
    </row>
    <row r="148" spans="1:14">
      <c r="A148" s="192"/>
      <c r="B148" s="192" t="s">
        <v>27</v>
      </c>
      <c r="C148" s="192">
        <v>2</v>
      </c>
      <c r="D148" s="192">
        <v>82</v>
      </c>
      <c r="E148" s="192">
        <v>1</v>
      </c>
      <c r="F148" s="192">
        <v>19</v>
      </c>
      <c r="G148" s="192">
        <v>83052</v>
      </c>
      <c r="H148" s="192">
        <v>1392000</v>
      </c>
      <c r="I148" s="192">
        <v>12831812</v>
      </c>
      <c r="J148" s="192">
        <v>6590</v>
      </c>
      <c r="K148" s="192">
        <v>0</v>
      </c>
      <c r="L148" s="192">
        <v>171513</v>
      </c>
      <c r="M148" s="192">
        <v>4393</v>
      </c>
      <c r="N148" s="192">
        <v>427575</v>
      </c>
    </row>
    <row r="149" spans="1:14">
      <c r="A149" s="192">
        <v>5301</v>
      </c>
      <c r="B149" s="192" t="s">
        <v>25</v>
      </c>
      <c r="C149" s="192">
        <v>0</v>
      </c>
      <c r="D149" s="192">
        <v>26</v>
      </c>
      <c r="E149" s="192">
        <v>1</v>
      </c>
      <c r="F149" s="192">
        <v>7</v>
      </c>
      <c r="G149" s="192">
        <v>35932</v>
      </c>
      <c r="H149" s="192">
        <v>933480</v>
      </c>
      <c r="I149" s="192">
        <v>4188710</v>
      </c>
      <c r="J149" s="192">
        <v>858</v>
      </c>
      <c r="K149" s="192">
        <v>0</v>
      </c>
      <c r="L149" s="192">
        <v>93713</v>
      </c>
      <c r="M149" s="192">
        <v>1864</v>
      </c>
      <c r="N149" s="192">
        <v>265880</v>
      </c>
    </row>
    <row r="150" spans="1:14">
      <c r="A150" s="192"/>
      <c r="B150" s="192" t="s">
        <v>26</v>
      </c>
      <c r="C150" s="192">
        <v>7</v>
      </c>
      <c r="D150" s="192">
        <v>297</v>
      </c>
      <c r="E150" s="192">
        <v>5</v>
      </c>
      <c r="F150" s="192">
        <v>20</v>
      </c>
      <c r="G150" s="192">
        <v>143902</v>
      </c>
      <c r="H150" s="192">
        <v>2989336</v>
      </c>
      <c r="I150" s="192">
        <v>20526442</v>
      </c>
      <c r="J150" s="192">
        <v>72026</v>
      </c>
      <c r="K150" s="192">
        <v>0</v>
      </c>
      <c r="L150" s="192">
        <v>474141</v>
      </c>
      <c r="M150" s="192">
        <v>11829</v>
      </c>
      <c r="N150" s="192">
        <v>832887</v>
      </c>
    </row>
    <row r="151" spans="1:14">
      <c r="A151" s="192"/>
      <c r="B151" s="192" t="s">
        <v>27</v>
      </c>
      <c r="C151" s="192">
        <v>2</v>
      </c>
      <c r="D151" s="192">
        <v>72</v>
      </c>
      <c r="E151" s="192">
        <v>4</v>
      </c>
      <c r="F151" s="192">
        <v>25</v>
      </c>
      <c r="G151" s="192">
        <v>119849</v>
      </c>
      <c r="H151" s="192">
        <v>1441962</v>
      </c>
      <c r="I151" s="192">
        <v>15552463</v>
      </c>
      <c r="J151" s="192">
        <v>35750</v>
      </c>
      <c r="K151" s="192">
        <v>0</v>
      </c>
      <c r="L151" s="192">
        <v>215610</v>
      </c>
      <c r="M151" s="192">
        <v>5696</v>
      </c>
      <c r="N151" s="192">
        <v>406266</v>
      </c>
    </row>
    <row r="152" spans="1:14">
      <c r="A152" s="192">
        <v>5302</v>
      </c>
      <c r="B152" s="192" t="s">
        <v>25</v>
      </c>
      <c r="C152" s="192">
        <v>0</v>
      </c>
      <c r="D152" s="192">
        <v>27</v>
      </c>
      <c r="E152" s="192">
        <v>1</v>
      </c>
      <c r="F152" s="192">
        <v>14</v>
      </c>
      <c r="G152" s="192">
        <v>34145</v>
      </c>
      <c r="H152" s="192">
        <v>1037611</v>
      </c>
      <c r="I152" s="192">
        <v>7125545</v>
      </c>
      <c r="J152" s="192">
        <v>17604</v>
      </c>
      <c r="K152" s="192">
        <v>0</v>
      </c>
      <c r="L152" s="192">
        <v>118949</v>
      </c>
      <c r="M152" s="192">
        <v>2778</v>
      </c>
      <c r="N152" s="192">
        <v>889874</v>
      </c>
    </row>
    <row r="153" spans="1:14">
      <c r="A153" s="192"/>
      <c r="B153" s="192" t="s">
        <v>26</v>
      </c>
      <c r="C153" s="192">
        <v>7</v>
      </c>
      <c r="D153" s="192">
        <v>301</v>
      </c>
      <c r="E153" s="192">
        <v>7</v>
      </c>
      <c r="F153" s="192">
        <v>34</v>
      </c>
      <c r="G153" s="192">
        <v>191071</v>
      </c>
      <c r="H153" s="192">
        <v>3645071</v>
      </c>
      <c r="I153" s="192">
        <v>33458416</v>
      </c>
      <c r="J153" s="192">
        <v>167420</v>
      </c>
      <c r="K153" s="192">
        <v>0</v>
      </c>
      <c r="L153" s="192">
        <v>790176</v>
      </c>
      <c r="M153" s="192">
        <v>17073</v>
      </c>
      <c r="N153" s="192">
        <v>1001217</v>
      </c>
    </row>
    <row r="154" spans="1:14">
      <c r="A154" s="192"/>
      <c r="B154" s="192" t="s">
        <v>27</v>
      </c>
      <c r="C154" s="192">
        <v>2</v>
      </c>
      <c r="D154" s="192">
        <v>67</v>
      </c>
      <c r="E154" s="192">
        <v>1</v>
      </c>
      <c r="F154" s="192">
        <v>22</v>
      </c>
      <c r="G154" s="192">
        <v>74751</v>
      </c>
      <c r="H154" s="192">
        <v>1520065</v>
      </c>
      <c r="I154" s="192">
        <v>12922053</v>
      </c>
      <c r="J154" s="192">
        <v>25330</v>
      </c>
      <c r="K154" s="192">
        <v>0</v>
      </c>
      <c r="L154" s="192">
        <v>229181</v>
      </c>
      <c r="M154" s="192">
        <v>4930</v>
      </c>
      <c r="N154" s="192">
        <v>600885</v>
      </c>
    </row>
    <row r="155" spans="1:14">
      <c r="A155" s="192">
        <v>5303</v>
      </c>
      <c r="B155" s="192" t="s">
        <v>25</v>
      </c>
      <c r="C155" s="192">
        <v>0</v>
      </c>
      <c r="D155" s="192">
        <v>81</v>
      </c>
      <c r="E155" s="192">
        <v>3</v>
      </c>
      <c r="F155" s="192">
        <v>20</v>
      </c>
      <c r="G155" s="192">
        <v>77606</v>
      </c>
      <c r="H155" s="192">
        <v>2881397</v>
      </c>
      <c r="I155" s="192">
        <v>17626949</v>
      </c>
      <c r="J155" s="192">
        <v>78168</v>
      </c>
      <c r="K155" s="192">
        <v>0</v>
      </c>
      <c r="L155" s="192">
        <v>348754</v>
      </c>
      <c r="M155" s="192">
        <v>8361</v>
      </c>
      <c r="N155" s="192">
        <v>1088149</v>
      </c>
    </row>
    <row r="156" spans="1:14">
      <c r="A156" s="192"/>
      <c r="B156" s="192" t="s">
        <v>26</v>
      </c>
      <c r="C156" s="192">
        <v>6</v>
      </c>
      <c r="D156" s="192">
        <v>221</v>
      </c>
      <c r="E156" s="192">
        <v>3</v>
      </c>
      <c r="F156" s="192">
        <v>26</v>
      </c>
      <c r="G156" s="192">
        <v>137094</v>
      </c>
      <c r="H156" s="192">
        <v>4512614</v>
      </c>
      <c r="I156" s="192">
        <v>28975053</v>
      </c>
      <c r="J156" s="192">
        <v>135058</v>
      </c>
      <c r="K156" s="192">
        <v>100682</v>
      </c>
      <c r="L156" s="192">
        <v>565929</v>
      </c>
      <c r="M156" s="192">
        <v>16247</v>
      </c>
      <c r="N156" s="192">
        <v>1219581</v>
      </c>
    </row>
    <row r="157" spans="1:14">
      <c r="A157" s="192"/>
      <c r="B157" s="192" t="s">
        <v>27</v>
      </c>
      <c r="C157" s="192">
        <v>3</v>
      </c>
      <c r="D157" s="192">
        <v>93</v>
      </c>
      <c r="E157" s="192">
        <v>4</v>
      </c>
      <c r="F157" s="192">
        <v>22</v>
      </c>
      <c r="G157" s="192">
        <v>95380</v>
      </c>
      <c r="H157" s="192">
        <v>3451745</v>
      </c>
      <c r="I157" s="192">
        <v>21328029</v>
      </c>
      <c r="J157" s="192">
        <v>61542</v>
      </c>
      <c r="K157" s="192">
        <v>65816</v>
      </c>
      <c r="L157" s="192">
        <v>892991</v>
      </c>
      <c r="M157" s="192">
        <v>10242</v>
      </c>
      <c r="N157" s="192">
        <v>1070910</v>
      </c>
    </row>
    <row r="158" spans="1:14">
      <c r="A158" s="192">
        <v>5304</v>
      </c>
      <c r="B158" s="192" t="s">
        <v>25</v>
      </c>
      <c r="C158" s="192">
        <v>2</v>
      </c>
      <c r="D158" s="192">
        <v>87</v>
      </c>
      <c r="E158" s="192">
        <v>6</v>
      </c>
      <c r="F158" s="192">
        <v>16</v>
      </c>
      <c r="G158" s="192">
        <v>93956</v>
      </c>
      <c r="H158" s="192">
        <v>1810134</v>
      </c>
      <c r="I158" s="192">
        <v>14016602</v>
      </c>
      <c r="J158" s="192">
        <v>11650</v>
      </c>
      <c r="K158" s="192">
        <v>0</v>
      </c>
      <c r="L158" s="192">
        <v>213133</v>
      </c>
      <c r="M158" s="192">
        <v>5207</v>
      </c>
      <c r="N158" s="192">
        <v>492188</v>
      </c>
    </row>
    <row r="159" spans="1:14">
      <c r="A159" s="192"/>
      <c r="B159" s="192" t="s">
        <v>26</v>
      </c>
      <c r="C159" s="192">
        <v>0</v>
      </c>
      <c r="D159" s="192">
        <v>50</v>
      </c>
      <c r="E159" s="192">
        <v>1</v>
      </c>
      <c r="F159" s="192">
        <v>23</v>
      </c>
      <c r="G159" s="192">
        <v>85873</v>
      </c>
      <c r="H159" s="192">
        <v>1155366</v>
      </c>
      <c r="I159" s="192">
        <v>13341564</v>
      </c>
      <c r="J159" s="192">
        <v>10560</v>
      </c>
      <c r="K159" s="192">
        <v>0</v>
      </c>
      <c r="L159" s="192">
        <v>178282</v>
      </c>
      <c r="M159" s="192">
        <v>3824</v>
      </c>
      <c r="N159" s="192">
        <v>355962</v>
      </c>
    </row>
    <row r="160" spans="1:14">
      <c r="A160" s="192"/>
      <c r="B160" s="192" t="s">
        <v>27</v>
      </c>
      <c r="C160" s="192">
        <v>7</v>
      </c>
      <c r="D160" s="192">
        <v>258</v>
      </c>
      <c r="E160" s="192">
        <v>3</v>
      </c>
      <c r="F160" s="192">
        <v>27</v>
      </c>
      <c r="G160" s="192">
        <v>127713</v>
      </c>
      <c r="H160" s="192">
        <v>2982093</v>
      </c>
      <c r="I160" s="192">
        <v>22120199</v>
      </c>
      <c r="J160" s="192">
        <v>108242</v>
      </c>
      <c r="K160" s="192">
        <v>0</v>
      </c>
      <c r="L160" s="192">
        <v>841516</v>
      </c>
      <c r="M160" s="192">
        <v>12780</v>
      </c>
      <c r="N160" s="192">
        <v>891731</v>
      </c>
    </row>
    <row r="161" spans="1:14">
      <c r="A161" s="192">
        <v>5305</v>
      </c>
      <c r="B161" s="192" t="s">
        <v>25</v>
      </c>
      <c r="C161" s="192">
        <v>0</v>
      </c>
      <c r="D161" s="192">
        <v>54</v>
      </c>
      <c r="E161" s="192">
        <v>0</v>
      </c>
      <c r="F161" s="192">
        <v>16</v>
      </c>
      <c r="G161" s="192">
        <v>37505</v>
      </c>
      <c r="H161" s="192">
        <v>646659</v>
      </c>
      <c r="I161" s="192">
        <v>6133478</v>
      </c>
      <c r="J161" s="192">
        <v>3568</v>
      </c>
      <c r="K161" s="192">
        <v>0</v>
      </c>
      <c r="L161" s="192">
        <v>56322</v>
      </c>
      <c r="M161" s="192">
        <v>2122</v>
      </c>
      <c r="N161" s="192">
        <v>207093</v>
      </c>
    </row>
    <row r="162" spans="1:14">
      <c r="A162" s="192"/>
      <c r="B162" s="192" t="s">
        <v>26</v>
      </c>
      <c r="C162" s="192">
        <v>0</v>
      </c>
      <c r="D162" s="192">
        <v>91</v>
      </c>
      <c r="E162" s="192">
        <v>1</v>
      </c>
      <c r="F162" s="192">
        <v>21</v>
      </c>
      <c r="G162" s="192">
        <v>78247</v>
      </c>
      <c r="H162" s="192">
        <v>1391900</v>
      </c>
      <c r="I162" s="192">
        <v>11170700</v>
      </c>
      <c r="J162" s="192">
        <v>29728</v>
      </c>
      <c r="K162" s="192">
        <v>0</v>
      </c>
      <c r="L162" s="192">
        <v>210442</v>
      </c>
      <c r="M162" s="192">
        <v>4807</v>
      </c>
      <c r="N162" s="192">
        <v>637256</v>
      </c>
    </row>
    <row r="163" spans="1:14">
      <c r="A163" s="192"/>
      <c r="B163" s="192" t="s">
        <v>27</v>
      </c>
      <c r="C163" s="192">
        <v>9</v>
      </c>
      <c r="D163" s="192">
        <v>250</v>
      </c>
      <c r="E163" s="192">
        <v>9</v>
      </c>
      <c r="F163" s="192">
        <v>25</v>
      </c>
      <c r="G163" s="192">
        <v>194079</v>
      </c>
      <c r="H163" s="192">
        <v>1996489</v>
      </c>
      <c r="I163" s="192">
        <v>24654632</v>
      </c>
      <c r="J163" s="192">
        <v>44420</v>
      </c>
      <c r="K163" s="192">
        <v>0</v>
      </c>
      <c r="L163" s="192">
        <v>722090</v>
      </c>
      <c r="M163" s="192">
        <v>10525</v>
      </c>
      <c r="N163" s="192">
        <v>584163</v>
      </c>
    </row>
    <row r="164" spans="1:14">
      <c r="A164" s="192">
        <v>5306</v>
      </c>
      <c r="B164" s="192" t="s">
        <v>25</v>
      </c>
      <c r="C164" s="192">
        <v>2</v>
      </c>
      <c r="D164" s="192">
        <v>77</v>
      </c>
      <c r="E164" s="192">
        <v>3</v>
      </c>
      <c r="F164" s="192">
        <v>12</v>
      </c>
      <c r="G164" s="192">
        <v>57593</v>
      </c>
      <c r="H164" s="192">
        <v>2029443</v>
      </c>
      <c r="I164" s="192">
        <v>10523753</v>
      </c>
      <c r="J164" s="192">
        <v>15384</v>
      </c>
      <c r="K164" s="192">
        <v>35034</v>
      </c>
      <c r="L164" s="192">
        <v>228880</v>
      </c>
      <c r="M164" s="192">
        <v>5266</v>
      </c>
      <c r="N164" s="192">
        <v>653667</v>
      </c>
    </row>
    <row r="165" spans="1:14">
      <c r="A165" s="192"/>
      <c r="B165" s="192" t="s">
        <v>26</v>
      </c>
      <c r="C165" s="192">
        <v>7</v>
      </c>
      <c r="D165" s="192">
        <v>300</v>
      </c>
      <c r="E165" s="192">
        <v>5</v>
      </c>
      <c r="F165" s="192">
        <v>34</v>
      </c>
      <c r="G165" s="192">
        <v>170874</v>
      </c>
      <c r="H165" s="192">
        <v>2382855</v>
      </c>
      <c r="I165" s="192">
        <v>27130278</v>
      </c>
      <c r="J165" s="192">
        <v>59266</v>
      </c>
      <c r="K165" s="192">
        <v>0</v>
      </c>
      <c r="L165" s="192">
        <v>535247</v>
      </c>
      <c r="M165" s="192">
        <v>11695</v>
      </c>
      <c r="N165" s="192">
        <v>703740</v>
      </c>
    </row>
    <row r="166" spans="1:14">
      <c r="A166" s="192"/>
      <c r="B166" s="192" t="s">
        <v>27</v>
      </c>
      <c r="C166" s="192">
        <v>0</v>
      </c>
      <c r="D166" s="192">
        <v>18</v>
      </c>
      <c r="E166" s="192">
        <v>2</v>
      </c>
      <c r="F166" s="192">
        <v>15</v>
      </c>
      <c r="G166" s="192">
        <v>50015</v>
      </c>
      <c r="H166" s="192">
        <v>1538316</v>
      </c>
      <c r="I166" s="192">
        <v>9351335</v>
      </c>
      <c r="J166" s="192">
        <v>27764</v>
      </c>
      <c r="K166" s="192">
        <v>0</v>
      </c>
      <c r="L166" s="192">
        <v>79783</v>
      </c>
      <c r="M166" s="192">
        <v>3776</v>
      </c>
      <c r="N166" s="192">
        <v>490363</v>
      </c>
    </row>
    <row r="167" spans="1:14">
      <c r="A167" s="192">
        <v>5307</v>
      </c>
      <c r="B167" s="192" t="s">
        <v>25</v>
      </c>
      <c r="C167" s="192">
        <v>0</v>
      </c>
      <c r="D167" s="192">
        <v>27</v>
      </c>
      <c r="E167" s="192">
        <v>0</v>
      </c>
      <c r="F167" s="192">
        <v>14</v>
      </c>
      <c r="G167" s="192">
        <v>43708</v>
      </c>
      <c r="H167" s="192">
        <v>1009811</v>
      </c>
      <c r="I167" s="192">
        <v>6971504</v>
      </c>
      <c r="J167" s="192">
        <v>4020</v>
      </c>
      <c r="K167" s="192">
        <v>0</v>
      </c>
      <c r="L167" s="192">
        <v>73364</v>
      </c>
      <c r="M167" s="192">
        <v>2352</v>
      </c>
      <c r="N167" s="192">
        <v>293728</v>
      </c>
    </row>
    <row r="168" spans="1:14">
      <c r="A168" s="192"/>
      <c r="B168" s="192" t="s">
        <v>26</v>
      </c>
      <c r="C168" s="192">
        <v>0</v>
      </c>
      <c r="D168" s="192">
        <v>37</v>
      </c>
      <c r="E168" s="192">
        <v>1</v>
      </c>
      <c r="F168" s="192">
        <v>10</v>
      </c>
      <c r="G168" s="192">
        <v>27710</v>
      </c>
      <c r="H168" s="192">
        <v>1546063</v>
      </c>
      <c r="I168" s="192">
        <v>5960718</v>
      </c>
      <c r="J168" s="192">
        <v>29658</v>
      </c>
      <c r="K168" s="192">
        <v>0</v>
      </c>
      <c r="L168" s="192">
        <v>211697</v>
      </c>
      <c r="M168" s="192">
        <v>3646</v>
      </c>
      <c r="N168" s="192">
        <v>655773</v>
      </c>
    </row>
    <row r="169" spans="1:14">
      <c r="A169" s="192"/>
      <c r="B169" s="192" t="s">
        <v>27</v>
      </c>
      <c r="C169" s="192">
        <v>9</v>
      </c>
      <c r="D169" s="192">
        <v>331</v>
      </c>
      <c r="E169" s="192">
        <v>9</v>
      </c>
      <c r="F169" s="192">
        <v>32</v>
      </c>
      <c r="G169" s="192">
        <v>213511</v>
      </c>
      <c r="H169" s="192">
        <v>2637289</v>
      </c>
      <c r="I169" s="192">
        <v>34526531</v>
      </c>
      <c r="J169" s="192">
        <v>117100</v>
      </c>
      <c r="K169" s="192">
        <v>0</v>
      </c>
      <c r="L169" s="192">
        <v>913467</v>
      </c>
      <c r="M169" s="192">
        <v>15337</v>
      </c>
      <c r="N169" s="192">
        <v>740793</v>
      </c>
    </row>
    <row r="170" spans="1:14">
      <c r="A170" s="192">
        <v>5308</v>
      </c>
      <c r="B170" s="192" t="s">
        <v>25</v>
      </c>
      <c r="C170" s="192">
        <v>3</v>
      </c>
      <c r="D170" s="192">
        <v>115</v>
      </c>
      <c r="E170" s="192">
        <v>3</v>
      </c>
      <c r="F170" s="192">
        <v>17</v>
      </c>
      <c r="G170" s="192">
        <v>88154</v>
      </c>
      <c r="H170" s="192">
        <v>2047197</v>
      </c>
      <c r="I170" s="192">
        <v>13498165</v>
      </c>
      <c r="J170" s="192">
        <v>46624</v>
      </c>
      <c r="K170" s="192">
        <v>0</v>
      </c>
      <c r="L170" s="192">
        <v>227973</v>
      </c>
      <c r="M170" s="192">
        <v>6800</v>
      </c>
      <c r="N170" s="192">
        <v>701152</v>
      </c>
    </row>
    <row r="171" spans="1:14">
      <c r="A171" s="192"/>
      <c r="B171" s="192" t="s">
        <v>26</v>
      </c>
      <c r="C171" s="192">
        <v>2</v>
      </c>
      <c r="D171" s="192">
        <v>116</v>
      </c>
      <c r="E171" s="192">
        <v>2</v>
      </c>
      <c r="F171" s="192">
        <v>23</v>
      </c>
      <c r="G171" s="192">
        <v>91737</v>
      </c>
      <c r="H171" s="192">
        <v>1581193</v>
      </c>
      <c r="I171" s="192">
        <v>13467771</v>
      </c>
      <c r="J171" s="192">
        <v>20510</v>
      </c>
      <c r="K171" s="192">
        <v>0</v>
      </c>
      <c r="L171" s="192">
        <v>271813</v>
      </c>
      <c r="M171" s="192">
        <v>5497</v>
      </c>
      <c r="N171" s="192">
        <v>441716</v>
      </c>
    </row>
    <row r="172" spans="1:14">
      <c r="A172" s="192"/>
      <c r="B172" s="192" t="s">
        <v>27</v>
      </c>
      <c r="C172" s="192">
        <v>4</v>
      </c>
      <c r="D172" s="192">
        <v>164</v>
      </c>
      <c r="E172" s="192">
        <v>5</v>
      </c>
      <c r="F172" s="192">
        <v>23</v>
      </c>
      <c r="G172" s="192">
        <v>135542</v>
      </c>
      <c r="H172" s="192">
        <v>2726718</v>
      </c>
      <c r="I172" s="192">
        <v>20615098</v>
      </c>
      <c r="J172" s="192">
        <v>10620</v>
      </c>
      <c r="K172" s="192">
        <v>117356</v>
      </c>
      <c r="L172" s="192">
        <v>917034</v>
      </c>
      <c r="M172" s="192">
        <v>9456</v>
      </c>
      <c r="N172" s="192">
        <v>923085</v>
      </c>
    </row>
    <row r="173" spans="1:14">
      <c r="A173" s="192">
        <v>5309</v>
      </c>
      <c r="B173" s="192" t="s">
        <v>25</v>
      </c>
      <c r="C173" s="192">
        <v>0</v>
      </c>
      <c r="D173" s="192">
        <v>34</v>
      </c>
      <c r="E173" s="192">
        <v>0</v>
      </c>
      <c r="F173" s="192">
        <v>11</v>
      </c>
      <c r="G173" s="192">
        <v>25321</v>
      </c>
      <c r="H173" s="192">
        <v>912741</v>
      </c>
      <c r="I173" s="192">
        <v>5181509</v>
      </c>
      <c r="J173" s="192">
        <v>2490</v>
      </c>
      <c r="K173" s="192">
        <v>0</v>
      </c>
      <c r="L173" s="192">
        <v>83043</v>
      </c>
      <c r="M173" s="192">
        <v>2013</v>
      </c>
      <c r="N173" s="192">
        <v>318244</v>
      </c>
    </row>
    <row r="174" spans="1:14">
      <c r="A174" s="192"/>
      <c r="B174" s="192" t="s">
        <v>26</v>
      </c>
      <c r="C174" s="192">
        <v>0</v>
      </c>
      <c r="D174" s="192">
        <v>42</v>
      </c>
      <c r="E174" s="192">
        <v>0</v>
      </c>
      <c r="F174" s="192">
        <v>20</v>
      </c>
      <c r="G174" s="192">
        <v>61880</v>
      </c>
      <c r="H174" s="192">
        <v>1088262</v>
      </c>
      <c r="I174" s="192">
        <v>11027746</v>
      </c>
      <c r="J174" s="192">
        <v>12750</v>
      </c>
      <c r="K174" s="192">
        <v>0</v>
      </c>
      <c r="L174" s="192">
        <v>195462</v>
      </c>
      <c r="M174" s="192">
        <v>3400</v>
      </c>
      <c r="N174" s="192">
        <v>568442</v>
      </c>
    </row>
    <row r="175" spans="1:14">
      <c r="A175" s="192"/>
      <c r="B175" s="192" t="s">
        <v>27</v>
      </c>
      <c r="C175" s="192">
        <v>9</v>
      </c>
      <c r="D175" s="192">
        <v>319</v>
      </c>
      <c r="E175" s="192">
        <v>7</v>
      </c>
      <c r="F175" s="192">
        <v>28</v>
      </c>
      <c r="G175" s="192">
        <v>184545</v>
      </c>
      <c r="H175" s="192">
        <v>3912851</v>
      </c>
      <c r="I175" s="192">
        <v>32620097</v>
      </c>
      <c r="J175" s="192">
        <v>133018</v>
      </c>
      <c r="K175" s="192">
        <v>107846</v>
      </c>
      <c r="L175" s="192">
        <v>1688482</v>
      </c>
      <c r="M175" s="192">
        <v>18100</v>
      </c>
      <c r="N175" s="192">
        <v>1072301</v>
      </c>
    </row>
    <row r="176" spans="1:14">
      <c r="A176" s="192">
        <v>5310</v>
      </c>
      <c r="B176" s="192" t="s">
        <v>25</v>
      </c>
      <c r="C176" s="192">
        <v>4</v>
      </c>
      <c r="D176" s="192">
        <v>154</v>
      </c>
      <c r="E176" s="192">
        <v>4</v>
      </c>
      <c r="F176" s="192">
        <v>31</v>
      </c>
      <c r="G176" s="192">
        <v>153740</v>
      </c>
      <c r="H176" s="192">
        <v>2479415</v>
      </c>
      <c r="I176" s="192">
        <v>25014909</v>
      </c>
      <c r="J176" s="192">
        <v>71456</v>
      </c>
      <c r="K176" s="192">
        <v>0</v>
      </c>
      <c r="L176" s="192">
        <v>345807</v>
      </c>
      <c r="M176" s="192">
        <v>10006</v>
      </c>
      <c r="N176" s="192">
        <v>935788</v>
      </c>
    </row>
    <row r="177" spans="1:14">
      <c r="A177" s="192"/>
      <c r="B177" s="192" t="s">
        <v>26</v>
      </c>
      <c r="C177" s="192">
        <v>3</v>
      </c>
      <c r="D177" s="192">
        <v>169</v>
      </c>
      <c r="E177" s="192">
        <v>5</v>
      </c>
      <c r="F177" s="192">
        <v>23</v>
      </c>
      <c r="G177" s="192">
        <v>105094</v>
      </c>
      <c r="H177" s="192">
        <v>2772079</v>
      </c>
      <c r="I177" s="192">
        <v>19455348</v>
      </c>
      <c r="J177" s="192">
        <v>101346</v>
      </c>
      <c r="K177" s="192">
        <v>0</v>
      </c>
      <c r="L177" s="192">
        <v>519635</v>
      </c>
      <c r="M177" s="192">
        <v>10533</v>
      </c>
      <c r="N177" s="192">
        <v>943251</v>
      </c>
    </row>
    <row r="178" spans="1:14">
      <c r="A178" s="192"/>
      <c r="B178" s="192" t="s">
        <v>27</v>
      </c>
      <c r="C178" s="192">
        <v>2</v>
      </c>
      <c r="D178" s="192">
        <v>72</v>
      </c>
      <c r="E178" s="192">
        <v>1</v>
      </c>
      <c r="F178" s="192">
        <v>17</v>
      </c>
      <c r="G178" s="192">
        <v>57616</v>
      </c>
      <c r="H178" s="192">
        <v>1862894</v>
      </c>
      <c r="I178" s="192">
        <v>10633122</v>
      </c>
      <c r="J178" s="192">
        <v>5990</v>
      </c>
      <c r="K178" s="192">
        <v>42124</v>
      </c>
      <c r="L178" s="192">
        <v>245735</v>
      </c>
      <c r="M178" s="192">
        <v>4858</v>
      </c>
      <c r="N178" s="192">
        <v>765327</v>
      </c>
    </row>
  </sheetData>
  <conditionalFormatting sqref="Q67">
    <cfRule type="cellIs" dxfId="38" priority="38" operator="equal">
      <formula>配置!$D$4</formula>
    </cfRule>
    <cfRule type="cellIs" dxfId="39" priority="39" operator="equal">
      <formula>配置!$D$3</formula>
    </cfRule>
    <cfRule type="cellIs" dxfId="37" priority="40" operator="equal">
      <formula>配置!$D$2</formula>
    </cfRule>
    <cfRule type="cellIs" dxfId="38" priority="43" operator="equal">
      <formula>配置!$D$4</formula>
    </cfRule>
    <cfRule type="cellIs" dxfId="37" priority="44" operator="equal">
      <formula>配置!$D$2</formula>
    </cfRule>
  </conditionalFormatting>
  <conditionalFormatting sqref="R75">
    <cfRule type="cellIs" dxfId="37" priority="2" operator="equal">
      <formula>#REF!</formula>
    </cfRule>
  </conditionalFormatting>
  <conditionalFormatting sqref="P86">
    <cfRule type="cellIs" dxfId="37" priority="6" operator="equal">
      <formula>#REF!</formula>
    </cfRule>
  </conditionalFormatting>
  <conditionalFormatting sqref="P92">
    <cfRule type="cellIs" dxfId="37" priority="4" operator="equal">
      <formula>#REF!</formula>
    </cfRule>
  </conditionalFormatting>
  <conditionalFormatting sqref="F71:F73">
    <cfRule type="dataBar" priority="17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{376a5ba4-a6f1-4f06-b2b6-f63a0af37131}</x14:id>
        </ext>
      </extLst>
    </cfRule>
  </conditionalFormatting>
  <conditionalFormatting sqref="F74:F76">
    <cfRule type="dataBar" priority="17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{48c4e2b5-af00-4739-9e80-e1f41ee2ee79}</x14:id>
        </ext>
      </extLst>
    </cfRule>
  </conditionalFormatting>
  <conditionalFormatting sqref="F77:F79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{82222ed0-2437-4540-8847-ddbdeb3ceb44}</x14:id>
        </ext>
      </extLst>
    </cfRule>
  </conditionalFormatting>
  <conditionalFormatting sqref="F80:F82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{678391a5-2c29-456f-8ecb-9acf769d1084}</x14:id>
        </ext>
      </extLst>
    </cfRule>
  </conditionalFormatting>
  <conditionalFormatting sqref="F83:F85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{8b53c023-0742-4ffc-bd72-4c249353cbb4}</x14:id>
        </ext>
      </extLst>
    </cfRule>
  </conditionalFormatting>
  <conditionalFormatting sqref="F86:F88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{33fc88a8-ae34-43c9-b247-9e27bbbc6c9b}</x14:id>
        </ext>
      </extLst>
    </cfRule>
  </conditionalFormatting>
  <conditionalFormatting sqref="F89:F91">
    <cfRule type="dataBar" priority="3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{1331ba45-1e7e-4322-8ca4-300ebf6507dc}</x14:id>
        </ext>
      </extLst>
    </cfRule>
  </conditionalFormatting>
  <conditionalFormatting sqref="F92:F94">
    <cfRule type="dataBar" priority="3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{6abfb0a6-ea9b-4b48-92c7-0411356825e6}</x14:id>
        </ext>
      </extLst>
    </cfRule>
  </conditionalFormatting>
  <conditionalFormatting sqref="F95:F97">
    <cfRule type="dataBar" priority="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{ecf2c242-679d-4f23-9696-4fc73c2dd827}</x14:id>
        </ext>
      </extLst>
    </cfRule>
  </conditionalFormatting>
  <conditionalFormatting sqref="F98:F100">
    <cfRule type="dataBar" priority="2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{5b7595bf-fb4f-47c0-9191-47833ec01175}</x14:id>
        </ext>
      </extLst>
    </cfRule>
  </conditionalFormatting>
  <conditionalFormatting sqref="F101:F10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{37516dba-f05f-4080-8eea-bedc1c3a0e36}</x14:id>
        </ext>
      </extLst>
    </cfRule>
  </conditionalFormatting>
  <conditionalFormatting sqref="F104:F106">
    <cfRule type="dataBar" priority="16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{f442cef6-58c6-45ac-8ad4-d57ae0e289df}</x14:id>
        </ext>
      </extLst>
    </cfRule>
  </conditionalFormatting>
  <conditionalFormatting sqref="G71:G73">
    <cfRule type="dataBar" priority="1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{cca9ffd9-1f5c-42ef-a60f-2a02f777aa6f}</x14:id>
        </ext>
      </extLst>
    </cfRule>
  </conditionalFormatting>
  <conditionalFormatting sqref="G74:G76">
    <cfRule type="dataBar" priority="17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{987fe7e4-db47-42d9-aad5-1ddf36f39a95}</x14:id>
        </ext>
      </extLst>
    </cfRule>
  </conditionalFormatting>
  <conditionalFormatting sqref="G77:G79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{122e1fb0-a98b-49af-bec7-20b6478362ef}</x14:id>
        </ext>
      </extLst>
    </cfRule>
  </conditionalFormatting>
  <conditionalFormatting sqref="G80:G82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{416eecd9-d443-43c4-8cfe-2d8050fa064e}</x14:id>
        </ext>
      </extLst>
    </cfRule>
  </conditionalFormatting>
  <conditionalFormatting sqref="G83:G85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{cdd7c9ec-0b1f-4c62-b943-b6bd88d26259}</x14:id>
        </ext>
      </extLst>
    </cfRule>
  </conditionalFormatting>
  <conditionalFormatting sqref="G86:G88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{ae3a0815-f14b-4073-96eb-7e00b1d01b99}</x14:id>
        </ext>
      </extLst>
    </cfRule>
  </conditionalFormatting>
  <conditionalFormatting sqref="G89:G91">
    <cfRule type="dataBar" priority="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{94a42f05-fd19-49e1-921d-1092435581a3}</x14:id>
        </ext>
      </extLst>
    </cfRule>
  </conditionalFormatting>
  <conditionalFormatting sqref="G92:G94">
    <cfRule type="dataBar" priority="3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{e94567f4-b897-435a-a281-fb29292e1655}</x14:id>
        </ext>
      </extLst>
    </cfRule>
  </conditionalFormatting>
  <conditionalFormatting sqref="G95:G97">
    <cfRule type="dataBar" priority="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{cd3013aa-53e6-44e8-adc4-937b47bd814c}</x14:id>
        </ext>
      </extLst>
    </cfRule>
  </conditionalFormatting>
  <conditionalFormatting sqref="G98:G100">
    <cfRule type="dataBar" priority="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{0b8c34ad-6872-4623-8bcd-ab74cf15581f}</x14:id>
        </ext>
      </extLst>
    </cfRule>
  </conditionalFormatting>
  <conditionalFormatting sqref="G101:G103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{50e17487-5f4b-4c8f-9afa-b64320e9e02e}</x14:id>
        </ext>
      </extLst>
    </cfRule>
  </conditionalFormatting>
  <conditionalFormatting sqref="G104:G106">
    <cfRule type="dataBar" priority="17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{6d6b687d-afd4-4b75-a08e-adbf5cadf58d}</x14:id>
        </ext>
      </extLst>
    </cfRule>
  </conditionalFormatting>
  <conditionalFormatting sqref="N77:N79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{19d822dd-eb53-47ea-8e1c-c8d67ec59fe1}</x14:id>
        </ext>
      </extLst>
    </cfRule>
  </conditionalFormatting>
  <conditionalFormatting sqref="N80:N8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{bae8b726-cb6d-4635-938d-83d2e2551f58}</x14:id>
        </ext>
      </extLst>
    </cfRule>
  </conditionalFormatting>
  <conditionalFormatting sqref="N83:N85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{75279feb-3e92-4e3b-88ec-24123eaa073c}</x14:id>
        </ext>
      </extLst>
    </cfRule>
  </conditionalFormatting>
  <conditionalFormatting sqref="N86:N88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{2cb31c4f-fe2d-4661-8be6-5ca8fcf662af}</x14:id>
        </ext>
      </extLst>
    </cfRule>
  </conditionalFormatting>
  <conditionalFormatting sqref="N89:N91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{fc74017a-52b9-4c37-9ae6-87a0d2fa3f59}</x14:id>
        </ext>
      </extLst>
    </cfRule>
  </conditionalFormatting>
  <conditionalFormatting sqref="N92:N94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{8a53d545-aa55-4493-9e5a-2cc2a9f993b0}</x14:id>
        </ext>
      </extLst>
    </cfRule>
  </conditionalFormatting>
  <conditionalFormatting sqref="N95:N97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{8ba3c0ee-a0fa-4ca2-91be-d00968d45fbe}</x14:id>
        </ext>
      </extLst>
    </cfRule>
  </conditionalFormatting>
  <conditionalFormatting sqref="N98:N100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{c962803d-e7d1-458d-91e5-b5d8c37de84a}</x14:id>
        </ext>
      </extLst>
    </cfRule>
  </conditionalFormatting>
  <conditionalFormatting sqref="N101:N103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{3be8be33-b5f0-4341-9598-fa2713e85f9e}</x14:id>
        </ext>
      </extLst>
    </cfRule>
  </conditionalFormatting>
  <conditionalFormatting sqref="P71:P78">
    <cfRule type="cellIs" dxfId="37" priority="10" operator="equal">
      <formula>#REF!</formula>
    </cfRule>
  </conditionalFormatting>
  <conditionalFormatting sqref="P79:P80">
    <cfRule type="cellIs" dxfId="37" priority="9" operator="equal">
      <formula>#REF!</formula>
    </cfRule>
  </conditionalFormatting>
  <conditionalFormatting sqref="P81:P83">
    <cfRule type="cellIs" dxfId="37" priority="8" operator="equal">
      <formula>#REF!</formula>
    </cfRule>
  </conditionalFormatting>
  <conditionalFormatting sqref="P84:P85">
    <cfRule type="cellIs" dxfId="37" priority="7" operator="equal">
      <formula>#REF!</formula>
    </cfRule>
  </conditionalFormatting>
  <conditionalFormatting sqref="P87:P91">
    <cfRule type="cellIs" dxfId="37" priority="5" operator="equal">
      <formula>#REF!</formula>
    </cfRule>
  </conditionalFormatting>
  <conditionalFormatting sqref="Q14:Q16">
    <cfRule type="cellIs" dxfId="38" priority="157" operator="equal">
      <formula>配置!$D$4</formula>
    </cfRule>
    <cfRule type="cellIs" dxfId="39" priority="158" operator="equal">
      <formula>配置!$D$3</formula>
    </cfRule>
    <cfRule type="cellIs" dxfId="37" priority="159" operator="equal">
      <formula>配置!$D$2</formula>
    </cfRule>
  </conditionalFormatting>
  <conditionalFormatting sqref="Q17:Q19">
    <cfRule type="cellIs" dxfId="38" priority="150" operator="equal">
      <formula>配置!$D$4</formula>
    </cfRule>
    <cfRule type="cellIs" dxfId="39" priority="151" operator="equal">
      <formula>配置!$D$3</formula>
    </cfRule>
    <cfRule type="cellIs" dxfId="37" priority="152" operator="equal">
      <formula>配置!$D$2</formula>
    </cfRule>
  </conditionalFormatting>
  <conditionalFormatting sqref="Q20:Q22">
    <cfRule type="cellIs" dxfId="38" priority="143" operator="equal">
      <formula>配置!$D$4</formula>
    </cfRule>
    <cfRule type="cellIs" dxfId="39" priority="144" operator="equal">
      <formula>配置!$D$3</formula>
    </cfRule>
    <cfRule type="cellIs" dxfId="37" priority="145" operator="equal">
      <formula>配置!$D$2</formula>
    </cfRule>
  </conditionalFormatting>
  <conditionalFormatting sqref="Q23:Q25">
    <cfRule type="cellIs" dxfId="38" priority="136" operator="equal">
      <formula>配置!$D$4</formula>
    </cfRule>
    <cfRule type="cellIs" dxfId="39" priority="137" operator="equal">
      <formula>配置!$D$3</formula>
    </cfRule>
    <cfRule type="cellIs" dxfId="37" priority="138" operator="equal">
      <formula>配置!$D$2</formula>
    </cfRule>
  </conditionalFormatting>
  <conditionalFormatting sqref="Q26:Q28">
    <cfRule type="cellIs" dxfId="38" priority="129" operator="equal">
      <formula>配置!$D$4</formula>
    </cfRule>
    <cfRule type="cellIs" dxfId="39" priority="130" operator="equal">
      <formula>配置!$D$3</formula>
    </cfRule>
    <cfRule type="cellIs" dxfId="37" priority="131" operator="equal">
      <formula>配置!$D$2</formula>
    </cfRule>
  </conditionalFormatting>
  <conditionalFormatting sqref="Q29:Q31">
    <cfRule type="cellIs" dxfId="38" priority="122" operator="equal">
      <formula>配置!$D$4</formula>
    </cfRule>
    <cfRule type="cellIs" dxfId="39" priority="123" operator="equal">
      <formula>配置!$D$3</formula>
    </cfRule>
    <cfRule type="cellIs" dxfId="37" priority="124" operator="equal">
      <formula>配置!$D$2</formula>
    </cfRule>
  </conditionalFormatting>
  <conditionalFormatting sqref="Q32:Q34">
    <cfRule type="cellIs" dxfId="38" priority="115" operator="equal">
      <formula>配置!$D$4</formula>
    </cfRule>
    <cfRule type="cellIs" dxfId="39" priority="116" operator="equal">
      <formula>配置!$D$3</formula>
    </cfRule>
    <cfRule type="cellIs" dxfId="37" priority="117" operator="equal">
      <formula>配置!$D$2</formula>
    </cfRule>
  </conditionalFormatting>
  <conditionalFormatting sqref="Q35:Q37">
    <cfRule type="cellIs" dxfId="38" priority="108" operator="equal">
      <formula>配置!$D$4</formula>
    </cfRule>
    <cfRule type="cellIs" dxfId="39" priority="109" operator="equal">
      <formula>配置!$D$3</formula>
    </cfRule>
    <cfRule type="cellIs" dxfId="37" priority="110" operator="equal">
      <formula>配置!$D$2</formula>
    </cfRule>
  </conditionalFormatting>
  <conditionalFormatting sqref="Q38:Q40">
    <cfRule type="cellIs" dxfId="38" priority="101" operator="equal">
      <formula>配置!$D$4</formula>
    </cfRule>
    <cfRule type="cellIs" dxfId="39" priority="102" operator="equal">
      <formula>配置!$D$3</formula>
    </cfRule>
    <cfRule type="cellIs" dxfId="37" priority="103" operator="equal">
      <formula>配置!$D$2</formula>
    </cfRule>
  </conditionalFormatting>
  <conditionalFormatting sqref="Q41:Q43">
    <cfRule type="cellIs" dxfId="38" priority="94" operator="equal">
      <formula>配置!$D$4</formula>
    </cfRule>
    <cfRule type="cellIs" dxfId="39" priority="95" operator="equal">
      <formula>配置!$D$3</formula>
    </cfRule>
    <cfRule type="cellIs" dxfId="37" priority="96" operator="equal">
      <formula>配置!$D$2</formula>
    </cfRule>
  </conditionalFormatting>
  <conditionalFormatting sqref="Q46:Q47">
    <cfRule type="cellIs" dxfId="38" priority="92" operator="equal">
      <formula>配置!$D$4</formula>
    </cfRule>
    <cfRule type="cellIs" dxfId="37" priority="93" operator="equal">
      <formula>配置!$D$2</formula>
    </cfRule>
  </conditionalFormatting>
  <conditionalFormatting sqref="Q46:Q48">
    <cfRule type="cellIs" dxfId="38" priority="87" operator="equal">
      <formula>配置!$D$4</formula>
    </cfRule>
    <cfRule type="cellIs" dxfId="39" priority="88" operator="equal">
      <formula>配置!$D$3</formula>
    </cfRule>
    <cfRule type="cellIs" dxfId="37" priority="89" operator="equal">
      <formula>配置!$D$2</formula>
    </cfRule>
  </conditionalFormatting>
  <conditionalFormatting sqref="Q49:Q50">
    <cfRule type="cellIs" dxfId="38" priority="85" operator="equal">
      <formula>配置!$D$4</formula>
    </cfRule>
    <cfRule type="cellIs" dxfId="37" priority="86" operator="equal">
      <formula>配置!$D$2</formula>
    </cfRule>
  </conditionalFormatting>
  <conditionalFormatting sqref="Q49:Q51">
    <cfRule type="cellIs" dxfId="38" priority="80" operator="equal">
      <formula>配置!$D$4</formula>
    </cfRule>
    <cfRule type="cellIs" dxfId="39" priority="81" operator="equal">
      <formula>配置!$D$3</formula>
    </cfRule>
    <cfRule type="cellIs" dxfId="37" priority="82" operator="equal">
      <formula>配置!$D$2</formula>
    </cfRule>
  </conditionalFormatting>
  <conditionalFormatting sqref="Q52:Q53">
    <cfRule type="cellIs" dxfId="38" priority="78" operator="equal">
      <formula>配置!$D$4</formula>
    </cfRule>
    <cfRule type="cellIs" dxfId="37" priority="79" operator="equal">
      <formula>配置!$D$2</formula>
    </cfRule>
  </conditionalFormatting>
  <conditionalFormatting sqref="Q52:Q54">
    <cfRule type="cellIs" dxfId="38" priority="73" operator="equal">
      <formula>配置!$D$4</formula>
    </cfRule>
    <cfRule type="cellIs" dxfId="39" priority="74" operator="equal">
      <formula>配置!$D$3</formula>
    </cfRule>
    <cfRule type="cellIs" dxfId="37" priority="75" operator="equal">
      <formula>配置!$D$2</formula>
    </cfRule>
  </conditionalFormatting>
  <conditionalFormatting sqref="Q55:Q56">
    <cfRule type="cellIs" dxfId="38" priority="71" operator="equal">
      <formula>配置!$D$4</formula>
    </cfRule>
    <cfRule type="cellIs" dxfId="37" priority="72" operator="equal">
      <formula>配置!$D$2</formula>
    </cfRule>
  </conditionalFormatting>
  <conditionalFormatting sqref="Q55:Q57">
    <cfRule type="cellIs" dxfId="38" priority="66" operator="equal">
      <formula>配置!$D$4</formula>
    </cfRule>
    <cfRule type="cellIs" dxfId="39" priority="67" operator="equal">
      <formula>配置!$D$3</formula>
    </cfRule>
    <cfRule type="cellIs" dxfId="37" priority="68" operator="equal">
      <formula>配置!$D$2</formula>
    </cfRule>
  </conditionalFormatting>
  <conditionalFormatting sqref="Q58:Q59">
    <cfRule type="cellIs" dxfId="38" priority="64" operator="equal">
      <formula>配置!$D$4</formula>
    </cfRule>
    <cfRule type="cellIs" dxfId="37" priority="65" operator="equal">
      <formula>配置!$D$2</formula>
    </cfRule>
  </conditionalFormatting>
  <conditionalFormatting sqref="Q58:Q60">
    <cfRule type="cellIs" dxfId="38" priority="59" operator="equal">
      <formula>配置!$D$4</formula>
    </cfRule>
    <cfRule type="cellIs" dxfId="39" priority="60" operator="equal">
      <formula>配置!$D$3</formula>
    </cfRule>
    <cfRule type="cellIs" dxfId="37" priority="61" operator="equal">
      <formula>配置!$D$2</formula>
    </cfRule>
  </conditionalFormatting>
  <conditionalFormatting sqref="Q61:Q62">
    <cfRule type="cellIs" dxfId="38" priority="57" operator="equal">
      <formula>配置!$D$4</formula>
    </cfRule>
    <cfRule type="cellIs" dxfId="37" priority="58" operator="equal">
      <formula>配置!$D$2</formula>
    </cfRule>
  </conditionalFormatting>
  <conditionalFormatting sqref="Q61:Q63">
    <cfRule type="cellIs" dxfId="38" priority="52" operator="equal">
      <formula>配置!$D$4</formula>
    </cfRule>
    <cfRule type="cellIs" dxfId="39" priority="53" operator="equal">
      <formula>配置!$D$3</formula>
    </cfRule>
    <cfRule type="cellIs" dxfId="37" priority="54" operator="equal">
      <formula>配置!$D$2</formula>
    </cfRule>
  </conditionalFormatting>
  <conditionalFormatting sqref="Q64:Q65">
    <cfRule type="cellIs" dxfId="38" priority="50" operator="equal">
      <formula>配置!$D$4</formula>
    </cfRule>
    <cfRule type="cellIs" dxfId="37" priority="51" operator="equal">
      <formula>配置!$D$2</formula>
    </cfRule>
  </conditionalFormatting>
  <conditionalFormatting sqref="Q64:Q66">
    <cfRule type="cellIs" dxfId="38" priority="45" operator="equal">
      <formula>配置!$D$4</formula>
    </cfRule>
    <cfRule type="cellIs" dxfId="39" priority="46" operator="equal">
      <formula>配置!$D$3</formula>
    </cfRule>
    <cfRule type="cellIs" dxfId="37" priority="47" operator="equal">
      <formula>配置!$D$2</formula>
    </cfRule>
  </conditionalFormatting>
  <conditionalFormatting sqref="R71:R74">
    <cfRule type="cellIs" dxfId="37" priority="3" operator="equal">
      <formula>#REF!</formula>
    </cfRule>
  </conditionalFormatting>
  <conditionalFormatting sqref="R76:R77">
    <cfRule type="cellIs" dxfId="37" priority="1" operator="equal">
      <formula>#REF!</formula>
    </cfRule>
  </conditionalFormatting>
  <conditionalFormatting sqref="O68:O69 Q1:R1 Q2 Q4:Q5 Q7:Q8 Q10:Q11 Q13 Q44">
    <cfRule type="cellIs" dxfId="37" priority="181" operator="equal">
      <formula>配置!$D$2</formula>
    </cfRule>
  </conditionalFormatting>
  <conditionalFormatting sqref="Q2 Q4:Q5 Q7:Q8 Q10:Q11 Q13 Q44">
    <cfRule type="cellIs" dxfId="38" priority="180" operator="equal">
      <formula>配置!$D$4</formula>
    </cfRule>
  </conditionalFormatting>
  <conditionalFormatting sqref="Q2:Q13 Q44:Q45">
    <cfRule type="cellIs" dxfId="38" priority="171" operator="equal">
      <formula>配置!$D$4</formula>
    </cfRule>
    <cfRule type="cellIs" dxfId="39" priority="172" operator="equal">
      <formula>配置!$D$3</formula>
    </cfRule>
    <cfRule type="cellIs" dxfId="37" priority="173" operator="equal">
      <formula>配置!$D$2</formula>
    </cfRule>
  </conditionalFormatting>
  <conditionalFormatting sqref="Q14 Q16">
    <cfRule type="cellIs" dxfId="38" priority="162" operator="equal">
      <formula>配置!$D$4</formula>
    </cfRule>
    <cfRule type="cellIs" dxfId="37" priority="163" operator="equal">
      <formula>配置!$D$2</formula>
    </cfRule>
  </conditionalFormatting>
  <conditionalFormatting sqref="Q17 Q19">
    <cfRule type="cellIs" dxfId="38" priority="155" operator="equal">
      <formula>配置!$D$4</formula>
    </cfRule>
    <cfRule type="cellIs" dxfId="37" priority="156" operator="equal">
      <formula>配置!$D$2</formula>
    </cfRule>
  </conditionalFormatting>
  <conditionalFormatting sqref="Q20 Q22">
    <cfRule type="cellIs" dxfId="38" priority="148" operator="equal">
      <formula>配置!$D$4</formula>
    </cfRule>
    <cfRule type="cellIs" dxfId="37" priority="149" operator="equal">
      <formula>配置!$D$2</formula>
    </cfRule>
  </conditionalFormatting>
  <conditionalFormatting sqref="Q23 Q25">
    <cfRule type="cellIs" dxfId="38" priority="141" operator="equal">
      <formula>配置!$D$4</formula>
    </cfRule>
    <cfRule type="cellIs" dxfId="37" priority="142" operator="equal">
      <formula>配置!$D$2</formula>
    </cfRule>
  </conditionalFormatting>
  <conditionalFormatting sqref="Q26 Q28">
    <cfRule type="cellIs" dxfId="38" priority="134" operator="equal">
      <formula>配置!$D$4</formula>
    </cfRule>
    <cfRule type="cellIs" dxfId="37" priority="135" operator="equal">
      <formula>配置!$D$2</formula>
    </cfRule>
  </conditionalFormatting>
  <conditionalFormatting sqref="Q29 Q31">
    <cfRule type="cellIs" dxfId="38" priority="127" operator="equal">
      <formula>配置!$D$4</formula>
    </cfRule>
    <cfRule type="cellIs" dxfId="37" priority="128" operator="equal">
      <formula>配置!$D$2</formula>
    </cfRule>
  </conditionalFormatting>
  <conditionalFormatting sqref="Q32 Q34">
    <cfRule type="cellIs" dxfId="38" priority="120" operator="equal">
      <formula>配置!$D$4</formula>
    </cfRule>
    <cfRule type="cellIs" dxfId="37" priority="121" operator="equal">
      <formula>配置!$D$2</formula>
    </cfRule>
  </conditionalFormatting>
  <conditionalFormatting sqref="Q35 Q37">
    <cfRule type="cellIs" dxfId="38" priority="113" operator="equal">
      <formula>配置!$D$4</formula>
    </cfRule>
    <cfRule type="cellIs" dxfId="37" priority="114" operator="equal">
      <formula>配置!$D$2</formula>
    </cfRule>
  </conditionalFormatting>
  <conditionalFormatting sqref="Q38 Q40">
    <cfRule type="cellIs" dxfId="38" priority="106" operator="equal">
      <formula>配置!$D$4</formula>
    </cfRule>
    <cfRule type="cellIs" dxfId="37" priority="107" operator="equal">
      <formula>配置!$D$2</formula>
    </cfRule>
  </conditionalFormatting>
  <conditionalFormatting sqref="Q41 Q43">
    <cfRule type="cellIs" dxfId="38" priority="99" operator="equal">
      <formula>配置!$D$4</formula>
    </cfRule>
    <cfRule type="cellIs" dxfId="37" priority="100" operator="equal">
      <formula>配置!$D$2</formula>
    </cfRule>
  </conditionalFormatting>
  <conditionalFormatting sqref="N71:N76 N104:N106">
    <cfRule type="dataBar" priority="1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{49d8670f-1fd9-467b-ac64-5f4c50ec7d32}</x14:id>
        </ext>
      </extLst>
    </cfRule>
  </conditionalFormatting>
  <dataValidations count="1">
    <dataValidation type="list" allowBlank="1" showInputMessage="1" showErrorMessage="1" sqref="Q67 Q2:Q13 Q14:Q16 Q17:Q19 Q20:Q22 Q23:Q25 Q26:Q28 Q29:Q31 Q32:Q34 Q35:Q37 Q38:Q40 Q41:Q43 Q44:Q45 Q46:Q48 Q49:Q51 Q52:Q54 Q55:Q57 Q58:Q60 Q61:Q63 Q64:Q66">
      <formula1>配置!$D$2:$D$4</formula1>
    </dataValidation>
  </dataValidations>
  <pageMargins left="0.75" right="0.75" top="1" bottom="1" header="0.5" footer="0.5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76a5ba4-a6f1-4f06-b2b6-f63a0af371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F71:F73</xm:sqref>
        </x14:conditionalFormatting>
        <x14:conditionalFormatting xmlns:xm="http://schemas.microsoft.com/office/excel/2006/main">
          <x14:cfRule type="dataBar" id="{48c4e2b5-af00-4739-9e80-e1f41ee2ee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F74:F76</xm:sqref>
        </x14:conditionalFormatting>
        <x14:conditionalFormatting xmlns:xm="http://schemas.microsoft.com/office/excel/2006/main">
          <x14:cfRule type="dataBar" id="{82222ed0-2437-4540-8847-ddbdeb3ceb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F77:F79</xm:sqref>
        </x14:conditionalFormatting>
        <x14:conditionalFormatting xmlns:xm="http://schemas.microsoft.com/office/excel/2006/main">
          <x14:cfRule type="dataBar" id="{678391a5-2c29-456f-8ecb-9acf769d10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F80:F82</xm:sqref>
        </x14:conditionalFormatting>
        <x14:conditionalFormatting xmlns:xm="http://schemas.microsoft.com/office/excel/2006/main">
          <x14:cfRule type="dataBar" id="{8b53c023-0742-4ffc-bd72-4c249353cb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F83:F85</xm:sqref>
        </x14:conditionalFormatting>
        <x14:conditionalFormatting xmlns:xm="http://schemas.microsoft.com/office/excel/2006/main">
          <x14:cfRule type="dataBar" id="{33fc88a8-ae34-43c9-b247-9e27bbbc6c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F86:F88</xm:sqref>
        </x14:conditionalFormatting>
        <x14:conditionalFormatting xmlns:xm="http://schemas.microsoft.com/office/excel/2006/main">
          <x14:cfRule type="dataBar" id="{1331ba45-1e7e-4322-8ca4-300ebf6507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F89:F91</xm:sqref>
        </x14:conditionalFormatting>
        <x14:conditionalFormatting xmlns:xm="http://schemas.microsoft.com/office/excel/2006/main">
          <x14:cfRule type="dataBar" id="{6abfb0a6-ea9b-4b48-92c7-0411356825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F92:F94</xm:sqref>
        </x14:conditionalFormatting>
        <x14:conditionalFormatting xmlns:xm="http://schemas.microsoft.com/office/excel/2006/main">
          <x14:cfRule type="dataBar" id="{ecf2c242-679d-4f23-9696-4fc73c2dd8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F95:F97</xm:sqref>
        </x14:conditionalFormatting>
        <x14:conditionalFormatting xmlns:xm="http://schemas.microsoft.com/office/excel/2006/main">
          <x14:cfRule type="dataBar" id="{5b7595bf-fb4f-47c0-9191-47833ec011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F98:F100</xm:sqref>
        </x14:conditionalFormatting>
        <x14:conditionalFormatting xmlns:xm="http://schemas.microsoft.com/office/excel/2006/main">
          <x14:cfRule type="dataBar" id="{37516dba-f05f-4080-8eea-bedc1c3a0e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F101:F103</xm:sqref>
        </x14:conditionalFormatting>
        <x14:conditionalFormatting xmlns:xm="http://schemas.microsoft.com/office/excel/2006/main">
          <x14:cfRule type="dataBar" id="{f442cef6-58c6-45ac-8ad4-d57ae0e289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F104:F106</xm:sqref>
        </x14:conditionalFormatting>
        <x14:conditionalFormatting xmlns:xm="http://schemas.microsoft.com/office/excel/2006/main">
          <x14:cfRule type="dataBar" id="{cca9ffd9-1f5c-42ef-a60f-2a02f777aa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G71:G73</xm:sqref>
        </x14:conditionalFormatting>
        <x14:conditionalFormatting xmlns:xm="http://schemas.microsoft.com/office/excel/2006/main">
          <x14:cfRule type="dataBar" id="{987fe7e4-db47-42d9-aad5-1ddf36f39a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G74:G76</xm:sqref>
        </x14:conditionalFormatting>
        <x14:conditionalFormatting xmlns:xm="http://schemas.microsoft.com/office/excel/2006/main">
          <x14:cfRule type="dataBar" id="{122e1fb0-a98b-49af-bec7-20b6478362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G77:G79</xm:sqref>
        </x14:conditionalFormatting>
        <x14:conditionalFormatting xmlns:xm="http://schemas.microsoft.com/office/excel/2006/main">
          <x14:cfRule type="dataBar" id="{416eecd9-d443-43c4-8cfe-2d8050fa06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G80:G82</xm:sqref>
        </x14:conditionalFormatting>
        <x14:conditionalFormatting xmlns:xm="http://schemas.microsoft.com/office/excel/2006/main">
          <x14:cfRule type="dataBar" id="{cdd7c9ec-0b1f-4c62-b943-b6bd88d262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G83:G85</xm:sqref>
        </x14:conditionalFormatting>
        <x14:conditionalFormatting xmlns:xm="http://schemas.microsoft.com/office/excel/2006/main">
          <x14:cfRule type="dataBar" id="{ae3a0815-f14b-4073-96eb-7e00b1d01b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G86:G88</xm:sqref>
        </x14:conditionalFormatting>
        <x14:conditionalFormatting xmlns:xm="http://schemas.microsoft.com/office/excel/2006/main">
          <x14:cfRule type="dataBar" id="{94a42f05-fd19-49e1-921d-1092435581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G89:G91</xm:sqref>
        </x14:conditionalFormatting>
        <x14:conditionalFormatting xmlns:xm="http://schemas.microsoft.com/office/excel/2006/main">
          <x14:cfRule type="dataBar" id="{e94567f4-b897-435a-a281-fb29292e16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G92:G94</xm:sqref>
        </x14:conditionalFormatting>
        <x14:conditionalFormatting xmlns:xm="http://schemas.microsoft.com/office/excel/2006/main">
          <x14:cfRule type="dataBar" id="{cd3013aa-53e6-44e8-adc4-937b47bd81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G95:G97</xm:sqref>
        </x14:conditionalFormatting>
        <x14:conditionalFormatting xmlns:xm="http://schemas.microsoft.com/office/excel/2006/main">
          <x14:cfRule type="dataBar" id="{0b8c34ad-6872-4623-8bcd-ab74cf1558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G98:G100</xm:sqref>
        </x14:conditionalFormatting>
        <x14:conditionalFormatting xmlns:xm="http://schemas.microsoft.com/office/excel/2006/main">
          <x14:cfRule type="dataBar" id="{50e17487-5f4b-4c8f-9afa-b64320e9e0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G101:G103</xm:sqref>
        </x14:conditionalFormatting>
        <x14:conditionalFormatting xmlns:xm="http://schemas.microsoft.com/office/excel/2006/main">
          <x14:cfRule type="dataBar" id="{6d6b687d-afd4-4b75-a08e-adbf5cadf5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G104:G106</xm:sqref>
        </x14:conditionalFormatting>
        <x14:conditionalFormatting xmlns:xm="http://schemas.microsoft.com/office/excel/2006/main">
          <x14:cfRule type="dataBar" id="{19d822dd-eb53-47ea-8e1c-c8d67ec59f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N77:N79</xm:sqref>
        </x14:conditionalFormatting>
        <x14:conditionalFormatting xmlns:xm="http://schemas.microsoft.com/office/excel/2006/main">
          <x14:cfRule type="dataBar" id="{bae8b726-cb6d-4635-938d-83d2e2551f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N80:N82</xm:sqref>
        </x14:conditionalFormatting>
        <x14:conditionalFormatting xmlns:xm="http://schemas.microsoft.com/office/excel/2006/main">
          <x14:cfRule type="dataBar" id="{75279feb-3e92-4e3b-88ec-24123eaa07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N83:N85</xm:sqref>
        </x14:conditionalFormatting>
        <x14:conditionalFormatting xmlns:xm="http://schemas.microsoft.com/office/excel/2006/main">
          <x14:cfRule type="dataBar" id="{2cb31c4f-fe2d-4661-8be6-5ca8fcf662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N86:N88</xm:sqref>
        </x14:conditionalFormatting>
        <x14:conditionalFormatting xmlns:xm="http://schemas.microsoft.com/office/excel/2006/main">
          <x14:cfRule type="dataBar" id="{fc74017a-52b9-4c37-9ae6-87a0d2fa3f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N89:N91</xm:sqref>
        </x14:conditionalFormatting>
        <x14:conditionalFormatting xmlns:xm="http://schemas.microsoft.com/office/excel/2006/main">
          <x14:cfRule type="dataBar" id="{8a53d545-aa55-4493-9e5a-2cc2a9f993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N92:N94</xm:sqref>
        </x14:conditionalFormatting>
        <x14:conditionalFormatting xmlns:xm="http://schemas.microsoft.com/office/excel/2006/main">
          <x14:cfRule type="dataBar" id="{8ba3c0ee-a0fa-4ca2-91be-d00968d45f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N95:N97</xm:sqref>
        </x14:conditionalFormatting>
        <x14:conditionalFormatting xmlns:xm="http://schemas.microsoft.com/office/excel/2006/main">
          <x14:cfRule type="dataBar" id="{c962803d-e7d1-458d-91e5-b5d8c37de8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N98:N100</xm:sqref>
        </x14:conditionalFormatting>
        <x14:conditionalFormatting xmlns:xm="http://schemas.microsoft.com/office/excel/2006/main">
          <x14:cfRule type="dataBar" id="{3be8be33-b5f0-4341-9598-fa2713e85f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N101:N103</xm:sqref>
        </x14:conditionalFormatting>
        <x14:conditionalFormatting xmlns:xm="http://schemas.microsoft.com/office/excel/2006/main">
          <x14:cfRule type="dataBar" id="{49d8670f-1fd9-467b-ac64-5f4c50ec7d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N71:N76 N104:N106</xm:sqref>
        </x14:conditionalFormatting>
      </x14:conditionalFormatting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1"/>
  <sheetViews>
    <sheetView workbookViewId="0">
      <selection activeCell="I24" sqref="I24"/>
    </sheetView>
  </sheetViews>
  <sheetFormatPr defaultColWidth="9" defaultRowHeight="13.5"/>
  <cols>
    <col min="7" max="7" width="9.375"/>
    <col min="9" max="9" width="9.375"/>
    <col min="16" max="16" width="9.375"/>
  </cols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2" customFormat="1" ht="14.25" customHeight="1" spans="1:25">
      <c r="A2" s="150">
        <v>230</v>
      </c>
      <c r="B2" s="150">
        <f>VLOOKUP(表1_86121822242672124[[#This Row],[区服]],$P$26:$Q$33,2,FALSE)</f>
        <v>41</v>
      </c>
      <c r="C2" s="255" t="s">
        <v>295</v>
      </c>
      <c r="D2" s="256" t="str">
        <f>表1_86121822242672124[[#This Row],[目标国家]]</f>
        <v>蜀</v>
      </c>
      <c r="E2" s="153">
        <f>(VLOOKUP(表1_86121822242672124[[#This Row],[目标区服]],$R$26:$S$29,2,FALSE)-表1_86121822242672124[[#This Row],[开服天数]])*配置!$B$1</f>
        <v>1000</v>
      </c>
      <c r="F2" s="153">
        <f>表1_86121822242672124[[#This Row],[补偿Coin]]*(表1_86121822242672124[[#This Row],[活跃高战玩家数]]+表1_86121822242672124[[#This Row],[活跃中坚玩家数]])</f>
        <v>16000</v>
      </c>
      <c r="G2" s="153">
        <f>(VLOOKUP(表1_86121822242672124[[#This Row],[目标区服]],$R$26:$S$29,2,FALSE)-表1_86121822242672124[[#This Row],[开服天数]])*配置!$B$2</f>
        <v>10</v>
      </c>
      <c r="H2" s="152" t="s">
        <v>25</v>
      </c>
      <c r="I2" s="152">
        <f>IF(表1_86121822242672124[[#This Row],[原国家]]="魏",0,IF(表1_86121822242672124[[#This Row],[原国家]]="蜀",1,2))</f>
        <v>0</v>
      </c>
      <c r="J2" s="266">
        <v>5</v>
      </c>
      <c r="K2" s="266">
        <v>127</v>
      </c>
      <c r="L2" s="266">
        <v>3</v>
      </c>
      <c r="M2" s="266">
        <v>13</v>
      </c>
      <c r="N2" s="266">
        <v>82303</v>
      </c>
      <c r="O2" s="266">
        <v>2676198</v>
      </c>
      <c r="P2" s="266">
        <v>12936423</v>
      </c>
      <c r="Q2" s="193" t="s">
        <v>26</v>
      </c>
      <c r="R2" s="152">
        <f>IF(表1_86121822242672124[[#This Row],[目标国家]]="魏",0,IF(表1_86121822242672124[[#This Row],[目标国家]]="蜀",1,2))</f>
        <v>1</v>
      </c>
      <c r="S2" s="266">
        <v>34892</v>
      </c>
      <c r="T2" s="266">
        <v>0</v>
      </c>
      <c r="U2" s="266">
        <v>323272</v>
      </c>
      <c r="V2" s="266">
        <v>7359</v>
      </c>
      <c r="W2" s="275">
        <v>853913</v>
      </c>
      <c r="X2" s="196" t="str">
        <f>"{"&amp;"'coin':"&amp;表1_86121822242672124[[#This Row],[补偿Coin]]&amp;",'"&amp;配置!$A$2&amp;"':"&amp;表1_86121822242672124[[#This Row],[补偿辎重]]&amp;"},"</f>
        <v>{'coin':1000,'item036':10},</v>
      </c>
      <c r="Y2" s="194" t="str">
        <f>"      '"&amp;表1_86121822242672124[[#This Row],[区服]]&amp;"':{"</f>
        <v>      '230':{</v>
      </c>
    </row>
    <row r="3" s="2" customFormat="1" ht="14.25" customHeight="1" spans="1:25">
      <c r="A3" s="257">
        <v>230</v>
      </c>
      <c r="B3" s="150">
        <f>VLOOKUP(表1_86121822242672124[[#This Row],[区服]],$P$26:$Q$33,2,FALSE)</f>
        <v>41</v>
      </c>
      <c r="C3" s="255" t="s">
        <v>295</v>
      </c>
      <c r="D3" s="152" t="str">
        <f>表1_86121822242672124[[#This Row],[目标国家]]</f>
        <v>吴</v>
      </c>
      <c r="E3" s="154">
        <f>(VLOOKUP(表1_86121822242672124[[#This Row],[目标区服]],$R$26:$S$29,2,FALSE)-表1_86121822242672124[[#This Row],[开服天数]])*配置!$B$1</f>
        <v>1000</v>
      </c>
      <c r="F3" s="154">
        <f>表1_86121822242672124[[#This Row],[补偿Coin]]*(表1_86121822242672124[[#This Row],[活跃高战玩家数]]+表1_86121822242672124[[#This Row],[活跃中坚玩家数]])</f>
        <v>24000</v>
      </c>
      <c r="G3" s="154">
        <f>(VLOOKUP(表1_86121822242672124[[#This Row],[目标区服]],$R$26:$S$29,2,FALSE)-表1_86121822242672124[[#This Row],[开服天数]])*配置!$B$2</f>
        <v>10</v>
      </c>
      <c r="H3" s="152" t="s">
        <v>26</v>
      </c>
      <c r="I3" s="152">
        <f>IF(表1_86121822242672124[[#This Row],[原国家]]="魏",0,IF(表1_86121822242672124[[#This Row],[原国家]]="蜀",1,2))</f>
        <v>1</v>
      </c>
      <c r="J3" s="266">
        <v>4</v>
      </c>
      <c r="K3" s="266">
        <v>233</v>
      </c>
      <c r="L3" s="266">
        <v>6</v>
      </c>
      <c r="M3" s="266">
        <v>18</v>
      </c>
      <c r="N3" s="266">
        <v>123602</v>
      </c>
      <c r="O3" s="266">
        <v>2748014</v>
      </c>
      <c r="P3" s="266">
        <v>19817262</v>
      </c>
      <c r="Q3" s="193" t="s">
        <v>27</v>
      </c>
      <c r="R3" s="152">
        <f>IF(表1_86121822242672124[[#This Row],[目标国家]]="魏",0,IF(表1_86121822242672124[[#This Row],[目标国家]]="蜀",1,2))</f>
        <v>2</v>
      </c>
      <c r="S3" s="266">
        <v>48482</v>
      </c>
      <c r="T3" s="266">
        <v>0</v>
      </c>
      <c r="U3" s="266">
        <v>486281</v>
      </c>
      <c r="V3" s="266">
        <v>9775</v>
      </c>
      <c r="W3" s="276">
        <v>1002328</v>
      </c>
      <c r="X3" s="196" t="str">
        <f>"{"&amp;"'coin':"&amp;表1_86121822242672124[[#This Row],[补偿Coin]]&amp;",'"&amp;配置!$A$2&amp;"':"&amp;表1_86121822242672124[[#This Row],[补偿辎重]]&amp;"},"</f>
        <v>{'coin':1000,'item036':10},</v>
      </c>
      <c r="Y3" s="194" t="str">
        <f>"            'to_zone':'"&amp;表1_86121822242672124[[#This Row],[目标区服]]&amp;"',
            'reward':"&amp;表1_86121822242672124[[#This Row],[辅助导出]]&amp;"
            'country':["&amp;R2&amp;","&amp;R3&amp;","&amp;R4&amp;"],"</f>
        <v>            'to_zone':'h1_102',
            'reward':{'coin':1000,'item036':10},
            'country':[1,2,0],</v>
      </c>
    </row>
    <row r="4" s="2" customFormat="1" ht="14.25" customHeight="1" spans="1:25">
      <c r="A4" s="257">
        <v>230</v>
      </c>
      <c r="B4" s="150">
        <f>VLOOKUP(表1_86121822242672124[[#This Row],[区服]],$P$26:$Q$33,2,FALSE)</f>
        <v>41</v>
      </c>
      <c r="C4" s="255" t="s">
        <v>295</v>
      </c>
      <c r="D4" s="152" t="str">
        <f>表1_86121822242672124[[#This Row],[目标国家]]</f>
        <v>魏</v>
      </c>
      <c r="E4" s="154">
        <f>(VLOOKUP(表1_86121822242672124[[#This Row],[目标区服]],$R$26:$S$29,2,FALSE)-表1_86121822242672124[[#This Row],[开服天数]])*配置!$B$1</f>
        <v>1000</v>
      </c>
      <c r="F4" s="154">
        <f>表1_86121822242672124[[#This Row],[补偿Coin]]*(表1_86121822242672124[[#This Row],[活跃高战玩家数]]+表1_86121822242672124[[#This Row],[活跃中坚玩家数]])</f>
        <v>11000</v>
      </c>
      <c r="G4" s="154">
        <f>(VLOOKUP(表1_86121822242672124[[#This Row],[目标区服]],$R$26:$S$29,2,FALSE)-表1_86121822242672124[[#This Row],[开服天数]])*配置!$B$2</f>
        <v>10</v>
      </c>
      <c r="H4" s="152" t="s">
        <v>27</v>
      </c>
      <c r="I4" s="152">
        <f>IF(表1_86121822242672124[[#This Row],[原国家]]="魏",0,IF(表1_86121822242672124[[#This Row],[原国家]]="蜀",1,2))</f>
        <v>2</v>
      </c>
      <c r="J4" s="266">
        <v>0</v>
      </c>
      <c r="K4" s="266">
        <v>35</v>
      </c>
      <c r="L4" s="266">
        <v>1</v>
      </c>
      <c r="M4" s="266">
        <v>10</v>
      </c>
      <c r="N4" s="266">
        <v>53968</v>
      </c>
      <c r="O4" s="266">
        <v>1749501</v>
      </c>
      <c r="P4" s="266">
        <v>7804897</v>
      </c>
      <c r="Q4" s="193" t="s">
        <v>25</v>
      </c>
      <c r="R4" s="152">
        <f>IF(表1_86121822242672124[[#This Row],[目标国家]]="魏",0,IF(表1_86121822242672124[[#This Row],[目标国家]]="蜀",1,2))</f>
        <v>0</v>
      </c>
      <c r="S4" s="266">
        <v>17324</v>
      </c>
      <c r="T4" s="266">
        <v>0</v>
      </c>
      <c r="U4" s="266">
        <v>172456</v>
      </c>
      <c r="V4" s="266">
        <v>3755</v>
      </c>
      <c r="W4" s="275">
        <v>647676</v>
      </c>
      <c r="X4" s="196" t="str">
        <f>"{"&amp;"'coin':"&amp;表1_86121822242672124[[#This Row],[补偿Coin]]&amp;",'"&amp;配置!$A$2&amp;"':"&amp;表1_86121822242672124[[#This Row],[补偿辎重]]&amp;"},"</f>
        <v>{'coin':1000,'item036':10},</v>
      </c>
      <c r="Y4" s="194" t="str">
        <f>"      },"</f>
        <v>      },</v>
      </c>
    </row>
    <row r="5" s="2" customFormat="1" ht="14.25" customHeight="1" spans="1:25">
      <c r="A5" s="257">
        <v>231</v>
      </c>
      <c r="B5" s="150">
        <f>VLOOKUP(表1_86121822242672124[[#This Row],[区服]],$P$26:$Q$33,2,FALSE)</f>
        <v>41</v>
      </c>
      <c r="C5" s="255" t="s">
        <v>295</v>
      </c>
      <c r="D5" s="152" t="str">
        <f>表1_86121822242672124[[#This Row],[目标国家]]</f>
        <v>魏</v>
      </c>
      <c r="E5" s="154">
        <f>(VLOOKUP(表1_86121822242672124[[#This Row],[目标区服]],$R$26:$S$29,2,FALSE)-表1_86121822242672124[[#This Row],[开服天数]])*配置!$B$1</f>
        <v>1000</v>
      </c>
      <c r="F5" s="154">
        <f>表1_86121822242672124[[#This Row],[补偿Coin]]*(表1_86121822242672124[[#This Row],[活跃高战玩家数]]+表1_86121822242672124[[#This Row],[活跃中坚玩家数]])</f>
        <v>22000</v>
      </c>
      <c r="G5" s="154">
        <f>(VLOOKUP(表1_86121822242672124[[#This Row],[目标区服]],$R$26:$S$29,2,FALSE)-表1_86121822242672124[[#This Row],[开服天数]])*配置!$B$2</f>
        <v>10</v>
      </c>
      <c r="H5" s="152" t="s">
        <v>25</v>
      </c>
      <c r="I5" s="152">
        <f>IF(表1_86121822242672124[[#This Row],[原国家]]="魏",0,IF(表1_86121822242672124[[#This Row],[原国家]]="蜀",1,2))</f>
        <v>0</v>
      </c>
      <c r="J5" s="266">
        <v>3</v>
      </c>
      <c r="K5" s="266">
        <v>121</v>
      </c>
      <c r="L5" s="266">
        <v>4</v>
      </c>
      <c r="M5" s="266">
        <v>18</v>
      </c>
      <c r="N5" s="266">
        <v>99996</v>
      </c>
      <c r="O5" s="266">
        <v>3023254</v>
      </c>
      <c r="P5" s="266">
        <v>18128868</v>
      </c>
      <c r="Q5" s="193" t="s">
        <v>25</v>
      </c>
      <c r="R5" s="152">
        <f>IF(表1_86121822242672124[[#This Row],[目标国家]]="魏",0,IF(表1_86121822242672124[[#This Row],[目标国家]]="蜀",1,2))</f>
        <v>0</v>
      </c>
      <c r="S5" s="266">
        <v>78044</v>
      </c>
      <c r="T5" s="266">
        <v>0</v>
      </c>
      <c r="U5" s="266">
        <v>470329</v>
      </c>
      <c r="V5" s="266">
        <v>9422</v>
      </c>
      <c r="W5" s="276">
        <v>822366</v>
      </c>
      <c r="X5" s="196" t="str">
        <f>"{"&amp;"'coin':"&amp;表1_86121822242672124[[#This Row],[补偿Coin]]&amp;",'"&amp;配置!$A$2&amp;"':"&amp;表1_86121822242672124[[#This Row],[补偿辎重]]&amp;"},"</f>
        <v>{'coin':1000,'item036':10},</v>
      </c>
      <c r="Y5" s="194" t="str">
        <f>"      '"&amp;表1_86121822242672124[[#This Row],[区服]]&amp;"':{"</f>
        <v>      '231':{</v>
      </c>
    </row>
    <row r="6" s="2" customFormat="1" ht="14.25" customHeight="1" spans="1:25">
      <c r="A6" s="150">
        <v>231</v>
      </c>
      <c r="B6" s="150">
        <f>VLOOKUP(表1_86121822242672124[[#This Row],[区服]],$P$26:$Q$33,2,FALSE)</f>
        <v>41</v>
      </c>
      <c r="C6" s="255" t="s">
        <v>295</v>
      </c>
      <c r="D6" s="152" t="str">
        <f>表1_86121822242672124[[#This Row],[目标国家]]</f>
        <v>蜀</v>
      </c>
      <c r="E6" s="154">
        <f>(VLOOKUP(表1_86121822242672124[[#This Row],[目标区服]],$R$26:$S$29,2,FALSE)-表1_86121822242672124[[#This Row],[开服天数]])*配置!$B$1</f>
        <v>1000</v>
      </c>
      <c r="F6" s="154">
        <f>表1_86121822242672124[[#This Row],[补偿Coin]]*(表1_86121822242672124[[#This Row],[活跃高战玩家数]]+表1_86121822242672124[[#This Row],[活跃中坚玩家数]])</f>
        <v>26000</v>
      </c>
      <c r="G6" s="154">
        <f>(VLOOKUP(表1_86121822242672124[[#This Row],[目标区服]],$R$26:$S$29,2,FALSE)-表1_86121822242672124[[#This Row],[开服天数]])*配置!$B$2</f>
        <v>10</v>
      </c>
      <c r="H6" s="152" t="s">
        <v>26</v>
      </c>
      <c r="I6" s="152">
        <f>IF(表1_86121822242672124[[#This Row],[原国家]]="魏",0,IF(表1_86121822242672124[[#This Row],[原国家]]="蜀",1,2))</f>
        <v>1</v>
      </c>
      <c r="J6" s="266">
        <v>4</v>
      </c>
      <c r="K6" s="266">
        <v>186</v>
      </c>
      <c r="L6" s="266">
        <v>5</v>
      </c>
      <c r="M6" s="266">
        <v>21</v>
      </c>
      <c r="N6" s="266">
        <v>121920</v>
      </c>
      <c r="O6" s="266">
        <v>2948575</v>
      </c>
      <c r="P6" s="266">
        <v>22118124</v>
      </c>
      <c r="Q6" s="193" t="s">
        <v>26</v>
      </c>
      <c r="R6" s="152">
        <f>IF(表1_86121822242672124[[#This Row],[目标国家]]="魏",0,IF(表1_86121822242672124[[#This Row],[目标国家]]="蜀",1,2))</f>
        <v>1</v>
      </c>
      <c r="S6" s="266">
        <v>79434</v>
      </c>
      <c r="T6" s="266">
        <v>0</v>
      </c>
      <c r="U6" s="266">
        <v>267197</v>
      </c>
      <c r="V6" s="266">
        <v>10546</v>
      </c>
      <c r="W6" s="276">
        <v>866790</v>
      </c>
      <c r="X6" s="196" t="str">
        <f>"{"&amp;"'coin':"&amp;表1_86121822242672124[[#This Row],[补偿Coin]]&amp;",'"&amp;配置!$A$2&amp;"':"&amp;表1_86121822242672124[[#This Row],[补偿辎重]]&amp;"},"</f>
        <v>{'coin':1000,'item036':10},</v>
      </c>
      <c r="Y6" s="194" t="str">
        <f>"            'to_zone':'"&amp;表1_86121822242672124[[#This Row],[目标区服]]&amp;"',
            'reward':"&amp;表1_86121822242672124[[#This Row],[辅助导出]]&amp;"
            'country':["&amp;R5&amp;","&amp;R6&amp;","&amp;R7&amp;"],"</f>
        <v>            'to_zone':'h1_102',
            'reward':{'coin':1000,'item036':10},
            'country':[0,1,1],</v>
      </c>
    </row>
    <row r="7" s="2" customFormat="1" ht="14.25" customHeight="1" spans="1:25">
      <c r="A7" s="150">
        <v>231</v>
      </c>
      <c r="B7" s="150">
        <f>VLOOKUP(表1_86121822242672124[[#This Row],[区服]],$P$26:$Q$33,2,FALSE)</f>
        <v>41</v>
      </c>
      <c r="C7" s="255" t="s">
        <v>295</v>
      </c>
      <c r="D7" s="152" t="str">
        <f>表1_86121822242672124[[#This Row],[目标国家]]</f>
        <v>蜀</v>
      </c>
      <c r="E7" s="154">
        <f>(VLOOKUP(表1_86121822242672124[[#This Row],[目标区服]],$R$26:$S$29,2,FALSE)-表1_86121822242672124[[#This Row],[开服天数]])*配置!$B$1</f>
        <v>1000</v>
      </c>
      <c r="F7" s="154">
        <f>表1_86121822242672124[[#This Row],[补偿Coin]]*(表1_86121822242672124[[#This Row],[活跃高战玩家数]]+表1_86121822242672124[[#This Row],[活跃中坚玩家数]])</f>
        <v>20000</v>
      </c>
      <c r="G7" s="154">
        <f>(VLOOKUP(表1_86121822242672124[[#This Row],[目标区服]],$R$26:$S$29,2,FALSE)-表1_86121822242672124[[#This Row],[开服天数]])*配置!$B$2</f>
        <v>10</v>
      </c>
      <c r="H7" s="152" t="s">
        <v>27</v>
      </c>
      <c r="I7" s="152">
        <f>IF(表1_86121822242672124[[#This Row],[原国家]]="魏",0,IF(表1_86121822242672124[[#This Row],[原国家]]="蜀",1,2))</f>
        <v>2</v>
      </c>
      <c r="J7" s="266">
        <v>2</v>
      </c>
      <c r="K7" s="266">
        <v>88</v>
      </c>
      <c r="L7" s="266">
        <v>1</v>
      </c>
      <c r="M7" s="266">
        <v>19</v>
      </c>
      <c r="N7" s="266">
        <v>87713</v>
      </c>
      <c r="O7" s="266">
        <v>1702311</v>
      </c>
      <c r="P7" s="266">
        <v>13954795</v>
      </c>
      <c r="Q7" s="193" t="s">
        <v>26</v>
      </c>
      <c r="R7" s="152">
        <f>IF(表1_86121822242672124[[#This Row],[目标国家]]="魏",0,IF(表1_86121822242672124[[#This Row],[目标国家]]="蜀",1,2))</f>
        <v>1</v>
      </c>
      <c r="S7" s="266">
        <v>45162</v>
      </c>
      <c r="T7" s="266">
        <v>0</v>
      </c>
      <c r="U7" s="266">
        <v>528993</v>
      </c>
      <c r="V7" s="266">
        <v>6235</v>
      </c>
      <c r="W7" s="275">
        <v>868227</v>
      </c>
      <c r="X7" s="196" t="str">
        <f>"{"&amp;"'coin':"&amp;表1_86121822242672124[[#This Row],[补偿Coin]]&amp;",'"&amp;配置!$A$2&amp;"':"&amp;表1_86121822242672124[[#This Row],[补偿辎重]]&amp;"},"</f>
        <v>{'coin':1000,'item036':10},</v>
      </c>
      <c r="Y7" s="194" t="str">
        <f>"      },"</f>
        <v>      },</v>
      </c>
    </row>
    <row r="8" s="2" customFormat="1" ht="14.25" customHeight="1" spans="1:25">
      <c r="A8" s="257">
        <v>232</v>
      </c>
      <c r="B8" s="150">
        <f>VLOOKUP(表1_86121822242672124[[#This Row],[区服]],$P$26:$Q$33,2,FALSE)</f>
        <v>40</v>
      </c>
      <c r="C8" s="255" t="s">
        <v>295</v>
      </c>
      <c r="D8" s="152" t="str">
        <f>表1_86121822242672124[[#This Row],[目标国家]]</f>
        <v>魏</v>
      </c>
      <c r="E8" s="154">
        <f>(VLOOKUP(表1_86121822242672124[[#This Row],[目标区服]],$R$26:$S$29,2,FALSE)-表1_86121822242672124[[#This Row],[开服天数]])*配置!$B$1</f>
        <v>1500</v>
      </c>
      <c r="F8" s="154">
        <f>表1_86121822242672124[[#This Row],[补偿Coin]]*(表1_86121822242672124[[#This Row],[活跃高战玩家数]]+表1_86121822242672124[[#This Row],[活跃中坚玩家数]])</f>
        <v>45000</v>
      </c>
      <c r="G8" s="258">
        <f>(VLOOKUP(表1_86121822242672124[[#This Row],[目标区服]],$R$26:$S$29,2,FALSE)-表1_86121822242672124[[#This Row],[开服天数]])*配置!$B$2</f>
        <v>15</v>
      </c>
      <c r="H8" s="152" t="s">
        <v>25</v>
      </c>
      <c r="I8" s="267">
        <f>IF(表1_86121822242672124[[#This Row],[原国家]]="魏",0,IF(表1_86121822242672124[[#This Row],[原国家]]="蜀",1,2))</f>
        <v>0</v>
      </c>
      <c r="J8" s="266">
        <v>3</v>
      </c>
      <c r="K8" s="266">
        <v>130</v>
      </c>
      <c r="L8" s="266">
        <v>3</v>
      </c>
      <c r="M8" s="266">
        <v>27</v>
      </c>
      <c r="N8" s="266">
        <v>129528</v>
      </c>
      <c r="O8" s="266">
        <v>2287839</v>
      </c>
      <c r="P8" s="266">
        <v>24723790</v>
      </c>
      <c r="Q8" s="193" t="s">
        <v>25</v>
      </c>
      <c r="R8" s="152">
        <f>IF(表1_86121822242672124[[#This Row],[目标国家]]="魏",0,IF(表1_86121822242672124[[#This Row],[目标国家]]="蜀",1,2))</f>
        <v>0</v>
      </c>
      <c r="S8" s="266">
        <v>53268</v>
      </c>
      <c r="T8" s="266">
        <v>0</v>
      </c>
      <c r="U8" s="266">
        <v>541821</v>
      </c>
      <c r="V8" s="266">
        <v>8876</v>
      </c>
      <c r="W8" s="275">
        <v>767389</v>
      </c>
      <c r="X8" s="277" t="str">
        <f>"{"&amp;"'coin':"&amp;表1_86121822242672124[[#This Row],[补偿Coin]]&amp;",'"&amp;配置!$A$2&amp;"':"&amp;表1_86121822242672124[[#This Row],[补偿辎重]]&amp;"},"</f>
        <v>{'coin':1500,'item036':15},</v>
      </c>
      <c r="Y8" s="277" t="str">
        <f>"      '"&amp;表1_86121822242672124[[#This Row],[区服]]&amp;"':{"</f>
        <v>      '232':{</v>
      </c>
    </row>
    <row r="9" s="2" customFormat="1" ht="14.25" customHeight="1" spans="1:25">
      <c r="A9" s="257">
        <v>232</v>
      </c>
      <c r="B9" s="150">
        <f>VLOOKUP(表1_86121822242672124[[#This Row],[区服]],$P$26:$Q$33,2,FALSE)</f>
        <v>40</v>
      </c>
      <c r="C9" s="255" t="s">
        <v>295</v>
      </c>
      <c r="D9" s="152" t="str">
        <f>表1_86121822242672124[[#This Row],[目标国家]]</f>
        <v>吴</v>
      </c>
      <c r="E9" s="154">
        <f>(VLOOKUP(表1_86121822242672124[[#This Row],[目标区服]],$R$26:$S$29,2,FALSE)-表1_86121822242672124[[#This Row],[开服天数]])*配置!$B$1</f>
        <v>1500</v>
      </c>
      <c r="F9" s="154">
        <f>表1_86121822242672124[[#This Row],[补偿Coin]]*(表1_86121822242672124[[#This Row],[活跃高战玩家数]]+表1_86121822242672124[[#This Row],[活跃中坚玩家数]])</f>
        <v>31500</v>
      </c>
      <c r="G9" s="258">
        <f>(VLOOKUP(表1_86121822242672124[[#This Row],[目标区服]],$R$26:$S$29,2,FALSE)-表1_86121822242672124[[#This Row],[开服天数]])*配置!$B$2</f>
        <v>15</v>
      </c>
      <c r="H9" s="152" t="s">
        <v>26</v>
      </c>
      <c r="I9" s="267">
        <f>IF(表1_86121822242672124[[#This Row],[原国家]]="魏",0,IF(表1_86121822242672124[[#This Row],[原国家]]="蜀",1,2))</f>
        <v>1</v>
      </c>
      <c r="J9" s="266">
        <v>3</v>
      </c>
      <c r="K9" s="266">
        <v>121</v>
      </c>
      <c r="L9" s="266">
        <v>4</v>
      </c>
      <c r="M9" s="266">
        <v>17</v>
      </c>
      <c r="N9" s="266">
        <v>84953</v>
      </c>
      <c r="O9" s="266">
        <v>2781270</v>
      </c>
      <c r="P9" s="266">
        <v>17955862</v>
      </c>
      <c r="Q9" s="193" t="s">
        <v>27</v>
      </c>
      <c r="R9" s="152">
        <f>IF(表1_86121822242672124[[#This Row],[目标国家]]="魏",0,IF(表1_86121822242672124[[#This Row],[目标国家]]="蜀",1,2))</f>
        <v>2</v>
      </c>
      <c r="S9" s="266">
        <v>49886</v>
      </c>
      <c r="T9" s="266">
        <v>0</v>
      </c>
      <c r="U9" s="266">
        <v>430565</v>
      </c>
      <c r="V9" s="266">
        <v>8223</v>
      </c>
      <c r="W9" s="275">
        <v>791683</v>
      </c>
      <c r="X9" s="277" t="str">
        <f>"{"&amp;"'coin':"&amp;表1_86121822242672124[[#This Row],[补偿Coin]]&amp;",'"&amp;配置!$A$2&amp;"':"&amp;表1_86121822242672124[[#This Row],[补偿辎重]]&amp;"},"</f>
        <v>{'coin':1500,'item036':15},</v>
      </c>
      <c r="Y9" s="277" t="str">
        <f>"            'to_zone':'"&amp;表1_86121822242672124[[#This Row],[目标区服]]&amp;"',
            'reward':"&amp;表1_86121822242672124[[#This Row],[辅助导出]]&amp;"
            'country':["&amp;R8&amp;","&amp;R9&amp;","&amp;R10&amp;"],"</f>
        <v>            'to_zone':'h1_102',
            'reward':{'coin':1500,'item036':15},
            'country':[0,2,2],</v>
      </c>
    </row>
    <row r="10" s="2" customFormat="1" ht="14.25" customHeight="1" spans="1:25">
      <c r="A10" s="257">
        <v>232</v>
      </c>
      <c r="B10" s="150">
        <f>VLOOKUP(表1_86121822242672124[[#This Row],[区服]],$P$26:$Q$33,2,FALSE)</f>
        <v>40</v>
      </c>
      <c r="C10" s="255" t="s">
        <v>295</v>
      </c>
      <c r="D10" s="152" t="str">
        <f>表1_86121822242672124[[#This Row],[目标国家]]</f>
        <v>吴</v>
      </c>
      <c r="E10" s="154">
        <f>(VLOOKUP(表1_86121822242672124[[#This Row],[目标区服]],$R$26:$S$29,2,FALSE)-表1_86121822242672124[[#This Row],[开服天数]])*配置!$B$1</f>
        <v>1500</v>
      </c>
      <c r="F10" s="154">
        <f>表1_86121822242672124[[#This Row],[补偿Coin]]*(表1_86121822242672124[[#This Row],[活跃高战玩家数]]+表1_86121822242672124[[#This Row],[活跃中坚玩家数]])</f>
        <v>37500</v>
      </c>
      <c r="G10" s="258">
        <f>(VLOOKUP(表1_86121822242672124[[#This Row],[目标区服]],$R$26:$S$29,2,FALSE)-表1_86121822242672124[[#This Row],[开服天数]])*配置!$B$2</f>
        <v>15</v>
      </c>
      <c r="H10" s="152" t="s">
        <v>27</v>
      </c>
      <c r="I10" s="267">
        <f>IF(表1_86121822242672124[[#This Row],[原国家]]="魏",0,IF(表1_86121822242672124[[#This Row],[原国家]]="蜀",1,2))</f>
        <v>2</v>
      </c>
      <c r="J10" s="266">
        <v>3</v>
      </c>
      <c r="K10" s="266">
        <v>144</v>
      </c>
      <c r="L10" s="266">
        <v>3</v>
      </c>
      <c r="M10" s="266">
        <v>22</v>
      </c>
      <c r="N10" s="266">
        <v>92252</v>
      </c>
      <c r="O10" s="266">
        <v>2435876</v>
      </c>
      <c r="P10" s="266">
        <v>19844728</v>
      </c>
      <c r="Q10" s="193" t="s">
        <v>27</v>
      </c>
      <c r="R10" s="152">
        <f>IF(表1_86121822242672124[[#This Row],[目标国家]]="魏",0,IF(表1_86121822242672124[[#This Row],[目标国家]]="蜀",1,2))</f>
        <v>2</v>
      </c>
      <c r="S10" s="266">
        <v>34326</v>
      </c>
      <c r="T10" s="266">
        <v>0</v>
      </c>
      <c r="U10" s="266">
        <v>273064</v>
      </c>
      <c r="V10" s="266">
        <v>7787</v>
      </c>
      <c r="W10" s="275">
        <v>671374</v>
      </c>
      <c r="X10" s="277" t="str">
        <f>"{"&amp;"'coin':"&amp;表1_86121822242672124[[#This Row],[补偿Coin]]&amp;",'"&amp;配置!$A$2&amp;"':"&amp;表1_86121822242672124[[#This Row],[补偿辎重]]&amp;"},"</f>
        <v>{'coin':1500,'item036':15},</v>
      </c>
      <c r="Y10" s="277" t="str">
        <f>"      },"</f>
        <v>      },</v>
      </c>
    </row>
    <row r="11" s="2" customFormat="1" ht="14.25" customHeight="1" spans="1:25">
      <c r="A11" s="259">
        <v>233</v>
      </c>
      <c r="B11" s="210">
        <f>VLOOKUP(表1_86121822242672124[[#This Row],[区服]],$P$26:$Q$33,2,FALSE)</f>
        <v>39</v>
      </c>
      <c r="C11" s="211" t="s">
        <v>296</v>
      </c>
      <c r="D11" s="212" t="str">
        <f>表1_86121822242672124[[#This Row],[目标国家]]</f>
        <v>魏</v>
      </c>
      <c r="E11" s="213">
        <f>(VLOOKUP(表1_86121822242672124[[#This Row],[目标区服]],$R$26:$S$29,2,FALSE)-表1_86121822242672124[[#This Row],[开服天数]])*配置!$B$1</f>
        <v>1000</v>
      </c>
      <c r="F11" s="213">
        <f>表1_86121822242672124[[#This Row],[补偿Coin]]*(表1_86121822242672124[[#This Row],[活跃高战玩家数]]+表1_86121822242672124[[#This Row],[活跃中坚玩家数]])</f>
        <v>28000</v>
      </c>
      <c r="G11" s="260">
        <f>(VLOOKUP(表1_86121822242672124[[#This Row],[目标区服]],$R$26:$S$29,2,FALSE)-表1_86121822242672124[[#This Row],[开服天数]])*配置!$B$2</f>
        <v>10</v>
      </c>
      <c r="H11" s="212" t="s">
        <v>25</v>
      </c>
      <c r="I11" s="268">
        <f>IF(表1_86121822242672124[[#This Row],[原国家]]="魏",0,IF(表1_86121822242672124[[#This Row],[原国家]]="蜀",1,2))</f>
        <v>0</v>
      </c>
      <c r="J11" s="232">
        <v>5</v>
      </c>
      <c r="K11" s="232">
        <v>162</v>
      </c>
      <c r="L11" s="232">
        <v>4</v>
      </c>
      <c r="M11" s="232">
        <v>24</v>
      </c>
      <c r="N11" s="232">
        <v>128060</v>
      </c>
      <c r="O11" s="232">
        <v>3878016</v>
      </c>
      <c r="P11" s="232">
        <v>32098035</v>
      </c>
      <c r="Q11" s="243" t="s">
        <v>25</v>
      </c>
      <c r="R11" s="212">
        <f>IF(表1_86121822242672124[[#This Row],[目标国家]]="魏",0,IF(表1_86121822242672124[[#This Row],[目标国家]]="蜀",1,2))</f>
        <v>0</v>
      </c>
      <c r="S11" s="232">
        <v>138238</v>
      </c>
      <c r="T11" s="232">
        <v>0</v>
      </c>
      <c r="U11" s="232">
        <v>680710</v>
      </c>
      <c r="V11" s="232">
        <v>14335</v>
      </c>
      <c r="W11" s="246">
        <v>1068315</v>
      </c>
      <c r="X11" s="278" t="str">
        <f>"{"&amp;"'coin':"&amp;表1_86121822242672124[[#This Row],[补偿Coin]]&amp;",'"&amp;配置!$A$2&amp;"':"&amp;表1_86121822242672124[[#This Row],[补偿辎重]]&amp;"},"</f>
        <v>{'coin':1000,'item036':10},</v>
      </c>
      <c r="Y11" s="278" t="str">
        <f>"      '"&amp;表1_86121822242672124[[#This Row],[区服]]&amp;"':{"</f>
        <v>      '233':{</v>
      </c>
    </row>
    <row r="12" s="2" customFormat="1" ht="14.25" customHeight="1" spans="1:25">
      <c r="A12" s="259">
        <v>233</v>
      </c>
      <c r="B12" s="210">
        <f>VLOOKUP(表1_86121822242672124[[#This Row],[区服]],$P$26:$Q$33,2,FALSE)</f>
        <v>39</v>
      </c>
      <c r="C12" s="211" t="s">
        <v>296</v>
      </c>
      <c r="D12" s="212" t="str">
        <f>表1_86121822242672124[[#This Row],[目标国家]]</f>
        <v>蜀</v>
      </c>
      <c r="E12" s="213">
        <f>(VLOOKUP(表1_86121822242672124[[#This Row],[目标区服]],$R$26:$S$29,2,FALSE)-表1_86121822242672124[[#This Row],[开服天数]])*配置!$B$1</f>
        <v>1000</v>
      </c>
      <c r="F12" s="213">
        <f>表1_86121822242672124[[#This Row],[补偿Coin]]*(表1_86121822242672124[[#This Row],[活跃高战玩家数]]+表1_86121822242672124[[#This Row],[活跃中坚玩家数]])</f>
        <v>28000</v>
      </c>
      <c r="G12" s="260">
        <f>(VLOOKUP(表1_86121822242672124[[#This Row],[目标区服]],$R$26:$S$29,2,FALSE)-表1_86121822242672124[[#This Row],[开服天数]])*配置!$B$2</f>
        <v>10</v>
      </c>
      <c r="H12" s="212" t="s">
        <v>26</v>
      </c>
      <c r="I12" s="268">
        <f>IF(表1_86121822242672124[[#This Row],[原国家]]="魏",0,IF(表1_86121822242672124[[#This Row],[原国家]]="蜀",1,2))</f>
        <v>1</v>
      </c>
      <c r="J12" s="232">
        <v>3</v>
      </c>
      <c r="K12" s="232">
        <v>156</v>
      </c>
      <c r="L12" s="232">
        <v>4</v>
      </c>
      <c r="M12" s="232">
        <v>24</v>
      </c>
      <c r="N12" s="232">
        <v>111783</v>
      </c>
      <c r="O12" s="232">
        <v>3419902</v>
      </c>
      <c r="P12" s="232">
        <v>30540207</v>
      </c>
      <c r="Q12" s="243" t="s">
        <v>26</v>
      </c>
      <c r="R12" s="212">
        <f>IF(表1_86121822242672124[[#This Row],[目标国家]]="魏",0,IF(表1_86121822242672124[[#This Row],[目标国家]]="蜀",1,2))</f>
        <v>1</v>
      </c>
      <c r="S12" s="232">
        <v>138540</v>
      </c>
      <c r="T12" s="232">
        <v>60</v>
      </c>
      <c r="U12" s="232">
        <v>716422</v>
      </c>
      <c r="V12" s="232">
        <v>13407</v>
      </c>
      <c r="W12" s="246">
        <v>921274</v>
      </c>
      <c r="X12" s="278" t="str">
        <f>"{"&amp;"'coin':"&amp;表1_86121822242672124[[#This Row],[补偿Coin]]&amp;",'"&amp;配置!$A$2&amp;"':"&amp;表1_86121822242672124[[#This Row],[补偿辎重]]&amp;"},"</f>
        <v>{'coin':1000,'item036':10},</v>
      </c>
      <c r="Y12" s="278" t="str">
        <f>"            'to_zone':'"&amp;表1_86121822242672124[[#This Row],[目标区服]]&amp;"',
            'reward':"&amp;表1_86121822242672124[[#This Row],[辅助导出]]&amp;"
            'country':["&amp;R11&amp;","&amp;R12&amp;","&amp;R13&amp;"],"</f>
        <v>            'to_zone':'h1_103',
            'reward':{'coin':1000,'item036':10},
            'country':[0,1,0],</v>
      </c>
    </row>
    <row r="13" s="2" customFormat="1" ht="14.25" customHeight="1" spans="1:25">
      <c r="A13" s="259">
        <v>233</v>
      </c>
      <c r="B13" s="210">
        <f>VLOOKUP(表1_86121822242672124[[#This Row],[区服]],$P$26:$Q$33,2,FALSE)</f>
        <v>39</v>
      </c>
      <c r="C13" s="211" t="s">
        <v>296</v>
      </c>
      <c r="D13" s="212" t="str">
        <f>表1_86121822242672124[[#This Row],[目标国家]]</f>
        <v>魏</v>
      </c>
      <c r="E13" s="213">
        <f>(VLOOKUP(表1_86121822242672124[[#This Row],[目标区服]],$R$26:$S$29,2,FALSE)-表1_86121822242672124[[#This Row],[开服天数]])*配置!$B$1</f>
        <v>1000</v>
      </c>
      <c r="F13" s="213">
        <f>表1_86121822242672124[[#This Row],[补偿Coin]]*(表1_86121822242672124[[#This Row],[活跃高战玩家数]]+表1_86121822242672124[[#This Row],[活跃中坚玩家数]])</f>
        <v>23000</v>
      </c>
      <c r="G13" s="260">
        <f>(VLOOKUP(表1_86121822242672124[[#This Row],[目标区服]],$R$26:$S$29,2,FALSE)-表1_86121822242672124[[#This Row],[开服天数]])*配置!$B$2</f>
        <v>10</v>
      </c>
      <c r="H13" s="212" t="s">
        <v>27</v>
      </c>
      <c r="I13" s="268">
        <f>IF(表1_86121822242672124[[#This Row],[原国家]]="魏",0,IF(表1_86121822242672124[[#This Row],[原国家]]="蜀",1,2))</f>
        <v>2</v>
      </c>
      <c r="J13" s="232">
        <v>1</v>
      </c>
      <c r="K13" s="232">
        <v>77</v>
      </c>
      <c r="L13" s="232">
        <v>1</v>
      </c>
      <c r="M13" s="232">
        <v>22</v>
      </c>
      <c r="N13" s="232">
        <v>55096</v>
      </c>
      <c r="O13" s="232">
        <v>2626596</v>
      </c>
      <c r="P13" s="232">
        <v>18980330</v>
      </c>
      <c r="Q13" s="243" t="s">
        <v>25</v>
      </c>
      <c r="R13" s="212">
        <f>IF(表1_86121822242672124[[#This Row],[目标国家]]="魏",0,IF(表1_86121822242672124[[#This Row],[目标国家]]="蜀",1,2))</f>
        <v>0</v>
      </c>
      <c r="S13" s="232">
        <v>46940</v>
      </c>
      <c r="T13" s="232">
        <v>0</v>
      </c>
      <c r="U13" s="232">
        <v>224074</v>
      </c>
      <c r="V13" s="232">
        <v>7190</v>
      </c>
      <c r="W13" s="244">
        <v>826804</v>
      </c>
      <c r="X13" s="278" t="str">
        <f>"{"&amp;"'coin':"&amp;表1_86121822242672124[[#This Row],[补偿Coin]]&amp;",'"&amp;配置!$A$2&amp;"':"&amp;表1_86121822242672124[[#This Row],[补偿辎重]]&amp;"},"</f>
        <v>{'coin':1000,'item036':10},</v>
      </c>
      <c r="Y13" s="278" t="str">
        <f>"      },"</f>
        <v>      },</v>
      </c>
    </row>
    <row r="14" s="2" customFormat="1" ht="14.25" customHeight="1" spans="1:25">
      <c r="A14" s="210">
        <v>234</v>
      </c>
      <c r="B14" s="210">
        <f>VLOOKUP(表1_86121822242672124[[#This Row],[区服]],$P$26:$Q$33,2,FALSE)</f>
        <v>38</v>
      </c>
      <c r="C14" s="211" t="s">
        <v>296</v>
      </c>
      <c r="D14" s="212" t="str">
        <f>表1_86121822242672124[[#This Row],[目标国家]]</f>
        <v>蜀</v>
      </c>
      <c r="E14" s="213">
        <f>(VLOOKUP(表1_86121822242672124[[#This Row],[目标区服]],$R$26:$S$29,2,FALSE)-表1_86121822242672124[[#This Row],[开服天数]])*配置!$B$1</f>
        <v>1500</v>
      </c>
      <c r="F14" s="213">
        <f>表1_86121822242672124[[#This Row],[补偿Coin]]*(表1_86121822242672124[[#This Row],[活跃高战玩家数]]+表1_86121822242672124[[#This Row],[活跃中坚玩家数]])</f>
        <v>16500</v>
      </c>
      <c r="G14" s="213">
        <f>(VLOOKUP(表1_86121822242672124[[#This Row],[目标区服]],$R$26:$S$29,2,FALSE)-表1_86121822242672124[[#This Row],[开服天数]])*配置!$B$2</f>
        <v>15</v>
      </c>
      <c r="H14" s="212" t="s">
        <v>25</v>
      </c>
      <c r="I14" s="212">
        <f>IF(表1_86121822242672124[[#This Row],[原国家]]="魏",0,IF(表1_86121822242672124[[#This Row],[原国家]]="蜀",1,2))</f>
        <v>0</v>
      </c>
      <c r="J14" s="232">
        <v>0</v>
      </c>
      <c r="K14" s="232">
        <v>34</v>
      </c>
      <c r="L14" s="232">
        <v>0</v>
      </c>
      <c r="M14" s="232">
        <v>11</v>
      </c>
      <c r="N14" s="232">
        <v>19357</v>
      </c>
      <c r="O14" s="232">
        <v>1154121</v>
      </c>
      <c r="P14" s="232">
        <v>6294774</v>
      </c>
      <c r="Q14" s="243" t="s">
        <v>26</v>
      </c>
      <c r="R14" s="212">
        <f>IF(表1_86121822242672124[[#This Row],[目标国家]]="魏",0,IF(表1_86121822242672124[[#This Row],[目标国家]]="蜀",1,2))</f>
        <v>1</v>
      </c>
      <c r="S14" s="232">
        <v>18882</v>
      </c>
      <c r="T14" s="232">
        <v>0</v>
      </c>
      <c r="U14" s="232">
        <v>65778</v>
      </c>
      <c r="V14" s="232">
        <v>2819</v>
      </c>
      <c r="W14" s="244">
        <v>334985</v>
      </c>
      <c r="X14" s="245" t="str">
        <f>"{"&amp;"'coin':"&amp;表1_86121822242672124[[#This Row],[补偿Coin]]&amp;",'"&amp;配置!$A$2&amp;"':"&amp;表1_86121822242672124[[#This Row],[补偿辎重]]&amp;"},"</f>
        <v>{'coin':1500,'item036':15},</v>
      </c>
      <c r="Y14" s="254" t="str">
        <f>"      '"&amp;表1_86121822242672124[[#This Row],[区服]]&amp;"':{"</f>
        <v>      '234':{</v>
      </c>
    </row>
    <row r="15" s="2" customFormat="1" ht="14.25" customHeight="1" spans="1:25">
      <c r="A15" s="210">
        <v>234</v>
      </c>
      <c r="B15" s="210">
        <f>VLOOKUP(表1_86121822242672124[[#This Row],[区服]],$P$26:$Q$33,2,FALSE)</f>
        <v>38</v>
      </c>
      <c r="C15" s="211" t="s">
        <v>296</v>
      </c>
      <c r="D15" s="212" t="str">
        <f>表1_86121822242672124[[#This Row],[目标国家]]</f>
        <v>蜀</v>
      </c>
      <c r="E15" s="213">
        <f>(VLOOKUP(表1_86121822242672124[[#This Row],[目标区服]],$R$26:$S$29,2,FALSE)-表1_86121822242672124[[#This Row],[开服天数]])*配置!$B$1</f>
        <v>1500</v>
      </c>
      <c r="F15" s="213">
        <f>表1_86121822242672124[[#This Row],[补偿Coin]]*(表1_86121822242672124[[#This Row],[活跃高战玩家数]]+表1_86121822242672124[[#This Row],[活跃中坚玩家数]])</f>
        <v>24000</v>
      </c>
      <c r="G15" s="213">
        <f>(VLOOKUP(表1_86121822242672124[[#This Row],[目标区服]],$R$26:$S$29,2,FALSE)-表1_86121822242672124[[#This Row],[开服天数]])*配置!$B$2</f>
        <v>15</v>
      </c>
      <c r="H15" s="212" t="s">
        <v>26</v>
      </c>
      <c r="I15" s="212">
        <f>IF(表1_86121822242672124[[#This Row],[原国家]]="魏",0,IF(表1_86121822242672124[[#This Row],[原国家]]="蜀",1,2))</f>
        <v>1</v>
      </c>
      <c r="J15" s="232">
        <v>0</v>
      </c>
      <c r="K15" s="232">
        <v>16</v>
      </c>
      <c r="L15" s="232">
        <v>1</v>
      </c>
      <c r="M15" s="232">
        <v>15</v>
      </c>
      <c r="N15" s="232">
        <v>29029</v>
      </c>
      <c r="O15" s="232">
        <v>1536150</v>
      </c>
      <c r="P15" s="232">
        <v>9359109</v>
      </c>
      <c r="Q15" s="243" t="s">
        <v>26</v>
      </c>
      <c r="R15" s="212">
        <f>IF(表1_86121822242672124[[#This Row],[目标国家]]="魏",0,IF(表1_86121822242672124[[#This Row],[目标国家]]="蜀",1,2))</f>
        <v>1</v>
      </c>
      <c r="S15" s="232">
        <v>48144</v>
      </c>
      <c r="T15" s="232">
        <v>0</v>
      </c>
      <c r="U15" s="232">
        <v>252879</v>
      </c>
      <c r="V15" s="232">
        <v>4347</v>
      </c>
      <c r="W15" s="244">
        <v>491541</v>
      </c>
      <c r="X15" s="245" t="str">
        <f>"{"&amp;"'coin':"&amp;表1_86121822242672124[[#This Row],[补偿Coin]]&amp;",'"&amp;配置!$A$2&amp;"':"&amp;表1_86121822242672124[[#This Row],[补偿辎重]]&amp;"},"</f>
        <v>{'coin':1500,'item036':15},</v>
      </c>
      <c r="Y15" s="254" t="str">
        <f>"            'to_zone':'"&amp;表1_86121822242672124[[#This Row],[目标区服]]&amp;"',
            'reward':"&amp;表1_86121822242672124[[#This Row],[辅助导出]]&amp;"
            'country':["&amp;R14&amp;","&amp;R15&amp;","&amp;R16&amp;"],"</f>
        <v>            'to_zone':'h1_103',
            'reward':{'coin':1500,'item036':15},
            'country':[1,1,2],</v>
      </c>
    </row>
    <row r="16" s="2" customFormat="1" ht="14.25" customHeight="1" spans="1:25">
      <c r="A16" s="210">
        <v>234</v>
      </c>
      <c r="B16" s="210">
        <f>VLOOKUP(表1_86121822242672124[[#This Row],[区服]],$P$26:$Q$33,2,FALSE)</f>
        <v>38</v>
      </c>
      <c r="C16" s="211" t="s">
        <v>296</v>
      </c>
      <c r="D16" s="212" t="str">
        <f>表1_86121822242672124[[#This Row],[目标国家]]</f>
        <v>吴</v>
      </c>
      <c r="E16" s="213">
        <f>(VLOOKUP(表1_86121822242672124[[#This Row],[目标区服]],$R$26:$S$29,2,FALSE)-表1_86121822242672124[[#This Row],[开服天数]])*配置!$B$1</f>
        <v>1500</v>
      </c>
      <c r="F16" s="213">
        <f>表1_86121822242672124[[#This Row],[补偿Coin]]*(表1_86121822242672124[[#This Row],[活跃高战玩家数]]+表1_86121822242672124[[#This Row],[活跃中坚玩家数]])</f>
        <v>76500</v>
      </c>
      <c r="G16" s="213">
        <f>(VLOOKUP(表1_86121822242672124[[#This Row],[目标区服]],$R$26:$S$29,2,FALSE)-表1_86121822242672124[[#This Row],[开服天数]])*配置!$B$2</f>
        <v>15</v>
      </c>
      <c r="H16" s="212" t="s">
        <v>27</v>
      </c>
      <c r="I16" s="212">
        <f>IF(表1_86121822242672124[[#This Row],[原国家]]="魏",0,IF(表1_86121822242672124[[#This Row],[原国家]]="蜀",1,2))</f>
        <v>2</v>
      </c>
      <c r="J16" s="232">
        <v>9</v>
      </c>
      <c r="K16" s="232">
        <v>345</v>
      </c>
      <c r="L16" s="232">
        <v>9</v>
      </c>
      <c r="M16" s="232">
        <v>42</v>
      </c>
      <c r="N16" s="232">
        <v>253366</v>
      </c>
      <c r="O16" s="232">
        <v>3701114</v>
      </c>
      <c r="P16" s="232">
        <v>47570964</v>
      </c>
      <c r="Q16" s="243" t="s">
        <v>27</v>
      </c>
      <c r="R16" s="212">
        <f>IF(表1_86121822242672124[[#This Row],[目标国家]]="魏",0,IF(表1_86121822242672124[[#This Row],[目标国家]]="蜀",1,2))</f>
        <v>2</v>
      </c>
      <c r="S16" s="232">
        <v>160860</v>
      </c>
      <c r="T16" s="232">
        <v>0</v>
      </c>
      <c r="U16" s="232">
        <v>1431820</v>
      </c>
      <c r="V16" s="232">
        <v>19616</v>
      </c>
      <c r="W16" s="246">
        <v>1164655</v>
      </c>
      <c r="X16" s="245" t="str">
        <f>"{"&amp;"'coin':"&amp;表1_86121822242672124[[#This Row],[补偿Coin]]&amp;",'"&amp;配置!$A$2&amp;"':"&amp;表1_86121822242672124[[#This Row],[补偿辎重]]&amp;"},"</f>
        <v>{'coin':1500,'item036':15},</v>
      </c>
      <c r="Y16" s="254" t="str">
        <f>"      },"</f>
        <v>      },</v>
      </c>
    </row>
    <row r="17" s="2" customFormat="1" ht="14.25" customHeight="1" spans="1:25">
      <c r="A17" s="91">
        <v>235</v>
      </c>
      <c r="B17" s="91">
        <f>VLOOKUP(表1_86121822242672124[[#This Row],[区服]],$P$26:$Q$33,2,FALSE)</f>
        <v>37</v>
      </c>
      <c r="C17" s="261" t="s">
        <v>297</v>
      </c>
      <c r="D17" s="93" t="str">
        <f>表1_86121822242672124[[#This Row],[目标国家]]</f>
        <v>蜀</v>
      </c>
      <c r="E17" s="95">
        <f>(VLOOKUP(表1_86121822242672124[[#This Row],[目标区服]],$R$26:$S$29,2,FALSE)-表1_86121822242672124[[#This Row],[开服天数]])*配置!$B$1</f>
        <v>1000</v>
      </c>
      <c r="F17" s="95">
        <f>表1_86121822242672124[[#This Row],[补偿Coin]]*(表1_86121822242672124[[#This Row],[活跃高战玩家数]]+表1_86121822242672124[[#This Row],[活跃中坚玩家数]])</f>
        <v>16000</v>
      </c>
      <c r="G17" s="95">
        <f>(VLOOKUP(表1_86121822242672124[[#This Row],[目标区服]],$R$26:$S$29,2,FALSE)-表1_86121822242672124[[#This Row],[开服天数]])*配置!$B$2</f>
        <v>10</v>
      </c>
      <c r="H17" s="93" t="s">
        <v>25</v>
      </c>
      <c r="I17" s="93">
        <f>IF(表1_86121822242672124[[#This Row],[原国家]]="魏",0,IF(表1_86121822242672124[[#This Row],[原国家]]="蜀",1,2))</f>
        <v>0</v>
      </c>
      <c r="J17" s="269">
        <v>2</v>
      </c>
      <c r="K17" s="269">
        <v>62</v>
      </c>
      <c r="L17" s="269">
        <v>0</v>
      </c>
      <c r="M17" s="269">
        <v>16</v>
      </c>
      <c r="N17" s="269">
        <v>27786</v>
      </c>
      <c r="O17" s="269">
        <v>1264091</v>
      </c>
      <c r="P17" s="269">
        <v>9796572</v>
      </c>
      <c r="Q17" s="137" t="s">
        <v>26</v>
      </c>
      <c r="R17" s="93">
        <f>IF(表1_86121822242672124[[#This Row],[目标国家]]="魏",0,IF(表1_86121822242672124[[#This Row],[目标国家]]="蜀",1,2))</f>
        <v>1</v>
      </c>
      <c r="S17" s="269">
        <v>6794</v>
      </c>
      <c r="T17" s="269">
        <v>3882</v>
      </c>
      <c r="U17" s="269">
        <v>126018</v>
      </c>
      <c r="V17" s="269">
        <v>3508</v>
      </c>
      <c r="W17" s="279">
        <v>449241</v>
      </c>
      <c r="X17" s="140" t="str">
        <f>"{"&amp;"'coin':"&amp;表1_86121822242672124[[#This Row],[补偿Coin]]&amp;",'"&amp;配置!$A$2&amp;"':"&amp;表1_86121822242672124[[#This Row],[补偿辎重]]&amp;"},"</f>
        <v>{'coin':1000,'item036':10},</v>
      </c>
      <c r="Y17" s="138" t="str">
        <f>"      '"&amp;表1_86121822242672124[[#This Row],[区服]]&amp;"':{"</f>
        <v>      '235':{</v>
      </c>
    </row>
    <row r="18" s="2" customFormat="1" ht="14.25" customHeight="1" spans="1:25">
      <c r="A18" s="91">
        <v>235</v>
      </c>
      <c r="B18" s="91">
        <f>VLOOKUP(表1_86121822242672124[[#This Row],[区服]],$P$26:$Q$33,2,FALSE)</f>
        <v>37</v>
      </c>
      <c r="C18" s="261" t="s">
        <v>297</v>
      </c>
      <c r="D18" s="93" t="str">
        <f>表1_86121822242672124[[#This Row],[目标国家]]</f>
        <v>魏</v>
      </c>
      <c r="E18" s="95">
        <f>(VLOOKUP(表1_86121822242672124[[#This Row],[目标区服]],$R$26:$S$29,2,FALSE)-表1_86121822242672124[[#This Row],[开服天数]])*配置!$B$1</f>
        <v>1000</v>
      </c>
      <c r="F18" s="95">
        <f>表1_86121822242672124[[#This Row],[补偿Coin]]*(表1_86121822242672124[[#This Row],[活跃高战玩家数]]+表1_86121822242672124[[#This Row],[活跃中坚玩家数]])</f>
        <v>41000</v>
      </c>
      <c r="G18" s="95">
        <f>(VLOOKUP(表1_86121822242672124[[#This Row],[目标区服]],$R$26:$S$29,2,FALSE)-表1_86121822242672124[[#This Row],[开服天数]])*配置!$B$2</f>
        <v>10</v>
      </c>
      <c r="H18" s="93" t="s">
        <v>26</v>
      </c>
      <c r="I18" s="93">
        <f>IF(表1_86121822242672124[[#This Row],[原国家]]="魏",0,IF(表1_86121822242672124[[#This Row],[原国家]]="蜀",1,2))</f>
        <v>1</v>
      </c>
      <c r="J18" s="269">
        <v>3</v>
      </c>
      <c r="K18" s="269">
        <v>153</v>
      </c>
      <c r="L18" s="269">
        <v>6</v>
      </c>
      <c r="M18" s="269">
        <v>35</v>
      </c>
      <c r="N18" s="269">
        <v>158427</v>
      </c>
      <c r="O18" s="269">
        <v>3356416</v>
      </c>
      <c r="P18" s="269">
        <v>38316269</v>
      </c>
      <c r="Q18" s="137" t="s">
        <v>25</v>
      </c>
      <c r="R18" s="93">
        <f>IF(表1_86121822242672124[[#This Row],[目标国家]]="魏",0,IF(表1_86121822242672124[[#This Row],[目标国家]]="蜀",1,2))</f>
        <v>0</v>
      </c>
      <c r="S18" s="269">
        <v>150998</v>
      </c>
      <c r="T18" s="269">
        <v>0</v>
      </c>
      <c r="U18" s="269">
        <v>604117</v>
      </c>
      <c r="V18" s="269">
        <v>14642</v>
      </c>
      <c r="W18" s="280">
        <v>1194861</v>
      </c>
      <c r="X18" s="140" t="str">
        <f>"{"&amp;"'coin':"&amp;表1_86121822242672124[[#This Row],[补偿Coin]]&amp;",'"&amp;配置!$A$2&amp;"':"&amp;表1_86121822242672124[[#This Row],[补偿辎重]]&amp;"},"</f>
        <v>{'coin':1000,'item036':10},</v>
      </c>
      <c r="Y18" s="138" t="str">
        <f>"            'to_zone':'"&amp;表1_86121822242672124[[#This Row],[目标区服]]&amp;"',
            'reward':"&amp;表1_86121822242672124[[#This Row],[辅助导出]]&amp;"
            'country':["&amp;R17&amp;","&amp;R18&amp;","&amp;R19&amp;"],"</f>
        <v>            'to_zone':'h1_104',
            'reward':{'coin':1000,'item036':10},
            'country':[1,0,2],</v>
      </c>
    </row>
    <row r="19" s="2" customFormat="1" ht="14.25" customHeight="1" spans="1:25">
      <c r="A19" s="91">
        <v>235</v>
      </c>
      <c r="B19" s="91">
        <f>VLOOKUP(表1_86121822242672124[[#This Row],[区服]],$P$26:$Q$33,2,FALSE)</f>
        <v>37</v>
      </c>
      <c r="C19" s="261" t="s">
        <v>297</v>
      </c>
      <c r="D19" s="93" t="str">
        <f>表1_86121822242672124[[#This Row],[目标国家]]</f>
        <v>吴</v>
      </c>
      <c r="E19" s="95">
        <f>(VLOOKUP(表1_86121822242672124[[#This Row],[目标区服]],$R$26:$S$29,2,FALSE)-表1_86121822242672124[[#This Row],[开服天数]])*配置!$B$1</f>
        <v>1000</v>
      </c>
      <c r="F19" s="95">
        <f>表1_86121822242672124[[#This Row],[补偿Coin]]*(表1_86121822242672124[[#This Row],[活跃高战玩家数]]+表1_86121822242672124[[#This Row],[活跃中坚玩家数]])</f>
        <v>27000</v>
      </c>
      <c r="G19" s="95">
        <f>(VLOOKUP(表1_86121822242672124[[#This Row],[目标区服]],$R$26:$S$29,2,FALSE)-表1_86121822242672124[[#This Row],[开服天数]])*配置!$B$2</f>
        <v>10</v>
      </c>
      <c r="H19" s="93" t="s">
        <v>27</v>
      </c>
      <c r="I19" s="93">
        <f>IF(表1_86121822242672124[[#This Row],[原国家]]="魏",0,IF(表1_86121822242672124[[#This Row],[原国家]]="蜀",1,2))</f>
        <v>2</v>
      </c>
      <c r="J19" s="269">
        <v>4</v>
      </c>
      <c r="K19" s="269">
        <v>180</v>
      </c>
      <c r="L19" s="269">
        <v>4</v>
      </c>
      <c r="M19" s="269">
        <v>23</v>
      </c>
      <c r="N19" s="269">
        <v>123739</v>
      </c>
      <c r="O19" s="269">
        <v>3825666</v>
      </c>
      <c r="P19" s="269">
        <v>29409233</v>
      </c>
      <c r="Q19" s="137" t="s">
        <v>27</v>
      </c>
      <c r="R19" s="93">
        <f>IF(表1_86121822242672124[[#This Row],[目标国家]]="魏",0,IF(表1_86121822242672124[[#This Row],[目标国家]]="蜀",1,2))</f>
        <v>2</v>
      </c>
      <c r="S19" s="269">
        <v>169996</v>
      </c>
      <c r="T19" s="269">
        <v>0</v>
      </c>
      <c r="U19" s="269">
        <v>596616</v>
      </c>
      <c r="V19" s="269">
        <v>14983</v>
      </c>
      <c r="W19" s="280">
        <v>1129727</v>
      </c>
      <c r="X19" s="140" t="str">
        <f>"{"&amp;"'coin':"&amp;表1_86121822242672124[[#This Row],[补偿Coin]]&amp;",'"&amp;配置!$A$2&amp;"':"&amp;表1_86121822242672124[[#This Row],[补偿辎重]]&amp;"},"</f>
        <v>{'coin':1000,'item036':10},</v>
      </c>
      <c r="Y19" s="138" t="str">
        <f>"      },"</f>
        <v>      },</v>
      </c>
    </row>
    <row r="20" s="2" customFormat="1" ht="14.25" customHeight="1" spans="1:25">
      <c r="A20" s="91">
        <v>236</v>
      </c>
      <c r="B20" s="91">
        <f>VLOOKUP(表1_86121822242672124[[#This Row],[区服]],$P$26:$Q$33,2,FALSE)</f>
        <v>36</v>
      </c>
      <c r="C20" s="261" t="s">
        <v>297</v>
      </c>
      <c r="D20" s="93" t="str">
        <f>表1_86121822242672124[[#This Row],[目标国家]]</f>
        <v>魏</v>
      </c>
      <c r="E20" s="95">
        <f>(VLOOKUP(表1_86121822242672124[[#This Row],[目标区服]],$R$26:$S$29,2,FALSE)-表1_86121822242672124[[#This Row],[开服天数]])*配置!$B$1</f>
        <v>1500</v>
      </c>
      <c r="F20" s="95">
        <f>表1_86121822242672124[[#This Row],[补偿Coin]]*(表1_86121822242672124[[#This Row],[活跃高战玩家数]]+表1_86121822242672124[[#This Row],[活跃中坚玩家数]])</f>
        <v>42000</v>
      </c>
      <c r="G20" s="95">
        <f>(VLOOKUP(表1_86121822242672124[[#This Row],[目标区服]],$R$26:$S$29,2,FALSE)-表1_86121822242672124[[#This Row],[开服天数]])*配置!$B$2</f>
        <v>15</v>
      </c>
      <c r="H20" s="93" t="s">
        <v>25</v>
      </c>
      <c r="I20" s="93">
        <f>IF(表1_86121822242672124[[#This Row],[原国家]]="魏",0,IF(表1_86121822242672124[[#This Row],[原国家]]="蜀",1,2))</f>
        <v>0</v>
      </c>
      <c r="J20" s="270">
        <v>2</v>
      </c>
      <c r="K20" s="270">
        <v>94</v>
      </c>
      <c r="L20" s="270">
        <v>1</v>
      </c>
      <c r="M20" s="270">
        <v>27</v>
      </c>
      <c r="N20" s="270">
        <v>72725</v>
      </c>
      <c r="O20" s="270">
        <v>2396617</v>
      </c>
      <c r="P20" s="270">
        <v>20215390</v>
      </c>
      <c r="Q20" s="137" t="s">
        <v>25</v>
      </c>
      <c r="R20" s="93">
        <f>IF(表1_86121822242672124[[#This Row],[目标国家]]="魏",0,IF(表1_86121822242672124[[#This Row],[目标国家]]="蜀",1,2))</f>
        <v>0</v>
      </c>
      <c r="S20" s="270">
        <v>49444</v>
      </c>
      <c r="T20" s="270">
        <v>68</v>
      </c>
      <c r="U20" s="270">
        <v>242888</v>
      </c>
      <c r="V20" s="281">
        <v>7527</v>
      </c>
      <c r="W20" s="279">
        <v>671164</v>
      </c>
      <c r="X20" s="140" t="str">
        <f>"{"&amp;"'coin':"&amp;表1_86121822242672124[[#This Row],[补偿Coin]]&amp;",'"&amp;配置!$A$2&amp;"':"&amp;表1_86121822242672124[[#This Row],[补偿辎重]]&amp;"},"</f>
        <v>{'coin':1500,'item036':15},</v>
      </c>
      <c r="Y20" s="138" t="str">
        <f>"      '"&amp;表1_86121822242672124[[#This Row],[区服]]&amp;"':{"</f>
        <v>      '236':{</v>
      </c>
    </row>
    <row r="21" s="2" customFormat="1" ht="14.25" customHeight="1" spans="1:25">
      <c r="A21" s="91">
        <v>236</v>
      </c>
      <c r="B21" s="91">
        <f>VLOOKUP(表1_86121822242672124[[#This Row],[区服]],$P$26:$Q$33,2,FALSE)</f>
        <v>36</v>
      </c>
      <c r="C21" s="261" t="s">
        <v>297</v>
      </c>
      <c r="D21" s="93" t="str">
        <f>表1_86121822242672124[[#This Row],[目标国家]]</f>
        <v>蜀</v>
      </c>
      <c r="E21" s="95">
        <f>(VLOOKUP(表1_86121822242672124[[#This Row],[目标区服]],$R$26:$S$29,2,FALSE)-表1_86121822242672124[[#This Row],[开服天数]])*配置!$B$1</f>
        <v>1500</v>
      </c>
      <c r="F21" s="95">
        <f>表1_86121822242672124[[#This Row],[补偿Coin]]*(表1_86121822242672124[[#This Row],[活跃高战玩家数]]+表1_86121822242672124[[#This Row],[活跃中坚玩家数]])</f>
        <v>63000</v>
      </c>
      <c r="G21" s="95">
        <f>(VLOOKUP(表1_86121822242672124[[#This Row],[目标区服]],$R$26:$S$29,2,FALSE)-表1_86121822242672124[[#This Row],[开服天数]])*配置!$B$2</f>
        <v>15</v>
      </c>
      <c r="H21" s="93" t="s">
        <v>26</v>
      </c>
      <c r="I21" s="93">
        <f>IF(表1_86121822242672124[[#This Row],[原国家]]="魏",0,IF(表1_86121822242672124[[#This Row],[原国家]]="蜀",1,2))</f>
        <v>1</v>
      </c>
      <c r="J21" s="271">
        <v>5</v>
      </c>
      <c r="K21" s="271">
        <v>206</v>
      </c>
      <c r="L21" s="271">
        <v>8</v>
      </c>
      <c r="M21" s="271">
        <v>34</v>
      </c>
      <c r="N21" s="271">
        <v>171902</v>
      </c>
      <c r="O21" s="271">
        <v>3927275</v>
      </c>
      <c r="P21" s="271">
        <v>40107551</v>
      </c>
      <c r="Q21" s="137" t="s">
        <v>26</v>
      </c>
      <c r="R21" s="93">
        <f>IF(表1_86121822242672124[[#This Row],[目标国家]]="魏",0,IF(表1_86121822242672124[[#This Row],[目标国家]]="蜀",1,2))</f>
        <v>1</v>
      </c>
      <c r="S21" s="271">
        <v>204654</v>
      </c>
      <c r="T21" s="271">
        <v>0</v>
      </c>
      <c r="U21" s="271">
        <v>673579</v>
      </c>
      <c r="V21" s="282">
        <v>17833</v>
      </c>
      <c r="W21" s="280">
        <v>1096605</v>
      </c>
      <c r="X21" s="140" t="str">
        <f>"{"&amp;"'coin':"&amp;表1_86121822242672124[[#This Row],[补偿Coin]]&amp;",'"&amp;配置!$A$2&amp;"':"&amp;表1_86121822242672124[[#This Row],[补偿辎重]]&amp;"},"</f>
        <v>{'coin':1500,'item036':15},</v>
      </c>
      <c r="Y21" s="138" t="str">
        <f>"            'to_zone':'"&amp;表1_86121822242672124[[#This Row],[目标区服]]&amp;"',
            'reward':"&amp;表1_86121822242672124[[#This Row],[辅助导出]]&amp;"
            'country':["&amp;R20&amp;","&amp;R21&amp;","&amp;R22&amp;"],"</f>
        <v>            'to_zone':'h1_104',
            'reward':{'coin':1500,'item036':15},
            'country':[0,1,2],</v>
      </c>
    </row>
    <row r="22" s="2" customFormat="1" ht="14.25" customHeight="1" spans="1:25">
      <c r="A22" s="91">
        <v>236</v>
      </c>
      <c r="B22" s="91">
        <f>VLOOKUP(表1_86121822242672124[[#This Row],[区服]],$P$26:$Q$33,2,FALSE)</f>
        <v>36</v>
      </c>
      <c r="C22" s="261" t="s">
        <v>297</v>
      </c>
      <c r="D22" s="93" t="str">
        <f>表1_86121822242672124[[#This Row],[目标国家]]</f>
        <v>吴</v>
      </c>
      <c r="E22" s="95">
        <f>(VLOOKUP(表1_86121822242672124[[#This Row],[目标区服]],$R$26:$S$29,2,FALSE)-表1_86121822242672124[[#This Row],[开服天数]])*配置!$B$1</f>
        <v>1500</v>
      </c>
      <c r="F22" s="95">
        <f>表1_86121822242672124[[#This Row],[补偿Coin]]*(表1_86121822242672124[[#This Row],[活跃高战玩家数]]+表1_86121822242672124[[#This Row],[活跃中坚玩家数]])</f>
        <v>34500</v>
      </c>
      <c r="G22" s="95">
        <f>(VLOOKUP(表1_86121822242672124[[#This Row],[目标区服]],$R$26:$S$29,2,FALSE)-表1_86121822242672124[[#This Row],[开服天数]])*配置!$B$2</f>
        <v>15</v>
      </c>
      <c r="H22" s="93" t="s">
        <v>27</v>
      </c>
      <c r="I22" s="93">
        <f>IF(表1_86121822242672124[[#This Row],[原国家]]="魏",0,IF(表1_86121822242672124[[#This Row],[原国家]]="蜀",1,2))</f>
        <v>2</v>
      </c>
      <c r="J22" s="271">
        <v>2</v>
      </c>
      <c r="K22" s="271">
        <v>95</v>
      </c>
      <c r="L22" s="271">
        <v>1</v>
      </c>
      <c r="M22" s="271">
        <v>22</v>
      </c>
      <c r="N22" s="271">
        <v>80223</v>
      </c>
      <c r="O22" s="271">
        <v>2388563</v>
      </c>
      <c r="P22" s="271">
        <v>18570650</v>
      </c>
      <c r="Q22" s="137" t="s">
        <v>27</v>
      </c>
      <c r="R22" s="93">
        <f>IF(表1_86121822242672124[[#This Row],[目标国家]]="魏",0,IF(表1_86121822242672124[[#This Row],[目标国家]]="蜀",1,2))</f>
        <v>2</v>
      </c>
      <c r="S22" s="271">
        <v>64713</v>
      </c>
      <c r="T22" s="271">
        <v>12</v>
      </c>
      <c r="U22" s="271">
        <v>286579</v>
      </c>
      <c r="V22" s="282">
        <v>7881</v>
      </c>
      <c r="W22" s="279">
        <v>834536</v>
      </c>
      <c r="X22" s="140" t="str">
        <f>"{"&amp;"'coin':"&amp;表1_86121822242672124[[#This Row],[补偿Coin]]&amp;",'"&amp;配置!$A$2&amp;"':"&amp;表1_86121822242672124[[#This Row],[补偿辎重]]&amp;"},"</f>
        <v>{'coin':1500,'item036':15},</v>
      </c>
      <c r="Y22" s="138" t="str">
        <f>"      },"</f>
        <v>      },</v>
      </c>
    </row>
    <row r="25" ht="37.5" customHeight="1" spans="1:19">
      <c r="A25" s="36" t="s">
        <v>28</v>
      </c>
      <c r="B25" s="37" t="s">
        <v>29</v>
      </c>
      <c r="C25" s="38" t="s">
        <v>30</v>
      </c>
      <c r="D25" s="38" t="s">
        <v>31</v>
      </c>
      <c r="E25" s="38" t="s">
        <v>32</v>
      </c>
      <c r="F25" s="38" t="s">
        <v>33</v>
      </c>
      <c r="G25" s="38" t="s">
        <v>15</v>
      </c>
      <c r="H25" s="37" t="s">
        <v>18</v>
      </c>
      <c r="I25" s="37" t="s">
        <v>19</v>
      </c>
      <c r="J25" s="37" t="s">
        <v>34</v>
      </c>
      <c r="K25" s="38" t="s">
        <v>35</v>
      </c>
      <c r="L25" s="38" t="s">
        <v>36</v>
      </c>
      <c r="M25" s="38" t="s">
        <v>37</v>
      </c>
      <c r="N25" s="38" t="s">
        <v>88</v>
      </c>
      <c r="P25" s="51" t="s">
        <v>0</v>
      </c>
      <c r="Q25" s="51" t="s">
        <v>1</v>
      </c>
      <c r="R25" s="51"/>
      <c r="S25" s="51" t="s">
        <v>38</v>
      </c>
    </row>
    <row r="26" ht="15.75" customHeight="1" spans="1:19">
      <c r="A26" s="255" t="s">
        <v>295</v>
      </c>
      <c r="B26" s="186" t="s">
        <v>25</v>
      </c>
      <c r="C26" s="186">
        <f>COUNTIFS(表1_86121822242672124[目标区服],表2_97131923252773125[[#This Row],[合区区服]],表1_86121822242672124[目标国家（映射）],表2_97131923252773125[[#This Row],[国家]])</f>
        <v>3</v>
      </c>
      <c r="D26" s="186">
        <f>SUMIFS(表1_86121822242672124[活跃高战玩家数],表1_86121822242672124[目标区服],表2_97131923252773125[[#This Row],[合区区服]],表1_86121822242672124[目标国家（映射）],表2_97131923252773125[[#This Row],[国家]])</f>
        <v>8</v>
      </c>
      <c r="E26" s="186">
        <f>SUMIFS(表1_86121822242672124[活跃中坚玩家数],表1_86121822242672124[目标区服],表2_97131923252773125[[#This Row],[合区区服]],表1_86121822242672124[目标国家（映射）],表2_97131923252773125[[#This Row],[国家]])</f>
        <v>55</v>
      </c>
      <c r="F26" s="186">
        <f t="array" ref="F26">MAX((表1_86121822242672124[目标区服]=表2_97131923252773125[[#This Row],[合区区服]])*(表1_86121822242672124[目标国家（映射）]=表2_97131923252773125[[#This Row],[国家]])*表1_86121822242672124[活跃尖端战力])</f>
        <v>3023254</v>
      </c>
      <c r="G26" s="187">
        <f>SUMIFS(表1_86121822242672124[活跃总战力],表1_86121822242672124[目标区服],表2_97131923252773125[[#This Row],[合区区服]],表1_86121822242672124[目标国家（映射）],表2_97131923252773125[[#This Row],[国家]])</f>
        <v>50657555</v>
      </c>
      <c r="H26" s="186">
        <f>SUMIFS(表1_86121822242672124[活跃实际充值],表1_86121822242672124[目标区服],表2_97131923252773125[[#This Row],[合区区服]],表1_86121822242672124[目标国家（映射）],表2_97131923252773125[[#This Row],[国家]])</f>
        <v>148636</v>
      </c>
      <c r="I26" s="186">
        <f>SUMIFS(表1_86121822242672124[活跃虚拟充值],表1_86121822242672124[目标区服],表2_97131923252773125[[#This Row],[合区区服]],表1_86121822242672124[目标国家（映射）],表2_97131923252773125[[#This Row],[国家]])</f>
        <v>0</v>
      </c>
      <c r="J26" s="186">
        <f>SUMIFS(表1_86121822242672124[活跃Coin],表1_86121822242672124[目标区服],表2_97131923252773125[[#This Row],[合区区服]],表1_86121822242672124[目标国家（映射）],表2_97131923252773125[[#This Row],[国家]])</f>
        <v>1184606</v>
      </c>
      <c r="K26" s="186">
        <f>SUMIFS(表1_86121822242672124[共计补偿Coin],表1_86121822242672124[目标区服],表2_97131923252773125[[#This Row],[合区区服]],表1_86121822242672124[目标国家（映射）],表2_97131923252773125[[#This Row],[国家]])</f>
        <v>78000</v>
      </c>
      <c r="L26" s="186">
        <f>表2_97131923252773125[[#This Row],[活跃Coin]]+表2_97131923252773125[[#This Row],[共计补偿Coin]]</f>
        <v>1262606</v>
      </c>
      <c r="M26" s="186">
        <f>SUMIFS(表1_86121822242672124[综合国力],表1_86121822242672124[目标区服],表2_97131923252773125[[#This Row],[合区区服]],表1_86121822242672124[目标国家（映射）],表2_97131923252773125[[#This Row],[国家]])</f>
        <v>22053</v>
      </c>
      <c r="N26" s="186">
        <f t="array" ref="N26">MAX((表1_86121822242672124[目标区服]=表2_97131923252773125[[#This Row],[合区区服]])*(表1_86121822242672124[目标国家（映射）]=表2_97131923252773125[[#This Row],[国家]])*表1_86121822242672124[单将最高战力])</f>
        <v>822366</v>
      </c>
      <c r="P26" s="51">
        <v>230</v>
      </c>
      <c r="Q26" s="51">
        <v>41</v>
      </c>
      <c r="R26" s="51" t="s">
        <v>295</v>
      </c>
      <c r="S26" s="51">
        <v>43</v>
      </c>
    </row>
    <row r="27" ht="15" spans="1:19">
      <c r="A27" s="255" t="s">
        <v>295</v>
      </c>
      <c r="B27" s="186" t="s">
        <v>26</v>
      </c>
      <c r="C27" s="186">
        <f>COUNTIFS(表1_86121822242672124[目标区服],表2_97131923252773125[[#This Row],[合区区服]],表1_86121822242672124[目标国家（映射）],表2_97131923252773125[[#This Row],[国家]])</f>
        <v>3</v>
      </c>
      <c r="D27" s="186">
        <f>SUMIFS(表1_86121822242672124[活跃高战玩家数],表1_86121822242672124[目标区服],表2_97131923252773125[[#This Row],[合区区服]],表1_86121822242672124[目标国家（映射）],表2_97131923252773125[[#This Row],[国家]])</f>
        <v>9</v>
      </c>
      <c r="E27" s="186">
        <f>SUMIFS(表1_86121822242672124[活跃中坚玩家数],表1_86121822242672124[目标区服],表2_97131923252773125[[#This Row],[合区区服]],表1_86121822242672124[目标国家（映射）],表2_97131923252773125[[#This Row],[国家]])</f>
        <v>53</v>
      </c>
      <c r="F27" s="186">
        <f t="array" ref="F27">MAX((表1_86121822242672124[目标区服]=表2_97131923252773125[[#This Row],[合区区服]])*(表1_86121822242672124[目标国家（映射）]=表2_97131923252773125[[#This Row],[国家]])*表1_86121822242672124[活跃尖端战力])</f>
        <v>2948575</v>
      </c>
      <c r="G27" s="187">
        <f>SUMIFS(表1_86121822242672124[活跃总战力],表1_86121822242672124[目标区服],表2_97131923252773125[[#This Row],[合区区服]],表1_86121822242672124[目标国家（映射）],表2_97131923252773125[[#This Row],[国家]])</f>
        <v>49009342</v>
      </c>
      <c r="H27" s="186">
        <f>SUMIFS(表1_86121822242672124[活跃实际充值],表1_86121822242672124[目标区服],表2_97131923252773125[[#This Row],[合区区服]],表1_86121822242672124[目标国家（映射）],表2_97131923252773125[[#This Row],[国家]])</f>
        <v>159488</v>
      </c>
      <c r="I27" s="186">
        <f>SUMIFS(表1_86121822242672124[活跃虚拟充值],表1_86121822242672124[目标区服],表2_97131923252773125[[#This Row],[合区区服]],表1_86121822242672124[目标国家（映射）],表2_97131923252773125[[#This Row],[国家]])</f>
        <v>0</v>
      </c>
      <c r="J27" s="186">
        <f>SUMIFS(表1_86121822242672124[活跃Coin],表1_86121822242672124[目标区服],表2_97131923252773125[[#This Row],[合区区服]],表1_86121822242672124[目标国家（映射）],表2_97131923252773125[[#This Row],[国家]])</f>
        <v>1119462</v>
      </c>
      <c r="K27" s="186">
        <f>SUMIFS(表1_86121822242672124[共计补偿Coin],表1_86121822242672124[目标区服],表2_97131923252773125[[#This Row],[合区区服]],表1_86121822242672124[目标国家（映射）],表2_97131923252773125[[#This Row],[国家]])</f>
        <v>62000</v>
      </c>
      <c r="L27" s="186">
        <f>表2_97131923252773125[[#This Row],[活跃Coin]]+表2_97131923252773125[[#This Row],[共计补偿Coin]]</f>
        <v>1181462</v>
      </c>
      <c r="M27" s="186">
        <f>SUMIFS(表1_86121822242672124[综合国力],表1_86121822242672124[目标区服],表2_97131923252773125[[#This Row],[合区区服]],表1_86121822242672124[目标国家（映射）],表2_97131923252773125[[#This Row],[国家]])</f>
        <v>24140</v>
      </c>
      <c r="N27" s="186">
        <f t="array" ref="N27">MAX((表1_86121822242672124[目标区服]=表2_97131923252773125[[#This Row],[合区区服]])*(表1_86121822242672124[目标国家（映射）]=表2_97131923252773125[[#This Row],[国家]])*表1_86121822242672124[单将最高战力])</f>
        <v>868227</v>
      </c>
      <c r="P27" s="51">
        <v>231</v>
      </c>
      <c r="Q27" s="51">
        <v>41</v>
      </c>
      <c r="R27" s="51" t="s">
        <v>296</v>
      </c>
      <c r="S27" s="51">
        <v>41</v>
      </c>
    </row>
    <row r="28" ht="15" spans="1:19">
      <c r="A28" s="255" t="s">
        <v>295</v>
      </c>
      <c r="B28" s="186" t="s">
        <v>27</v>
      </c>
      <c r="C28" s="186">
        <f>COUNTIFS(表1_86121822242672124[目标区服],表2_97131923252773125[[#This Row],[合区区服]],表1_86121822242672124[目标国家（映射）],表2_97131923252773125[[#This Row],[国家]])</f>
        <v>3</v>
      </c>
      <c r="D28" s="186">
        <f>SUMIFS(表1_86121822242672124[活跃高战玩家数],表1_86121822242672124[目标区服],表2_97131923252773125[[#This Row],[合区区服]],表1_86121822242672124[目标国家（映射）],表2_97131923252773125[[#This Row],[国家]])</f>
        <v>13</v>
      </c>
      <c r="E28" s="186">
        <f>SUMIFS(表1_86121822242672124[活跃中坚玩家数],表1_86121822242672124[目标区服],表2_97131923252773125[[#This Row],[合区区服]],表1_86121822242672124[目标国家（映射）],表2_97131923252773125[[#This Row],[国家]])</f>
        <v>57</v>
      </c>
      <c r="F28" s="186">
        <f t="array" ref="F28">MAX((表1_86121822242672124[目标区服]=表2_97131923252773125[[#This Row],[合区区服]])*(表1_86121822242672124[目标国家（映射）]=表2_97131923252773125[[#This Row],[国家]])*表1_86121822242672124[活跃尖端战力])</f>
        <v>2781270</v>
      </c>
      <c r="G28" s="187">
        <f>SUMIFS(表1_86121822242672124[活跃总战力],表1_86121822242672124[目标区服],表2_97131923252773125[[#This Row],[合区区服]],表1_86121822242672124[目标国家（映射）],表2_97131923252773125[[#This Row],[国家]])</f>
        <v>57617852</v>
      </c>
      <c r="H28" s="186">
        <f>SUMIFS(表1_86121822242672124[活跃实际充值],表1_86121822242672124[目标区服],表2_97131923252773125[[#This Row],[合区区服]],表1_86121822242672124[目标国家（映射）],表2_97131923252773125[[#This Row],[国家]])</f>
        <v>132694</v>
      </c>
      <c r="I28" s="186">
        <f>SUMIFS(表1_86121822242672124[活跃虚拟充值],表1_86121822242672124[目标区服],表2_97131923252773125[[#This Row],[合区区服]],表1_86121822242672124[目标国家（映射）],表2_97131923252773125[[#This Row],[国家]])</f>
        <v>0</v>
      </c>
      <c r="J28" s="186">
        <f>SUMIFS(表1_86121822242672124[活跃Coin],表1_86121822242672124[目标区服],表2_97131923252773125[[#This Row],[合区区服]],表1_86121822242672124[目标国家（映射）],表2_97131923252773125[[#This Row],[国家]])</f>
        <v>1189910</v>
      </c>
      <c r="K28" s="186">
        <f>SUMIFS(表1_86121822242672124[共计补偿Coin],表1_86121822242672124[目标区服],表2_97131923252773125[[#This Row],[合区区服]],表1_86121822242672124[目标国家（映射）],表2_97131923252773125[[#This Row],[国家]])</f>
        <v>93000</v>
      </c>
      <c r="L28" s="186">
        <f>表2_97131923252773125[[#This Row],[活跃Coin]]+表2_97131923252773125[[#This Row],[共计补偿Coin]]</f>
        <v>1282910</v>
      </c>
      <c r="M28" s="186">
        <f>SUMIFS(表1_86121822242672124[综合国力],表1_86121822242672124[目标区服],表2_97131923252773125[[#This Row],[合区区服]],表1_86121822242672124[目标国家（映射）],表2_97131923252773125[[#This Row],[国家]])</f>
        <v>25785</v>
      </c>
      <c r="N28" s="186">
        <f t="array" ref="N28">MAX((表1_86121822242672124[目标区服]=表2_97131923252773125[[#This Row],[合区区服]])*(表1_86121822242672124[目标国家（映射）]=表2_97131923252773125[[#This Row],[国家]])*表1_86121822242672124[单将最高战力])</f>
        <v>1002328</v>
      </c>
      <c r="P28" s="51">
        <v>232</v>
      </c>
      <c r="Q28" s="51">
        <v>40</v>
      </c>
      <c r="R28" s="51" t="s">
        <v>297</v>
      </c>
      <c r="S28" s="51">
        <v>39</v>
      </c>
    </row>
    <row r="29" ht="15" spans="1:19">
      <c r="A29" s="211" t="s">
        <v>296</v>
      </c>
      <c r="B29" s="41" t="s">
        <v>25</v>
      </c>
      <c r="C29" s="41">
        <f>COUNTIFS(表1_86121822242672124[目标区服],表2_97131923252773125[[#This Row],[合区区服]],表1_86121822242672124[目标国家（映射）],表2_97131923252773125[[#This Row],[国家]])</f>
        <v>2</v>
      </c>
      <c r="D29" s="41">
        <f>SUMIFS(表1_86121822242672124[活跃高战玩家数],表1_86121822242672124[目标区服],表2_97131923252773125[[#This Row],[合区区服]],表1_86121822242672124[目标国家（映射）],表2_97131923252773125[[#This Row],[国家]])</f>
        <v>5</v>
      </c>
      <c r="E29" s="41">
        <f>SUMIFS(表1_86121822242672124[活跃中坚玩家数],表1_86121822242672124[目标区服],表2_97131923252773125[[#This Row],[合区区服]],表1_86121822242672124[目标国家（映射）],表2_97131923252773125[[#This Row],[国家]])</f>
        <v>46</v>
      </c>
      <c r="F29" s="41">
        <f t="array" ref="F29">MAX((表1_86121822242672124[目标区服]=表2_97131923252773125[[#This Row],[合区区服]])*(表1_86121822242672124[目标国家（映射）]=表2_97131923252773125[[#This Row],[国家]])*表1_86121822242672124[活跃尖端战力])</f>
        <v>3878016</v>
      </c>
      <c r="G29" s="42">
        <f>SUMIFS(表1_86121822242672124[活跃总战力],表1_86121822242672124[目标区服],表2_97131923252773125[[#This Row],[合区区服]],表1_86121822242672124[目标国家（映射）],表2_97131923252773125[[#This Row],[国家]])</f>
        <v>51078365</v>
      </c>
      <c r="H29" s="41">
        <f>SUMIFS(表1_86121822242672124[活跃实际充值],表1_86121822242672124[目标区服],表2_97131923252773125[[#This Row],[合区区服]],表1_86121822242672124[目标国家（映射）],表2_97131923252773125[[#This Row],[国家]])</f>
        <v>185178</v>
      </c>
      <c r="I29" s="41">
        <f>SUMIFS(表1_86121822242672124[活跃虚拟充值],表1_86121822242672124[目标区服],表2_97131923252773125[[#This Row],[合区区服]],表1_86121822242672124[目标国家（映射）],表2_97131923252773125[[#This Row],[国家]])</f>
        <v>0</v>
      </c>
      <c r="J29" s="41">
        <f>SUMIFS(表1_86121822242672124[活跃Coin],表1_86121822242672124[目标区服],表2_97131923252773125[[#This Row],[合区区服]],表1_86121822242672124[目标国家（映射）],表2_97131923252773125[[#This Row],[国家]])</f>
        <v>904784</v>
      </c>
      <c r="K29" s="41">
        <f>SUMIFS(表1_86121822242672124[共计补偿Coin],表1_86121822242672124[目标区服],表2_97131923252773125[[#This Row],[合区区服]],表1_86121822242672124[目标国家（映射）],表2_97131923252773125[[#This Row],[国家]])</f>
        <v>51000</v>
      </c>
      <c r="L29" s="41">
        <f>表2_97131923252773125[[#This Row],[活跃Coin]]+表2_97131923252773125[[#This Row],[共计补偿Coin]]</f>
        <v>955784</v>
      </c>
      <c r="M29" s="41">
        <f>SUMIFS(表1_86121822242672124[综合国力],表1_86121822242672124[目标区服],表2_97131923252773125[[#This Row],[合区区服]],表1_86121822242672124[目标国家（映射）],表2_97131923252773125[[#This Row],[国家]])</f>
        <v>21525</v>
      </c>
      <c r="N29" s="41">
        <f t="array" ref="N29">MAX((表1_86121822242672124[目标区服]=表2_97131923252773125[[#This Row],[合区区服]])*(表1_86121822242672124[目标国家（映射）]=表2_97131923252773125[[#This Row],[国家]])*表1_86121822242672124[单将最高战力])</f>
        <v>1068315</v>
      </c>
      <c r="P29" s="51">
        <v>233</v>
      </c>
      <c r="Q29" s="51">
        <v>39</v>
      </c>
      <c r="R29" s="51"/>
      <c r="S29" s="51"/>
    </row>
    <row r="30" ht="15" spans="1:17">
      <c r="A30" s="211" t="s">
        <v>296</v>
      </c>
      <c r="B30" s="41" t="s">
        <v>26</v>
      </c>
      <c r="C30" s="41">
        <f>COUNTIFS(表1_86121822242672124[目标区服],表2_97131923252773125[[#This Row],[合区区服]],表1_86121822242672124[目标国家（映射）],表2_97131923252773125[[#This Row],[国家]])</f>
        <v>3</v>
      </c>
      <c r="D30" s="41">
        <f>SUMIFS(表1_86121822242672124[活跃高战玩家数],表1_86121822242672124[目标区服],表2_97131923252773125[[#This Row],[合区区服]],表1_86121822242672124[目标国家（映射）],表2_97131923252773125[[#This Row],[国家]])</f>
        <v>5</v>
      </c>
      <c r="E30" s="41">
        <f>SUMIFS(表1_86121822242672124[活跃中坚玩家数],表1_86121822242672124[目标区服],表2_97131923252773125[[#This Row],[合区区服]],表1_86121822242672124[目标国家（映射）],表2_97131923252773125[[#This Row],[国家]])</f>
        <v>50</v>
      </c>
      <c r="F30" s="41">
        <f t="array" ref="F30">MAX((表1_86121822242672124[目标区服]=表2_97131923252773125[[#This Row],[合区区服]])*(表1_86121822242672124[目标国家（映射）]=表2_97131923252773125[[#This Row],[国家]])*表1_86121822242672124[活跃尖端战力])</f>
        <v>3419902</v>
      </c>
      <c r="G30" s="42">
        <f>SUMIFS(表1_86121822242672124[活跃总战力],表1_86121822242672124[目标区服],表2_97131923252773125[[#This Row],[合区区服]],表1_86121822242672124[目标国家（映射）],表2_97131923252773125[[#This Row],[国家]])</f>
        <v>46194090</v>
      </c>
      <c r="H30" s="41">
        <f>SUMIFS(表1_86121822242672124[活跃实际充值],表1_86121822242672124[目标区服],表2_97131923252773125[[#This Row],[合区区服]],表1_86121822242672124[目标国家（映射）],表2_97131923252773125[[#This Row],[国家]])</f>
        <v>205566</v>
      </c>
      <c r="I30" s="41">
        <f>SUMIFS(表1_86121822242672124[活跃虚拟充值],表1_86121822242672124[目标区服],表2_97131923252773125[[#This Row],[合区区服]],表1_86121822242672124[目标国家（映射）],表2_97131923252773125[[#This Row],[国家]])</f>
        <v>60</v>
      </c>
      <c r="J30" s="41">
        <f>SUMIFS(表1_86121822242672124[活跃Coin],表1_86121822242672124[目标区服],表2_97131923252773125[[#This Row],[合区区服]],表1_86121822242672124[目标国家（映射）],表2_97131923252773125[[#This Row],[国家]])</f>
        <v>1035079</v>
      </c>
      <c r="K30" s="41">
        <f>SUMIFS(表1_86121822242672124[共计补偿Coin],表1_86121822242672124[目标区服],表2_97131923252773125[[#This Row],[合区区服]],表1_86121822242672124[目标国家（映射）],表2_97131923252773125[[#This Row],[国家]])</f>
        <v>68500</v>
      </c>
      <c r="L30" s="41">
        <f>表2_97131923252773125[[#This Row],[活跃Coin]]+表2_97131923252773125[[#This Row],[共计补偿Coin]]</f>
        <v>1103579</v>
      </c>
      <c r="M30" s="41">
        <f>SUMIFS(表1_86121822242672124[综合国力],表1_86121822242672124[目标区服],表2_97131923252773125[[#This Row],[合区区服]],表1_86121822242672124[目标国家（映射）],表2_97131923252773125[[#This Row],[国家]])</f>
        <v>20573</v>
      </c>
      <c r="N30" s="41">
        <f t="array" ref="N30">MAX((表1_86121822242672124[目标区服]=表2_97131923252773125[[#This Row],[合区区服]])*(表1_86121822242672124[目标国家（映射）]=表2_97131923252773125[[#This Row],[国家]])*表1_86121822242672124[单将最高战力])</f>
        <v>921274</v>
      </c>
      <c r="P30" s="51">
        <v>234</v>
      </c>
      <c r="Q30" s="51">
        <v>38</v>
      </c>
    </row>
    <row r="31" ht="15" spans="1:17">
      <c r="A31" s="211" t="s">
        <v>296</v>
      </c>
      <c r="B31" s="43" t="s">
        <v>27</v>
      </c>
      <c r="C31" s="43">
        <f>COUNTIFS(表1_86121822242672124[目标区服],表2_97131923252773125[[#This Row],[合区区服]],表1_86121822242672124[目标国家（映射）],表2_97131923252773125[[#This Row],[国家]])</f>
        <v>1</v>
      </c>
      <c r="D31" s="43">
        <f>SUMIFS(表1_86121822242672124[活跃高战玩家数],表1_86121822242672124[目标区服],表2_97131923252773125[[#This Row],[合区区服]],表1_86121822242672124[目标国家（映射）],表2_97131923252773125[[#This Row],[国家]])</f>
        <v>9</v>
      </c>
      <c r="E31" s="43">
        <f>SUMIFS(表1_86121822242672124[活跃中坚玩家数],表1_86121822242672124[目标区服],表2_97131923252773125[[#This Row],[合区区服]],表1_86121822242672124[目标国家（映射）],表2_97131923252773125[[#This Row],[国家]])</f>
        <v>42</v>
      </c>
      <c r="F31" s="43">
        <f t="array" ref="F31">MAX((表1_86121822242672124[目标区服]=表2_97131923252773125[[#This Row],[合区区服]])*(表1_86121822242672124[目标国家（映射）]=表2_97131923252773125[[#This Row],[国家]])*表1_86121822242672124[活跃尖端战力])</f>
        <v>3701114</v>
      </c>
      <c r="G31" s="44">
        <f>SUMIFS(表1_86121822242672124[活跃总战力],表1_86121822242672124[目标区服],表2_97131923252773125[[#This Row],[合区区服]],表1_86121822242672124[目标国家（映射）],表2_97131923252773125[[#This Row],[国家]])</f>
        <v>47570964</v>
      </c>
      <c r="H31" s="43">
        <f>SUMIFS(表1_86121822242672124[活跃实际充值],表1_86121822242672124[目标区服],表2_97131923252773125[[#This Row],[合区区服]],表1_86121822242672124[目标国家（映射）],表2_97131923252773125[[#This Row],[国家]])</f>
        <v>160860</v>
      </c>
      <c r="I31" s="43">
        <f>SUMIFS(表1_86121822242672124[活跃虚拟充值],表1_86121822242672124[目标区服],表2_97131923252773125[[#This Row],[合区区服]],表1_86121822242672124[目标国家（映射）],表2_97131923252773125[[#This Row],[国家]])</f>
        <v>0</v>
      </c>
      <c r="J31" s="43">
        <f>SUMIFS(表1_86121822242672124[活跃Coin],表1_86121822242672124[目标区服],表2_97131923252773125[[#This Row],[合区区服]],表1_86121822242672124[目标国家（映射）],表2_97131923252773125[[#This Row],[国家]])</f>
        <v>1431820</v>
      </c>
      <c r="K31" s="43">
        <f>SUMIFS(表1_86121822242672124[共计补偿Coin],表1_86121822242672124[目标区服],表2_97131923252773125[[#This Row],[合区区服]],表1_86121822242672124[目标国家（映射）],表2_97131923252773125[[#This Row],[国家]])</f>
        <v>76500</v>
      </c>
      <c r="L31" s="43">
        <f>表2_97131923252773125[[#This Row],[活跃Coin]]+表2_97131923252773125[[#This Row],[共计补偿Coin]]</f>
        <v>1508320</v>
      </c>
      <c r="M31" s="43">
        <f>SUMIFS(表1_86121822242672124[综合国力],表1_86121822242672124[目标区服],表2_97131923252773125[[#This Row],[合区区服]],表1_86121822242672124[目标国家（映射）],表2_97131923252773125[[#This Row],[国家]])</f>
        <v>19616</v>
      </c>
      <c r="N31" s="41">
        <f t="array" ref="N31">MAX((表1_86121822242672124[目标区服]=表2_97131923252773125[[#This Row],[合区区服]])*(表1_86121822242672124[目标国家（映射）]=表2_97131923252773125[[#This Row],[国家]])*表1_86121822242672124[单将最高战力])</f>
        <v>1164655</v>
      </c>
      <c r="P31" s="51">
        <v>235</v>
      </c>
      <c r="Q31" s="51">
        <v>37</v>
      </c>
    </row>
    <row r="32" ht="15" spans="1:17">
      <c r="A32" s="261" t="s">
        <v>297</v>
      </c>
      <c r="B32" s="178" t="s">
        <v>25</v>
      </c>
      <c r="C32" s="178">
        <f>COUNTIFS(表1_86121822242672124[目标区服],表2_97131923252773125[[#This Row],[合区区服]],表1_86121822242672124[目标国家（映射）],表2_97131923252773125[[#This Row],[国家]])</f>
        <v>2</v>
      </c>
      <c r="D32" s="178">
        <f>SUMIFS(表1_86121822242672124[活跃高战玩家数],表1_86121822242672124[目标区服],表2_97131923252773125[[#This Row],[合区区服]],表1_86121822242672124[目标国家（映射）],表2_97131923252773125[[#This Row],[国家]])</f>
        <v>7</v>
      </c>
      <c r="E32" s="178">
        <f>SUMIFS(表1_86121822242672124[活跃中坚玩家数],表1_86121822242672124[目标区服],表2_97131923252773125[[#This Row],[合区区服]],表1_86121822242672124[目标国家（映射）],表2_97131923252773125[[#This Row],[国家]])</f>
        <v>62</v>
      </c>
      <c r="F32" s="178">
        <f t="array" ref="F32">MAX((表1_86121822242672124[目标区服]=表2_97131923252773125[[#This Row],[合区区服]])*(表1_86121822242672124[目标国家（映射）]=表2_97131923252773125[[#This Row],[国家]])*表1_86121822242672124[活跃尖端战力])</f>
        <v>3356416</v>
      </c>
      <c r="G32" s="179">
        <f>SUMIFS(表1_86121822242672124[活跃总战力],表1_86121822242672124[目标区服],表2_97131923252773125[[#This Row],[合区区服]],表1_86121822242672124[目标国家（映射）],表2_97131923252773125[[#This Row],[国家]])</f>
        <v>58531659</v>
      </c>
      <c r="H32" s="178">
        <f>SUMIFS(表1_86121822242672124[活跃实际充值],表1_86121822242672124[目标区服],表2_97131923252773125[[#This Row],[合区区服]],表1_86121822242672124[目标国家（映射）],表2_97131923252773125[[#This Row],[国家]])</f>
        <v>200442</v>
      </c>
      <c r="I32" s="178">
        <f>SUMIFS(表1_86121822242672124[活跃虚拟充值],表1_86121822242672124[目标区服],表2_97131923252773125[[#This Row],[合区区服]],表1_86121822242672124[目标国家（映射）],表2_97131923252773125[[#This Row],[国家]])</f>
        <v>68</v>
      </c>
      <c r="J32" s="178">
        <f>SUMIFS(表1_86121822242672124[活跃Coin],表1_86121822242672124[目标区服],表2_97131923252773125[[#This Row],[合区区服]],表1_86121822242672124[目标国家（映射）],表2_97131923252773125[[#This Row],[国家]])</f>
        <v>847005</v>
      </c>
      <c r="K32" s="178">
        <f>SUMIFS(表1_86121822242672124[共计补偿Coin],表1_86121822242672124[目标区服],表2_97131923252773125[[#This Row],[合区区服]],表1_86121822242672124[目标国家（映射）],表2_97131923252773125[[#This Row],[国家]])</f>
        <v>83000</v>
      </c>
      <c r="L32" s="178">
        <f>表2_97131923252773125[[#This Row],[活跃Coin]]+表2_97131923252773125[[#This Row],[共计补偿Coin]]</f>
        <v>930005</v>
      </c>
      <c r="M32" s="178">
        <f>SUMIFS(表1_86121822242672124[综合国力],表1_86121822242672124[目标区服],表2_97131923252773125[[#This Row],[合区区服]],表1_86121822242672124[目标国家（映射）],表2_97131923252773125[[#This Row],[国家]])</f>
        <v>22169</v>
      </c>
      <c r="N32" s="178">
        <f t="array" ref="N32">MAX((表1_86121822242672124[目标区服]=表2_97131923252773125[[#This Row],[合区区服]])*(表1_86121822242672124[目标国家（映射）]=表2_97131923252773125[[#This Row],[国家]])*表1_86121822242672124[单将最高战力])</f>
        <v>1194861</v>
      </c>
      <c r="P32" s="51">
        <v>236</v>
      </c>
      <c r="Q32" s="51">
        <v>36</v>
      </c>
    </row>
    <row r="33" ht="15" spans="1:17">
      <c r="A33" s="261" t="s">
        <v>297</v>
      </c>
      <c r="B33" s="178" t="s">
        <v>26</v>
      </c>
      <c r="C33" s="178">
        <f>COUNTIFS(表1_86121822242672124[目标区服],表2_97131923252773125[[#This Row],[合区区服]],表1_86121822242672124[目标国家（映射）],表2_97131923252773125[[#This Row],[国家]])</f>
        <v>2</v>
      </c>
      <c r="D33" s="178">
        <f>SUMIFS(表1_86121822242672124[活跃高战玩家数],表1_86121822242672124[目标区服],表2_97131923252773125[[#This Row],[合区区服]],表1_86121822242672124[目标国家（映射）],表2_97131923252773125[[#This Row],[国家]])</f>
        <v>8</v>
      </c>
      <c r="E33" s="178">
        <f>SUMIFS(表1_86121822242672124[活跃中坚玩家数],表1_86121822242672124[目标区服],表2_97131923252773125[[#This Row],[合区区服]],表1_86121822242672124[目标国家（映射）],表2_97131923252773125[[#This Row],[国家]])</f>
        <v>50</v>
      </c>
      <c r="F33" s="178">
        <f t="array" ref="F33">MAX((表1_86121822242672124[目标区服]=表2_97131923252773125[[#This Row],[合区区服]])*(表1_86121822242672124[目标国家（映射）]=表2_97131923252773125[[#This Row],[国家]])*表1_86121822242672124[活跃尖端战力])</f>
        <v>3927275</v>
      </c>
      <c r="G33" s="179">
        <f>SUMIFS(表1_86121822242672124[活跃总战力],表1_86121822242672124[目标区服],表2_97131923252773125[[#This Row],[合区区服]],表1_86121822242672124[目标国家（映射）],表2_97131923252773125[[#This Row],[国家]])</f>
        <v>49904123</v>
      </c>
      <c r="H33" s="178">
        <f>SUMIFS(表1_86121822242672124[活跃实际充值],表1_86121822242672124[目标区服],表2_97131923252773125[[#This Row],[合区区服]],表1_86121822242672124[目标国家（映射）],表2_97131923252773125[[#This Row],[国家]])</f>
        <v>211448</v>
      </c>
      <c r="I33" s="178">
        <f>SUMIFS(表1_86121822242672124[活跃虚拟充值],表1_86121822242672124[目标区服],表2_97131923252773125[[#This Row],[合区区服]],表1_86121822242672124[目标国家（映射）],表2_97131923252773125[[#This Row],[国家]])</f>
        <v>3882</v>
      </c>
      <c r="J33" s="178">
        <f>SUMIFS(表1_86121822242672124[活跃Coin],表1_86121822242672124[目标区服],表2_97131923252773125[[#This Row],[合区区服]],表1_86121822242672124[目标国家（映射）],表2_97131923252773125[[#This Row],[国家]])</f>
        <v>799597</v>
      </c>
      <c r="K33" s="178">
        <f>SUMIFS(表1_86121822242672124[共计补偿Coin],表1_86121822242672124[目标区服],表2_97131923252773125[[#This Row],[合区区服]],表1_86121822242672124[目标国家（映射）],表2_97131923252773125[[#This Row],[国家]])</f>
        <v>79000</v>
      </c>
      <c r="L33" s="178">
        <f>表2_97131923252773125[[#This Row],[活跃Coin]]+表2_97131923252773125[[#This Row],[共计补偿Coin]]</f>
        <v>878597</v>
      </c>
      <c r="M33" s="178">
        <f>SUMIFS(表1_86121822242672124[综合国力],表1_86121822242672124[目标区服],表2_97131923252773125[[#This Row],[合区区服]],表1_86121822242672124[目标国家（映射）],表2_97131923252773125[[#This Row],[国家]])</f>
        <v>21341</v>
      </c>
      <c r="N33" s="178">
        <f t="array" ref="N33">MAX((表1_86121822242672124[目标区服]=表2_97131923252773125[[#This Row],[合区区服]])*(表1_86121822242672124[目标国家（映射）]=表2_97131923252773125[[#This Row],[国家]])*表1_86121822242672124[单将最高战力])</f>
        <v>1096605</v>
      </c>
      <c r="P33" s="51"/>
      <c r="Q33" s="51"/>
    </row>
    <row r="34" ht="15" spans="1:14">
      <c r="A34" s="261" t="s">
        <v>297</v>
      </c>
      <c r="B34" s="180" t="s">
        <v>27</v>
      </c>
      <c r="C34" s="180">
        <f>COUNTIFS(表1_86121822242672124[目标区服],表2_97131923252773125[[#This Row],[合区区服]],表1_86121822242672124[目标国家（映射）],表2_97131923252773125[[#This Row],[国家]])</f>
        <v>2</v>
      </c>
      <c r="D34" s="180">
        <f>SUMIFS(表1_86121822242672124[活跃高战玩家数],表1_86121822242672124[目标区服],表2_97131923252773125[[#This Row],[合区区服]],表1_86121822242672124[目标国家（映射）],表2_97131923252773125[[#This Row],[国家]])</f>
        <v>5</v>
      </c>
      <c r="E34" s="180">
        <f>SUMIFS(表1_86121822242672124[活跃中坚玩家数],表1_86121822242672124[目标区服],表2_97131923252773125[[#This Row],[合区区服]],表1_86121822242672124[目标国家（映射）],表2_97131923252773125[[#This Row],[国家]])</f>
        <v>45</v>
      </c>
      <c r="F34" s="180">
        <f t="array" ref="F34">MAX((表1_86121822242672124[目标区服]=表2_97131923252773125[[#This Row],[合区区服]])*(表1_86121822242672124[目标国家（映射）]=表2_97131923252773125[[#This Row],[国家]])*表1_86121822242672124[活跃尖端战力])</f>
        <v>3825666</v>
      </c>
      <c r="G34" s="262">
        <f>SUMIFS(表1_86121822242672124[活跃总战力],表1_86121822242672124[目标区服],表2_97131923252773125[[#This Row],[合区区服]],表1_86121822242672124[目标国家（映射）],表2_97131923252773125[[#This Row],[国家]])</f>
        <v>47979883</v>
      </c>
      <c r="H34" s="180">
        <f>SUMIFS(表1_86121822242672124[活跃实际充值],表1_86121822242672124[目标区服],表2_97131923252773125[[#This Row],[合区区服]],表1_86121822242672124[目标国家（映射）],表2_97131923252773125[[#This Row],[国家]])</f>
        <v>234709</v>
      </c>
      <c r="I34" s="180">
        <f>SUMIFS(表1_86121822242672124[活跃虚拟充值],表1_86121822242672124[目标区服],表2_97131923252773125[[#This Row],[合区区服]],表1_86121822242672124[目标国家（映射）],表2_97131923252773125[[#This Row],[国家]])</f>
        <v>12</v>
      </c>
      <c r="J34" s="180">
        <f>SUMIFS(表1_86121822242672124[活跃Coin],表1_86121822242672124[目标区服],表2_97131923252773125[[#This Row],[合区区服]],表1_86121822242672124[目标国家（映射）],表2_97131923252773125[[#This Row],[国家]])</f>
        <v>883195</v>
      </c>
      <c r="K34" s="180">
        <f>SUMIFS(表1_86121822242672124[共计补偿Coin],表1_86121822242672124[目标区服],表2_97131923252773125[[#This Row],[合区区服]],表1_86121822242672124[目标国家（映射）],表2_97131923252773125[[#This Row],[国家]])</f>
        <v>61500</v>
      </c>
      <c r="L34" s="180">
        <f>表2_97131923252773125[[#This Row],[活跃Coin]]+表2_97131923252773125[[#This Row],[共计补偿Coin]]</f>
        <v>944695</v>
      </c>
      <c r="M34" s="180">
        <f>SUMIFS(表1_86121822242672124[综合国力],表1_86121822242672124[目标区服],表2_97131923252773125[[#This Row],[合区区服]],表1_86121822242672124[目标国家（映射）],表2_97131923252773125[[#This Row],[国家]])</f>
        <v>22864</v>
      </c>
      <c r="N34" s="178">
        <f t="array" ref="N34">MAX((表1_86121822242672124[目标区服]=表2_97131923252773125[[#This Row],[合区区服]])*(表1_86121822242672124[目标国家（映射）]=表2_97131923252773125[[#This Row],[国家]])*表1_86121822242672124[单将最高战力])</f>
        <v>1129727</v>
      </c>
    </row>
    <row r="40" ht="27" spans="2:14">
      <c r="B40" s="263"/>
      <c r="C40" s="264" t="s">
        <v>9</v>
      </c>
      <c r="D40" s="264" t="s">
        <v>10</v>
      </c>
      <c r="E40" s="264" t="s">
        <v>11</v>
      </c>
      <c r="F40" s="264" t="s">
        <v>12</v>
      </c>
      <c r="G40" s="264" t="s">
        <v>13</v>
      </c>
      <c r="H40" s="264" t="s">
        <v>14</v>
      </c>
      <c r="I40" s="264" t="s">
        <v>15</v>
      </c>
      <c r="J40" s="264" t="s">
        <v>18</v>
      </c>
      <c r="K40" s="264" t="s">
        <v>19</v>
      </c>
      <c r="L40" s="264" t="s">
        <v>20</v>
      </c>
      <c r="M40" s="264" t="s">
        <v>21</v>
      </c>
      <c r="N40" s="264" t="s">
        <v>82</v>
      </c>
    </row>
    <row r="41" spans="1:14">
      <c r="A41">
        <v>230</v>
      </c>
      <c r="B41" s="189" t="s">
        <v>25</v>
      </c>
      <c r="C41" s="189">
        <v>5</v>
      </c>
      <c r="D41" s="189">
        <v>127</v>
      </c>
      <c r="E41" s="189">
        <v>3</v>
      </c>
      <c r="F41" s="189">
        <v>13</v>
      </c>
      <c r="G41" s="189">
        <v>82303</v>
      </c>
      <c r="H41" s="189">
        <v>2676198</v>
      </c>
      <c r="I41" s="189">
        <v>12936423</v>
      </c>
      <c r="J41" s="189">
        <v>34892</v>
      </c>
      <c r="K41" s="189">
        <v>0</v>
      </c>
      <c r="L41" s="189">
        <v>323272</v>
      </c>
      <c r="M41" s="189">
        <v>7359</v>
      </c>
      <c r="N41" s="52">
        <v>853913</v>
      </c>
    </row>
    <row r="42" spans="2:14">
      <c r="B42" s="189" t="s">
        <v>26</v>
      </c>
      <c r="C42" s="189">
        <v>4</v>
      </c>
      <c r="D42" s="189">
        <v>233</v>
      </c>
      <c r="E42" s="189">
        <v>6</v>
      </c>
      <c r="F42" s="189">
        <v>18</v>
      </c>
      <c r="G42" s="189">
        <v>123602</v>
      </c>
      <c r="H42" s="189">
        <v>2748014</v>
      </c>
      <c r="I42" s="189">
        <v>19817262</v>
      </c>
      <c r="J42" s="189">
        <v>48482</v>
      </c>
      <c r="K42" s="189">
        <v>0</v>
      </c>
      <c r="L42" s="189">
        <v>486281</v>
      </c>
      <c r="M42" s="189">
        <v>9775</v>
      </c>
      <c r="N42" s="52">
        <v>1002328</v>
      </c>
    </row>
    <row r="43" spans="2:14">
      <c r="B43" s="189" t="s">
        <v>27</v>
      </c>
      <c r="C43" s="189">
        <v>0</v>
      </c>
      <c r="D43" s="189">
        <v>35</v>
      </c>
      <c r="E43" s="189">
        <v>1</v>
      </c>
      <c r="F43" s="189">
        <v>10</v>
      </c>
      <c r="G43" s="189">
        <v>53968</v>
      </c>
      <c r="H43" s="189">
        <v>1749501</v>
      </c>
      <c r="I43" s="189">
        <v>7804897</v>
      </c>
      <c r="J43" s="189">
        <v>17324</v>
      </c>
      <c r="K43" s="189">
        <v>0</v>
      </c>
      <c r="L43" s="189">
        <v>172456</v>
      </c>
      <c r="M43" s="189">
        <v>3755</v>
      </c>
      <c r="N43" s="52">
        <v>647676</v>
      </c>
    </row>
    <row r="44" spans="1:14">
      <c r="A44">
        <v>231</v>
      </c>
      <c r="B44" s="189" t="s">
        <v>25</v>
      </c>
      <c r="C44" s="189">
        <v>3</v>
      </c>
      <c r="D44" s="189">
        <v>121</v>
      </c>
      <c r="E44" s="189">
        <v>4</v>
      </c>
      <c r="F44" s="189">
        <v>18</v>
      </c>
      <c r="G44" s="189">
        <v>99996</v>
      </c>
      <c r="H44" s="189">
        <v>3023254</v>
      </c>
      <c r="I44" s="189">
        <v>18128868</v>
      </c>
      <c r="J44" s="189">
        <v>78044</v>
      </c>
      <c r="K44" s="189">
        <v>0</v>
      </c>
      <c r="L44" s="189">
        <v>470329</v>
      </c>
      <c r="M44" s="189">
        <v>9422</v>
      </c>
      <c r="N44" s="52">
        <v>822366</v>
      </c>
    </row>
    <row r="45" spans="2:14">
      <c r="B45" s="189" t="s">
        <v>26</v>
      </c>
      <c r="C45" s="189">
        <v>4</v>
      </c>
      <c r="D45" s="189">
        <v>186</v>
      </c>
      <c r="E45" s="189">
        <v>5</v>
      </c>
      <c r="F45" s="189">
        <v>21</v>
      </c>
      <c r="G45" s="189">
        <v>121920</v>
      </c>
      <c r="H45" s="189">
        <v>2948575</v>
      </c>
      <c r="I45" s="189">
        <v>22118124</v>
      </c>
      <c r="J45" s="189">
        <v>79434</v>
      </c>
      <c r="K45" s="189">
        <v>0</v>
      </c>
      <c r="L45" s="189">
        <v>267197</v>
      </c>
      <c r="M45" s="189">
        <v>10546</v>
      </c>
      <c r="N45" s="52">
        <v>866790</v>
      </c>
    </row>
    <row r="46" spans="2:14">
      <c r="B46" s="189" t="s">
        <v>27</v>
      </c>
      <c r="C46" s="189">
        <v>2</v>
      </c>
      <c r="D46" s="189">
        <v>88</v>
      </c>
      <c r="E46" s="189">
        <v>1</v>
      </c>
      <c r="F46" s="189">
        <v>19</v>
      </c>
      <c r="G46" s="189">
        <v>87713</v>
      </c>
      <c r="H46" s="189">
        <v>1702311</v>
      </c>
      <c r="I46" s="189">
        <v>13954795</v>
      </c>
      <c r="J46" s="189">
        <v>45162</v>
      </c>
      <c r="K46" s="189">
        <v>0</v>
      </c>
      <c r="L46" s="189">
        <v>528993</v>
      </c>
      <c r="M46" s="189">
        <v>6235</v>
      </c>
      <c r="N46" s="52">
        <v>868227</v>
      </c>
    </row>
    <row r="47" spans="1:14">
      <c r="A47">
        <v>232</v>
      </c>
      <c r="B47" s="189" t="s">
        <v>25</v>
      </c>
      <c r="C47" s="189">
        <v>3</v>
      </c>
      <c r="D47" s="189">
        <v>130</v>
      </c>
      <c r="E47" s="189">
        <v>3</v>
      </c>
      <c r="F47" s="189">
        <v>27</v>
      </c>
      <c r="G47" s="189">
        <v>129528</v>
      </c>
      <c r="H47" s="189">
        <v>2287839</v>
      </c>
      <c r="I47" s="189">
        <v>24723790</v>
      </c>
      <c r="J47" s="189">
        <v>53268</v>
      </c>
      <c r="K47" s="189">
        <v>0</v>
      </c>
      <c r="L47" s="189">
        <v>541821</v>
      </c>
      <c r="M47" s="189">
        <v>8876</v>
      </c>
      <c r="N47" s="52">
        <v>767389</v>
      </c>
    </row>
    <row r="48" spans="2:14">
      <c r="B48" s="189" t="s">
        <v>26</v>
      </c>
      <c r="C48" s="189">
        <v>3</v>
      </c>
      <c r="D48" s="189">
        <v>121</v>
      </c>
      <c r="E48" s="189">
        <v>4</v>
      </c>
      <c r="F48" s="189">
        <v>17</v>
      </c>
      <c r="G48" s="189">
        <v>84953</v>
      </c>
      <c r="H48" s="189">
        <v>2781270</v>
      </c>
      <c r="I48" s="189">
        <v>17955862</v>
      </c>
      <c r="J48" s="189">
        <v>49886</v>
      </c>
      <c r="K48" s="189">
        <v>0</v>
      </c>
      <c r="L48" s="189">
        <v>430565</v>
      </c>
      <c r="M48" s="189">
        <v>8223</v>
      </c>
      <c r="N48" s="52">
        <v>791683</v>
      </c>
    </row>
    <row r="49" spans="2:14">
      <c r="B49" s="189" t="s">
        <v>27</v>
      </c>
      <c r="C49" s="189">
        <v>3</v>
      </c>
      <c r="D49" s="189">
        <v>144</v>
      </c>
      <c r="E49" s="189">
        <v>3</v>
      </c>
      <c r="F49" s="189">
        <v>22</v>
      </c>
      <c r="G49" s="189">
        <v>92252</v>
      </c>
      <c r="H49" s="189">
        <v>2435876</v>
      </c>
      <c r="I49" s="189">
        <v>19844728</v>
      </c>
      <c r="J49" s="189">
        <v>34326</v>
      </c>
      <c r="K49" s="189">
        <v>0</v>
      </c>
      <c r="L49" s="189">
        <v>273064</v>
      </c>
      <c r="M49" s="189">
        <v>7787</v>
      </c>
      <c r="N49" s="52">
        <v>671374</v>
      </c>
    </row>
    <row r="50" spans="1:14">
      <c r="A50">
        <v>233</v>
      </c>
      <c r="B50" s="189" t="s">
        <v>25</v>
      </c>
      <c r="C50" s="189">
        <v>5</v>
      </c>
      <c r="D50" s="189">
        <v>162</v>
      </c>
      <c r="E50" s="189">
        <v>4</v>
      </c>
      <c r="F50" s="189">
        <v>24</v>
      </c>
      <c r="G50" s="189">
        <v>128060</v>
      </c>
      <c r="H50" s="189">
        <v>3878016</v>
      </c>
      <c r="I50" s="189">
        <v>32098035</v>
      </c>
      <c r="J50" s="189">
        <v>138238</v>
      </c>
      <c r="K50" s="189">
        <v>0</v>
      </c>
      <c r="L50" s="189">
        <v>680710</v>
      </c>
      <c r="M50" s="189">
        <v>14335</v>
      </c>
      <c r="N50" s="52">
        <v>1068315</v>
      </c>
    </row>
    <row r="51" spans="2:14">
      <c r="B51" s="189" t="s">
        <v>26</v>
      </c>
      <c r="C51" s="189">
        <v>3</v>
      </c>
      <c r="D51" s="189">
        <v>156</v>
      </c>
      <c r="E51" s="189">
        <v>4</v>
      </c>
      <c r="F51" s="189">
        <v>24</v>
      </c>
      <c r="G51" s="189">
        <v>111783</v>
      </c>
      <c r="H51" s="189">
        <v>3419902</v>
      </c>
      <c r="I51" s="189">
        <v>30540207</v>
      </c>
      <c r="J51" s="189">
        <v>138540</v>
      </c>
      <c r="K51" s="189">
        <v>60</v>
      </c>
      <c r="L51" s="189">
        <v>716422</v>
      </c>
      <c r="M51" s="189">
        <v>13407</v>
      </c>
      <c r="N51" s="52">
        <v>921274</v>
      </c>
    </row>
    <row r="52" spans="2:14">
      <c r="B52" s="189" t="s">
        <v>27</v>
      </c>
      <c r="C52" s="189">
        <v>1</v>
      </c>
      <c r="D52" s="189">
        <v>77</v>
      </c>
      <c r="E52" s="189">
        <v>1</v>
      </c>
      <c r="F52" s="189">
        <v>22</v>
      </c>
      <c r="G52" s="189">
        <v>55096</v>
      </c>
      <c r="H52" s="189">
        <v>2626596</v>
      </c>
      <c r="I52" s="189">
        <v>18980330</v>
      </c>
      <c r="J52" s="189">
        <v>46940</v>
      </c>
      <c r="K52" s="189">
        <v>0</v>
      </c>
      <c r="L52" s="189">
        <v>224074</v>
      </c>
      <c r="M52" s="189">
        <v>7190</v>
      </c>
      <c r="N52" s="52">
        <v>826804</v>
      </c>
    </row>
    <row r="53" spans="1:14">
      <c r="A53">
        <v>234</v>
      </c>
      <c r="B53" s="189" t="s">
        <v>25</v>
      </c>
      <c r="C53" s="189">
        <v>0</v>
      </c>
      <c r="D53" s="189">
        <v>34</v>
      </c>
      <c r="E53" s="189">
        <v>0</v>
      </c>
      <c r="F53" s="189">
        <v>11</v>
      </c>
      <c r="G53" s="189">
        <v>19357</v>
      </c>
      <c r="H53" s="189">
        <v>1154121</v>
      </c>
      <c r="I53" s="189">
        <v>6294774</v>
      </c>
      <c r="J53" s="189">
        <v>18882</v>
      </c>
      <c r="K53" s="189">
        <v>0</v>
      </c>
      <c r="L53" s="189">
        <v>65778</v>
      </c>
      <c r="M53" s="189">
        <v>2819</v>
      </c>
      <c r="N53" s="52">
        <v>334985</v>
      </c>
    </row>
    <row r="54" spans="2:14">
      <c r="B54" s="189" t="s">
        <v>26</v>
      </c>
      <c r="C54" s="189">
        <v>0</v>
      </c>
      <c r="D54" s="189">
        <v>16</v>
      </c>
      <c r="E54" s="189">
        <v>1</v>
      </c>
      <c r="F54" s="189">
        <v>15</v>
      </c>
      <c r="G54" s="189">
        <v>29029</v>
      </c>
      <c r="H54" s="189">
        <v>1536150</v>
      </c>
      <c r="I54" s="189">
        <v>9359109</v>
      </c>
      <c r="J54" s="189">
        <v>48144</v>
      </c>
      <c r="K54" s="189">
        <v>0</v>
      </c>
      <c r="L54" s="189">
        <v>252879</v>
      </c>
      <c r="M54" s="189">
        <v>4347</v>
      </c>
      <c r="N54" s="52">
        <v>491541</v>
      </c>
    </row>
    <row r="55" spans="2:14">
      <c r="B55" s="189" t="s">
        <v>27</v>
      </c>
      <c r="C55" s="189">
        <v>9</v>
      </c>
      <c r="D55" s="189">
        <v>345</v>
      </c>
      <c r="E55" s="189">
        <v>9</v>
      </c>
      <c r="F55" s="189">
        <v>42</v>
      </c>
      <c r="G55" s="189">
        <v>253366</v>
      </c>
      <c r="H55" s="189">
        <v>3701114</v>
      </c>
      <c r="I55" s="189">
        <v>47570964</v>
      </c>
      <c r="J55" s="189">
        <v>160860</v>
      </c>
      <c r="K55" s="189">
        <v>0</v>
      </c>
      <c r="L55" s="189">
        <v>1431820</v>
      </c>
      <c r="M55" s="189">
        <v>19616</v>
      </c>
      <c r="N55" s="52">
        <v>1164655</v>
      </c>
    </row>
    <row r="56" spans="1:14">
      <c r="A56">
        <v>235</v>
      </c>
      <c r="B56" s="189" t="s">
        <v>25</v>
      </c>
      <c r="C56" s="189">
        <v>2</v>
      </c>
      <c r="D56" s="189">
        <v>62</v>
      </c>
      <c r="E56" s="189">
        <v>0</v>
      </c>
      <c r="F56" s="189">
        <v>16</v>
      </c>
      <c r="G56" s="189">
        <v>27786</v>
      </c>
      <c r="H56" s="189">
        <v>1264091</v>
      </c>
      <c r="I56" s="189">
        <v>9796572</v>
      </c>
      <c r="J56" s="189">
        <v>6794</v>
      </c>
      <c r="K56" s="189">
        <v>3882</v>
      </c>
      <c r="L56" s="189">
        <v>126018</v>
      </c>
      <c r="M56" s="189">
        <v>3508</v>
      </c>
      <c r="N56" s="52">
        <v>449241</v>
      </c>
    </row>
    <row r="57" spans="2:14">
      <c r="B57" s="189" t="s">
        <v>26</v>
      </c>
      <c r="C57" s="189">
        <v>3</v>
      </c>
      <c r="D57" s="189">
        <v>153</v>
      </c>
      <c r="E57" s="189">
        <v>6</v>
      </c>
      <c r="F57" s="189">
        <v>35</v>
      </c>
      <c r="G57" s="189">
        <v>158427</v>
      </c>
      <c r="H57" s="189">
        <v>3356416</v>
      </c>
      <c r="I57" s="189">
        <v>38316269</v>
      </c>
      <c r="J57" s="189">
        <v>150998</v>
      </c>
      <c r="K57" s="189">
        <v>0</v>
      </c>
      <c r="L57" s="189">
        <v>604117</v>
      </c>
      <c r="M57" s="189">
        <v>14642</v>
      </c>
      <c r="N57" s="52">
        <v>1194861</v>
      </c>
    </row>
    <row r="58" spans="2:14">
      <c r="B58" s="189" t="s">
        <v>27</v>
      </c>
      <c r="C58" s="189">
        <v>4</v>
      </c>
      <c r="D58" s="189">
        <v>180</v>
      </c>
      <c r="E58" s="189">
        <v>4</v>
      </c>
      <c r="F58" s="189">
        <v>23</v>
      </c>
      <c r="G58" s="189">
        <v>123739</v>
      </c>
      <c r="H58" s="189">
        <v>3825666</v>
      </c>
      <c r="I58" s="189">
        <v>29409233</v>
      </c>
      <c r="J58" s="189">
        <v>169996</v>
      </c>
      <c r="K58" s="189">
        <v>0</v>
      </c>
      <c r="L58" s="189">
        <v>596616</v>
      </c>
      <c r="M58" s="272">
        <v>14983</v>
      </c>
      <c r="N58" s="52">
        <v>1129727</v>
      </c>
    </row>
    <row r="59" spans="1:14">
      <c r="A59">
        <v>236</v>
      </c>
      <c r="B59" s="265" t="s">
        <v>25</v>
      </c>
      <c r="C59" s="265">
        <v>2</v>
      </c>
      <c r="D59" s="265">
        <v>94</v>
      </c>
      <c r="E59" s="265">
        <v>1</v>
      </c>
      <c r="F59" s="265">
        <v>27</v>
      </c>
      <c r="G59" s="265">
        <v>72725</v>
      </c>
      <c r="H59" s="265">
        <v>2396617</v>
      </c>
      <c r="I59" s="265">
        <v>20215390</v>
      </c>
      <c r="J59" s="265">
        <v>49444</v>
      </c>
      <c r="K59" s="265">
        <v>68</v>
      </c>
      <c r="L59" s="265">
        <v>242888</v>
      </c>
      <c r="M59" s="273">
        <v>7527</v>
      </c>
      <c r="N59" s="52">
        <v>671164</v>
      </c>
    </row>
    <row r="60" spans="2:14">
      <c r="B60" s="50" t="s">
        <v>26</v>
      </c>
      <c r="C60" s="50">
        <v>5</v>
      </c>
      <c r="D60" s="50">
        <v>206</v>
      </c>
      <c r="E60" s="50">
        <v>8</v>
      </c>
      <c r="F60" s="50">
        <v>34</v>
      </c>
      <c r="G60" s="50">
        <v>171902</v>
      </c>
      <c r="H60" s="50">
        <v>3927275</v>
      </c>
      <c r="I60" s="50">
        <v>40107551</v>
      </c>
      <c r="J60" s="50">
        <v>204654</v>
      </c>
      <c r="K60" s="50">
        <v>0</v>
      </c>
      <c r="L60" s="50">
        <v>673579</v>
      </c>
      <c r="M60" s="274">
        <v>17833</v>
      </c>
      <c r="N60" s="52">
        <v>1096605</v>
      </c>
    </row>
    <row r="61" spans="2:14">
      <c r="B61" s="50" t="s">
        <v>27</v>
      </c>
      <c r="C61" s="50">
        <v>2</v>
      </c>
      <c r="D61" s="50">
        <v>95</v>
      </c>
      <c r="E61" s="50">
        <v>1</v>
      </c>
      <c r="F61" s="50">
        <v>22</v>
      </c>
      <c r="G61" s="50">
        <v>80223</v>
      </c>
      <c r="H61" s="50">
        <v>2388563</v>
      </c>
      <c r="I61" s="50">
        <v>18570650</v>
      </c>
      <c r="J61" s="50">
        <v>64713</v>
      </c>
      <c r="K61" s="50">
        <v>12</v>
      </c>
      <c r="L61" s="50">
        <v>286579</v>
      </c>
      <c r="M61" s="274">
        <v>7881</v>
      </c>
      <c r="N61" s="52">
        <v>834536</v>
      </c>
    </row>
  </sheetData>
  <conditionalFormatting sqref="A26:A28">
    <cfRule type="cellIs" dxfId="37" priority="6" operator="equal">
      <formula>$S$26</formula>
    </cfRule>
  </conditionalFormatting>
  <conditionalFormatting sqref="A29:A31">
    <cfRule type="cellIs" dxfId="37" priority="5" operator="equal">
      <formula>$S$26</formula>
    </cfRule>
  </conditionalFormatting>
  <conditionalFormatting sqref="A32:A34">
    <cfRule type="cellIs" dxfId="37" priority="4" operator="equal">
      <formula>$S$26</formula>
    </cfRule>
  </conditionalFormatting>
  <conditionalFormatting sqref="C2:C7">
    <cfRule type="cellIs" dxfId="37" priority="3" operator="equal">
      <formula>$S$26</formula>
    </cfRule>
  </conditionalFormatting>
  <conditionalFormatting sqref="C8:C13">
    <cfRule type="cellIs" dxfId="37" priority="2" operator="equal">
      <formula>$S$26</formula>
    </cfRule>
  </conditionalFormatting>
  <conditionalFormatting sqref="C14:C22">
    <cfRule type="cellIs" dxfId="37" priority="1" operator="equal">
      <formula>$S$26</formula>
    </cfRule>
  </conditionalFormatting>
  <conditionalFormatting sqref="F26:F28">
    <cfRule type="dataBar" priority="1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{20c943c0-e39e-4424-bf69-852af43ee96c}</x14:id>
        </ext>
      </extLst>
    </cfRule>
  </conditionalFormatting>
  <conditionalFormatting sqref="F29:F31">
    <cfRule type="dataBar" priority="17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{17708aea-0b9d-4610-aa4f-56e6051b513a}</x14:id>
        </ext>
      </extLst>
    </cfRule>
  </conditionalFormatting>
  <conditionalFormatting sqref="F32:F34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{bdeb1d0b-be36-4a07-93f7-3fc47fb9445d}</x14:id>
        </ext>
      </extLst>
    </cfRule>
  </conditionalFormatting>
  <conditionalFormatting sqref="G26:G28">
    <cfRule type="dataBar" priority="1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{7d0b80a9-bfec-48aa-8813-5c20ebf420ce}</x14:id>
        </ext>
      </extLst>
    </cfRule>
  </conditionalFormatting>
  <conditionalFormatting sqref="G29:G31">
    <cfRule type="dataBar" priority="17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{5b686d90-1f59-49a7-b3ab-c537f0ae3847}</x14:id>
        </ext>
      </extLst>
    </cfRule>
  </conditionalFormatting>
  <conditionalFormatting sqref="G32:G34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{87961229-1c8a-413c-b55c-659fdea319ff}</x14:id>
        </ext>
      </extLst>
    </cfRule>
  </conditionalFormatting>
  <conditionalFormatting sqref="N26:N31">
    <cfRule type="dataBar" priority="1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{07ce4ced-c66b-43d3-920b-ae6e96ce85d4}</x14:id>
        </ext>
      </extLst>
    </cfRule>
  </conditionalFormatting>
  <conditionalFormatting sqref="N32:N34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{6d176897-c1b7-4722-a9a1-3322cf4d81dd}</x14:id>
        </ext>
      </extLst>
    </cfRule>
  </conditionalFormatting>
  <conditionalFormatting sqref="P26:P33">
    <cfRule type="cellIs" dxfId="37" priority="160" operator="equal">
      <formula>$S$26</formula>
    </cfRule>
  </conditionalFormatting>
  <conditionalFormatting sqref="Q2:Q13">
    <cfRule type="cellIs" dxfId="38" priority="167" operator="equal">
      <formula>配置!$D$4</formula>
    </cfRule>
    <cfRule type="cellIs" dxfId="39" priority="168" operator="equal">
      <formula>配置!$D$3</formula>
    </cfRule>
    <cfRule type="cellIs" dxfId="37" priority="169" operator="equal">
      <formula>配置!$D$2</formula>
    </cfRule>
  </conditionalFormatting>
  <conditionalFormatting sqref="Q14:Q16">
    <cfRule type="cellIs" dxfId="38" priority="153" operator="equal">
      <formula>配置!$D$4</formula>
    </cfRule>
    <cfRule type="cellIs" dxfId="39" priority="154" operator="equal">
      <formula>配置!$D$3</formula>
    </cfRule>
    <cfRule type="cellIs" dxfId="37" priority="155" operator="equal">
      <formula>配置!$D$2</formula>
    </cfRule>
  </conditionalFormatting>
  <conditionalFormatting sqref="Q17:Q19">
    <cfRule type="cellIs" dxfId="38" priority="146" operator="equal">
      <formula>配置!$D$4</formula>
    </cfRule>
    <cfRule type="cellIs" dxfId="39" priority="147" operator="equal">
      <formula>配置!$D$3</formula>
    </cfRule>
    <cfRule type="cellIs" dxfId="37" priority="148" operator="equal">
      <formula>配置!$D$2</formula>
    </cfRule>
  </conditionalFormatting>
  <conditionalFormatting sqref="Q20:Q22">
    <cfRule type="cellIs" dxfId="38" priority="139" operator="equal">
      <formula>配置!$D$4</formula>
    </cfRule>
    <cfRule type="cellIs" dxfId="39" priority="140" operator="equal">
      <formula>配置!$D$3</formula>
    </cfRule>
    <cfRule type="cellIs" dxfId="37" priority="141" operator="equal">
      <formula>配置!$D$2</formula>
    </cfRule>
  </conditionalFormatting>
  <conditionalFormatting sqref="R26:R29">
    <cfRule type="cellIs" dxfId="37" priority="161" operator="equal">
      <formula>$S$26</formula>
    </cfRule>
  </conditionalFormatting>
  <conditionalFormatting sqref="O23:O24 Q1:R1 Q2 Q4:Q5 Q7:Q8 Q10:Q11 Q13">
    <cfRule type="cellIs" dxfId="37" priority="177" operator="equal">
      <formula>配置!$D$2</formula>
    </cfRule>
  </conditionalFormatting>
  <conditionalFormatting sqref="Q2 Q4:Q5 Q7:Q8 Q10:Q11 Q13">
    <cfRule type="cellIs" dxfId="38" priority="176" operator="equal">
      <formula>配置!$D$4</formula>
    </cfRule>
  </conditionalFormatting>
  <conditionalFormatting sqref="Q14 Q16">
    <cfRule type="cellIs" dxfId="38" priority="158" operator="equal">
      <formula>配置!$D$4</formula>
    </cfRule>
    <cfRule type="cellIs" dxfId="37" priority="159" operator="equal">
      <formula>配置!$D$2</formula>
    </cfRule>
  </conditionalFormatting>
  <conditionalFormatting sqref="Q17 Q19">
    <cfRule type="cellIs" dxfId="38" priority="151" operator="equal">
      <formula>配置!$D$4</formula>
    </cfRule>
    <cfRule type="cellIs" dxfId="37" priority="152" operator="equal">
      <formula>配置!$D$2</formula>
    </cfRule>
  </conditionalFormatting>
  <conditionalFormatting sqref="Q20 Q22">
    <cfRule type="cellIs" dxfId="38" priority="144" operator="equal">
      <formula>配置!$D$4</formula>
    </cfRule>
    <cfRule type="cellIs" dxfId="37" priority="145" operator="equal">
      <formula>配置!$D$2</formula>
    </cfRule>
  </conditionalFormatting>
  <dataValidations count="1">
    <dataValidation type="list" allowBlank="1" showInputMessage="1" showErrorMessage="1" sqref="Q2:Q13 Q14:Q16 Q17:Q19 Q20:Q22">
      <formula1>配置!$D$2:$D$4</formula1>
    </dataValidation>
  </dataValidations>
  <pageMargins left="0.75" right="0.75" top="1" bottom="1" header="0.5" footer="0.5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0c943c0-e39e-4424-bf69-852af43ee9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F26:F28</xm:sqref>
        </x14:conditionalFormatting>
        <x14:conditionalFormatting xmlns:xm="http://schemas.microsoft.com/office/excel/2006/main">
          <x14:cfRule type="dataBar" id="{17708aea-0b9d-4610-aa4f-56e6051b51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F29:F31</xm:sqref>
        </x14:conditionalFormatting>
        <x14:conditionalFormatting xmlns:xm="http://schemas.microsoft.com/office/excel/2006/main">
          <x14:cfRule type="dataBar" id="{bdeb1d0b-be36-4a07-93f7-3fc47fb944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7d0b80a9-bfec-48aa-8813-5c20ebf420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G26:G28</xm:sqref>
        </x14:conditionalFormatting>
        <x14:conditionalFormatting xmlns:xm="http://schemas.microsoft.com/office/excel/2006/main">
          <x14:cfRule type="dataBar" id="{5b686d90-1f59-49a7-b3ab-c537f0ae38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G29:G31</xm:sqref>
        </x14:conditionalFormatting>
        <x14:conditionalFormatting xmlns:xm="http://schemas.microsoft.com/office/excel/2006/main">
          <x14:cfRule type="dataBar" id="{87961229-1c8a-413c-b55c-659fdea319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07ce4ced-c66b-43d3-920b-ae6e96ce85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N26:N31</xm:sqref>
        </x14:conditionalFormatting>
        <x14:conditionalFormatting xmlns:xm="http://schemas.microsoft.com/office/excel/2006/main">
          <x14:cfRule type="dataBar" id="{6d176897-c1b7-4722-a9a1-3322cf4d81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N32:N34</xm:sqref>
        </x14:conditionalFormatting>
      </x14:conditionalFormatting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6"/>
  <sheetViews>
    <sheetView workbookViewId="0">
      <selection activeCell="V31" sqref="V31"/>
    </sheetView>
  </sheetViews>
  <sheetFormatPr defaultColWidth="9" defaultRowHeight="13.5"/>
  <cols>
    <col min="7" max="7" width="9.375"/>
    <col min="9" max="9" width="9.375"/>
    <col min="16" max="16" width="9.375"/>
  </cols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2" customFormat="1" ht="14.25" customHeight="1" spans="1:25">
      <c r="A2" s="197">
        <v>5311</v>
      </c>
      <c r="B2" s="197">
        <f>VLOOKUP(表1_86121822242672120[[#This Row],[区服]],$P$32:$Q$39,2,FALSE)</f>
        <v>37</v>
      </c>
      <c r="C2" s="198" t="s">
        <v>298</v>
      </c>
      <c r="D2" s="199" t="str">
        <f>表1_86121822242672120[[#This Row],[目标国家]]</f>
        <v>魏</v>
      </c>
      <c r="E2" s="200">
        <f>(VLOOKUP(表1_86121822242672120[[#This Row],[目标区服]],$R$32:$S$35,2,FALSE)-表1_86121822242672120[[#This Row],[开服天数]])*配置!$B$1</f>
        <v>1000</v>
      </c>
      <c r="F2" s="200">
        <f>表1_86121822242672120[[#This Row],[补偿Coin]]*(表1_86121822242672120[[#This Row],[活跃高战玩家数]]+表1_86121822242672120[[#This Row],[活跃中坚玩家数]])</f>
        <v>23000</v>
      </c>
      <c r="G2" s="200">
        <f>(VLOOKUP(表1_86121822242672120[[#This Row],[目标区服]],$R$32:$S$35,2,FALSE)-表1_86121822242672120[[#This Row],[开服天数]])*配置!$B$2</f>
        <v>10</v>
      </c>
      <c r="H2" s="201" t="s">
        <v>25</v>
      </c>
      <c r="I2" s="201">
        <f>IF(表1_86121822242672120[[#This Row],[原国家]]="魏",0,IF(表1_86121822242672120[[#This Row],[原国家]]="蜀",1,2))</f>
        <v>0</v>
      </c>
      <c r="J2" s="229">
        <v>0</v>
      </c>
      <c r="K2" s="229">
        <v>57</v>
      </c>
      <c r="L2" s="229">
        <v>2</v>
      </c>
      <c r="M2" s="229">
        <v>21</v>
      </c>
      <c r="N2" s="229">
        <v>70629</v>
      </c>
      <c r="O2" s="229">
        <v>1603652</v>
      </c>
      <c r="P2" s="229">
        <v>13821655</v>
      </c>
      <c r="Q2" s="235" t="s">
        <v>25</v>
      </c>
      <c r="R2" s="201">
        <f>IF(表1_86121822242672120[[#This Row],[目标国家]]="魏",0,IF(表1_86121822242672120[[#This Row],[目标国家]]="蜀",1,2))</f>
        <v>0</v>
      </c>
      <c r="S2" s="229">
        <v>29692</v>
      </c>
      <c r="T2" s="229">
        <v>0</v>
      </c>
      <c r="U2" s="229">
        <v>120268</v>
      </c>
      <c r="V2" s="229">
        <v>4859</v>
      </c>
      <c r="W2" s="236">
        <v>462334</v>
      </c>
      <c r="X2" s="237" t="str">
        <f>"{"&amp;"'coin':"&amp;表1_86121822242672120[[#This Row],[补偿Coin]]&amp;",'"&amp;配置!$A$2&amp;"':"&amp;表1_86121822242672120[[#This Row],[补偿辎重]]&amp;"},"</f>
        <v>{'coin':1000,'item036':10},</v>
      </c>
      <c r="Y2" s="253" t="str">
        <f>"      '"&amp;表1_86121822242672120[[#This Row],[区服]]&amp;"':{"</f>
        <v>      '5311':{</v>
      </c>
    </row>
    <row r="3" s="2" customFormat="1" ht="14.25" customHeight="1" spans="1:25">
      <c r="A3" s="202">
        <v>5311</v>
      </c>
      <c r="B3" s="197">
        <f>VLOOKUP(表1_86121822242672120[[#This Row],[区服]],$P$32:$Q$39,2,FALSE)</f>
        <v>37</v>
      </c>
      <c r="C3" s="198" t="s">
        <v>298</v>
      </c>
      <c r="D3" s="201" t="str">
        <f>表1_86121822242672120[[#This Row],[目标国家]]</f>
        <v>蜀</v>
      </c>
      <c r="E3" s="203">
        <f>(VLOOKUP(表1_86121822242672120[[#This Row],[目标区服]],$R$32:$S$35,2,FALSE)-表1_86121822242672120[[#This Row],[开服天数]])*配置!$B$1</f>
        <v>1000</v>
      </c>
      <c r="F3" s="203">
        <f>表1_86121822242672120[[#This Row],[补偿Coin]]*(表1_86121822242672120[[#This Row],[活跃高战玩家数]]+表1_86121822242672120[[#This Row],[活跃中坚玩家数]])</f>
        <v>38000</v>
      </c>
      <c r="G3" s="203">
        <f>(VLOOKUP(表1_86121822242672120[[#This Row],[目标区服]],$R$32:$S$35,2,FALSE)-表1_86121822242672120[[#This Row],[开服天数]])*配置!$B$2</f>
        <v>10</v>
      </c>
      <c r="H3" s="201" t="s">
        <v>26</v>
      </c>
      <c r="I3" s="201">
        <f>IF(表1_86121822242672120[[#This Row],[原国家]]="魏",0,IF(表1_86121822242672120[[#This Row],[原国家]]="蜀",1,2))</f>
        <v>1</v>
      </c>
      <c r="J3" s="229">
        <v>6</v>
      </c>
      <c r="K3" s="229">
        <v>247</v>
      </c>
      <c r="L3" s="229">
        <v>7</v>
      </c>
      <c r="M3" s="229">
        <v>31</v>
      </c>
      <c r="N3" s="229">
        <v>178066</v>
      </c>
      <c r="O3" s="229">
        <v>2768067</v>
      </c>
      <c r="P3" s="229">
        <v>31405631</v>
      </c>
      <c r="Q3" s="235" t="s">
        <v>26</v>
      </c>
      <c r="R3" s="201">
        <f>IF(表1_86121822242672120[[#This Row],[目标国家]]="魏",0,IF(表1_86121822242672120[[#This Row],[目标国家]]="蜀",1,2))</f>
        <v>1</v>
      </c>
      <c r="S3" s="229">
        <v>75039</v>
      </c>
      <c r="T3" s="229">
        <v>43320</v>
      </c>
      <c r="U3" s="229">
        <v>965714</v>
      </c>
      <c r="V3" s="229">
        <v>13036</v>
      </c>
      <c r="W3" s="238">
        <v>802768</v>
      </c>
      <c r="X3" s="237" t="str">
        <f>"{"&amp;"'coin':"&amp;表1_86121822242672120[[#This Row],[补偿Coin]]&amp;",'"&amp;配置!$A$2&amp;"':"&amp;表1_86121822242672120[[#This Row],[补偿辎重]]&amp;"},"</f>
        <v>{'coin':1000,'item036':10},</v>
      </c>
      <c r="Y3" s="253" t="str">
        <f>"            'to_zone':'"&amp;表1_86121822242672120[[#This Row],[目标区服]]&amp;"',
            'reward':"&amp;表1_86121822242672120[[#This Row],[辅助导出]]&amp;"
            'country':["&amp;R2&amp;","&amp;R3&amp;","&amp;R4&amp;"],"</f>
        <v>            'to_zone':'h1_627',
            'reward':{'coin':1000,'item036':10},
            'country':[0,1,0],</v>
      </c>
    </row>
    <row r="4" s="2" customFormat="1" ht="14.25" customHeight="1" spans="1:25">
      <c r="A4" s="202">
        <v>5311</v>
      </c>
      <c r="B4" s="197">
        <f>VLOOKUP(表1_86121822242672120[[#This Row],[区服]],$P$32:$Q$39,2,FALSE)</f>
        <v>37</v>
      </c>
      <c r="C4" s="198" t="s">
        <v>298</v>
      </c>
      <c r="D4" s="201" t="str">
        <f>表1_86121822242672120[[#This Row],[目标国家]]</f>
        <v>魏</v>
      </c>
      <c r="E4" s="203">
        <f>(VLOOKUP(表1_86121822242672120[[#This Row],[目标区服]],$R$32:$S$35,2,FALSE)-表1_86121822242672120[[#This Row],[开服天数]])*配置!$B$1</f>
        <v>1000</v>
      </c>
      <c r="F4" s="203">
        <f>表1_86121822242672120[[#This Row],[补偿Coin]]*(表1_86121822242672120[[#This Row],[活跃高战玩家数]]+表1_86121822242672120[[#This Row],[活跃中坚玩家数]])</f>
        <v>19000</v>
      </c>
      <c r="G4" s="203">
        <f>(VLOOKUP(表1_86121822242672120[[#This Row],[目标区服]],$R$32:$S$35,2,FALSE)-表1_86121822242672120[[#This Row],[开服天数]])*配置!$B$2</f>
        <v>10</v>
      </c>
      <c r="H4" s="201" t="s">
        <v>27</v>
      </c>
      <c r="I4" s="201">
        <f>IF(表1_86121822242672120[[#This Row],[原国家]]="魏",0,IF(表1_86121822242672120[[#This Row],[原国家]]="蜀",1,2))</f>
        <v>2</v>
      </c>
      <c r="J4" s="229">
        <v>3</v>
      </c>
      <c r="K4" s="229">
        <v>91</v>
      </c>
      <c r="L4" s="229">
        <v>1</v>
      </c>
      <c r="M4" s="229">
        <v>18</v>
      </c>
      <c r="N4" s="229">
        <v>74661</v>
      </c>
      <c r="O4" s="229">
        <v>1297651</v>
      </c>
      <c r="P4" s="229">
        <v>12508632</v>
      </c>
      <c r="Q4" s="235" t="s">
        <v>25</v>
      </c>
      <c r="R4" s="201">
        <f>IF(表1_86121822242672120[[#This Row],[目标国家]]="魏",0,IF(表1_86121822242672120[[#This Row],[目标国家]]="蜀",1,2))</f>
        <v>0</v>
      </c>
      <c r="S4" s="229">
        <v>13964</v>
      </c>
      <c r="T4" s="229">
        <v>0</v>
      </c>
      <c r="U4" s="229">
        <v>172399</v>
      </c>
      <c r="V4" s="229">
        <v>4636</v>
      </c>
      <c r="W4" s="236">
        <v>397796</v>
      </c>
      <c r="X4" s="237" t="str">
        <f>"{"&amp;"'coin':"&amp;表1_86121822242672120[[#This Row],[补偿Coin]]&amp;",'"&amp;配置!$A$2&amp;"':"&amp;表1_86121822242672120[[#This Row],[补偿辎重]]&amp;"},"</f>
        <v>{'coin':1000,'item036':10},</v>
      </c>
      <c r="Y4" s="253" t="str">
        <f>"      },"</f>
        <v>      },</v>
      </c>
    </row>
    <row r="5" s="2" customFormat="1" ht="14.25" customHeight="1" spans="1:25">
      <c r="A5" s="202">
        <v>5312</v>
      </c>
      <c r="B5" s="197">
        <f>VLOOKUP(表1_86121822242672120[[#This Row],[区服]],$P$32:$Q$39,2,FALSE)</f>
        <v>37</v>
      </c>
      <c r="C5" s="198" t="s">
        <v>298</v>
      </c>
      <c r="D5" s="201" t="str">
        <f>表1_86121822242672120[[#This Row],[目标国家]]</f>
        <v>魏</v>
      </c>
      <c r="E5" s="203">
        <f>(VLOOKUP(表1_86121822242672120[[#This Row],[目标区服]],$R$32:$S$35,2,FALSE)-表1_86121822242672120[[#This Row],[开服天数]])*配置!$B$1</f>
        <v>1000</v>
      </c>
      <c r="F5" s="203">
        <f>表1_86121822242672120[[#This Row],[补偿Coin]]*(表1_86121822242672120[[#This Row],[活跃高战玩家数]]+表1_86121822242672120[[#This Row],[活跃中坚玩家数]])</f>
        <v>24000</v>
      </c>
      <c r="G5" s="203">
        <f>(VLOOKUP(表1_86121822242672120[[#This Row],[目标区服]],$R$32:$S$35,2,FALSE)-表1_86121822242672120[[#This Row],[开服天数]])*配置!$B$2</f>
        <v>10</v>
      </c>
      <c r="H5" s="201" t="s">
        <v>25</v>
      </c>
      <c r="I5" s="201">
        <f>IF(表1_86121822242672120[[#This Row],[原国家]]="魏",0,IF(表1_86121822242672120[[#This Row],[原国家]]="蜀",1,2))</f>
        <v>0</v>
      </c>
      <c r="J5" s="229">
        <v>3</v>
      </c>
      <c r="K5" s="229">
        <v>117</v>
      </c>
      <c r="L5" s="229">
        <v>4</v>
      </c>
      <c r="M5" s="229">
        <v>20</v>
      </c>
      <c r="N5" s="229">
        <v>117812</v>
      </c>
      <c r="O5" s="229">
        <v>2201805</v>
      </c>
      <c r="P5" s="229">
        <v>17944098</v>
      </c>
      <c r="Q5" s="235" t="s">
        <v>25</v>
      </c>
      <c r="R5" s="201">
        <f>IF(表1_86121822242672120[[#This Row],[目标国家]]="魏",0,IF(表1_86121822242672120[[#This Row],[目标国家]]="蜀",1,2))</f>
        <v>0</v>
      </c>
      <c r="S5" s="229">
        <v>43328</v>
      </c>
      <c r="T5" s="229">
        <v>0</v>
      </c>
      <c r="U5" s="229">
        <v>317993</v>
      </c>
      <c r="V5" s="229">
        <v>7514</v>
      </c>
      <c r="W5" s="238">
        <v>556961</v>
      </c>
      <c r="X5" s="237" t="str">
        <f>"{"&amp;"'coin':"&amp;表1_86121822242672120[[#This Row],[补偿Coin]]&amp;",'"&amp;配置!$A$2&amp;"':"&amp;表1_86121822242672120[[#This Row],[补偿辎重]]&amp;"},"</f>
        <v>{'coin':1000,'item036':10},</v>
      </c>
      <c r="Y5" s="253" t="str">
        <f>"      '"&amp;表1_86121822242672120[[#This Row],[区服]]&amp;"':{"</f>
        <v>      '5312':{</v>
      </c>
    </row>
    <row r="6" s="2" customFormat="1" ht="14.25" customHeight="1" spans="1:25">
      <c r="A6" s="202">
        <v>5312</v>
      </c>
      <c r="B6" s="197">
        <f>VLOOKUP(表1_86121822242672120[[#This Row],[区服]],$P$32:$Q$39,2,FALSE)</f>
        <v>37</v>
      </c>
      <c r="C6" s="198" t="s">
        <v>298</v>
      </c>
      <c r="D6" s="201" t="str">
        <f>表1_86121822242672120[[#This Row],[目标国家]]</f>
        <v>吴</v>
      </c>
      <c r="E6" s="203">
        <f>(VLOOKUP(表1_86121822242672120[[#This Row],[目标区服]],$R$32:$S$35,2,FALSE)-表1_86121822242672120[[#This Row],[开服天数]])*配置!$B$1</f>
        <v>1000</v>
      </c>
      <c r="F6" s="203">
        <f>表1_86121822242672120[[#This Row],[补偿Coin]]*(表1_86121822242672120[[#This Row],[活跃高战玩家数]]+表1_86121822242672120[[#This Row],[活跃中坚玩家数]])</f>
        <v>37000</v>
      </c>
      <c r="G6" s="203">
        <f>(VLOOKUP(表1_86121822242672120[[#This Row],[目标区服]],$R$32:$S$35,2,FALSE)-表1_86121822242672120[[#This Row],[开服天数]])*配置!$B$2</f>
        <v>10</v>
      </c>
      <c r="H6" s="201" t="s">
        <v>26</v>
      </c>
      <c r="I6" s="201">
        <f>IF(表1_86121822242672120[[#This Row],[原国家]]="魏",0,IF(表1_86121822242672120[[#This Row],[原国家]]="蜀",1,2))</f>
        <v>1</v>
      </c>
      <c r="J6" s="229">
        <v>6</v>
      </c>
      <c r="K6" s="229">
        <v>249</v>
      </c>
      <c r="L6" s="229">
        <v>6</v>
      </c>
      <c r="M6" s="229">
        <v>31</v>
      </c>
      <c r="N6" s="229">
        <v>165790</v>
      </c>
      <c r="O6" s="229">
        <v>2794746</v>
      </c>
      <c r="P6" s="229">
        <v>26925585</v>
      </c>
      <c r="Q6" s="235" t="s">
        <v>27</v>
      </c>
      <c r="R6" s="201">
        <f>IF(表1_86121822242672120[[#This Row],[目标国家]]="魏",0,IF(表1_86121822242672120[[#This Row],[目标国家]]="蜀",1,2))</f>
        <v>2</v>
      </c>
      <c r="S6" s="229">
        <v>84578</v>
      </c>
      <c r="T6" s="229">
        <v>39498</v>
      </c>
      <c r="U6" s="229">
        <v>637114</v>
      </c>
      <c r="V6" s="229">
        <v>12657</v>
      </c>
      <c r="W6" s="238">
        <v>746951</v>
      </c>
      <c r="X6" s="237" t="str">
        <f>"{"&amp;"'coin':"&amp;表1_86121822242672120[[#This Row],[补偿Coin]]&amp;",'"&amp;配置!$A$2&amp;"':"&amp;表1_86121822242672120[[#This Row],[补偿辎重]]&amp;"},"</f>
        <v>{'coin':1000,'item036':10},</v>
      </c>
      <c r="Y6" s="253" t="str">
        <f>"            'to_zone':'"&amp;表1_86121822242672120[[#This Row],[目标区服]]&amp;"',
            'reward':"&amp;表1_86121822242672120[[#This Row],[辅助导出]]&amp;"
            'country':["&amp;R5&amp;","&amp;R6&amp;","&amp;R7&amp;"],"</f>
        <v>            'to_zone':'h1_627',
            'reward':{'coin':1000,'item036':10},
            'country':[0,2,2],</v>
      </c>
    </row>
    <row r="7" s="2" customFormat="1" ht="14.25" customHeight="1" spans="1:25">
      <c r="A7" s="202">
        <v>5312</v>
      </c>
      <c r="B7" s="197">
        <f>VLOOKUP(表1_86121822242672120[[#This Row],[区服]],$P$32:$Q$39,2,FALSE)</f>
        <v>37</v>
      </c>
      <c r="C7" s="198" t="s">
        <v>298</v>
      </c>
      <c r="D7" s="201" t="str">
        <f>表1_86121822242672120[[#This Row],[目标国家]]</f>
        <v>吴</v>
      </c>
      <c r="E7" s="203">
        <f>(VLOOKUP(表1_86121822242672120[[#This Row],[目标区服]],$R$32:$S$35,2,FALSE)-表1_86121822242672120[[#This Row],[开服天数]])*配置!$B$1</f>
        <v>1000</v>
      </c>
      <c r="F7" s="203">
        <f>表1_86121822242672120[[#This Row],[补偿Coin]]*(表1_86121822242672120[[#This Row],[活跃高战玩家数]]+表1_86121822242672120[[#This Row],[活跃中坚玩家数]])</f>
        <v>11000</v>
      </c>
      <c r="G7" s="203">
        <f>(VLOOKUP(表1_86121822242672120[[#This Row],[目标区服]],$R$32:$S$35,2,FALSE)-表1_86121822242672120[[#This Row],[开服天数]])*配置!$B$2</f>
        <v>10</v>
      </c>
      <c r="H7" s="201" t="s">
        <v>27</v>
      </c>
      <c r="I7" s="201">
        <f>IF(表1_86121822242672120[[#This Row],[原国家]]="魏",0,IF(表1_86121822242672120[[#This Row],[原国家]]="蜀",1,2))</f>
        <v>2</v>
      </c>
      <c r="J7" s="229">
        <v>0</v>
      </c>
      <c r="K7" s="229">
        <v>29</v>
      </c>
      <c r="L7" s="229">
        <v>0</v>
      </c>
      <c r="M7" s="229">
        <v>11</v>
      </c>
      <c r="N7" s="229">
        <v>32122</v>
      </c>
      <c r="O7" s="229">
        <v>887015</v>
      </c>
      <c r="P7" s="229">
        <v>5219410</v>
      </c>
      <c r="Q7" s="235" t="s">
        <v>27</v>
      </c>
      <c r="R7" s="201">
        <f>IF(表1_86121822242672120[[#This Row],[目标国家]]="魏",0,IF(表1_86121822242672120[[#This Row],[目标国家]]="蜀",1,2))</f>
        <v>2</v>
      </c>
      <c r="S7" s="229">
        <v>1544</v>
      </c>
      <c r="T7" s="229">
        <v>0</v>
      </c>
      <c r="U7" s="229">
        <v>67933</v>
      </c>
      <c r="V7" s="229">
        <v>1939</v>
      </c>
      <c r="W7" s="236">
        <v>248197</v>
      </c>
      <c r="X7" s="237" t="str">
        <f>"{"&amp;"'coin':"&amp;表1_86121822242672120[[#This Row],[补偿Coin]]&amp;",'"&amp;配置!$A$2&amp;"':"&amp;表1_86121822242672120[[#This Row],[补偿辎重]]&amp;"},"</f>
        <v>{'coin':1000,'item036':10},</v>
      </c>
      <c r="Y7" s="253" t="str">
        <f>"      },"</f>
        <v>      },</v>
      </c>
    </row>
    <row r="8" s="2" customFormat="1" ht="14.25" customHeight="1" spans="1:25">
      <c r="A8" s="204">
        <v>5313</v>
      </c>
      <c r="B8" s="205">
        <f>VLOOKUP(表1_86121822242672120[[#This Row],[区服]],$P$32:$Q$39,2,FALSE)</f>
        <v>37</v>
      </c>
      <c r="C8" s="206" t="s">
        <v>299</v>
      </c>
      <c r="D8" s="207" t="str">
        <f>表1_86121822242672120[[#This Row],[目标国家]]</f>
        <v>魏</v>
      </c>
      <c r="E8" s="208">
        <f>(VLOOKUP(表1_86121822242672120[[#This Row],[目标区服]],$R$32:$S$35,2,FALSE)-表1_86121822242672120[[#This Row],[开服天数]])*配置!$B$1</f>
        <v>1000</v>
      </c>
      <c r="F8" s="208">
        <f>表1_86121822242672120[[#This Row],[补偿Coin]]*(表1_86121822242672120[[#This Row],[活跃高战玩家数]]+表1_86121822242672120[[#This Row],[活跃中坚玩家数]])</f>
        <v>19000</v>
      </c>
      <c r="G8" s="209">
        <f>(VLOOKUP(表1_86121822242672120[[#This Row],[目标区服]],$R$32:$S$35,2,FALSE)-表1_86121822242672120[[#This Row],[开服天数]])*配置!$B$2</f>
        <v>10</v>
      </c>
      <c r="H8" s="207" t="s">
        <v>25</v>
      </c>
      <c r="I8" s="230">
        <f>IF(表1_86121822242672120[[#This Row],[原国家]]="魏",0,IF(表1_86121822242672120[[#This Row],[原国家]]="蜀",1,2))</f>
        <v>0</v>
      </c>
      <c r="J8" s="231">
        <v>1</v>
      </c>
      <c r="K8" s="231">
        <v>77</v>
      </c>
      <c r="L8" s="231">
        <v>1</v>
      </c>
      <c r="M8" s="231">
        <v>18</v>
      </c>
      <c r="N8" s="231">
        <v>56463</v>
      </c>
      <c r="O8" s="231">
        <v>1628551</v>
      </c>
      <c r="P8" s="231">
        <v>11206876</v>
      </c>
      <c r="Q8" s="239" t="s">
        <v>25</v>
      </c>
      <c r="R8" s="207">
        <f>IF(表1_86121822242672120[[#This Row],[目标国家]]="魏",0,IF(表1_86121822242672120[[#This Row],[目标国家]]="蜀",1,2))</f>
        <v>0</v>
      </c>
      <c r="S8" s="231">
        <v>21056</v>
      </c>
      <c r="T8" s="231">
        <v>0</v>
      </c>
      <c r="U8" s="231">
        <v>238149</v>
      </c>
      <c r="V8" s="231">
        <v>4652</v>
      </c>
      <c r="W8" s="240">
        <v>785419</v>
      </c>
      <c r="X8" s="241" t="str">
        <f>"{"&amp;"'coin':"&amp;表1_86121822242672120[[#This Row],[补偿Coin]]&amp;",'"&amp;配置!$A$2&amp;"':"&amp;表1_86121822242672120[[#This Row],[补偿辎重]]&amp;"},"</f>
        <v>{'coin':1000,'item036':10},</v>
      </c>
      <c r="Y8" s="241" t="str">
        <f>"      '"&amp;表1_86121822242672120[[#This Row],[区服]]&amp;"':{"</f>
        <v>      '5313':{</v>
      </c>
    </row>
    <row r="9" s="2" customFormat="1" ht="14.25" customHeight="1" spans="1:25">
      <c r="A9" s="204">
        <v>5313</v>
      </c>
      <c r="B9" s="205">
        <f>VLOOKUP(表1_86121822242672120[[#This Row],[区服]],$P$32:$Q$39,2,FALSE)</f>
        <v>37</v>
      </c>
      <c r="C9" s="206" t="s">
        <v>299</v>
      </c>
      <c r="D9" s="207" t="str">
        <f>表1_86121822242672120[[#This Row],[目标国家]]</f>
        <v>蜀</v>
      </c>
      <c r="E9" s="208">
        <f>(VLOOKUP(表1_86121822242672120[[#This Row],[目标区服]],$R$32:$S$35,2,FALSE)-表1_86121822242672120[[#This Row],[开服天数]])*配置!$B$1</f>
        <v>1000</v>
      </c>
      <c r="F9" s="208">
        <f>表1_86121822242672120[[#This Row],[补偿Coin]]*(表1_86121822242672120[[#This Row],[活跃高战玩家数]]+表1_86121822242672120[[#This Row],[活跃中坚玩家数]])</f>
        <v>43000</v>
      </c>
      <c r="G9" s="209">
        <f>(VLOOKUP(表1_86121822242672120[[#This Row],[目标区服]],$R$32:$S$35,2,FALSE)-表1_86121822242672120[[#This Row],[开服天数]])*配置!$B$2</f>
        <v>10</v>
      </c>
      <c r="H9" s="207" t="s">
        <v>26</v>
      </c>
      <c r="I9" s="230">
        <f>IF(表1_86121822242672120[[#This Row],[原国家]]="魏",0,IF(表1_86121822242672120[[#This Row],[原国家]]="蜀",1,2))</f>
        <v>1</v>
      </c>
      <c r="J9" s="231">
        <v>6</v>
      </c>
      <c r="K9" s="231">
        <v>223</v>
      </c>
      <c r="L9" s="231">
        <v>7</v>
      </c>
      <c r="M9" s="231">
        <v>36</v>
      </c>
      <c r="N9" s="231">
        <v>192304</v>
      </c>
      <c r="O9" s="231">
        <v>2922760</v>
      </c>
      <c r="P9" s="231">
        <v>33613169</v>
      </c>
      <c r="Q9" s="239" t="s">
        <v>26</v>
      </c>
      <c r="R9" s="207">
        <f>IF(表1_86121822242672120[[#This Row],[目标国家]]="魏",0,IF(表1_86121822242672120[[#This Row],[目标国家]]="蜀",1,2))</f>
        <v>1</v>
      </c>
      <c r="S9" s="231">
        <v>109938</v>
      </c>
      <c r="T9" s="231">
        <v>0</v>
      </c>
      <c r="U9" s="231">
        <v>427374</v>
      </c>
      <c r="V9" s="231">
        <v>13587</v>
      </c>
      <c r="W9" s="242">
        <v>975304</v>
      </c>
      <c r="X9" s="241" t="str">
        <f>"{"&amp;"'coin':"&amp;表1_86121822242672120[[#This Row],[补偿Coin]]&amp;",'"&amp;配置!$A$2&amp;"':"&amp;表1_86121822242672120[[#This Row],[补偿辎重]]&amp;"},"</f>
        <v>{'coin':1000,'item036':10},</v>
      </c>
      <c r="Y9" s="241" t="str">
        <f>"            'to_zone':'"&amp;表1_86121822242672120[[#This Row],[目标区服]]&amp;"',
            'reward':"&amp;表1_86121822242672120[[#This Row],[辅助导出]]&amp;"
            'country':["&amp;R8&amp;","&amp;R9&amp;","&amp;R10&amp;"],"</f>
        <v>            'to_zone':'h1_628',
            'reward':{'coin':1000,'item036':10},
            'country':[0,1,0],</v>
      </c>
    </row>
    <row r="10" s="2" customFormat="1" ht="14.25" customHeight="1" spans="1:25">
      <c r="A10" s="204">
        <v>5313</v>
      </c>
      <c r="B10" s="205">
        <f>VLOOKUP(表1_86121822242672120[[#This Row],[区服]],$P$32:$Q$39,2,FALSE)</f>
        <v>37</v>
      </c>
      <c r="C10" s="206" t="s">
        <v>299</v>
      </c>
      <c r="D10" s="207" t="str">
        <f>表1_86121822242672120[[#This Row],[目标国家]]</f>
        <v>魏</v>
      </c>
      <c r="E10" s="208">
        <f>(VLOOKUP(表1_86121822242672120[[#This Row],[目标区服]],$R$32:$S$35,2,FALSE)-表1_86121822242672120[[#This Row],[开服天数]])*配置!$B$1</f>
        <v>1000</v>
      </c>
      <c r="F10" s="208">
        <f>表1_86121822242672120[[#This Row],[补偿Coin]]*(表1_86121822242672120[[#This Row],[活跃高战玩家数]]+表1_86121822242672120[[#This Row],[活跃中坚玩家数]])</f>
        <v>17000</v>
      </c>
      <c r="G10" s="209">
        <f>(VLOOKUP(表1_86121822242672120[[#This Row],[目标区服]],$R$32:$S$35,2,FALSE)-表1_86121822242672120[[#This Row],[开服天数]])*配置!$B$2</f>
        <v>10</v>
      </c>
      <c r="H10" s="207" t="s">
        <v>27</v>
      </c>
      <c r="I10" s="230">
        <f>IF(表1_86121822242672120[[#This Row],[原国家]]="魏",0,IF(表1_86121822242672120[[#This Row],[原国家]]="蜀",1,2))</f>
        <v>2</v>
      </c>
      <c r="J10" s="231">
        <v>2</v>
      </c>
      <c r="K10" s="231">
        <v>95</v>
      </c>
      <c r="L10" s="231">
        <v>0</v>
      </c>
      <c r="M10" s="231">
        <v>17</v>
      </c>
      <c r="N10" s="231">
        <v>45162</v>
      </c>
      <c r="O10" s="231">
        <v>1423603</v>
      </c>
      <c r="P10" s="231">
        <v>9301143</v>
      </c>
      <c r="Q10" s="239" t="s">
        <v>25</v>
      </c>
      <c r="R10" s="207">
        <f>IF(表1_86121822242672120[[#This Row],[目标国家]]="魏",0,IF(表1_86121822242672120[[#This Row],[目标国家]]="蜀",1,2))</f>
        <v>0</v>
      </c>
      <c r="S10" s="231">
        <v>6574</v>
      </c>
      <c r="T10" s="231">
        <v>0</v>
      </c>
      <c r="U10" s="231">
        <v>151583</v>
      </c>
      <c r="V10" s="231">
        <v>4002</v>
      </c>
      <c r="W10" s="240">
        <v>472332</v>
      </c>
      <c r="X10" s="241" t="str">
        <f>"{"&amp;"'coin':"&amp;表1_86121822242672120[[#This Row],[补偿Coin]]&amp;",'"&amp;配置!$A$2&amp;"':"&amp;表1_86121822242672120[[#This Row],[补偿辎重]]&amp;"},"</f>
        <v>{'coin':1000,'item036':10},</v>
      </c>
      <c r="Y10" s="241" t="str">
        <f>"      },"</f>
        <v>      },</v>
      </c>
    </row>
    <row r="11" s="2" customFormat="1" ht="14.25" customHeight="1" spans="1:25">
      <c r="A11" s="204">
        <v>5314</v>
      </c>
      <c r="B11" s="205">
        <f>VLOOKUP(表1_86121822242672120[[#This Row],[区服]],$P$32:$Q$39,2,FALSE)</f>
        <v>36</v>
      </c>
      <c r="C11" s="206" t="s">
        <v>299</v>
      </c>
      <c r="D11" s="207" t="str">
        <f>表1_86121822242672120[[#This Row],[目标国家]]</f>
        <v>魏</v>
      </c>
      <c r="E11" s="208">
        <f>(VLOOKUP(表1_86121822242672120[[#This Row],[目标区服]],$R$32:$S$35,2,FALSE)-表1_86121822242672120[[#This Row],[开服天数]])*配置!$B$1</f>
        <v>1500</v>
      </c>
      <c r="F11" s="208">
        <f>表1_86121822242672120[[#This Row],[补偿Coin]]*(表1_86121822242672120[[#This Row],[活跃高战玩家数]]+表1_86121822242672120[[#This Row],[活跃中坚玩家数]])</f>
        <v>36000</v>
      </c>
      <c r="G11" s="209">
        <f>(VLOOKUP(表1_86121822242672120[[#This Row],[目标区服]],$R$32:$S$35,2,FALSE)-表1_86121822242672120[[#This Row],[开服天数]])*配置!$B$2</f>
        <v>15</v>
      </c>
      <c r="H11" s="207" t="s">
        <v>25</v>
      </c>
      <c r="I11" s="230">
        <f>IF(表1_86121822242672120[[#This Row],[原国家]]="魏",0,IF(表1_86121822242672120[[#This Row],[原国家]]="蜀",1,2))</f>
        <v>0</v>
      </c>
      <c r="J11" s="231">
        <v>3</v>
      </c>
      <c r="K11" s="231">
        <v>105</v>
      </c>
      <c r="L11" s="231">
        <v>4</v>
      </c>
      <c r="M11" s="231">
        <v>20</v>
      </c>
      <c r="N11" s="231">
        <v>99600</v>
      </c>
      <c r="O11" s="231">
        <v>2672714</v>
      </c>
      <c r="P11" s="231">
        <v>18357296</v>
      </c>
      <c r="Q11" s="239" t="s">
        <v>25</v>
      </c>
      <c r="R11" s="207">
        <f>IF(表1_86121822242672120[[#This Row],[目标国家]]="魏",0,IF(表1_86121822242672120[[#This Row],[目标国家]]="蜀",1,2))</f>
        <v>0</v>
      </c>
      <c r="S11" s="231">
        <v>56352</v>
      </c>
      <c r="T11" s="231">
        <v>0</v>
      </c>
      <c r="U11" s="231">
        <v>332782</v>
      </c>
      <c r="V11" s="231">
        <v>8213</v>
      </c>
      <c r="W11" s="242">
        <v>892273</v>
      </c>
      <c r="X11" s="241" t="str">
        <f>"{"&amp;"'coin':"&amp;表1_86121822242672120[[#This Row],[补偿Coin]]&amp;",'"&amp;配置!$A$2&amp;"':"&amp;表1_86121822242672120[[#This Row],[补偿辎重]]&amp;"},"</f>
        <v>{'coin':1500,'item036':15},</v>
      </c>
      <c r="Y11" s="241" t="str">
        <f>"      '"&amp;表1_86121822242672120[[#This Row],[区服]]&amp;"':{"</f>
        <v>      '5314':{</v>
      </c>
    </row>
    <row r="12" s="2" customFormat="1" ht="14.25" customHeight="1" spans="1:25">
      <c r="A12" s="204">
        <v>5314</v>
      </c>
      <c r="B12" s="205">
        <f>VLOOKUP(表1_86121822242672120[[#This Row],[区服]],$P$32:$Q$39,2,FALSE)</f>
        <v>36</v>
      </c>
      <c r="C12" s="206" t="s">
        <v>299</v>
      </c>
      <c r="D12" s="207" t="str">
        <f>表1_86121822242672120[[#This Row],[目标国家]]</f>
        <v>吴</v>
      </c>
      <c r="E12" s="208">
        <f>(VLOOKUP(表1_86121822242672120[[#This Row],[目标区服]],$R$32:$S$35,2,FALSE)-表1_86121822242672120[[#This Row],[开服天数]])*配置!$B$1</f>
        <v>1500</v>
      </c>
      <c r="F12" s="208">
        <f>表1_86121822242672120[[#This Row],[补偿Coin]]*(表1_86121822242672120[[#This Row],[活跃高战玩家数]]+表1_86121822242672120[[#This Row],[活跃中坚玩家数]])</f>
        <v>21000</v>
      </c>
      <c r="G12" s="209">
        <f>(VLOOKUP(表1_86121822242672120[[#This Row],[目标区服]],$R$32:$S$35,2,FALSE)-表1_86121822242672120[[#This Row],[开服天数]])*配置!$B$2</f>
        <v>15</v>
      </c>
      <c r="H12" s="207" t="s">
        <v>26</v>
      </c>
      <c r="I12" s="230">
        <f>IF(表1_86121822242672120[[#This Row],[原国家]]="魏",0,IF(表1_86121822242672120[[#This Row],[原国家]]="蜀",1,2))</f>
        <v>1</v>
      </c>
      <c r="J12" s="231">
        <v>0</v>
      </c>
      <c r="K12" s="231">
        <v>62</v>
      </c>
      <c r="L12" s="231">
        <v>0</v>
      </c>
      <c r="M12" s="231">
        <v>14</v>
      </c>
      <c r="N12" s="231">
        <v>35228</v>
      </c>
      <c r="O12" s="231">
        <v>1245149</v>
      </c>
      <c r="P12" s="231">
        <v>7551034</v>
      </c>
      <c r="Q12" s="239" t="s">
        <v>27</v>
      </c>
      <c r="R12" s="207">
        <f>IF(表1_86121822242672120[[#This Row],[目标国家]]="魏",0,IF(表1_86121822242672120[[#This Row],[目标国家]]="蜀",1,2))</f>
        <v>2</v>
      </c>
      <c r="S12" s="231">
        <v>7340</v>
      </c>
      <c r="T12" s="231">
        <v>0</v>
      </c>
      <c r="U12" s="231">
        <v>35044</v>
      </c>
      <c r="V12" s="231">
        <v>3034</v>
      </c>
      <c r="W12" s="240">
        <v>458559</v>
      </c>
      <c r="X12" s="241" t="str">
        <f>"{"&amp;"'coin':"&amp;表1_86121822242672120[[#This Row],[补偿Coin]]&amp;",'"&amp;配置!$A$2&amp;"':"&amp;表1_86121822242672120[[#This Row],[补偿辎重]]&amp;"},"</f>
        <v>{'coin':1500,'item036':15},</v>
      </c>
      <c r="Y12" s="241" t="str">
        <f>"            'to_zone':'"&amp;表1_86121822242672120[[#This Row],[目标区服]]&amp;"',
            'reward':"&amp;表1_86121822242672120[[#This Row],[辅助导出]]&amp;"
            'country':["&amp;R11&amp;","&amp;R12&amp;","&amp;R13&amp;"],"</f>
        <v>            'to_zone':'h1_628',
            'reward':{'coin':1500,'item036':15},
            'country':[0,2,2],</v>
      </c>
    </row>
    <row r="13" s="2" customFormat="1" ht="14.25" customHeight="1" spans="1:25">
      <c r="A13" s="204">
        <v>5314</v>
      </c>
      <c r="B13" s="205">
        <f>VLOOKUP(表1_86121822242672120[[#This Row],[区服]],$P$32:$Q$39,2,FALSE)</f>
        <v>36</v>
      </c>
      <c r="C13" s="206" t="s">
        <v>299</v>
      </c>
      <c r="D13" s="207" t="str">
        <f>表1_86121822242672120[[#This Row],[目标国家]]</f>
        <v>吴</v>
      </c>
      <c r="E13" s="208">
        <f>(VLOOKUP(表1_86121822242672120[[#This Row],[目标区服]],$R$32:$S$35,2,FALSE)-表1_86121822242672120[[#This Row],[开服天数]])*配置!$B$1</f>
        <v>1500</v>
      </c>
      <c r="F13" s="208">
        <f>表1_86121822242672120[[#This Row],[补偿Coin]]*(表1_86121822242672120[[#This Row],[活跃高战玩家数]]+表1_86121822242672120[[#This Row],[活跃中坚玩家数]])</f>
        <v>52500</v>
      </c>
      <c r="G13" s="209">
        <f>(VLOOKUP(表1_86121822242672120[[#This Row],[目标区服]],$R$32:$S$35,2,FALSE)-表1_86121822242672120[[#This Row],[开服天数]])*配置!$B$2</f>
        <v>15</v>
      </c>
      <c r="H13" s="207" t="s">
        <v>27</v>
      </c>
      <c r="I13" s="230">
        <f>IF(表1_86121822242672120[[#This Row],[原国家]]="魏",0,IF(表1_86121822242672120[[#This Row],[原国家]]="蜀",1,2))</f>
        <v>2</v>
      </c>
      <c r="J13" s="231">
        <v>6</v>
      </c>
      <c r="K13" s="231">
        <v>228</v>
      </c>
      <c r="L13" s="231">
        <v>6</v>
      </c>
      <c r="M13" s="231">
        <v>29</v>
      </c>
      <c r="N13" s="231">
        <v>155964</v>
      </c>
      <c r="O13" s="231">
        <v>3179835</v>
      </c>
      <c r="P13" s="231">
        <v>28965260</v>
      </c>
      <c r="Q13" s="239" t="s">
        <v>27</v>
      </c>
      <c r="R13" s="207">
        <f>IF(表1_86121822242672120[[#This Row],[目标国家]]="魏",0,IF(表1_86121822242672120[[#This Row],[目标国家]]="蜀",1,2))</f>
        <v>2</v>
      </c>
      <c r="S13" s="231">
        <v>107570</v>
      </c>
      <c r="T13" s="231">
        <v>0</v>
      </c>
      <c r="U13" s="231">
        <v>657133</v>
      </c>
      <c r="V13" s="231">
        <v>13291</v>
      </c>
      <c r="W13" s="242">
        <v>917479</v>
      </c>
      <c r="X13" s="241" t="str">
        <f>"{"&amp;"'coin':"&amp;表1_86121822242672120[[#This Row],[补偿Coin]]&amp;",'"&amp;配置!$A$2&amp;"':"&amp;表1_86121822242672120[[#This Row],[补偿辎重]]&amp;"},"</f>
        <v>{'coin':1500,'item036':15},</v>
      </c>
      <c r="Y13" s="241" t="str">
        <f>"      },"</f>
        <v>      },</v>
      </c>
    </row>
    <row r="14" s="2" customFormat="1" ht="14.25" customHeight="1" spans="1:25">
      <c r="A14" s="210">
        <v>5315</v>
      </c>
      <c r="B14" s="210">
        <f>VLOOKUP(表1_86121822242672120[[#This Row],[区服]],$P$32:$Q$39,2,FALSE)</f>
        <v>36</v>
      </c>
      <c r="C14" s="211" t="s">
        <v>300</v>
      </c>
      <c r="D14" s="212" t="str">
        <f>表1_86121822242672120[[#This Row],[目标国家]]</f>
        <v>吴</v>
      </c>
      <c r="E14" s="213">
        <f>(VLOOKUP(表1_86121822242672120[[#This Row],[目标区服]],$R$32:$S$35,2,FALSE)-表1_86121822242672120[[#This Row],[开服天数]])*配置!$B$1</f>
        <v>1000</v>
      </c>
      <c r="F14" s="213">
        <f>表1_86121822242672120[[#This Row],[补偿Coin]]*(表1_86121822242672120[[#This Row],[活跃高战玩家数]]+表1_86121822242672120[[#This Row],[活跃中坚玩家数]])</f>
        <v>15000</v>
      </c>
      <c r="G14" s="213">
        <f>(VLOOKUP(表1_86121822242672120[[#This Row],[目标区服]],$R$32:$S$35,2,FALSE)-表1_86121822242672120[[#This Row],[开服天数]])*配置!$B$2</f>
        <v>10</v>
      </c>
      <c r="H14" s="212" t="s">
        <v>25</v>
      </c>
      <c r="I14" s="212">
        <f>IF(表1_86121822242672120[[#This Row],[原国家]]="魏",0,IF(表1_86121822242672120[[#This Row],[原国家]]="蜀",1,2))</f>
        <v>0</v>
      </c>
      <c r="J14" s="232">
        <v>2</v>
      </c>
      <c r="K14" s="232">
        <v>79</v>
      </c>
      <c r="L14" s="232">
        <v>3</v>
      </c>
      <c r="M14" s="232">
        <v>12</v>
      </c>
      <c r="N14" s="232">
        <v>52276</v>
      </c>
      <c r="O14" s="232">
        <v>1672124</v>
      </c>
      <c r="P14" s="232">
        <v>9626027</v>
      </c>
      <c r="Q14" s="243" t="s">
        <v>27</v>
      </c>
      <c r="R14" s="212">
        <f>IF(表1_86121822242672120[[#This Row],[目标国家]]="魏",0,IF(表1_86121822242672120[[#This Row],[目标国家]]="蜀",1,2))</f>
        <v>2</v>
      </c>
      <c r="S14" s="232">
        <v>21148</v>
      </c>
      <c r="T14" s="232">
        <v>0</v>
      </c>
      <c r="U14" s="232">
        <v>61775</v>
      </c>
      <c r="V14" s="232">
        <v>4551</v>
      </c>
      <c r="W14" s="244">
        <v>545497</v>
      </c>
      <c r="X14" s="245" t="str">
        <f>"{"&amp;"'coin':"&amp;表1_86121822242672120[[#This Row],[补偿Coin]]&amp;",'"&amp;配置!$A$2&amp;"':"&amp;表1_86121822242672120[[#This Row],[补偿辎重]]&amp;"},"</f>
        <v>{'coin':1000,'item036':10},</v>
      </c>
      <c r="Y14" s="254" t="str">
        <f>"      '"&amp;表1_86121822242672120[[#This Row],[区服]]&amp;"':{"</f>
        <v>      '5315':{</v>
      </c>
    </row>
    <row r="15" s="2" customFormat="1" ht="14.25" customHeight="1" spans="1:25">
      <c r="A15" s="210">
        <v>5315</v>
      </c>
      <c r="B15" s="210">
        <f>VLOOKUP(表1_86121822242672120[[#This Row],[区服]],$P$32:$Q$39,2,FALSE)</f>
        <v>36</v>
      </c>
      <c r="C15" s="211" t="s">
        <v>300</v>
      </c>
      <c r="D15" s="212" t="str">
        <f>表1_86121822242672120[[#This Row],[目标国家]]</f>
        <v>蜀</v>
      </c>
      <c r="E15" s="213">
        <f>(VLOOKUP(表1_86121822242672120[[#This Row],[目标区服]],$R$32:$S$35,2,FALSE)-表1_86121822242672120[[#This Row],[开服天数]])*配置!$B$1</f>
        <v>1000</v>
      </c>
      <c r="F15" s="213">
        <f>表1_86121822242672120[[#This Row],[补偿Coin]]*(表1_86121822242672120[[#This Row],[活跃高战玩家数]]+表1_86121822242672120[[#This Row],[活跃中坚玩家数]])</f>
        <v>33000</v>
      </c>
      <c r="G15" s="213">
        <f>(VLOOKUP(表1_86121822242672120[[#This Row],[目标区服]],$R$32:$S$35,2,FALSE)-表1_86121822242672120[[#This Row],[开服天数]])*配置!$B$2</f>
        <v>10</v>
      </c>
      <c r="H15" s="212" t="s">
        <v>26</v>
      </c>
      <c r="I15" s="212">
        <f>IF(表1_86121822242672120[[#This Row],[原国家]]="魏",0,IF(表1_86121822242672120[[#This Row],[原国家]]="蜀",1,2))</f>
        <v>1</v>
      </c>
      <c r="J15" s="232">
        <v>4</v>
      </c>
      <c r="K15" s="232">
        <v>181</v>
      </c>
      <c r="L15" s="232">
        <v>3</v>
      </c>
      <c r="M15" s="232">
        <v>30</v>
      </c>
      <c r="N15" s="232">
        <v>119989</v>
      </c>
      <c r="O15" s="232">
        <v>2246378</v>
      </c>
      <c r="P15" s="232">
        <v>22992029</v>
      </c>
      <c r="Q15" s="243" t="s">
        <v>26</v>
      </c>
      <c r="R15" s="212">
        <f>IF(表1_86121822242672120[[#This Row],[目标国家]]="魏",0,IF(表1_86121822242672120[[#This Row],[目标国家]]="蜀",1,2))</f>
        <v>1</v>
      </c>
      <c r="S15" s="232">
        <v>58468</v>
      </c>
      <c r="T15" s="232">
        <v>0</v>
      </c>
      <c r="U15" s="232">
        <v>504566</v>
      </c>
      <c r="V15" s="232">
        <v>9361</v>
      </c>
      <c r="W15" s="246">
        <v>618833</v>
      </c>
      <c r="X15" s="245" t="str">
        <f>"{"&amp;"'coin':"&amp;表1_86121822242672120[[#This Row],[补偿Coin]]&amp;",'"&amp;配置!$A$2&amp;"':"&amp;表1_86121822242672120[[#This Row],[补偿辎重]]&amp;"},"</f>
        <v>{'coin':1000,'item036':10},</v>
      </c>
      <c r="Y15" s="254" t="str">
        <f>"            'to_zone':'"&amp;表1_86121822242672120[[#This Row],[目标区服]]&amp;"',
            'reward':"&amp;表1_86121822242672120[[#This Row],[辅助导出]]&amp;"
            'country':["&amp;R14&amp;","&amp;R15&amp;","&amp;R16&amp;"],"</f>
        <v>            'to_zone':'h1_629',
            'reward':{'coin':1000,'item036':10},
            'country':[2,1,2],</v>
      </c>
    </row>
    <row r="16" s="2" customFormat="1" ht="14.25" customHeight="1" spans="1:25">
      <c r="A16" s="210">
        <v>5315</v>
      </c>
      <c r="B16" s="210">
        <f>VLOOKUP(表1_86121822242672120[[#This Row],[区服]],$P$32:$Q$39,2,FALSE)</f>
        <v>36</v>
      </c>
      <c r="C16" s="211" t="s">
        <v>300</v>
      </c>
      <c r="D16" s="212" t="str">
        <f>表1_86121822242672120[[#This Row],[目标国家]]</f>
        <v>吴</v>
      </c>
      <c r="E16" s="213">
        <f>(VLOOKUP(表1_86121822242672120[[#This Row],[目标区服]],$R$32:$S$35,2,FALSE)-表1_86121822242672120[[#This Row],[开服天数]])*配置!$B$1</f>
        <v>1000</v>
      </c>
      <c r="F16" s="213">
        <f>表1_86121822242672120[[#This Row],[补偿Coin]]*(表1_86121822242672120[[#This Row],[活跃高战玩家数]]+表1_86121822242672120[[#This Row],[活跃中坚玩家数]])</f>
        <v>37000</v>
      </c>
      <c r="G16" s="213">
        <f>(VLOOKUP(表1_86121822242672120[[#This Row],[目标区服]],$R$32:$S$35,2,FALSE)-表1_86121822242672120[[#This Row],[开服天数]])*配置!$B$2</f>
        <v>10</v>
      </c>
      <c r="H16" s="212" t="s">
        <v>27</v>
      </c>
      <c r="I16" s="212">
        <f>IF(表1_86121822242672120[[#This Row],[原国家]]="魏",0,IF(表1_86121822242672120[[#This Row],[原国家]]="蜀",1,2))</f>
        <v>2</v>
      </c>
      <c r="J16" s="232">
        <v>3</v>
      </c>
      <c r="K16" s="232">
        <v>135</v>
      </c>
      <c r="L16" s="232">
        <v>4</v>
      </c>
      <c r="M16" s="232">
        <v>33</v>
      </c>
      <c r="N16" s="232">
        <v>146634</v>
      </c>
      <c r="O16" s="232">
        <v>2818617</v>
      </c>
      <c r="P16" s="232">
        <v>28081164</v>
      </c>
      <c r="Q16" s="243" t="s">
        <v>27</v>
      </c>
      <c r="R16" s="212">
        <f>IF(表1_86121822242672120[[#This Row],[目标国家]]="魏",0,IF(表1_86121822242672120[[#This Row],[目标国家]]="蜀",1,2))</f>
        <v>2</v>
      </c>
      <c r="S16" s="232">
        <v>97142</v>
      </c>
      <c r="T16" s="232">
        <v>0</v>
      </c>
      <c r="U16" s="232">
        <v>480276</v>
      </c>
      <c r="V16" s="232">
        <v>11164</v>
      </c>
      <c r="W16" s="246">
        <v>682030</v>
      </c>
      <c r="X16" s="245" t="str">
        <f>"{"&amp;"'coin':"&amp;表1_86121822242672120[[#This Row],[补偿Coin]]&amp;",'"&amp;配置!$A$2&amp;"':"&amp;表1_86121822242672120[[#This Row],[补偿辎重]]&amp;"},"</f>
        <v>{'coin':1000,'item036':10},</v>
      </c>
      <c r="Y16" s="254" t="str">
        <f>"      },"</f>
        <v>      },</v>
      </c>
    </row>
    <row r="17" s="2" customFormat="1" ht="14.25" customHeight="1" spans="1:25">
      <c r="A17" s="210">
        <v>5316</v>
      </c>
      <c r="B17" s="210">
        <f>VLOOKUP(表1_86121822242672120[[#This Row],[区服]],$P$32:$Q$39,2,FALSE)</f>
        <v>36</v>
      </c>
      <c r="C17" s="211" t="s">
        <v>300</v>
      </c>
      <c r="D17" s="212" t="str">
        <f>表1_86121822242672120[[#This Row],[目标国家]]</f>
        <v>蜀</v>
      </c>
      <c r="E17" s="213">
        <f>(VLOOKUP(表1_86121822242672120[[#This Row],[目标区服]],$R$32:$S$35,2,FALSE)-表1_86121822242672120[[#This Row],[开服天数]])*配置!$B$1</f>
        <v>1000</v>
      </c>
      <c r="F17" s="213">
        <f>表1_86121822242672120[[#This Row],[补偿Coin]]*(表1_86121822242672120[[#This Row],[活跃高战玩家数]]+表1_86121822242672120[[#This Row],[活跃中坚玩家数]])</f>
        <v>23000</v>
      </c>
      <c r="G17" s="213">
        <f>(VLOOKUP(表1_86121822242672120[[#This Row],[目标区服]],$R$32:$S$35,2,FALSE)-表1_86121822242672120[[#This Row],[开服天数]])*配置!$B$2</f>
        <v>10</v>
      </c>
      <c r="H17" s="212" t="s">
        <v>25</v>
      </c>
      <c r="I17" s="212">
        <f>IF(表1_86121822242672120[[#This Row],[原国家]]="魏",0,IF(表1_86121822242672120[[#This Row],[原国家]]="蜀",1,2))</f>
        <v>0</v>
      </c>
      <c r="J17" s="232">
        <v>2</v>
      </c>
      <c r="K17" s="232">
        <v>95</v>
      </c>
      <c r="L17" s="232">
        <v>2</v>
      </c>
      <c r="M17" s="232">
        <v>21</v>
      </c>
      <c r="N17" s="232">
        <v>86667</v>
      </c>
      <c r="O17" s="232">
        <v>1279816</v>
      </c>
      <c r="P17" s="232">
        <v>13411698</v>
      </c>
      <c r="Q17" s="243" t="s">
        <v>26</v>
      </c>
      <c r="R17" s="212">
        <f>IF(表1_86121822242672120[[#This Row],[目标国家]]="魏",0,IF(表1_86121822242672120[[#This Row],[目标国家]]="蜀",1,2))</f>
        <v>1</v>
      </c>
      <c r="S17" s="232">
        <v>4612</v>
      </c>
      <c r="T17" s="232">
        <v>0</v>
      </c>
      <c r="U17" s="232">
        <v>108749</v>
      </c>
      <c r="V17" s="232">
        <v>4397</v>
      </c>
      <c r="W17" s="244">
        <v>403372</v>
      </c>
      <c r="X17" s="245" t="str">
        <f>"{"&amp;"'coin':"&amp;表1_86121822242672120[[#This Row],[补偿Coin]]&amp;",'"&amp;配置!$A$2&amp;"':"&amp;表1_86121822242672120[[#This Row],[补偿辎重]]&amp;"},"</f>
        <v>{'coin':1000,'item036':10},</v>
      </c>
      <c r="Y17" s="254" t="str">
        <f>"      '"&amp;表1_86121822242672120[[#This Row],[区服]]&amp;"':{"</f>
        <v>      '5316':{</v>
      </c>
    </row>
    <row r="18" s="2" customFormat="1" ht="14.25" customHeight="1" spans="1:25">
      <c r="A18" s="210">
        <v>5316</v>
      </c>
      <c r="B18" s="210">
        <f>VLOOKUP(表1_86121822242672120[[#This Row],[区服]],$P$32:$Q$39,2,FALSE)</f>
        <v>36</v>
      </c>
      <c r="C18" s="211" t="s">
        <v>300</v>
      </c>
      <c r="D18" s="212" t="str">
        <f>表1_86121822242672120[[#This Row],[目标国家]]</f>
        <v>魏</v>
      </c>
      <c r="E18" s="213">
        <f>(VLOOKUP(表1_86121822242672120[[#This Row],[目标区服]],$R$32:$S$35,2,FALSE)-表1_86121822242672120[[#This Row],[开服天数]])*配置!$B$1</f>
        <v>1000</v>
      </c>
      <c r="F18" s="213">
        <f>表1_86121822242672120[[#This Row],[补偿Coin]]*(表1_86121822242672120[[#This Row],[活跃高战玩家数]]+表1_86121822242672120[[#This Row],[活跃中坚玩家数]])</f>
        <v>31000</v>
      </c>
      <c r="G18" s="213">
        <f>(VLOOKUP(表1_86121822242672120[[#This Row],[目标区服]],$R$32:$S$35,2,FALSE)-表1_86121822242672120[[#This Row],[开服天数]])*配置!$B$2</f>
        <v>10</v>
      </c>
      <c r="H18" s="212" t="s">
        <v>26</v>
      </c>
      <c r="I18" s="212">
        <f>IF(表1_86121822242672120[[#This Row],[原国家]]="魏",0,IF(表1_86121822242672120[[#This Row],[原国家]]="蜀",1,2))</f>
        <v>1</v>
      </c>
      <c r="J18" s="232">
        <v>4</v>
      </c>
      <c r="K18" s="232">
        <v>195</v>
      </c>
      <c r="L18" s="232">
        <v>5</v>
      </c>
      <c r="M18" s="232">
        <v>26</v>
      </c>
      <c r="N18" s="232">
        <v>127581</v>
      </c>
      <c r="O18" s="232">
        <v>2406093</v>
      </c>
      <c r="P18" s="232">
        <v>20822671</v>
      </c>
      <c r="Q18" s="243" t="s">
        <v>25</v>
      </c>
      <c r="R18" s="212">
        <f>IF(表1_86121822242672120[[#This Row],[目标国家]]="魏",0,IF(表1_86121822242672120[[#This Row],[目标国家]]="蜀",1,2))</f>
        <v>0</v>
      </c>
      <c r="S18" s="232">
        <v>44943</v>
      </c>
      <c r="T18" s="232">
        <v>0</v>
      </c>
      <c r="U18" s="232">
        <v>217200</v>
      </c>
      <c r="V18" s="232">
        <v>8933</v>
      </c>
      <c r="W18" s="246">
        <v>849577</v>
      </c>
      <c r="X18" s="245" t="str">
        <f>"{"&amp;"'coin':"&amp;表1_86121822242672120[[#This Row],[补偿Coin]]&amp;",'"&amp;配置!$A$2&amp;"':"&amp;表1_86121822242672120[[#This Row],[补偿辎重]]&amp;"},"</f>
        <v>{'coin':1000,'item036':10},</v>
      </c>
      <c r="Y18" s="254" t="str">
        <f>"            'to_zone':'"&amp;表1_86121822242672120[[#This Row],[目标区服]]&amp;"',
            'reward':"&amp;表1_86121822242672120[[#This Row],[辅助导出]]&amp;"
            'country':["&amp;R17&amp;","&amp;R18&amp;","&amp;R19&amp;"],"</f>
        <v>            'to_zone':'h1_629',
            'reward':{'coin':1000,'item036':10},
            'country':[1,0,0],</v>
      </c>
    </row>
    <row r="19" s="2" customFormat="1" ht="14.25" customHeight="1" spans="1:25">
      <c r="A19" s="210">
        <v>5316</v>
      </c>
      <c r="B19" s="210">
        <f>VLOOKUP(表1_86121822242672120[[#This Row],[区服]],$P$32:$Q$39,2,FALSE)</f>
        <v>36</v>
      </c>
      <c r="C19" s="211" t="s">
        <v>300</v>
      </c>
      <c r="D19" s="212" t="str">
        <f>表1_86121822242672120[[#This Row],[目标国家]]</f>
        <v>魏</v>
      </c>
      <c r="E19" s="213">
        <f>(VLOOKUP(表1_86121822242672120[[#This Row],[目标区服]],$R$32:$S$35,2,FALSE)-表1_86121822242672120[[#This Row],[开服天数]])*配置!$B$1</f>
        <v>1000</v>
      </c>
      <c r="F19" s="213">
        <f>表1_86121822242672120[[#This Row],[补偿Coin]]*(表1_86121822242672120[[#This Row],[活跃高战玩家数]]+表1_86121822242672120[[#This Row],[活跃中坚玩家数]])</f>
        <v>24000</v>
      </c>
      <c r="G19" s="213">
        <f>(VLOOKUP(表1_86121822242672120[[#This Row],[目标区服]],$R$32:$S$35,2,FALSE)-表1_86121822242672120[[#This Row],[开服天数]])*配置!$B$2</f>
        <v>10</v>
      </c>
      <c r="H19" s="212" t="s">
        <v>27</v>
      </c>
      <c r="I19" s="212">
        <f>IF(表1_86121822242672120[[#This Row],[原国家]]="魏",0,IF(表1_86121822242672120[[#This Row],[原国家]]="蜀",1,2))</f>
        <v>2</v>
      </c>
      <c r="J19" s="232">
        <v>3</v>
      </c>
      <c r="K19" s="232">
        <v>105</v>
      </c>
      <c r="L19" s="232">
        <v>3</v>
      </c>
      <c r="M19" s="232">
        <v>21</v>
      </c>
      <c r="N19" s="232">
        <v>86362</v>
      </c>
      <c r="O19" s="232">
        <v>1741132</v>
      </c>
      <c r="P19" s="232">
        <v>14318534</v>
      </c>
      <c r="Q19" s="243" t="s">
        <v>25</v>
      </c>
      <c r="R19" s="212">
        <f>IF(表1_86121822242672120[[#This Row],[目标国家]]="魏",0,IF(表1_86121822242672120[[#This Row],[目标国家]]="蜀",1,2))</f>
        <v>0</v>
      </c>
      <c r="S19" s="232">
        <v>11978</v>
      </c>
      <c r="T19" s="232">
        <v>0</v>
      </c>
      <c r="U19" s="232">
        <v>233795</v>
      </c>
      <c r="V19" s="232">
        <v>5431</v>
      </c>
      <c r="W19" s="244">
        <v>517799</v>
      </c>
      <c r="X19" s="245" t="str">
        <f>"{"&amp;"'coin':"&amp;表1_86121822242672120[[#This Row],[补偿Coin]]&amp;",'"&amp;配置!$A$2&amp;"':"&amp;表1_86121822242672120[[#This Row],[补偿辎重]]&amp;"},"</f>
        <v>{'coin':1000,'item036':10},</v>
      </c>
      <c r="Y19" s="254" t="str">
        <f>"      },"</f>
        <v>      },</v>
      </c>
    </row>
    <row r="20" s="2" customFormat="1" ht="14.25" customHeight="1" spans="1:25">
      <c r="A20" s="214">
        <v>5317</v>
      </c>
      <c r="B20" s="214">
        <f>VLOOKUP(表1_86121822242672120[[#This Row],[区服]],$P$32:$Q$39,2,FALSE)</f>
        <v>36</v>
      </c>
      <c r="C20" s="215" t="s">
        <v>301</v>
      </c>
      <c r="D20" s="216" t="str">
        <f>表1_86121822242672120[[#This Row],[目标国家]]</f>
        <v>魏</v>
      </c>
      <c r="E20" s="217">
        <f>(VLOOKUP(表1_86121822242672120[[#This Row],[目标区服]],$R$32:$S$35,2,FALSE)-表1_86121822242672120[[#This Row],[开服天数]])*配置!$B$1</f>
        <v>1000</v>
      </c>
      <c r="F20" s="217">
        <f>表1_86121822242672120[[#This Row],[补偿Coin]]*(表1_86121822242672120[[#This Row],[活跃高战玩家数]]+表1_86121822242672120[[#This Row],[活跃中坚玩家数]])</f>
        <v>36000</v>
      </c>
      <c r="G20" s="217">
        <f>(VLOOKUP(表1_86121822242672120[[#This Row],[目标区服]],$R$32:$S$35,2,FALSE)-表1_86121822242672120[[#This Row],[开服天数]])*配置!$B$2</f>
        <v>10</v>
      </c>
      <c r="H20" s="216" t="s">
        <v>25</v>
      </c>
      <c r="I20" s="216">
        <f>IF(表1_86121822242672120[[#This Row],[原国家]]="魏",0,IF(表1_86121822242672120[[#This Row],[原国家]]="蜀",1,2))</f>
        <v>0</v>
      </c>
      <c r="J20" s="233">
        <v>4</v>
      </c>
      <c r="K20" s="233">
        <v>161</v>
      </c>
      <c r="L20" s="233">
        <v>5</v>
      </c>
      <c r="M20" s="233">
        <v>31</v>
      </c>
      <c r="N20" s="233">
        <v>153949</v>
      </c>
      <c r="O20" s="233">
        <v>2502459</v>
      </c>
      <c r="P20" s="233">
        <v>29487879</v>
      </c>
      <c r="Q20" s="247" t="s">
        <v>25</v>
      </c>
      <c r="R20" s="216">
        <f>IF(表1_86121822242672120[[#This Row],[目标国家]]="魏",0,IF(表1_86121822242672120[[#This Row],[目标国家]]="蜀",1,2))</f>
        <v>0</v>
      </c>
      <c r="S20" s="233">
        <v>59286</v>
      </c>
      <c r="T20" s="233">
        <v>0</v>
      </c>
      <c r="U20" s="233">
        <v>513484</v>
      </c>
      <c r="V20" s="233">
        <v>10266</v>
      </c>
      <c r="W20" s="248">
        <v>712448</v>
      </c>
      <c r="X20" s="249" t="str">
        <f>"{"&amp;"'coin':"&amp;表1_86121822242672120[[#This Row],[补偿Coin]]&amp;",'"&amp;配置!$A$2&amp;"':"&amp;表1_86121822242672120[[#This Row],[补偿辎重]]&amp;"},"</f>
        <v>{'coin':1000,'item036':10},</v>
      </c>
      <c r="Y20" s="251" t="str">
        <f>"      '"&amp;表1_86121822242672120[[#This Row],[区服]]&amp;"':{"</f>
        <v>      '5317':{</v>
      </c>
    </row>
    <row r="21" s="2" customFormat="1" ht="14.25" customHeight="1" spans="1:25">
      <c r="A21" s="214">
        <v>5317</v>
      </c>
      <c r="B21" s="214">
        <f>VLOOKUP(表1_86121822242672120[[#This Row],[区服]],$P$32:$Q$39,2,FALSE)</f>
        <v>36</v>
      </c>
      <c r="C21" s="215" t="s">
        <v>301</v>
      </c>
      <c r="D21" s="216" t="str">
        <f>表1_86121822242672120[[#This Row],[目标国家]]</f>
        <v>魏</v>
      </c>
      <c r="E21" s="217">
        <f>(VLOOKUP(表1_86121822242672120[[#This Row],[目标区服]],$R$32:$S$35,2,FALSE)-表1_86121822242672120[[#This Row],[开服天数]])*配置!$B$1</f>
        <v>1000</v>
      </c>
      <c r="F21" s="217">
        <f>表1_86121822242672120[[#This Row],[补偿Coin]]*(表1_86121822242672120[[#This Row],[活跃高战玩家数]]+表1_86121822242672120[[#This Row],[活跃中坚玩家数]])</f>
        <v>31000</v>
      </c>
      <c r="G21" s="217">
        <f>(VLOOKUP(表1_86121822242672120[[#This Row],[目标区服]],$R$32:$S$35,2,FALSE)-表1_86121822242672120[[#This Row],[开服天数]])*配置!$B$2</f>
        <v>10</v>
      </c>
      <c r="H21" s="216" t="s">
        <v>26</v>
      </c>
      <c r="I21" s="216">
        <f>IF(表1_86121822242672120[[#This Row],[原国家]]="魏",0,IF(表1_86121822242672120[[#This Row],[原国家]]="蜀",1,2))</f>
        <v>1</v>
      </c>
      <c r="J21" s="233">
        <v>3</v>
      </c>
      <c r="K21" s="233">
        <v>163</v>
      </c>
      <c r="L21" s="233">
        <v>3</v>
      </c>
      <c r="M21" s="233">
        <v>28</v>
      </c>
      <c r="N21" s="233">
        <v>104698</v>
      </c>
      <c r="O21" s="233">
        <v>2694070</v>
      </c>
      <c r="P21" s="233">
        <v>23676022</v>
      </c>
      <c r="Q21" s="247" t="s">
        <v>25</v>
      </c>
      <c r="R21" s="216">
        <f>IF(表1_86121822242672120[[#This Row],[目标国家]]="魏",0,IF(表1_86121822242672120[[#This Row],[目标国家]]="蜀",1,2))</f>
        <v>0</v>
      </c>
      <c r="S21" s="233">
        <v>97278</v>
      </c>
      <c r="T21" s="233">
        <v>0</v>
      </c>
      <c r="U21" s="233">
        <v>254696</v>
      </c>
      <c r="V21" s="233">
        <v>10560</v>
      </c>
      <c r="W21" s="250">
        <v>757275</v>
      </c>
      <c r="X21" s="249" t="str">
        <f>"{"&amp;"'coin':"&amp;表1_86121822242672120[[#This Row],[补偿Coin]]&amp;",'"&amp;配置!$A$2&amp;"':"&amp;表1_86121822242672120[[#This Row],[补偿辎重]]&amp;"},"</f>
        <v>{'coin':1000,'item036':10},</v>
      </c>
      <c r="Y21" s="251" t="str">
        <f>"            'to_zone':'"&amp;表1_86121822242672120[[#This Row],[目标区服]]&amp;"',
            'reward':"&amp;表1_86121822242672120[[#This Row],[辅助导出]]&amp;"
            'country':["&amp;R20&amp;","&amp;R21&amp;","&amp;R22&amp;"],"</f>
        <v>            'to_zone':'h1_630',
            'reward':{'coin':1000,'item036':10},
            'country':[0,0,2],</v>
      </c>
    </row>
    <row r="22" s="2" customFormat="1" ht="14.25" customHeight="1" spans="1:25">
      <c r="A22" s="214">
        <v>5317</v>
      </c>
      <c r="B22" s="214">
        <f>VLOOKUP(表1_86121822242672120[[#This Row],[区服]],$P$32:$Q$39,2,FALSE)</f>
        <v>36</v>
      </c>
      <c r="C22" s="215" t="s">
        <v>301</v>
      </c>
      <c r="D22" s="216" t="str">
        <f>表1_86121822242672120[[#This Row],[目标国家]]</f>
        <v>吴</v>
      </c>
      <c r="E22" s="217">
        <f>(VLOOKUP(表1_86121822242672120[[#This Row],[目标区服]],$R$32:$S$35,2,FALSE)-表1_86121822242672120[[#This Row],[开服天数]])*配置!$B$1</f>
        <v>1000</v>
      </c>
      <c r="F22" s="217">
        <f>表1_86121822242672120[[#This Row],[补偿Coin]]*(表1_86121822242672120[[#This Row],[活跃高战玩家数]]+表1_86121822242672120[[#This Row],[活跃中坚玩家数]])</f>
        <v>14000</v>
      </c>
      <c r="G22" s="217">
        <f>(VLOOKUP(表1_86121822242672120[[#This Row],[目标区服]],$R$32:$S$35,2,FALSE)-表1_86121822242672120[[#This Row],[开服天数]])*配置!$B$2</f>
        <v>10</v>
      </c>
      <c r="H22" s="216" t="s">
        <v>27</v>
      </c>
      <c r="I22" s="216">
        <f>IF(表1_86121822242672120[[#This Row],[原国家]]="魏",0,IF(表1_86121822242672120[[#This Row],[原国家]]="蜀",1,2))</f>
        <v>2</v>
      </c>
      <c r="J22" s="233">
        <v>2</v>
      </c>
      <c r="K22" s="233">
        <v>71</v>
      </c>
      <c r="L22" s="233">
        <v>1</v>
      </c>
      <c r="M22" s="233">
        <v>13</v>
      </c>
      <c r="N22" s="233">
        <v>40144</v>
      </c>
      <c r="O22" s="233">
        <v>1952767</v>
      </c>
      <c r="P22" s="233">
        <v>10177313</v>
      </c>
      <c r="Q22" s="247" t="s">
        <v>27</v>
      </c>
      <c r="R22" s="216">
        <f>IF(表1_86121822242672120[[#This Row],[目标国家]]="魏",0,IF(表1_86121822242672120[[#This Row],[目标国家]]="蜀",1,2))</f>
        <v>2</v>
      </c>
      <c r="S22" s="233">
        <v>43404</v>
      </c>
      <c r="T22" s="233">
        <v>0</v>
      </c>
      <c r="U22" s="233">
        <v>66748</v>
      </c>
      <c r="V22" s="233">
        <v>5416</v>
      </c>
      <c r="W22" s="248">
        <v>645318</v>
      </c>
      <c r="X22" s="249" t="str">
        <f>"{"&amp;"'coin':"&amp;表1_86121822242672120[[#This Row],[补偿Coin]]&amp;",'"&amp;配置!$A$2&amp;"':"&amp;表1_86121822242672120[[#This Row],[补偿辎重]]&amp;"},"</f>
        <v>{'coin':1000,'item036':10},</v>
      </c>
      <c r="Y22" s="251" t="str">
        <f>"      },"</f>
        <v>      },</v>
      </c>
    </row>
    <row r="23" s="2" customFormat="1" ht="14.25" customHeight="1" spans="1:25">
      <c r="A23" s="214">
        <v>5318</v>
      </c>
      <c r="B23" s="214">
        <f>VLOOKUP(表1_86121822242672120[[#This Row],[区服]],$P$32:$Q$40,2,FALSE)</f>
        <v>35</v>
      </c>
      <c r="C23" s="215" t="s">
        <v>301</v>
      </c>
      <c r="D23" s="216" t="str">
        <f>表1_86121822242672120[[#This Row],[目标国家]]</f>
        <v>蜀</v>
      </c>
      <c r="E23" s="217">
        <f>(VLOOKUP(表1_86121822242672120[[#This Row],[目标区服]],$R$32:$S$35,2,FALSE)-表1_86121822242672120[[#This Row],[开服天数]])*配置!$B$1</f>
        <v>1500</v>
      </c>
      <c r="F23" s="217">
        <f>表1_86121822242672120[[#This Row],[补偿Coin]]*(表1_86121822242672120[[#This Row],[活跃高战玩家数]]+表1_86121822242672120[[#This Row],[活跃中坚玩家数]])</f>
        <v>28500</v>
      </c>
      <c r="G23" s="217">
        <f>(VLOOKUP(表1_86121822242672120[[#This Row],[目标区服]],$R$32:$S$35,2,FALSE)-表1_86121822242672120[[#This Row],[开服天数]])*配置!$B$2</f>
        <v>15</v>
      </c>
      <c r="H23" s="216" t="s">
        <v>25</v>
      </c>
      <c r="I23" s="216">
        <f>IF(表1_86121822242672120[[#This Row],[原国家]]="魏",0,IF(表1_86121822242672120[[#This Row],[原国家]]="蜀",1,2))</f>
        <v>0</v>
      </c>
      <c r="J23" s="234">
        <v>1</v>
      </c>
      <c r="K23" s="234">
        <v>70</v>
      </c>
      <c r="L23" s="234">
        <v>1</v>
      </c>
      <c r="M23" s="234">
        <v>18</v>
      </c>
      <c r="N23" s="234">
        <v>53329</v>
      </c>
      <c r="O23" s="234">
        <v>1066786</v>
      </c>
      <c r="P23" s="234">
        <v>10419468</v>
      </c>
      <c r="Q23" s="247" t="s">
        <v>26</v>
      </c>
      <c r="R23" s="216">
        <f>IF(表1_86121822242672120[[#This Row],[目标国家]]="魏",0,IF(表1_86121822242672120[[#This Row],[目标国家]]="蜀",1,2))</f>
        <v>1</v>
      </c>
      <c r="S23" s="234">
        <v>18812</v>
      </c>
      <c r="T23" s="234">
        <v>0</v>
      </c>
      <c r="U23" s="234">
        <v>124552</v>
      </c>
      <c r="V23" s="234">
        <v>3802</v>
      </c>
      <c r="W23" s="234">
        <v>393068</v>
      </c>
      <c r="X23" s="251" t="str">
        <f>"{"&amp;"'coin':"&amp;表1_86121822242672120[[#This Row],[补偿Coin]]&amp;",'"&amp;配置!$A$2&amp;"':"&amp;表1_86121822242672120[[#This Row],[补偿辎重]]&amp;"},"</f>
        <v>{'coin':1500,'item036':15},</v>
      </c>
      <c r="Y23" s="251" t="str">
        <f>"      '"&amp;表1_86121822242672120[[#This Row],[区服]]&amp;"':{"</f>
        <v>      '5318':{</v>
      </c>
    </row>
    <row r="24" s="2" customFormat="1" ht="14.25" customHeight="1" spans="1:25">
      <c r="A24" s="214">
        <v>5318</v>
      </c>
      <c r="B24" s="214">
        <f>VLOOKUP(表1_86121822242672120[[#This Row],[区服]],$P$32:$Q$40,2,FALSE)</f>
        <v>35</v>
      </c>
      <c r="C24" s="215" t="s">
        <v>301</v>
      </c>
      <c r="D24" s="216" t="str">
        <f>表1_86121822242672120[[#This Row],[目标国家]]</f>
        <v>蜀</v>
      </c>
      <c r="E24" s="217">
        <f>(VLOOKUP(表1_86121822242672120[[#This Row],[目标区服]],$R$32:$S$35,2,FALSE)-表1_86121822242672120[[#This Row],[开服天数]])*配置!$B$1</f>
        <v>1500</v>
      </c>
      <c r="F24" s="217">
        <f>表1_86121822242672120[[#This Row],[补偿Coin]]*(表1_86121822242672120[[#This Row],[活跃高战玩家数]]+表1_86121822242672120[[#This Row],[活跃中坚玩家数]])</f>
        <v>46500</v>
      </c>
      <c r="G24" s="217">
        <f>(VLOOKUP(表1_86121822242672120[[#This Row],[目标区服]],$R$32:$S$35,2,FALSE)-表1_86121822242672120[[#This Row],[开服天数]])*配置!$B$2</f>
        <v>15</v>
      </c>
      <c r="H24" s="216" t="s">
        <v>26</v>
      </c>
      <c r="I24" s="216">
        <f>IF(表1_86121822242672120[[#This Row],[原国家]]="魏",0,IF(表1_86121822242672120[[#This Row],[原国家]]="蜀",1,2))</f>
        <v>1</v>
      </c>
      <c r="J24" s="234">
        <v>3</v>
      </c>
      <c r="K24" s="234">
        <v>163</v>
      </c>
      <c r="L24" s="234">
        <v>4</v>
      </c>
      <c r="M24" s="234">
        <v>27</v>
      </c>
      <c r="N24" s="234">
        <v>125753</v>
      </c>
      <c r="O24" s="234">
        <v>2611971</v>
      </c>
      <c r="P24" s="234">
        <v>23576616</v>
      </c>
      <c r="Q24" s="247" t="s">
        <v>26</v>
      </c>
      <c r="R24" s="216">
        <f>IF(表1_86121822242672120[[#This Row],[目标国家]]="魏",0,IF(表1_86121822242672120[[#This Row],[目标国家]]="蜀",1,2))</f>
        <v>1</v>
      </c>
      <c r="S24" s="234">
        <v>108000</v>
      </c>
      <c r="T24" s="234">
        <v>0</v>
      </c>
      <c r="U24" s="234">
        <v>596351</v>
      </c>
      <c r="V24" s="234">
        <v>11066</v>
      </c>
      <c r="W24" s="252">
        <v>730734</v>
      </c>
      <c r="X24" s="251" t="str">
        <f>"{"&amp;"'coin':"&amp;表1_86121822242672120[[#This Row],[补偿Coin]]&amp;",'"&amp;配置!$A$2&amp;"':"&amp;表1_86121822242672120[[#This Row],[补偿辎重]]&amp;"},"</f>
        <v>{'coin':1500,'item036':15},</v>
      </c>
      <c r="Y24" s="251" t="str">
        <f>"            'to_zone':'"&amp;表1_86121822242672120[[#This Row],[目标区服]]&amp;"',
            'reward':"&amp;表1_86121822242672120[[#This Row],[辅助导出]]&amp;"
            'country':["&amp;R23&amp;","&amp;R24&amp;","&amp;R25&amp;"],"</f>
        <v>            'to_zone':'h1_630',
            'reward':{'coin':1500,'item036':15},
            'country':[1,1,2],</v>
      </c>
    </row>
    <row r="25" s="2" customFormat="1" ht="14.25" customHeight="1" spans="1:25">
      <c r="A25" s="214">
        <v>5318</v>
      </c>
      <c r="B25" s="214">
        <f>VLOOKUP(表1_86121822242672120[[#This Row],[区服]],$P$32:$Q$40,2,FALSE)</f>
        <v>35</v>
      </c>
      <c r="C25" s="215" t="s">
        <v>301</v>
      </c>
      <c r="D25" s="216" t="str">
        <f>表1_86121822242672120[[#This Row],[目标国家]]</f>
        <v>吴</v>
      </c>
      <c r="E25" s="217">
        <f>(VLOOKUP(表1_86121822242672120[[#This Row],[目标区服]],$R$32:$S$35,2,FALSE)-表1_86121822242672120[[#This Row],[开服天数]])*配置!$B$1</f>
        <v>1500</v>
      </c>
      <c r="F25" s="217">
        <f>表1_86121822242672120[[#This Row],[补偿Coin]]*(表1_86121822242672120[[#This Row],[活跃高战玩家数]]+表1_86121822242672120[[#This Row],[活跃中坚玩家数]])</f>
        <v>34500</v>
      </c>
      <c r="G25" s="217">
        <f>(VLOOKUP(表1_86121822242672120[[#This Row],[目标区服]],$R$32:$S$35,2,FALSE)-表1_86121822242672120[[#This Row],[开服天数]])*配置!$B$2</f>
        <v>15</v>
      </c>
      <c r="H25" s="216" t="s">
        <v>27</v>
      </c>
      <c r="I25" s="216">
        <f>IF(表1_86121822242672120[[#This Row],[原国家]]="魏",0,IF(表1_86121822242672120[[#This Row],[原国家]]="蜀",1,2))</f>
        <v>2</v>
      </c>
      <c r="J25" s="234">
        <v>5</v>
      </c>
      <c r="K25" s="234">
        <v>162</v>
      </c>
      <c r="L25" s="234">
        <v>4</v>
      </c>
      <c r="M25" s="234">
        <v>19</v>
      </c>
      <c r="N25" s="234">
        <v>93172</v>
      </c>
      <c r="O25" s="234">
        <v>2321784</v>
      </c>
      <c r="P25" s="234">
        <v>16579546</v>
      </c>
      <c r="Q25" s="247" t="s">
        <v>27</v>
      </c>
      <c r="R25" s="216">
        <f>IF(表1_86121822242672120[[#This Row],[目标国家]]="魏",0,IF(表1_86121822242672120[[#This Row],[目标国家]]="蜀",1,2))</f>
        <v>2</v>
      </c>
      <c r="S25" s="234">
        <v>79200</v>
      </c>
      <c r="T25" s="234">
        <v>0</v>
      </c>
      <c r="U25" s="234">
        <v>358059</v>
      </c>
      <c r="V25" s="234">
        <v>9120</v>
      </c>
      <c r="W25" s="252">
        <v>807179</v>
      </c>
      <c r="X25" s="251" t="str">
        <f>"{"&amp;"'coin':"&amp;表1_86121822242672120[[#This Row],[补偿Coin]]&amp;",'"&amp;配置!$A$2&amp;"':"&amp;表1_86121822242672120[[#This Row],[补偿辎重]]&amp;"},"</f>
        <v>{'coin':1500,'item036':15},</v>
      </c>
      <c r="Y25" s="251" t="str">
        <f>"      },"</f>
        <v>      },</v>
      </c>
    </row>
    <row r="26" s="2" customFormat="1" ht="14.25" customHeight="1" spans="1:25">
      <c r="A26" s="214">
        <v>5319</v>
      </c>
      <c r="B26" s="214">
        <f>VLOOKUP(表1_86121822242672120[[#This Row],[区服]],$P$32:$Q$40,2,FALSE)</f>
        <v>35</v>
      </c>
      <c r="C26" s="215" t="s">
        <v>301</v>
      </c>
      <c r="D26" s="216" t="str">
        <f>表1_86121822242672120[[#This Row],[目标国家]]</f>
        <v>吴</v>
      </c>
      <c r="E26" s="217">
        <f>(VLOOKUP(表1_86121822242672120[[#This Row],[目标区服]],$R$32:$S$35,2,FALSE)-表1_86121822242672120[[#This Row],[开服天数]])*配置!$B$1</f>
        <v>1500</v>
      </c>
      <c r="F26" s="217">
        <f>表1_86121822242672120[[#This Row],[补偿Coin]]*(表1_86121822242672120[[#This Row],[活跃高战玩家数]]+表1_86121822242672120[[#This Row],[活跃中坚玩家数]])</f>
        <v>25500</v>
      </c>
      <c r="G26" s="217">
        <f>(VLOOKUP(表1_86121822242672120[[#This Row],[目标区服]],$R$32:$S$35,2,FALSE)-表1_86121822242672120[[#This Row],[开服天数]])*配置!$B$2</f>
        <v>15</v>
      </c>
      <c r="H26" s="216" t="s">
        <v>25</v>
      </c>
      <c r="I26" s="216">
        <f>IF(表1_86121822242672120[[#This Row],[原国家]]="魏",0,IF(表1_86121822242672120[[#This Row],[原国家]]="蜀",1,2))</f>
        <v>0</v>
      </c>
      <c r="J26" s="234">
        <v>2</v>
      </c>
      <c r="K26" s="234">
        <v>52</v>
      </c>
      <c r="L26" s="234">
        <v>0</v>
      </c>
      <c r="M26" s="234">
        <v>17</v>
      </c>
      <c r="N26" s="234">
        <v>60502</v>
      </c>
      <c r="O26" s="234">
        <v>1223894</v>
      </c>
      <c r="P26" s="234">
        <v>7331657</v>
      </c>
      <c r="Q26" s="247" t="s">
        <v>27</v>
      </c>
      <c r="R26" s="216">
        <f>IF(表1_86121822242672120[[#This Row],[目标国家]]="魏",0,IF(表1_86121822242672120[[#This Row],[目标国家]]="蜀",1,2))</f>
        <v>2</v>
      </c>
      <c r="S26" s="234">
        <v>5340</v>
      </c>
      <c r="T26" s="234">
        <v>0</v>
      </c>
      <c r="U26" s="234">
        <v>36600</v>
      </c>
      <c r="V26" s="234">
        <v>3158</v>
      </c>
      <c r="W26" s="234">
        <v>386329</v>
      </c>
      <c r="X26" s="251" t="str">
        <f>"{"&amp;"'coin':"&amp;表1_86121822242672120[[#This Row],[补偿Coin]]&amp;",'"&amp;配置!$A$2&amp;"':"&amp;表1_86121822242672120[[#This Row],[补偿辎重]]&amp;"},"</f>
        <v>{'coin':1500,'item036':15},</v>
      </c>
      <c r="Y26" s="251" t="str">
        <f>"      '"&amp;表1_86121822242672120[[#This Row],[区服]]&amp;"':{"</f>
        <v>      '5319':{</v>
      </c>
    </row>
    <row r="27" s="2" customFormat="1" ht="14.25" customHeight="1" spans="1:25">
      <c r="A27" s="214">
        <v>5319</v>
      </c>
      <c r="B27" s="214">
        <f>VLOOKUP(表1_86121822242672120[[#This Row],[区服]],$P$32:$Q$40,2,FALSE)</f>
        <v>35</v>
      </c>
      <c r="C27" s="215" t="s">
        <v>301</v>
      </c>
      <c r="D27" s="216" t="str">
        <f>表1_86121822242672120[[#This Row],[目标国家]]</f>
        <v>蜀</v>
      </c>
      <c r="E27" s="217">
        <f>(VLOOKUP(表1_86121822242672120[[#This Row],[目标区服]],$R$32:$S$35,2,FALSE)-表1_86121822242672120[[#This Row],[开服天数]])*配置!$B$1</f>
        <v>1500</v>
      </c>
      <c r="F27" s="217">
        <f>表1_86121822242672120[[#This Row],[补偿Coin]]*(表1_86121822242672120[[#This Row],[活跃高战玩家数]]+表1_86121822242672120[[#This Row],[活跃中坚玩家数]])</f>
        <v>25500</v>
      </c>
      <c r="G27" s="217">
        <f>(VLOOKUP(表1_86121822242672120[[#This Row],[目标区服]],$R$32:$S$35,2,FALSE)-表1_86121822242672120[[#This Row],[开服天数]])*配置!$B$2</f>
        <v>15</v>
      </c>
      <c r="H27" s="216" t="s">
        <v>26</v>
      </c>
      <c r="I27" s="216">
        <f>IF(表1_86121822242672120[[#This Row],[原国家]]="魏",0,IF(表1_86121822242672120[[#This Row],[原国家]]="蜀",1,2))</f>
        <v>1</v>
      </c>
      <c r="J27" s="234">
        <v>3</v>
      </c>
      <c r="K27" s="234">
        <v>188</v>
      </c>
      <c r="L27" s="234">
        <v>6</v>
      </c>
      <c r="M27" s="234">
        <v>11</v>
      </c>
      <c r="N27" s="234">
        <v>99454</v>
      </c>
      <c r="O27" s="234">
        <v>2430990</v>
      </c>
      <c r="P27" s="234">
        <v>14627445</v>
      </c>
      <c r="Q27" s="247" t="s">
        <v>26</v>
      </c>
      <c r="R27" s="216">
        <f>IF(表1_86121822242672120[[#This Row],[目标国家]]="魏",0,IF(表1_86121822242672120[[#This Row],[目标国家]]="蜀",1,2))</f>
        <v>1</v>
      </c>
      <c r="S27" s="234">
        <v>48192</v>
      </c>
      <c r="T27" s="234">
        <v>0</v>
      </c>
      <c r="U27" s="234">
        <v>244836</v>
      </c>
      <c r="V27" s="234">
        <v>8139</v>
      </c>
      <c r="W27" s="234">
        <v>647455</v>
      </c>
      <c r="X27" s="251" t="str">
        <f>"{"&amp;"'coin':"&amp;表1_86121822242672120[[#This Row],[补偿Coin]]&amp;",'"&amp;配置!$A$2&amp;"':"&amp;表1_86121822242672120[[#This Row],[补偿辎重]]&amp;"},"</f>
        <v>{'coin':1500,'item036':15},</v>
      </c>
      <c r="Y27" s="251" t="str">
        <f>"            'to_zone':'"&amp;表1_86121822242672120[[#This Row],[目标区服]]&amp;"',
            'reward':"&amp;表1_86121822242672120[[#This Row],[辅助导出]]&amp;"
            'country':["&amp;R26&amp;","&amp;R27&amp;","&amp;R28&amp;"],"</f>
        <v>            'to_zone':'h1_630',
            'reward':{'coin':1500,'item036':15},
            'country':[2,1,2],</v>
      </c>
    </row>
    <row r="28" s="2" customFormat="1" ht="14.25" customHeight="1" spans="1:25">
      <c r="A28" s="214">
        <v>5319</v>
      </c>
      <c r="B28" s="214">
        <f>VLOOKUP(表1_86121822242672120[[#This Row],[区服]],$P$32:$Q$40,2,FALSE)</f>
        <v>35</v>
      </c>
      <c r="C28" s="215" t="s">
        <v>301</v>
      </c>
      <c r="D28" s="216" t="str">
        <f>表1_86121822242672120[[#This Row],[目标国家]]</f>
        <v>吴</v>
      </c>
      <c r="E28" s="217">
        <f>(VLOOKUP(表1_86121822242672120[[#This Row],[目标区服]],$R$32:$S$35,2,FALSE)-表1_86121822242672120[[#This Row],[开服天数]])*配置!$B$1</f>
        <v>1500</v>
      </c>
      <c r="F28" s="217">
        <f>表1_86121822242672120[[#This Row],[补偿Coin]]*(表1_86121822242672120[[#This Row],[活跃高战玩家数]]+表1_86121822242672120[[#This Row],[活跃中坚玩家数]])</f>
        <v>28500</v>
      </c>
      <c r="G28" s="217">
        <f>(VLOOKUP(表1_86121822242672120[[#This Row],[目标区服]],$R$32:$S$35,2,FALSE)-表1_86121822242672120[[#This Row],[开服天数]])*配置!$B$2</f>
        <v>15</v>
      </c>
      <c r="H28" s="216" t="s">
        <v>27</v>
      </c>
      <c r="I28" s="216">
        <f>IF(表1_86121822242672120[[#This Row],[原国家]]="魏",0,IF(表1_86121822242672120[[#This Row],[原国家]]="蜀",1,2))</f>
        <v>2</v>
      </c>
      <c r="J28" s="234">
        <v>4</v>
      </c>
      <c r="K28" s="234">
        <v>155</v>
      </c>
      <c r="L28" s="234">
        <v>3</v>
      </c>
      <c r="M28" s="234">
        <v>16</v>
      </c>
      <c r="N28" s="234">
        <v>109121</v>
      </c>
      <c r="O28" s="234">
        <v>2062448</v>
      </c>
      <c r="P28" s="234">
        <v>13719076</v>
      </c>
      <c r="Q28" s="247" t="s">
        <v>27</v>
      </c>
      <c r="R28" s="216">
        <f>IF(表1_86121822242672120[[#This Row],[目标国家]]="魏",0,IF(表1_86121822242672120[[#This Row],[目标国家]]="蜀",1,2))</f>
        <v>2</v>
      </c>
      <c r="S28" s="234">
        <v>41406</v>
      </c>
      <c r="T28" s="234">
        <v>0</v>
      </c>
      <c r="U28" s="234">
        <v>147179</v>
      </c>
      <c r="V28" s="234">
        <v>7245</v>
      </c>
      <c r="W28" s="234">
        <v>722640</v>
      </c>
      <c r="X28" s="251" t="str">
        <f>"{"&amp;"'coin':"&amp;表1_86121822242672120[[#This Row],[补偿Coin]]&amp;",'"&amp;配置!$A$2&amp;"':"&amp;表1_86121822242672120[[#This Row],[补偿辎重]]&amp;"},"</f>
        <v>{'coin':1500,'item036':15},</v>
      </c>
      <c r="Y28" s="251" t="str">
        <f>"      },"</f>
        <v>      },</v>
      </c>
    </row>
    <row r="31" ht="37.5" customHeight="1" spans="1:19">
      <c r="A31" s="36" t="s">
        <v>28</v>
      </c>
      <c r="B31" s="37" t="s">
        <v>29</v>
      </c>
      <c r="C31" s="38" t="s">
        <v>30</v>
      </c>
      <c r="D31" s="38" t="s">
        <v>31</v>
      </c>
      <c r="E31" s="38" t="s">
        <v>32</v>
      </c>
      <c r="F31" s="38" t="s">
        <v>33</v>
      </c>
      <c r="G31" s="38" t="s">
        <v>15</v>
      </c>
      <c r="H31" s="37" t="s">
        <v>18</v>
      </c>
      <c r="I31" s="37" t="s">
        <v>19</v>
      </c>
      <c r="J31" s="37" t="s">
        <v>34</v>
      </c>
      <c r="K31" s="38" t="s">
        <v>35</v>
      </c>
      <c r="L31" s="38" t="s">
        <v>36</v>
      </c>
      <c r="M31" s="38" t="s">
        <v>37</v>
      </c>
      <c r="N31" s="38" t="s">
        <v>88</v>
      </c>
      <c r="P31" s="51" t="s">
        <v>0</v>
      </c>
      <c r="Q31" s="51" t="s">
        <v>1</v>
      </c>
      <c r="R31" s="51"/>
      <c r="S31" s="51" t="s">
        <v>38</v>
      </c>
    </row>
    <row r="32" ht="15.75" customHeight="1" spans="1:19">
      <c r="A32" s="198" t="s">
        <v>298</v>
      </c>
      <c r="B32" s="218" t="s">
        <v>25</v>
      </c>
      <c r="C32" s="218">
        <f>COUNTIFS(表1_86121822242672120[目标区服],表2_97131923252773121[[#This Row],[合区区服]],表1_86121822242672120[目标国家（映射）],表2_97131923252773121[[#This Row],[国家]])</f>
        <v>3</v>
      </c>
      <c r="D32" s="218">
        <f>SUMIFS(表1_86121822242672120[活跃高战玩家数],表1_86121822242672120[目标区服],表2_97131923252773121[[#This Row],[合区区服]],表1_86121822242672120[目标国家（映射）],表2_97131923252773121[[#This Row],[国家]])</f>
        <v>7</v>
      </c>
      <c r="E32" s="218">
        <f>SUMIFS(表1_86121822242672120[活跃中坚玩家数],表1_86121822242672120[目标区服],表2_97131923252773121[[#This Row],[合区区服]],表1_86121822242672120[目标国家（映射）],表2_97131923252773121[[#This Row],[国家]])</f>
        <v>59</v>
      </c>
      <c r="F32" s="218">
        <f t="array" ref="F32">MAX((表1_86121822242672120[目标区服]=表2_97131923252773121[[#This Row],[合区区服]])*(表1_86121822242672120[目标国家（映射）]=表2_97131923252773121[[#This Row],[国家]])*表1_86121822242672120[活跃尖端战力])</f>
        <v>2201805</v>
      </c>
      <c r="G32" s="219">
        <f>SUMIFS(表1_86121822242672120[活跃总战力],表1_86121822242672120[目标区服],表2_97131923252773121[[#This Row],[合区区服]],表1_86121822242672120[目标国家（映射）],表2_97131923252773121[[#This Row],[国家]])</f>
        <v>44274385</v>
      </c>
      <c r="H32" s="218">
        <f>SUMIFS(表1_86121822242672120[活跃实际充值],表1_86121822242672120[目标区服],表2_97131923252773121[[#This Row],[合区区服]],表1_86121822242672120[目标国家（映射）],表2_97131923252773121[[#This Row],[国家]])</f>
        <v>86984</v>
      </c>
      <c r="I32" s="218">
        <f>SUMIFS(表1_86121822242672120[活跃虚拟充值],表1_86121822242672120[目标区服],表2_97131923252773121[[#This Row],[合区区服]],表1_86121822242672120[目标国家（映射）],表2_97131923252773121[[#This Row],[国家]])</f>
        <v>0</v>
      </c>
      <c r="J32" s="218">
        <f>SUMIFS(表1_86121822242672120[活跃Coin],表1_86121822242672120[目标区服],表2_97131923252773121[[#This Row],[合区区服]],表1_86121822242672120[目标国家（映射）],表2_97131923252773121[[#This Row],[国家]])</f>
        <v>610660</v>
      </c>
      <c r="K32" s="218">
        <f>SUMIFS(表1_86121822242672120[共计补偿Coin],表1_86121822242672120[目标区服],表2_97131923252773121[[#This Row],[合区区服]],表1_86121822242672120[目标国家（映射）],表2_97131923252773121[[#This Row],[国家]])</f>
        <v>66000</v>
      </c>
      <c r="L32" s="218">
        <f>表2_97131923252773121[[#This Row],[活跃Coin]]+表2_97131923252773121[[#This Row],[共计补偿Coin]]</f>
        <v>676660</v>
      </c>
      <c r="M32" s="218">
        <f>SUMIFS(表1_86121822242672120[综合国力],表1_86121822242672120[目标区服],表2_97131923252773121[[#This Row],[合区区服]],表1_86121822242672120[目标国家（映射）],表2_97131923252773121[[#This Row],[国家]])</f>
        <v>17009</v>
      </c>
      <c r="N32" s="218">
        <f t="array" ref="N32">MAX((表1_86121822242672120[目标区服]=表2_97131923252773121[[#This Row],[合区区服]])*(表1_86121822242672120[目标国家（映射）]=表2_97131923252773121[[#This Row],[国家]])*表1_86121822242672120[单将最高战力])</f>
        <v>556961</v>
      </c>
      <c r="P32" s="51">
        <v>5311</v>
      </c>
      <c r="Q32" s="51">
        <v>37</v>
      </c>
      <c r="R32" s="51" t="s">
        <v>298</v>
      </c>
      <c r="S32" s="51">
        <v>39</v>
      </c>
    </row>
    <row r="33" ht="15" spans="1:19">
      <c r="A33" s="198" t="s">
        <v>298</v>
      </c>
      <c r="B33" s="218" t="s">
        <v>26</v>
      </c>
      <c r="C33" s="218">
        <f>COUNTIFS(表1_86121822242672120[目标区服],表2_97131923252773121[[#This Row],[合区区服]],表1_86121822242672120[目标国家（映射）],表2_97131923252773121[[#This Row],[国家]])</f>
        <v>1</v>
      </c>
      <c r="D33" s="218">
        <f>SUMIFS(表1_86121822242672120[活跃高战玩家数],表1_86121822242672120[目标区服],表2_97131923252773121[[#This Row],[合区区服]],表1_86121822242672120[目标国家（映射）],表2_97131923252773121[[#This Row],[国家]])</f>
        <v>7</v>
      </c>
      <c r="E33" s="218">
        <f>SUMIFS(表1_86121822242672120[活跃中坚玩家数],表1_86121822242672120[目标区服],表2_97131923252773121[[#This Row],[合区区服]],表1_86121822242672120[目标国家（映射）],表2_97131923252773121[[#This Row],[国家]])</f>
        <v>31</v>
      </c>
      <c r="F33" s="218">
        <f t="array" ref="F33">MAX((表1_86121822242672120[目标区服]=表2_97131923252773121[[#This Row],[合区区服]])*(表1_86121822242672120[目标国家（映射）]=表2_97131923252773121[[#This Row],[国家]])*表1_86121822242672120[活跃尖端战力])</f>
        <v>2768067</v>
      </c>
      <c r="G33" s="219">
        <f>SUMIFS(表1_86121822242672120[活跃总战力],表1_86121822242672120[目标区服],表2_97131923252773121[[#This Row],[合区区服]],表1_86121822242672120[目标国家（映射）],表2_97131923252773121[[#This Row],[国家]])</f>
        <v>31405631</v>
      </c>
      <c r="H33" s="218">
        <f>SUMIFS(表1_86121822242672120[活跃实际充值],表1_86121822242672120[目标区服],表2_97131923252773121[[#This Row],[合区区服]],表1_86121822242672120[目标国家（映射）],表2_97131923252773121[[#This Row],[国家]])</f>
        <v>75039</v>
      </c>
      <c r="I33" s="218">
        <f>SUMIFS(表1_86121822242672120[活跃虚拟充值],表1_86121822242672120[目标区服],表2_97131923252773121[[#This Row],[合区区服]],表1_86121822242672120[目标国家（映射）],表2_97131923252773121[[#This Row],[国家]])</f>
        <v>43320</v>
      </c>
      <c r="J33" s="218">
        <f>SUMIFS(表1_86121822242672120[活跃Coin],表1_86121822242672120[目标区服],表2_97131923252773121[[#This Row],[合区区服]],表1_86121822242672120[目标国家（映射）],表2_97131923252773121[[#This Row],[国家]])</f>
        <v>965714</v>
      </c>
      <c r="K33" s="218">
        <f>SUMIFS(表1_86121822242672120[共计补偿Coin],表1_86121822242672120[目标区服],表2_97131923252773121[[#This Row],[合区区服]],表1_86121822242672120[目标国家（映射）],表2_97131923252773121[[#This Row],[国家]])</f>
        <v>38000</v>
      </c>
      <c r="L33" s="218">
        <f>表2_97131923252773121[[#This Row],[活跃Coin]]+表2_97131923252773121[[#This Row],[共计补偿Coin]]</f>
        <v>1003714</v>
      </c>
      <c r="M33" s="218">
        <f>SUMIFS(表1_86121822242672120[综合国力],表1_86121822242672120[目标区服],表2_97131923252773121[[#This Row],[合区区服]],表1_86121822242672120[目标国家（映射）],表2_97131923252773121[[#This Row],[国家]])</f>
        <v>13036</v>
      </c>
      <c r="N33" s="218">
        <f t="array" ref="N33">MAX((表1_86121822242672120[目标区服]=表2_97131923252773121[[#This Row],[合区区服]])*(表1_86121822242672120[目标国家（映射）]=表2_97131923252773121[[#This Row],[国家]])*表1_86121822242672120[单将最高战力])</f>
        <v>802768</v>
      </c>
      <c r="P33" s="51">
        <v>5312</v>
      </c>
      <c r="Q33" s="51">
        <v>37</v>
      </c>
      <c r="R33" s="51" t="s">
        <v>299</v>
      </c>
      <c r="S33" s="51">
        <v>39</v>
      </c>
    </row>
    <row r="34" ht="15" spans="1:19">
      <c r="A34" s="198" t="s">
        <v>298</v>
      </c>
      <c r="B34" s="218" t="s">
        <v>27</v>
      </c>
      <c r="C34" s="218">
        <f>COUNTIFS(表1_86121822242672120[目标区服],表2_97131923252773121[[#This Row],[合区区服]],表1_86121822242672120[目标国家（映射）],表2_97131923252773121[[#This Row],[国家]])</f>
        <v>2</v>
      </c>
      <c r="D34" s="218">
        <f>SUMIFS(表1_86121822242672120[活跃高战玩家数],表1_86121822242672120[目标区服],表2_97131923252773121[[#This Row],[合区区服]],表1_86121822242672120[目标国家（映射）],表2_97131923252773121[[#This Row],[国家]])</f>
        <v>6</v>
      </c>
      <c r="E34" s="218">
        <f>SUMIFS(表1_86121822242672120[活跃中坚玩家数],表1_86121822242672120[目标区服],表2_97131923252773121[[#This Row],[合区区服]],表1_86121822242672120[目标国家（映射）],表2_97131923252773121[[#This Row],[国家]])</f>
        <v>42</v>
      </c>
      <c r="F34" s="218">
        <f t="array" ref="F34">MAX((表1_86121822242672120[目标区服]=表2_97131923252773121[[#This Row],[合区区服]])*(表1_86121822242672120[目标国家（映射）]=表2_97131923252773121[[#This Row],[国家]])*表1_86121822242672120[活跃尖端战力])</f>
        <v>2794746</v>
      </c>
      <c r="G34" s="219">
        <f>SUMIFS(表1_86121822242672120[活跃总战力],表1_86121822242672120[目标区服],表2_97131923252773121[[#This Row],[合区区服]],表1_86121822242672120[目标国家（映射）],表2_97131923252773121[[#This Row],[国家]])</f>
        <v>32144995</v>
      </c>
      <c r="H34" s="218">
        <f>SUMIFS(表1_86121822242672120[活跃实际充值],表1_86121822242672120[目标区服],表2_97131923252773121[[#This Row],[合区区服]],表1_86121822242672120[目标国家（映射）],表2_97131923252773121[[#This Row],[国家]])</f>
        <v>86122</v>
      </c>
      <c r="I34" s="218">
        <f>SUMIFS(表1_86121822242672120[活跃虚拟充值],表1_86121822242672120[目标区服],表2_97131923252773121[[#This Row],[合区区服]],表1_86121822242672120[目标国家（映射）],表2_97131923252773121[[#This Row],[国家]])</f>
        <v>39498</v>
      </c>
      <c r="J34" s="218">
        <f>SUMIFS(表1_86121822242672120[活跃Coin],表1_86121822242672120[目标区服],表2_97131923252773121[[#This Row],[合区区服]],表1_86121822242672120[目标国家（映射）],表2_97131923252773121[[#This Row],[国家]])</f>
        <v>705047</v>
      </c>
      <c r="K34" s="218">
        <f>SUMIFS(表1_86121822242672120[共计补偿Coin],表1_86121822242672120[目标区服],表2_97131923252773121[[#This Row],[合区区服]],表1_86121822242672120[目标国家（映射）],表2_97131923252773121[[#This Row],[国家]])</f>
        <v>48000</v>
      </c>
      <c r="L34" s="218">
        <f>表2_97131923252773121[[#This Row],[活跃Coin]]+表2_97131923252773121[[#This Row],[共计补偿Coin]]</f>
        <v>753047</v>
      </c>
      <c r="M34" s="218">
        <f>SUMIFS(表1_86121822242672120[综合国力],表1_86121822242672120[目标区服],表2_97131923252773121[[#This Row],[合区区服]],表1_86121822242672120[目标国家（映射）],表2_97131923252773121[[#This Row],[国家]])</f>
        <v>14596</v>
      </c>
      <c r="N34" s="218">
        <f t="array" ref="N34">MAX((表1_86121822242672120[目标区服]=表2_97131923252773121[[#This Row],[合区区服]])*(表1_86121822242672120[目标国家（映射）]=表2_97131923252773121[[#This Row],[国家]])*表1_86121822242672120[单将最高战力])</f>
        <v>746951</v>
      </c>
      <c r="P34" s="51">
        <v>5313</v>
      </c>
      <c r="Q34" s="51">
        <v>37</v>
      </c>
      <c r="R34" s="51" t="s">
        <v>300</v>
      </c>
      <c r="S34" s="51">
        <v>38</v>
      </c>
    </row>
    <row r="35" ht="15" spans="1:19">
      <c r="A35" s="206" t="s">
        <v>299</v>
      </c>
      <c r="B35" s="220" t="s">
        <v>25</v>
      </c>
      <c r="C35" s="220">
        <f>COUNTIFS(表1_86121822242672120[目标区服],表2_97131923252773121[[#This Row],[合区区服]],表1_86121822242672120[目标国家（映射）],表2_97131923252773121[[#This Row],[国家]])</f>
        <v>3</v>
      </c>
      <c r="D35" s="220">
        <f>SUMIFS(表1_86121822242672120[活跃高战玩家数],表1_86121822242672120[目标区服],表2_97131923252773121[[#This Row],[合区区服]],表1_86121822242672120[目标国家（映射）],表2_97131923252773121[[#This Row],[国家]])</f>
        <v>5</v>
      </c>
      <c r="E35" s="220">
        <f>SUMIFS(表1_86121822242672120[活跃中坚玩家数],表1_86121822242672120[目标区服],表2_97131923252773121[[#This Row],[合区区服]],表1_86121822242672120[目标国家（映射）],表2_97131923252773121[[#This Row],[国家]])</f>
        <v>55</v>
      </c>
      <c r="F35" s="220">
        <f t="array" ref="F35">MAX((表1_86121822242672120[目标区服]=表2_97131923252773121[[#This Row],[合区区服]])*(表1_86121822242672120[目标国家（映射）]=表2_97131923252773121[[#This Row],[国家]])*表1_86121822242672120[活跃尖端战力])</f>
        <v>2672714</v>
      </c>
      <c r="G35" s="221">
        <f>SUMIFS(表1_86121822242672120[活跃总战力],表1_86121822242672120[目标区服],表2_97131923252773121[[#This Row],[合区区服]],表1_86121822242672120[目标国家（映射）],表2_97131923252773121[[#This Row],[国家]])</f>
        <v>38865315</v>
      </c>
      <c r="H35" s="220">
        <f>SUMIFS(表1_86121822242672120[活跃实际充值],表1_86121822242672120[目标区服],表2_97131923252773121[[#This Row],[合区区服]],表1_86121822242672120[目标国家（映射）],表2_97131923252773121[[#This Row],[国家]])</f>
        <v>83982</v>
      </c>
      <c r="I35" s="220">
        <f>SUMIFS(表1_86121822242672120[活跃虚拟充值],表1_86121822242672120[目标区服],表2_97131923252773121[[#This Row],[合区区服]],表1_86121822242672120[目标国家（映射）],表2_97131923252773121[[#This Row],[国家]])</f>
        <v>0</v>
      </c>
      <c r="J35" s="220">
        <f>SUMIFS(表1_86121822242672120[活跃Coin],表1_86121822242672120[目标区服],表2_97131923252773121[[#This Row],[合区区服]],表1_86121822242672120[目标国家（映射）],表2_97131923252773121[[#This Row],[国家]])</f>
        <v>722514</v>
      </c>
      <c r="K35" s="220">
        <f>SUMIFS(表1_86121822242672120[共计补偿Coin],表1_86121822242672120[目标区服],表2_97131923252773121[[#This Row],[合区区服]],表1_86121822242672120[目标国家（映射）],表2_97131923252773121[[#This Row],[国家]])</f>
        <v>72000</v>
      </c>
      <c r="L35" s="220">
        <f>表2_97131923252773121[[#This Row],[活跃Coin]]+表2_97131923252773121[[#This Row],[共计补偿Coin]]</f>
        <v>794514</v>
      </c>
      <c r="M35" s="220">
        <f>SUMIFS(表1_86121822242672120[综合国力],表1_86121822242672120[目标区服],表2_97131923252773121[[#This Row],[合区区服]],表1_86121822242672120[目标国家（映射）],表2_97131923252773121[[#This Row],[国家]])</f>
        <v>16867</v>
      </c>
      <c r="N35" s="220">
        <f t="array" ref="N35">MAX((表1_86121822242672120[目标区服]=表2_97131923252773121[[#This Row],[合区区服]])*(表1_86121822242672120[目标国家（映射）]=表2_97131923252773121[[#This Row],[国家]])*表1_86121822242672120[单将最高战力])</f>
        <v>892273</v>
      </c>
      <c r="P35" s="51">
        <v>5314</v>
      </c>
      <c r="Q35" s="51">
        <v>36</v>
      </c>
      <c r="R35" s="51" t="s">
        <v>301</v>
      </c>
      <c r="S35" s="51">
        <v>38</v>
      </c>
    </row>
    <row r="36" ht="15" spans="1:17">
      <c r="A36" s="206" t="s">
        <v>299</v>
      </c>
      <c r="B36" s="220" t="s">
        <v>26</v>
      </c>
      <c r="C36" s="220">
        <f>COUNTIFS(表1_86121822242672120[目标区服],表2_97131923252773121[[#This Row],[合区区服]],表1_86121822242672120[目标国家（映射）],表2_97131923252773121[[#This Row],[国家]])</f>
        <v>1</v>
      </c>
      <c r="D36" s="220">
        <f>SUMIFS(表1_86121822242672120[活跃高战玩家数],表1_86121822242672120[目标区服],表2_97131923252773121[[#This Row],[合区区服]],表1_86121822242672120[目标国家（映射）],表2_97131923252773121[[#This Row],[国家]])</f>
        <v>7</v>
      </c>
      <c r="E36" s="220">
        <f>SUMIFS(表1_86121822242672120[活跃中坚玩家数],表1_86121822242672120[目标区服],表2_97131923252773121[[#This Row],[合区区服]],表1_86121822242672120[目标国家（映射）],表2_97131923252773121[[#This Row],[国家]])</f>
        <v>36</v>
      </c>
      <c r="F36" s="220">
        <f t="array" ref="F36">MAX((表1_86121822242672120[目标区服]=表2_97131923252773121[[#This Row],[合区区服]])*(表1_86121822242672120[目标国家（映射）]=表2_97131923252773121[[#This Row],[国家]])*表1_86121822242672120[活跃尖端战力])</f>
        <v>2922760</v>
      </c>
      <c r="G36" s="221">
        <f>SUMIFS(表1_86121822242672120[活跃总战力],表1_86121822242672120[目标区服],表2_97131923252773121[[#This Row],[合区区服]],表1_86121822242672120[目标国家（映射）],表2_97131923252773121[[#This Row],[国家]])</f>
        <v>33613169</v>
      </c>
      <c r="H36" s="220">
        <f>SUMIFS(表1_86121822242672120[活跃实际充值],表1_86121822242672120[目标区服],表2_97131923252773121[[#This Row],[合区区服]],表1_86121822242672120[目标国家（映射）],表2_97131923252773121[[#This Row],[国家]])</f>
        <v>109938</v>
      </c>
      <c r="I36" s="220">
        <f>SUMIFS(表1_86121822242672120[活跃虚拟充值],表1_86121822242672120[目标区服],表2_97131923252773121[[#This Row],[合区区服]],表1_86121822242672120[目标国家（映射）],表2_97131923252773121[[#This Row],[国家]])</f>
        <v>0</v>
      </c>
      <c r="J36" s="220">
        <f>SUMIFS(表1_86121822242672120[活跃Coin],表1_86121822242672120[目标区服],表2_97131923252773121[[#This Row],[合区区服]],表1_86121822242672120[目标国家（映射）],表2_97131923252773121[[#This Row],[国家]])</f>
        <v>427374</v>
      </c>
      <c r="K36" s="220">
        <f>SUMIFS(表1_86121822242672120[共计补偿Coin],表1_86121822242672120[目标区服],表2_97131923252773121[[#This Row],[合区区服]],表1_86121822242672120[目标国家（映射）],表2_97131923252773121[[#This Row],[国家]])</f>
        <v>43000</v>
      </c>
      <c r="L36" s="220">
        <f>表2_97131923252773121[[#This Row],[活跃Coin]]+表2_97131923252773121[[#This Row],[共计补偿Coin]]</f>
        <v>470374</v>
      </c>
      <c r="M36" s="220">
        <f>SUMIFS(表1_86121822242672120[综合国力],表1_86121822242672120[目标区服],表2_97131923252773121[[#This Row],[合区区服]],表1_86121822242672120[目标国家（映射）],表2_97131923252773121[[#This Row],[国家]])</f>
        <v>13587</v>
      </c>
      <c r="N36" s="220">
        <f t="array" ref="N36">MAX((表1_86121822242672120[目标区服]=表2_97131923252773121[[#This Row],[合区区服]])*(表1_86121822242672120[目标国家（映射）]=表2_97131923252773121[[#This Row],[国家]])*表1_86121822242672120[单将最高战力])</f>
        <v>975304</v>
      </c>
      <c r="P36" s="51">
        <v>5315</v>
      </c>
      <c r="Q36" s="51">
        <v>36</v>
      </c>
    </row>
    <row r="37" ht="15" spans="1:17">
      <c r="A37" s="206" t="s">
        <v>299</v>
      </c>
      <c r="B37" s="222" t="s">
        <v>27</v>
      </c>
      <c r="C37" s="222">
        <f>COUNTIFS(表1_86121822242672120[目标区服],表2_97131923252773121[[#This Row],[合区区服]],表1_86121822242672120[目标国家（映射）],表2_97131923252773121[[#This Row],[国家]])</f>
        <v>2</v>
      </c>
      <c r="D37" s="222">
        <f>SUMIFS(表1_86121822242672120[活跃高战玩家数],表1_86121822242672120[目标区服],表2_97131923252773121[[#This Row],[合区区服]],表1_86121822242672120[目标国家（映射）],表2_97131923252773121[[#This Row],[国家]])</f>
        <v>6</v>
      </c>
      <c r="E37" s="222">
        <f>SUMIFS(表1_86121822242672120[活跃中坚玩家数],表1_86121822242672120[目标区服],表2_97131923252773121[[#This Row],[合区区服]],表1_86121822242672120[目标国家（映射）],表2_97131923252773121[[#This Row],[国家]])</f>
        <v>43</v>
      </c>
      <c r="F37" s="222">
        <f t="array" ref="F37">MAX((表1_86121822242672120[目标区服]=表2_97131923252773121[[#This Row],[合区区服]])*(表1_86121822242672120[目标国家（映射）]=表2_97131923252773121[[#This Row],[国家]])*表1_86121822242672120[活跃尖端战力])</f>
        <v>3179835</v>
      </c>
      <c r="G37" s="223">
        <f>SUMIFS(表1_86121822242672120[活跃总战力],表1_86121822242672120[目标区服],表2_97131923252773121[[#This Row],[合区区服]],表1_86121822242672120[目标国家（映射）],表2_97131923252773121[[#This Row],[国家]])</f>
        <v>36516294</v>
      </c>
      <c r="H37" s="222">
        <f>SUMIFS(表1_86121822242672120[活跃实际充值],表1_86121822242672120[目标区服],表2_97131923252773121[[#This Row],[合区区服]],表1_86121822242672120[目标国家（映射）],表2_97131923252773121[[#This Row],[国家]])</f>
        <v>114910</v>
      </c>
      <c r="I37" s="222">
        <f>SUMIFS(表1_86121822242672120[活跃虚拟充值],表1_86121822242672120[目标区服],表2_97131923252773121[[#This Row],[合区区服]],表1_86121822242672120[目标国家（映射）],表2_97131923252773121[[#This Row],[国家]])</f>
        <v>0</v>
      </c>
      <c r="J37" s="222">
        <f>SUMIFS(表1_86121822242672120[活跃Coin],表1_86121822242672120[目标区服],表2_97131923252773121[[#This Row],[合区区服]],表1_86121822242672120[目标国家（映射）],表2_97131923252773121[[#This Row],[国家]])</f>
        <v>692177</v>
      </c>
      <c r="K37" s="222">
        <f>SUMIFS(表1_86121822242672120[共计补偿Coin],表1_86121822242672120[目标区服],表2_97131923252773121[[#This Row],[合区区服]],表1_86121822242672120[目标国家（映射）],表2_97131923252773121[[#This Row],[国家]])</f>
        <v>73500</v>
      </c>
      <c r="L37" s="222">
        <f>表2_97131923252773121[[#This Row],[活跃Coin]]+表2_97131923252773121[[#This Row],[共计补偿Coin]]</f>
        <v>765677</v>
      </c>
      <c r="M37" s="222">
        <f>SUMIFS(表1_86121822242672120[综合国力],表1_86121822242672120[目标区服],表2_97131923252773121[[#This Row],[合区区服]],表1_86121822242672120[目标国家（映射）],表2_97131923252773121[[#This Row],[国家]])</f>
        <v>16325</v>
      </c>
      <c r="N37" s="220">
        <f t="array" ref="N37">MAX((表1_86121822242672120[目标区服]=表2_97131923252773121[[#This Row],[合区区服]])*(表1_86121822242672120[目标国家（映射）]=表2_97131923252773121[[#This Row],[国家]])*表1_86121822242672120[单将最高战力])</f>
        <v>917479</v>
      </c>
      <c r="P37" s="51">
        <v>5316</v>
      </c>
      <c r="Q37" s="51">
        <v>36</v>
      </c>
    </row>
    <row r="38" ht="15" spans="1:17">
      <c r="A38" s="211" t="s">
        <v>300</v>
      </c>
      <c r="B38" s="41" t="s">
        <v>25</v>
      </c>
      <c r="C38" s="41">
        <f>COUNTIFS(表1_86121822242672120[目标区服],表2_97131923252773121[[#This Row],[合区区服]],表1_86121822242672120[目标国家（映射）],表2_97131923252773121[[#This Row],[国家]])</f>
        <v>2</v>
      </c>
      <c r="D38" s="41">
        <f>SUMIFS(表1_86121822242672120[活跃高战玩家数],表1_86121822242672120[目标区服],表2_97131923252773121[[#This Row],[合区区服]],表1_86121822242672120[目标国家（映射）],表2_97131923252773121[[#This Row],[国家]])</f>
        <v>8</v>
      </c>
      <c r="E38" s="41">
        <f>SUMIFS(表1_86121822242672120[活跃中坚玩家数],表1_86121822242672120[目标区服],表2_97131923252773121[[#This Row],[合区区服]],表1_86121822242672120[目标国家（映射）],表2_97131923252773121[[#This Row],[国家]])</f>
        <v>47</v>
      </c>
      <c r="F38" s="41">
        <f t="array" ref="F38">MAX((表1_86121822242672120[目标区服]=表2_97131923252773121[[#This Row],[合区区服]])*(表1_86121822242672120[目标国家（映射）]=表2_97131923252773121[[#This Row],[国家]])*表1_86121822242672120[活跃尖端战力])</f>
        <v>2406093</v>
      </c>
      <c r="G38" s="42">
        <f>SUMIFS(表1_86121822242672120[活跃总战力],表1_86121822242672120[目标区服],表2_97131923252773121[[#This Row],[合区区服]],表1_86121822242672120[目标国家（映射）],表2_97131923252773121[[#This Row],[国家]])</f>
        <v>35141205</v>
      </c>
      <c r="H38" s="41">
        <f>SUMIFS(表1_86121822242672120[活跃实际充值],表1_86121822242672120[目标区服],表2_97131923252773121[[#This Row],[合区区服]],表1_86121822242672120[目标国家（映射）],表2_97131923252773121[[#This Row],[国家]])</f>
        <v>56921</v>
      </c>
      <c r="I38" s="41">
        <f>SUMIFS(表1_86121822242672120[活跃虚拟充值],表1_86121822242672120[目标区服],表2_97131923252773121[[#This Row],[合区区服]],表1_86121822242672120[目标国家（映射）],表2_97131923252773121[[#This Row],[国家]])</f>
        <v>0</v>
      </c>
      <c r="J38" s="41">
        <f>SUMIFS(表1_86121822242672120[活跃Coin],表1_86121822242672120[目标区服],表2_97131923252773121[[#This Row],[合区区服]],表1_86121822242672120[目标国家（映射）],表2_97131923252773121[[#This Row],[国家]])</f>
        <v>450995</v>
      </c>
      <c r="K38" s="41">
        <f>SUMIFS(表1_86121822242672120[共计补偿Coin],表1_86121822242672120[目标区服],表2_97131923252773121[[#This Row],[合区区服]],表1_86121822242672120[目标国家（映射）],表2_97131923252773121[[#This Row],[国家]])</f>
        <v>55000</v>
      </c>
      <c r="L38" s="41">
        <f>表2_97131923252773121[[#This Row],[活跃Coin]]+表2_97131923252773121[[#This Row],[共计补偿Coin]]</f>
        <v>505995</v>
      </c>
      <c r="M38" s="41">
        <f>SUMIFS(表1_86121822242672120[综合国力],表1_86121822242672120[目标区服],表2_97131923252773121[[#This Row],[合区区服]],表1_86121822242672120[目标国家（映射）],表2_97131923252773121[[#This Row],[国家]])</f>
        <v>14364</v>
      </c>
      <c r="N38" s="41">
        <f t="array" ref="N38">MAX((表1_86121822242672120[目标区服]=表2_97131923252773121[[#This Row],[合区区服]])*(表1_86121822242672120[目标国家（映射）]=表2_97131923252773121[[#This Row],[国家]])*表1_86121822242672120[单将最高战力])</f>
        <v>849577</v>
      </c>
      <c r="P38" s="51">
        <v>5317</v>
      </c>
      <c r="Q38" s="51">
        <v>36</v>
      </c>
    </row>
    <row r="39" ht="15" spans="1:17">
      <c r="A39" s="211" t="s">
        <v>300</v>
      </c>
      <c r="B39" s="41" t="s">
        <v>26</v>
      </c>
      <c r="C39" s="41">
        <f>COUNTIFS(表1_86121822242672120[目标区服],表2_97131923252773121[[#This Row],[合区区服]],表1_86121822242672120[目标国家（映射）],表2_97131923252773121[[#This Row],[国家]])</f>
        <v>2</v>
      </c>
      <c r="D39" s="41">
        <f>SUMIFS(表1_86121822242672120[活跃高战玩家数],表1_86121822242672120[目标区服],表2_97131923252773121[[#This Row],[合区区服]],表1_86121822242672120[目标国家（映射）],表2_97131923252773121[[#This Row],[国家]])</f>
        <v>5</v>
      </c>
      <c r="E39" s="41">
        <f>SUMIFS(表1_86121822242672120[活跃中坚玩家数],表1_86121822242672120[目标区服],表2_97131923252773121[[#This Row],[合区区服]],表1_86121822242672120[目标国家（映射）],表2_97131923252773121[[#This Row],[国家]])</f>
        <v>51</v>
      </c>
      <c r="F39" s="41">
        <f t="array" ref="F39">MAX((表1_86121822242672120[目标区服]=表2_97131923252773121[[#This Row],[合区区服]])*(表1_86121822242672120[目标国家（映射）]=表2_97131923252773121[[#This Row],[国家]])*表1_86121822242672120[活跃尖端战力])</f>
        <v>2246378</v>
      </c>
      <c r="G39" s="42">
        <f>SUMIFS(表1_86121822242672120[活跃总战力],表1_86121822242672120[目标区服],表2_97131923252773121[[#This Row],[合区区服]],表1_86121822242672120[目标国家（映射）],表2_97131923252773121[[#This Row],[国家]])</f>
        <v>36403727</v>
      </c>
      <c r="H39" s="41">
        <f>SUMIFS(表1_86121822242672120[活跃实际充值],表1_86121822242672120[目标区服],表2_97131923252773121[[#This Row],[合区区服]],表1_86121822242672120[目标国家（映射）],表2_97131923252773121[[#This Row],[国家]])</f>
        <v>63080</v>
      </c>
      <c r="I39" s="41">
        <f>SUMIFS(表1_86121822242672120[活跃虚拟充值],表1_86121822242672120[目标区服],表2_97131923252773121[[#This Row],[合区区服]],表1_86121822242672120[目标国家（映射）],表2_97131923252773121[[#This Row],[国家]])</f>
        <v>0</v>
      </c>
      <c r="J39" s="41">
        <f>SUMIFS(表1_86121822242672120[活跃Coin],表1_86121822242672120[目标区服],表2_97131923252773121[[#This Row],[合区区服]],表1_86121822242672120[目标国家（映射）],表2_97131923252773121[[#This Row],[国家]])</f>
        <v>613315</v>
      </c>
      <c r="K39" s="41">
        <f>SUMIFS(表1_86121822242672120[共计补偿Coin],表1_86121822242672120[目标区服],表2_97131923252773121[[#This Row],[合区区服]],表1_86121822242672120[目标国家（映射）],表2_97131923252773121[[#This Row],[国家]])</f>
        <v>56000</v>
      </c>
      <c r="L39" s="41">
        <f>表2_97131923252773121[[#This Row],[活跃Coin]]+表2_97131923252773121[[#This Row],[共计补偿Coin]]</f>
        <v>669315</v>
      </c>
      <c r="M39" s="41">
        <f>SUMIFS(表1_86121822242672120[综合国力],表1_86121822242672120[目标区服],表2_97131923252773121[[#This Row],[合区区服]],表1_86121822242672120[目标国家（映射）],表2_97131923252773121[[#This Row],[国家]])</f>
        <v>13758</v>
      </c>
      <c r="N39" s="41">
        <f t="array" ref="N39">MAX((表1_86121822242672120[目标区服]=表2_97131923252773121[[#This Row],[合区区服]])*(表1_86121822242672120[目标国家（映射）]=表2_97131923252773121[[#This Row],[国家]])*表1_86121822242672120[单将最高战力])</f>
        <v>618833</v>
      </c>
      <c r="P39" s="51">
        <v>5318</v>
      </c>
      <c r="Q39" s="51">
        <v>35</v>
      </c>
    </row>
    <row r="40" ht="15" spans="1:17">
      <c r="A40" s="211" t="s">
        <v>300</v>
      </c>
      <c r="B40" s="43" t="s">
        <v>27</v>
      </c>
      <c r="C40" s="43">
        <f>COUNTIFS(表1_86121822242672120[目标区服],表2_97131923252773121[[#This Row],[合区区服]],表1_86121822242672120[目标国家（映射）],表2_97131923252773121[[#This Row],[国家]])</f>
        <v>2</v>
      </c>
      <c r="D40" s="43">
        <f>SUMIFS(表1_86121822242672120[活跃高战玩家数],表1_86121822242672120[目标区服],表2_97131923252773121[[#This Row],[合区区服]],表1_86121822242672120[目标国家（映射）],表2_97131923252773121[[#This Row],[国家]])</f>
        <v>7</v>
      </c>
      <c r="E40" s="43">
        <f>SUMIFS(表1_86121822242672120[活跃中坚玩家数],表1_86121822242672120[目标区服],表2_97131923252773121[[#This Row],[合区区服]],表1_86121822242672120[目标国家（映射）],表2_97131923252773121[[#This Row],[国家]])</f>
        <v>45</v>
      </c>
      <c r="F40" s="43">
        <f t="array" ref="F40">MAX((表1_86121822242672120[目标区服]=表2_97131923252773121[[#This Row],[合区区服]])*(表1_86121822242672120[目标国家（映射）]=表2_97131923252773121[[#This Row],[国家]])*表1_86121822242672120[活跃尖端战力])</f>
        <v>2818617</v>
      </c>
      <c r="G40" s="44">
        <f>SUMIFS(表1_86121822242672120[活跃总战力],表1_86121822242672120[目标区服],表2_97131923252773121[[#This Row],[合区区服]],表1_86121822242672120[目标国家（映射）],表2_97131923252773121[[#This Row],[国家]])</f>
        <v>37707191</v>
      </c>
      <c r="H40" s="43">
        <f>SUMIFS(表1_86121822242672120[活跃实际充值],表1_86121822242672120[目标区服],表2_97131923252773121[[#This Row],[合区区服]],表1_86121822242672120[目标国家（映射）],表2_97131923252773121[[#This Row],[国家]])</f>
        <v>118290</v>
      </c>
      <c r="I40" s="43">
        <f>SUMIFS(表1_86121822242672120[活跃虚拟充值],表1_86121822242672120[目标区服],表2_97131923252773121[[#This Row],[合区区服]],表1_86121822242672120[目标国家（映射）],表2_97131923252773121[[#This Row],[国家]])</f>
        <v>0</v>
      </c>
      <c r="J40" s="43">
        <f>SUMIFS(表1_86121822242672120[活跃Coin],表1_86121822242672120[目标区服],表2_97131923252773121[[#This Row],[合区区服]],表1_86121822242672120[目标国家（映射）],表2_97131923252773121[[#This Row],[国家]])</f>
        <v>542051</v>
      </c>
      <c r="K40" s="43">
        <f>SUMIFS(表1_86121822242672120[共计补偿Coin],表1_86121822242672120[目标区服],表2_97131923252773121[[#This Row],[合区区服]],表1_86121822242672120[目标国家（映射）],表2_97131923252773121[[#This Row],[国家]])</f>
        <v>52000</v>
      </c>
      <c r="L40" s="43">
        <f>表2_97131923252773121[[#This Row],[活跃Coin]]+表2_97131923252773121[[#This Row],[共计补偿Coin]]</f>
        <v>594051</v>
      </c>
      <c r="M40" s="43">
        <f>SUMIFS(表1_86121822242672120[综合国力],表1_86121822242672120[目标区服],表2_97131923252773121[[#This Row],[合区区服]],表1_86121822242672120[目标国家（映射）],表2_97131923252773121[[#This Row],[国家]])</f>
        <v>15715</v>
      </c>
      <c r="N40" s="41">
        <f t="array" ref="N40">MAX((表1_86121822242672120[目标区服]=表2_97131923252773121[[#This Row],[合区区服]])*(表1_86121822242672120[目标国家（映射）]=表2_97131923252773121[[#This Row],[国家]])*表1_86121822242672120[单将最高战力])</f>
        <v>682030</v>
      </c>
      <c r="P40" s="51">
        <v>5319</v>
      </c>
      <c r="Q40" s="51">
        <v>35</v>
      </c>
    </row>
    <row r="41" ht="15" spans="1:14">
      <c r="A41" s="215" t="s">
        <v>301</v>
      </c>
      <c r="B41" s="224" t="s">
        <v>25</v>
      </c>
      <c r="C41" s="224">
        <f>COUNTIFS(表1_86121822242672120[目标区服],表2_97131923252773121[[#This Row],[合区区服]],表1_86121822242672120[目标国家（映射）],表2_97131923252773121[[#This Row],[国家]])</f>
        <v>2</v>
      </c>
      <c r="D41" s="224">
        <f>SUMIFS(表1_86121822242672120[活跃高战玩家数],表1_86121822242672120[目标区服],表2_97131923252773121[[#This Row],[合区区服]],表1_86121822242672120[目标国家（映射）],表2_97131923252773121[[#This Row],[国家]])</f>
        <v>8</v>
      </c>
      <c r="E41" s="224">
        <f>SUMIFS(表1_86121822242672120[活跃中坚玩家数],表1_86121822242672120[目标区服],表2_97131923252773121[[#This Row],[合区区服]],表1_86121822242672120[目标国家（映射）],表2_97131923252773121[[#This Row],[国家]])</f>
        <v>59</v>
      </c>
      <c r="F41" s="224">
        <f t="array" ref="F41">MAX((表1_86121822242672120[目标区服]=表2_97131923252773121[[#This Row],[合区区服]])*(表1_86121822242672120[目标国家（映射）]=表2_97131923252773121[[#This Row],[国家]])*表1_86121822242672120[活跃尖端战力])</f>
        <v>2694070</v>
      </c>
      <c r="G41" s="225">
        <f>SUMIFS(表1_86121822242672120[活跃总战力],表1_86121822242672120[目标区服],表2_97131923252773121[[#This Row],[合区区服]],表1_86121822242672120[目标国家（映射）],表2_97131923252773121[[#This Row],[国家]])</f>
        <v>53163901</v>
      </c>
      <c r="H41" s="224">
        <f>SUMIFS(表1_86121822242672120[活跃实际充值],表1_86121822242672120[目标区服],表2_97131923252773121[[#This Row],[合区区服]],表1_86121822242672120[目标国家（映射）],表2_97131923252773121[[#This Row],[国家]])</f>
        <v>156564</v>
      </c>
      <c r="I41" s="224">
        <f>SUMIFS(表1_86121822242672120[活跃虚拟充值],表1_86121822242672120[目标区服],表2_97131923252773121[[#This Row],[合区区服]],表1_86121822242672120[目标国家（映射）],表2_97131923252773121[[#This Row],[国家]])</f>
        <v>0</v>
      </c>
      <c r="J41" s="224">
        <f>SUMIFS(表1_86121822242672120[活跃Coin],表1_86121822242672120[目标区服],表2_97131923252773121[[#This Row],[合区区服]],表1_86121822242672120[目标国家（映射）],表2_97131923252773121[[#This Row],[国家]])</f>
        <v>768180</v>
      </c>
      <c r="K41" s="224">
        <f>SUMIFS(表1_86121822242672120[共计补偿Coin],表1_86121822242672120[目标区服],表2_97131923252773121[[#This Row],[合区区服]],表1_86121822242672120[目标国家（映射）],表2_97131923252773121[[#This Row],[国家]])</f>
        <v>67000</v>
      </c>
      <c r="L41" s="224">
        <f>表2_97131923252773121[[#This Row],[活跃Coin]]+表2_97131923252773121[[#This Row],[共计补偿Coin]]</f>
        <v>835180</v>
      </c>
      <c r="M41" s="224">
        <f>SUMIFS(表1_86121822242672120[综合国力],表1_86121822242672120[目标区服],表2_97131923252773121[[#This Row],[合区区服]],表1_86121822242672120[目标国家（映射）],表2_97131923252773121[[#This Row],[国家]])</f>
        <v>20826</v>
      </c>
      <c r="N41" s="224">
        <f t="array" ref="N41">MAX((表1_86121822242672120[目标区服]=表2_97131923252773121[[#This Row],[合区区服]])*(表1_86121822242672120[目标国家（映射）]=表2_97131923252773121[[#This Row],[国家]])*表1_86121822242672120[单将最高战力])</f>
        <v>757275</v>
      </c>
    </row>
    <row r="42" ht="15" spans="1:14">
      <c r="A42" s="215" t="s">
        <v>301</v>
      </c>
      <c r="B42" s="224" t="s">
        <v>26</v>
      </c>
      <c r="C42" s="224">
        <f>COUNTIFS(表1_86121822242672120[目标区服],表2_97131923252773121[[#This Row],[合区区服]],表1_86121822242672120[目标国家（映射）],表2_97131923252773121[[#This Row],[国家]])</f>
        <v>3</v>
      </c>
      <c r="D42" s="224">
        <f>SUMIFS(表1_86121822242672120[活跃高战玩家数],表1_86121822242672120[目标区服],表2_97131923252773121[[#This Row],[合区区服]],表1_86121822242672120[目标国家（映射）],表2_97131923252773121[[#This Row],[国家]])</f>
        <v>11</v>
      </c>
      <c r="E42" s="224">
        <f>SUMIFS(表1_86121822242672120[活跃中坚玩家数],表1_86121822242672120[目标区服],表2_97131923252773121[[#This Row],[合区区服]],表1_86121822242672120[目标国家（映射）],表2_97131923252773121[[#This Row],[国家]])</f>
        <v>56</v>
      </c>
      <c r="F42" s="224">
        <f t="array" ref="F42">MAX((表1_86121822242672120[目标区服]=表2_97131923252773121[[#This Row],[合区区服]])*(表1_86121822242672120[目标国家（映射）]=表2_97131923252773121[[#This Row],[国家]])*表1_86121822242672120[活跃尖端战力])</f>
        <v>2611971</v>
      </c>
      <c r="G42" s="225">
        <f>SUMIFS(表1_86121822242672120[活跃总战力],表1_86121822242672120[目标区服],表2_97131923252773121[[#This Row],[合区区服]],表1_86121822242672120[目标国家（映射）],表2_97131923252773121[[#This Row],[国家]])</f>
        <v>48623529</v>
      </c>
      <c r="H42" s="224">
        <f>SUMIFS(表1_86121822242672120[活跃实际充值],表1_86121822242672120[目标区服],表2_97131923252773121[[#This Row],[合区区服]],表1_86121822242672120[目标国家（映射）],表2_97131923252773121[[#This Row],[国家]])</f>
        <v>175004</v>
      </c>
      <c r="I42" s="224">
        <f>SUMIFS(表1_86121822242672120[活跃虚拟充值],表1_86121822242672120[目标区服],表2_97131923252773121[[#This Row],[合区区服]],表1_86121822242672120[目标国家（映射）],表2_97131923252773121[[#This Row],[国家]])</f>
        <v>0</v>
      </c>
      <c r="J42" s="224">
        <f>SUMIFS(表1_86121822242672120[活跃Coin],表1_86121822242672120[目标区服],表2_97131923252773121[[#This Row],[合区区服]],表1_86121822242672120[目标国家（映射）],表2_97131923252773121[[#This Row],[国家]])</f>
        <v>965739</v>
      </c>
      <c r="K42" s="224">
        <f>SUMIFS(表1_86121822242672120[共计补偿Coin],表1_86121822242672120[目标区服],表2_97131923252773121[[#This Row],[合区区服]],表1_86121822242672120[目标国家（映射）],表2_97131923252773121[[#This Row],[国家]])</f>
        <v>100500</v>
      </c>
      <c r="L42" s="224">
        <f>表2_97131923252773121[[#This Row],[活跃Coin]]+表2_97131923252773121[[#This Row],[共计补偿Coin]]</f>
        <v>1066239</v>
      </c>
      <c r="M42" s="224">
        <f>SUMIFS(表1_86121822242672120[综合国力],表1_86121822242672120[目标区服],表2_97131923252773121[[#This Row],[合区区服]],表1_86121822242672120[目标国家（映射）],表2_97131923252773121[[#This Row],[国家]])</f>
        <v>23007</v>
      </c>
      <c r="N42" s="224">
        <f t="array" ref="N42">MAX((表1_86121822242672120[目标区服]=表2_97131923252773121[[#This Row],[合区区服]])*(表1_86121822242672120[目标国家（映射）]=表2_97131923252773121[[#This Row],[国家]])*表1_86121822242672120[单将最高战力])</f>
        <v>730734</v>
      </c>
    </row>
    <row r="43" ht="15" spans="1:14">
      <c r="A43" s="215" t="s">
        <v>301</v>
      </c>
      <c r="B43" s="226" t="s">
        <v>27</v>
      </c>
      <c r="C43" s="226">
        <f>COUNTIFS(表1_86121822242672120[目标区服],表2_97131923252773121[[#This Row],[合区区服]],表1_86121822242672120[目标国家（映射）],表2_97131923252773121[[#This Row],[国家]])</f>
        <v>4</v>
      </c>
      <c r="D43" s="226">
        <f>SUMIFS(表1_86121822242672120[活跃高战玩家数],表1_86121822242672120[目标区服],表2_97131923252773121[[#This Row],[合区区服]],表1_86121822242672120[目标国家（映射）],表2_97131923252773121[[#This Row],[国家]])</f>
        <v>8</v>
      </c>
      <c r="E43" s="226">
        <f>SUMIFS(表1_86121822242672120[活跃中坚玩家数],表1_86121822242672120[目标区服],表2_97131923252773121[[#This Row],[合区区服]],表1_86121822242672120[目标国家（映射）],表2_97131923252773121[[#This Row],[国家]])</f>
        <v>65</v>
      </c>
      <c r="F43" s="226">
        <f t="array" ref="F43">MAX((表1_86121822242672120[目标区服]=表2_97131923252773121[[#This Row],[合区区服]])*(表1_86121822242672120[目标国家（映射）]=表2_97131923252773121[[#This Row],[国家]])*表1_86121822242672120[活跃尖端战力])</f>
        <v>2321784</v>
      </c>
      <c r="G43" s="227">
        <f>SUMIFS(表1_86121822242672120[活跃总战力],表1_86121822242672120[目标区服],表2_97131923252773121[[#This Row],[合区区服]],表1_86121822242672120[目标国家（映射）],表2_97131923252773121[[#This Row],[国家]])</f>
        <v>47807592</v>
      </c>
      <c r="H43" s="226">
        <f>SUMIFS(表1_86121822242672120[活跃实际充值],表1_86121822242672120[目标区服],表2_97131923252773121[[#This Row],[合区区服]],表1_86121822242672120[目标国家（映射）],表2_97131923252773121[[#This Row],[国家]])</f>
        <v>169350</v>
      </c>
      <c r="I43" s="226">
        <f>SUMIFS(表1_86121822242672120[活跃虚拟充值],表1_86121822242672120[目标区服],表2_97131923252773121[[#This Row],[合区区服]],表1_86121822242672120[目标国家（映射）],表2_97131923252773121[[#This Row],[国家]])</f>
        <v>0</v>
      </c>
      <c r="J43" s="226">
        <f>SUMIFS(表1_86121822242672120[活跃Coin],表1_86121822242672120[目标区服],表2_97131923252773121[[#This Row],[合区区服]],表1_86121822242672120[目标国家（映射）],表2_97131923252773121[[#This Row],[国家]])</f>
        <v>608586</v>
      </c>
      <c r="K43" s="226">
        <f>SUMIFS(表1_86121822242672120[共计补偿Coin],表1_86121822242672120[目标区服],表2_97131923252773121[[#This Row],[合区区服]],表1_86121822242672120[目标国家（映射）],表2_97131923252773121[[#This Row],[国家]])</f>
        <v>102500</v>
      </c>
      <c r="L43" s="226">
        <f>表2_97131923252773121[[#This Row],[活跃Coin]]+表2_97131923252773121[[#This Row],[共计补偿Coin]]</f>
        <v>711086</v>
      </c>
      <c r="M43" s="226">
        <f>SUMIFS(表1_86121822242672120[综合国力],表1_86121822242672120[目标区服],表2_97131923252773121[[#This Row],[合区区服]],表1_86121822242672120[目标国家（映射）],表2_97131923252773121[[#This Row],[国家]])</f>
        <v>24939</v>
      </c>
      <c r="N43" s="224">
        <f t="array" ref="N43">MAX((表1_86121822242672120[目标区服]=表2_97131923252773121[[#This Row],[合区区服]])*(表1_86121822242672120[目标国家（映射）]=表2_97131923252773121[[#This Row],[国家]])*表1_86121822242672120[单将最高战力])</f>
        <v>807179</v>
      </c>
    </row>
    <row r="49" ht="27" spans="2:14">
      <c r="B49" s="228"/>
      <c r="C49" s="189" t="s">
        <v>9</v>
      </c>
      <c r="D49" s="189" t="s">
        <v>10</v>
      </c>
      <c r="E49" s="189" t="s">
        <v>11</v>
      </c>
      <c r="F49" s="189" t="s">
        <v>12</v>
      </c>
      <c r="G49" s="189" t="s">
        <v>13</v>
      </c>
      <c r="H49" s="189" t="s">
        <v>14</v>
      </c>
      <c r="I49" s="189" t="s">
        <v>15</v>
      </c>
      <c r="J49" s="189" t="s">
        <v>18</v>
      </c>
      <c r="K49" s="189" t="s">
        <v>19</v>
      </c>
      <c r="L49" s="189" t="s">
        <v>20</v>
      </c>
      <c r="M49" s="189" t="s">
        <v>21</v>
      </c>
      <c r="N49" s="189" t="s">
        <v>82</v>
      </c>
    </row>
    <row r="50" spans="1:14">
      <c r="A50">
        <v>5311</v>
      </c>
      <c r="B50" s="189" t="s">
        <v>25</v>
      </c>
      <c r="C50" s="189">
        <v>0</v>
      </c>
      <c r="D50" s="189">
        <v>57</v>
      </c>
      <c r="E50" s="189">
        <v>2</v>
      </c>
      <c r="F50" s="189">
        <v>21</v>
      </c>
      <c r="G50" s="189">
        <v>70629</v>
      </c>
      <c r="H50" s="189">
        <v>1603652</v>
      </c>
      <c r="I50" s="189">
        <v>13821655</v>
      </c>
      <c r="J50" s="189">
        <v>29692</v>
      </c>
      <c r="K50" s="189">
        <v>0</v>
      </c>
      <c r="L50" s="189">
        <v>120268</v>
      </c>
      <c r="M50" s="189">
        <v>4859</v>
      </c>
      <c r="N50" s="52">
        <v>462334</v>
      </c>
    </row>
    <row r="51" spans="2:14">
      <c r="B51" s="189" t="s">
        <v>26</v>
      </c>
      <c r="C51" s="189">
        <v>6</v>
      </c>
      <c r="D51" s="189">
        <v>247</v>
      </c>
      <c r="E51" s="189">
        <v>7</v>
      </c>
      <c r="F51" s="189">
        <v>31</v>
      </c>
      <c r="G51" s="189">
        <v>178066</v>
      </c>
      <c r="H51" s="189">
        <v>2768067</v>
      </c>
      <c r="I51" s="189">
        <v>31405631</v>
      </c>
      <c r="J51" s="189">
        <v>75039</v>
      </c>
      <c r="K51" s="189">
        <v>43320</v>
      </c>
      <c r="L51" s="189">
        <v>965714</v>
      </c>
      <c r="M51" s="189">
        <v>13036</v>
      </c>
      <c r="N51" s="52">
        <v>802768</v>
      </c>
    </row>
    <row r="52" spans="2:14">
      <c r="B52" s="189" t="s">
        <v>27</v>
      </c>
      <c r="C52" s="189">
        <v>3</v>
      </c>
      <c r="D52" s="189">
        <v>91</v>
      </c>
      <c r="E52" s="189">
        <v>1</v>
      </c>
      <c r="F52" s="189">
        <v>18</v>
      </c>
      <c r="G52" s="189">
        <v>74661</v>
      </c>
      <c r="H52" s="189">
        <v>1297651</v>
      </c>
      <c r="I52" s="189">
        <v>12508632</v>
      </c>
      <c r="J52" s="189">
        <v>13964</v>
      </c>
      <c r="K52" s="189">
        <v>0</v>
      </c>
      <c r="L52" s="189">
        <v>172399</v>
      </c>
      <c r="M52" s="189">
        <v>4636</v>
      </c>
      <c r="N52" s="52">
        <v>397796</v>
      </c>
    </row>
    <row r="53" spans="1:14">
      <c r="A53">
        <v>5312</v>
      </c>
      <c r="B53" s="189" t="s">
        <v>25</v>
      </c>
      <c r="C53" s="189">
        <v>3</v>
      </c>
      <c r="D53" s="189">
        <v>117</v>
      </c>
      <c r="E53" s="189">
        <v>4</v>
      </c>
      <c r="F53" s="189">
        <v>20</v>
      </c>
      <c r="G53" s="189">
        <v>117812</v>
      </c>
      <c r="H53" s="189">
        <v>2201805</v>
      </c>
      <c r="I53" s="189">
        <v>17944098</v>
      </c>
      <c r="J53" s="189">
        <v>43328</v>
      </c>
      <c r="K53" s="189">
        <v>0</v>
      </c>
      <c r="L53" s="189">
        <v>317993</v>
      </c>
      <c r="M53" s="189">
        <v>7514</v>
      </c>
      <c r="N53" s="52">
        <v>556961</v>
      </c>
    </row>
    <row r="54" spans="2:14">
      <c r="B54" s="189" t="s">
        <v>26</v>
      </c>
      <c r="C54" s="189">
        <v>6</v>
      </c>
      <c r="D54" s="189">
        <v>249</v>
      </c>
      <c r="E54" s="189">
        <v>6</v>
      </c>
      <c r="F54" s="189">
        <v>31</v>
      </c>
      <c r="G54" s="189">
        <v>165790</v>
      </c>
      <c r="H54" s="189">
        <v>2794746</v>
      </c>
      <c r="I54" s="189">
        <v>26925585</v>
      </c>
      <c r="J54" s="189">
        <v>84578</v>
      </c>
      <c r="K54" s="189">
        <v>39498</v>
      </c>
      <c r="L54" s="189">
        <v>637114</v>
      </c>
      <c r="M54" s="189">
        <v>12657</v>
      </c>
      <c r="N54" s="52">
        <v>746951</v>
      </c>
    </row>
    <row r="55" spans="2:14">
      <c r="B55" s="189" t="s">
        <v>27</v>
      </c>
      <c r="C55" s="189">
        <v>0</v>
      </c>
      <c r="D55" s="189">
        <v>29</v>
      </c>
      <c r="E55" s="189">
        <v>0</v>
      </c>
      <c r="F55" s="189">
        <v>11</v>
      </c>
      <c r="G55" s="189">
        <v>32122</v>
      </c>
      <c r="H55" s="189">
        <v>887015</v>
      </c>
      <c r="I55" s="189">
        <v>5219410</v>
      </c>
      <c r="J55" s="189">
        <v>1544</v>
      </c>
      <c r="K55" s="189">
        <v>0</v>
      </c>
      <c r="L55" s="189">
        <v>67933</v>
      </c>
      <c r="M55" s="189">
        <v>1939</v>
      </c>
      <c r="N55" s="52">
        <v>248197</v>
      </c>
    </row>
    <row r="56" spans="1:14">
      <c r="A56">
        <v>5313</v>
      </c>
      <c r="B56" s="189" t="s">
        <v>25</v>
      </c>
      <c r="C56" s="189">
        <v>1</v>
      </c>
      <c r="D56" s="189">
        <v>77</v>
      </c>
      <c r="E56" s="189">
        <v>1</v>
      </c>
      <c r="F56" s="189">
        <v>18</v>
      </c>
      <c r="G56" s="189">
        <v>56463</v>
      </c>
      <c r="H56" s="189">
        <v>1628551</v>
      </c>
      <c r="I56" s="189">
        <v>11206876</v>
      </c>
      <c r="J56" s="189">
        <v>21056</v>
      </c>
      <c r="K56" s="189">
        <v>0</v>
      </c>
      <c r="L56" s="189">
        <v>238149</v>
      </c>
      <c r="M56" s="189">
        <v>4652</v>
      </c>
      <c r="N56" s="52">
        <v>785419</v>
      </c>
    </row>
    <row r="57" spans="2:14">
      <c r="B57" s="189" t="s">
        <v>26</v>
      </c>
      <c r="C57" s="189">
        <v>6</v>
      </c>
      <c r="D57" s="189">
        <v>223</v>
      </c>
      <c r="E57" s="189">
        <v>7</v>
      </c>
      <c r="F57" s="189">
        <v>36</v>
      </c>
      <c r="G57" s="189">
        <v>192304</v>
      </c>
      <c r="H57" s="189">
        <v>2922760</v>
      </c>
      <c r="I57" s="189">
        <v>33613169</v>
      </c>
      <c r="J57" s="189">
        <v>109938</v>
      </c>
      <c r="K57" s="189">
        <v>0</v>
      </c>
      <c r="L57" s="189">
        <v>427374</v>
      </c>
      <c r="M57" s="189">
        <v>13587</v>
      </c>
      <c r="N57" s="52">
        <v>975304</v>
      </c>
    </row>
    <row r="58" spans="2:14">
      <c r="B58" s="189" t="s">
        <v>27</v>
      </c>
      <c r="C58" s="189">
        <v>2</v>
      </c>
      <c r="D58" s="189">
        <v>95</v>
      </c>
      <c r="E58" s="189">
        <v>0</v>
      </c>
      <c r="F58" s="189">
        <v>17</v>
      </c>
      <c r="G58" s="189">
        <v>45162</v>
      </c>
      <c r="H58" s="189">
        <v>1423603</v>
      </c>
      <c r="I58" s="189">
        <v>9301143</v>
      </c>
      <c r="J58" s="189">
        <v>6574</v>
      </c>
      <c r="K58" s="189">
        <v>0</v>
      </c>
      <c r="L58" s="189">
        <v>151583</v>
      </c>
      <c r="M58" s="189">
        <v>4002</v>
      </c>
      <c r="N58" s="52">
        <v>472332</v>
      </c>
    </row>
    <row r="59" spans="1:14">
      <c r="A59">
        <v>5314</v>
      </c>
      <c r="B59" s="189" t="s">
        <v>25</v>
      </c>
      <c r="C59" s="189">
        <v>3</v>
      </c>
      <c r="D59" s="189">
        <v>105</v>
      </c>
      <c r="E59" s="189">
        <v>4</v>
      </c>
      <c r="F59" s="189">
        <v>20</v>
      </c>
      <c r="G59" s="189">
        <v>99600</v>
      </c>
      <c r="H59" s="189">
        <v>2672714</v>
      </c>
      <c r="I59" s="189">
        <v>18357296</v>
      </c>
      <c r="J59" s="189">
        <v>56352</v>
      </c>
      <c r="K59" s="189">
        <v>0</v>
      </c>
      <c r="L59" s="189">
        <v>332782</v>
      </c>
      <c r="M59" s="189">
        <v>8213</v>
      </c>
      <c r="N59" s="52">
        <v>892273</v>
      </c>
    </row>
    <row r="60" spans="2:14">
      <c r="B60" s="189" t="s">
        <v>26</v>
      </c>
      <c r="C60" s="189">
        <v>0</v>
      </c>
      <c r="D60" s="189">
        <v>62</v>
      </c>
      <c r="E60" s="189">
        <v>0</v>
      </c>
      <c r="F60" s="189">
        <v>14</v>
      </c>
      <c r="G60" s="189">
        <v>35228</v>
      </c>
      <c r="H60" s="189">
        <v>1245149</v>
      </c>
      <c r="I60" s="189">
        <v>7551034</v>
      </c>
      <c r="J60" s="189">
        <v>7340</v>
      </c>
      <c r="K60" s="189">
        <v>0</v>
      </c>
      <c r="L60" s="189">
        <v>35044</v>
      </c>
      <c r="M60" s="189">
        <v>3034</v>
      </c>
      <c r="N60" s="52">
        <v>458559</v>
      </c>
    </row>
    <row r="61" spans="2:14">
      <c r="B61" s="189" t="s">
        <v>27</v>
      </c>
      <c r="C61" s="189">
        <v>6</v>
      </c>
      <c r="D61" s="189">
        <v>228</v>
      </c>
      <c r="E61" s="189">
        <v>6</v>
      </c>
      <c r="F61" s="189">
        <v>29</v>
      </c>
      <c r="G61" s="189">
        <v>155964</v>
      </c>
      <c r="H61" s="189">
        <v>3179835</v>
      </c>
      <c r="I61" s="189">
        <v>28965260</v>
      </c>
      <c r="J61" s="189">
        <v>107570</v>
      </c>
      <c r="K61" s="189">
        <v>0</v>
      </c>
      <c r="L61" s="189">
        <v>657133</v>
      </c>
      <c r="M61" s="189">
        <v>13291</v>
      </c>
      <c r="N61" s="52">
        <v>917479</v>
      </c>
    </row>
    <row r="62" spans="1:14">
      <c r="A62">
        <v>5315</v>
      </c>
      <c r="B62" s="189" t="s">
        <v>25</v>
      </c>
      <c r="C62" s="189">
        <v>2</v>
      </c>
      <c r="D62" s="189">
        <v>79</v>
      </c>
      <c r="E62" s="189">
        <v>3</v>
      </c>
      <c r="F62" s="189">
        <v>12</v>
      </c>
      <c r="G62" s="189">
        <v>52276</v>
      </c>
      <c r="H62" s="189">
        <v>1672124</v>
      </c>
      <c r="I62" s="189">
        <v>9626027</v>
      </c>
      <c r="J62" s="189">
        <v>21148</v>
      </c>
      <c r="K62" s="189">
        <v>0</v>
      </c>
      <c r="L62" s="189">
        <v>61775</v>
      </c>
      <c r="M62" s="189">
        <v>4551</v>
      </c>
      <c r="N62" s="52">
        <v>545497</v>
      </c>
    </row>
    <row r="63" spans="2:14">
      <c r="B63" s="189" t="s">
        <v>26</v>
      </c>
      <c r="C63" s="189">
        <v>4</v>
      </c>
      <c r="D63" s="189">
        <v>181</v>
      </c>
      <c r="E63" s="189">
        <v>3</v>
      </c>
      <c r="F63" s="189">
        <v>30</v>
      </c>
      <c r="G63" s="189">
        <v>119989</v>
      </c>
      <c r="H63" s="189">
        <v>2246378</v>
      </c>
      <c r="I63" s="189">
        <v>22992029</v>
      </c>
      <c r="J63" s="189">
        <v>58468</v>
      </c>
      <c r="K63" s="189">
        <v>0</v>
      </c>
      <c r="L63" s="189">
        <v>504566</v>
      </c>
      <c r="M63" s="189">
        <v>9361</v>
      </c>
      <c r="N63" s="52">
        <v>618833</v>
      </c>
    </row>
    <row r="64" spans="2:14">
      <c r="B64" s="189" t="s">
        <v>27</v>
      </c>
      <c r="C64" s="189">
        <v>3</v>
      </c>
      <c r="D64" s="189">
        <v>135</v>
      </c>
      <c r="E64" s="189">
        <v>4</v>
      </c>
      <c r="F64" s="189">
        <v>33</v>
      </c>
      <c r="G64" s="189">
        <v>146634</v>
      </c>
      <c r="H64" s="189">
        <v>2818617</v>
      </c>
      <c r="I64" s="189">
        <v>28081164</v>
      </c>
      <c r="J64" s="189">
        <v>97142</v>
      </c>
      <c r="K64" s="189">
        <v>0</v>
      </c>
      <c r="L64" s="189">
        <v>480276</v>
      </c>
      <c r="M64" s="189">
        <v>11164</v>
      </c>
      <c r="N64" s="52">
        <v>682030</v>
      </c>
    </row>
    <row r="65" spans="1:14">
      <c r="A65">
        <v>5316</v>
      </c>
      <c r="B65" s="189" t="s">
        <v>25</v>
      </c>
      <c r="C65" s="189">
        <v>2</v>
      </c>
      <c r="D65" s="189">
        <v>95</v>
      </c>
      <c r="E65" s="189">
        <v>2</v>
      </c>
      <c r="F65" s="189">
        <v>21</v>
      </c>
      <c r="G65" s="189">
        <v>86667</v>
      </c>
      <c r="H65" s="189">
        <v>1279816</v>
      </c>
      <c r="I65" s="189">
        <v>13411698</v>
      </c>
      <c r="J65" s="189">
        <v>4612</v>
      </c>
      <c r="K65" s="189">
        <v>0</v>
      </c>
      <c r="L65" s="189">
        <v>108749</v>
      </c>
      <c r="M65" s="189">
        <v>4397</v>
      </c>
      <c r="N65" s="52">
        <v>403372</v>
      </c>
    </row>
    <row r="66" spans="2:14">
      <c r="B66" s="189" t="s">
        <v>26</v>
      </c>
      <c r="C66" s="189">
        <v>4</v>
      </c>
      <c r="D66" s="189">
        <v>195</v>
      </c>
      <c r="E66" s="189">
        <v>5</v>
      </c>
      <c r="F66" s="189">
        <v>26</v>
      </c>
      <c r="G66" s="189">
        <v>127581</v>
      </c>
      <c r="H66" s="189">
        <v>2406093</v>
      </c>
      <c r="I66" s="189">
        <v>20822671</v>
      </c>
      <c r="J66" s="189">
        <v>44943</v>
      </c>
      <c r="K66" s="189">
        <v>0</v>
      </c>
      <c r="L66" s="189">
        <v>217200</v>
      </c>
      <c r="M66" s="189">
        <v>8933</v>
      </c>
      <c r="N66" s="52">
        <v>849577</v>
      </c>
    </row>
    <row r="67" spans="2:14">
      <c r="B67" s="189" t="s">
        <v>27</v>
      </c>
      <c r="C67" s="189">
        <v>3</v>
      </c>
      <c r="D67" s="189">
        <v>105</v>
      </c>
      <c r="E67" s="189">
        <v>3</v>
      </c>
      <c r="F67" s="189">
        <v>21</v>
      </c>
      <c r="G67" s="189">
        <v>86362</v>
      </c>
      <c r="H67" s="189">
        <v>1741132</v>
      </c>
      <c r="I67" s="189">
        <v>14318534</v>
      </c>
      <c r="J67" s="189">
        <v>11978</v>
      </c>
      <c r="K67" s="189">
        <v>0</v>
      </c>
      <c r="L67" s="189">
        <v>233795</v>
      </c>
      <c r="M67" s="189">
        <v>5431</v>
      </c>
      <c r="N67" s="52">
        <v>517799</v>
      </c>
    </row>
    <row r="68" spans="1:14">
      <c r="A68">
        <v>5317</v>
      </c>
      <c r="B68" s="189" t="s">
        <v>25</v>
      </c>
      <c r="C68" s="189">
        <v>4</v>
      </c>
      <c r="D68" s="189">
        <v>161</v>
      </c>
      <c r="E68" s="189">
        <v>5</v>
      </c>
      <c r="F68" s="189">
        <v>31</v>
      </c>
      <c r="G68" s="189">
        <v>153949</v>
      </c>
      <c r="H68" s="189">
        <v>2502459</v>
      </c>
      <c r="I68" s="189">
        <v>29487879</v>
      </c>
      <c r="J68" s="189">
        <v>59286</v>
      </c>
      <c r="K68" s="189">
        <v>0</v>
      </c>
      <c r="L68" s="189">
        <v>513484</v>
      </c>
      <c r="M68" s="189">
        <v>10266</v>
      </c>
      <c r="N68" s="52">
        <v>712448</v>
      </c>
    </row>
    <row r="69" spans="2:14">
      <c r="B69" s="189" t="s">
        <v>26</v>
      </c>
      <c r="C69" s="189">
        <v>3</v>
      </c>
      <c r="D69" s="189">
        <v>163</v>
      </c>
      <c r="E69" s="189">
        <v>3</v>
      </c>
      <c r="F69" s="189">
        <v>28</v>
      </c>
      <c r="G69" s="189">
        <v>104698</v>
      </c>
      <c r="H69" s="189">
        <v>2694070</v>
      </c>
      <c r="I69" s="189">
        <v>23676022</v>
      </c>
      <c r="J69" s="189">
        <v>97278</v>
      </c>
      <c r="K69" s="189">
        <v>0</v>
      </c>
      <c r="L69" s="189">
        <v>254696</v>
      </c>
      <c r="M69" s="189">
        <v>10560</v>
      </c>
      <c r="N69" s="52">
        <v>757275</v>
      </c>
    </row>
    <row r="70" spans="2:14">
      <c r="B70" s="189" t="s">
        <v>27</v>
      </c>
      <c r="C70" s="189">
        <v>2</v>
      </c>
      <c r="D70" s="189">
        <v>71</v>
      </c>
      <c r="E70" s="189">
        <v>1</v>
      </c>
      <c r="F70" s="189">
        <v>13</v>
      </c>
      <c r="G70" s="189">
        <v>40144</v>
      </c>
      <c r="H70" s="189">
        <v>1952767</v>
      </c>
      <c r="I70" s="189">
        <v>10177313</v>
      </c>
      <c r="J70" s="189">
        <v>43404</v>
      </c>
      <c r="K70" s="189">
        <v>0</v>
      </c>
      <c r="L70" s="189">
        <v>66748</v>
      </c>
      <c r="M70" s="189">
        <v>5416</v>
      </c>
      <c r="N70" s="52">
        <v>645318</v>
      </c>
    </row>
    <row r="71" spans="1:14">
      <c r="A71">
        <v>5318</v>
      </c>
      <c r="B71" s="192" t="s">
        <v>25</v>
      </c>
      <c r="C71" s="192">
        <v>1</v>
      </c>
      <c r="D71" s="192">
        <v>70</v>
      </c>
      <c r="E71" s="192">
        <v>1</v>
      </c>
      <c r="F71" s="192">
        <v>18</v>
      </c>
      <c r="G71" s="192">
        <v>53329</v>
      </c>
      <c r="H71" s="192">
        <v>1066786</v>
      </c>
      <c r="I71" s="192">
        <v>10419468</v>
      </c>
      <c r="J71" s="192">
        <v>18812</v>
      </c>
      <c r="K71" s="192">
        <v>0</v>
      </c>
      <c r="L71" s="192">
        <v>124552</v>
      </c>
      <c r="M71" s="192">
        <v>3802</v>
      </c>
      <c r="N71" s="192">
        <v>393068</v>
      </c>
    </row>
    <row r="72" spans="2:14">
      <c r="B72" s="192" t="s">
        <v>26</v>
      </c>
      <c r="C72" s="192">
        <v>3</v>
      </c>
      <c r="D72" s="192">
        <v>163</v>
      </c>
      <c r="E72" s="192">
        <v>4</v>
      </c>
      <c r="F72" s="192">
        <v>27</v>
      </c>
      <c r="G72" s="192">
        <v>125753</v>
      </c>
      <c r="H72" s="192">
        <v>2611971</v>
      </c>
      <c r="I72" s="192">
        <v>23576616</v>
      </c>
      <c r="J72" s="192">
        <v>108000</v>
      </c>
      <c r="K72" s="192">
        <v>0</v>
      </c>
      <c r="L72" s="192">
        <v>596351</v>
      </c>
      <c r="M72" s="192">
        <v>11066</v>
      </c>
      <c r="N72" s="192">
        <v>730734</v>
      </c>
    </row>
    <row r="73" spans="2:14">
      <c r="B73" s="192" t="s">
        <v>27</v>
      </c>
      <c r="C73" s="192">
        <v>5</v>
      </c>
      <c r="D73" s="192">
        <v>162</v>
      </c>
      <c r="E73" s="192">
        <v>4</v>
      </c>
      <c r="F73" s="192">
        <v>19</v>
      </c>
      <c r="G73" s="192">
        <v>93172</v>
      </c>
      <c r="H73" s="192">
        <v>2321784</v>
      </c>
      <c r="I73" s="192">
        <v>16579546</v>
      </c>
      <c r="J73" s="192">
        <v>79200</v>
      </c>
      <c r="K73" s="192">
        <v>0</v>
      </c>
      <c r="L73" s="192">
        <v>358059</v>
      </c>
      <c r="M73" s="192">
        <v>9120</v>
      </c>
      <c r="N73" s="192">
        <v>807179</v>
      </c>
    </row>
    <row r="74" spans="1:14">
      <c r="A74">
        <v>5319</v>
      </c>
      <c r="B74" s="192" t="s">
        <v>25</v>
      </c>
      <c r="C74" s="192">
        <v>2</v>
      </c>
      <c r="D74" s="192">
        <v>52</v>
      </c>
      <c r="E74" s="192">
        <v>0</v>
      </c>
      <c r="F74" s="192">
        <v>17</v>
      </c>
      <c r="G74" s="192">
        <v>60502</v>
      </c>
      <c r="H74" s="192">
        <v>1223894</v>
      </c>
      <c r="I74" s="192">
        <v>7331657</v>
      </c>
      <c r="J74" s="192">
        <v>5340</v>
      </c>
      <c r="K74" s="192">
        <v>0</v>
      </c>
      <c r="L74" s="192">
        <v>36600</v>
      </c>
      <c r="M74" s="192">
        <v>3158</v>
      </c>
      <c r="N74" s="192">
        <v>386329</v>
      </c>
    </row>
    <row r="75" spans="2:14">
      <c r="B75" s="192" t="s">
        <v>26</v>
      </c>
      <c r="C75" s="192">
        <v>3</v>
      </c>
      <c r="D75" s="192">
        <v>188</v>
      </c>
      <c r="E75" s="192">
        <v>6</v>
      </c>
      <c r="F75" s="192">
        <v>11</v>
      </c>
      <c r="G75" s="192">
        <v>99454</v>
      </c>
      <c r="H75" s="192">
        <v>2430990</v>
      </c>
      <c r="I75" s="192">
        <v>14627445</v>
      </c>
      <c r="J75" s="192">
        <v>48192</v>
      </c>
      <c r="K75" s="192">
        <v>0</v>
      </c>
      <c r="L75" s="192">
        <v>244836</v>
      </c>
      <c r="M75" s="192">
        <v>8139</v>
      </c>
      <c r="N75" s="192">
        <v>647455</v>
      </c>
    </row>
    <row r="76" spans="2:14">
      <c r="B76" s="192" t="s">
        <v>27</v>
      </c>
      <c r="C76" s="192">
        <v>4</v>
      </c>
      <c r="D76" s="192">
        <v>155</v>
      </c>
      <c r="E76" s="192">
        <v>3</v>
      </c>
      <c r="F76" s="192">
        <v>16</v>
      </c>
      <c r="G76" s="192">
        <v>109121</v>
      </c>
      <c r="H76" s="192">
        <v>2062448</v>
      </c>
      <c r="I76" s="192">
        <v>13719076</v>
      </c>
      <c r="J76" s="192">
        <v>41406</v>
      </c>
      <c r="K76" s="192">
        <v>0</v>
      </c>
      <c r="L76" s="192">
        <v>147179</v>
      </c>
      <c r="M76" s="192">
        <v>7245</v>
      </c>
      <c r="N76" s="192">
        <v>722640</v>
      </c>
    </row>
  </sheetData>
  <conditionalFormatting sqref="C2">
    <cfRule type="cellIs" dxfId="37" priority="20" operator="equal">
      <formula>$S$32</formula>
    </cfRule>
  </conditionalFormatting>
  <conditionalFormatting sqref="C3">
    <cfRule type="cellIs" dxfId="37" priority="19" operator="equal">
      <formula>$S$32</formula>
    </cfRule>
  </conditionalFormatting>
  <conditionalFormatting sqref="C4">
    <cfRule type="cellIs" dxfId="37" priority="18" operator="equal">
      <formula>$S$32</formula>
    </cfRule>
  </conditionalFormatting>
  <conditionalFormatting sqref="C5">
    <cfRule type="cellIs" dxfId="37" priority="17" operator="equal">
      <formula>$S$32</formula>
    </cfRule>
  </conditionalFormatting>
  <conditionalFormatting sqref="C6">
    <cfRule type="cellIs" dxfId="37" priority="16" operator="equal">
      <formula>$S$32</formula>
    </cfRule>
  </conditionalFormatting>
  <conditionalFormatting sqref="C7">
    <cfRule type="cellIs" dxfId="37" priority="15" operator="equal">
      <formula>$S$32</formula>
    </cfRule>
  </conditionalFormatting>
  <conditionalFormatting sqref="P40">
    <cfRule type="cellIs" dxfId="37" priority="7" operator="equal">
      <formula>$S$32</formula>
    </cfRule>
  </conditionalFormatting>
  <conditionalFormatting sqref="A32:A34">
    <cfRule type="cellIs" dxfId="37" priority="11" operator="equal">
      <formula>$S$32</formula>
    </cfRule>
  </conditionalFormatting>
  <conditionalFormatting sqref="A35:A37">
    <cfRule type="cellIs" dxfId="37" priority="10" operator="equal">
      <formula>$S$32</formula>
    </cfRule>
  </conditionalFormatting>
  <conditionalFormatting sqref="A38:A40">
    <cfRule type="cellIs" dxfId="37" priority="9" operator="equal">
      <formula>$S$32</formula>
    </cfRule>
  </conditionalFormatting>
  <conditionalFormatting sqref="A41:A43">
    <cfRule type="cellIs" dxfId="37" priority="8" operator="equal">
      <formula>$S$32</formula>
    </cfRule>
  </conditionalFormatting>
  <conditionalFormatting sqref="C8:C13">
    <cfRule type="cellIs" dxfId="37" priority="14" operator="equal">
      <formula>$S$32</formula>
    </cfRule>
  </conditionalFormatting>
  <conditionalFormatting sqref="C14:C19">
    <cfRule type="cellIs" dxfId="37" priority="13" operator="equal">
      <formula>$S$32</formula>
    </cfRule>
  </conditionalFormatting>
  <conditionalFormatting sqref="C23:C25">
    <cfRule type="cellIs" dxfId="37" priority="1" operator="equal">
      <formula>$S$32</formula>
    </cfRule>
  </conditionalFormatting>
  <conditionalFormatting sqref="F32:F34">
    <cfRule type="dataBar" priority="1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{8e1df8b2-474c-411d-a0df-6a620ff0bf78}</x14:id>
        </ext>
      </extLst>
    </cfRule>
  </conditionalFormatting>
  <conditionalFormatting sqref="F35:F37">
    <cfRule type="dataBar" priority="18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{2bb2ffe5-8976-4ef9-abd8-cbc2ff986458}</x14:id>
        </ext>
      </extLst>
    </cfRule>
  </conditionalFormatting>
  <conditionalFormatting sqref="F38:F40">
    <cfRule type="dataBar" priority="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{d27680a9-38a1-47a9-aa4a-d5954216d867}</x14:id>
        </ext>
      </extLst>
    </cfRule>
  </conditionalFormatting>
  <conditionalFormatting sqref="F41:F43">
    <cfRule type="dataBar" priority="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{b4d44467-90d3-4071-a3bc-8aa3afea5c2a}</x14:id>
        </ext>
      </extLst>
    </cfRule>
  </conditionalFormatting>
  <conditionalFormatting sqref="G32:G34">
    <cfRule type="dataBar" priority="1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{4183a907-4e43-4fa8-9f7d-ca8e3bf09820}</x14:id>
        </ext>
      </extLst>
    </cfRule>
  </conditionalFormatting>
  <conditionalFormatting sqref="G35:G37">
    <cfRule type="dataBar" priority="18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{e6178b68-4d1d-488d-9d05-8759b6312b2c}</x14:id>
        </ext>
      </extLst>
    </cfRule>
  </conditionalFormatting>
  <conditionalFormatting sqref="G38:G40">
    <cfRule type="dataBar" priority="3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{f655239f-70ac-4064-a7eb-2fd93ea45375}</x14:id>
        </ext>
      </extLst>
    </cfRule>
  </conditionalFormatting>
  <conditionalFormatting sqref="G41:G43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{d229a18e-4ed8-409e-a61c-32c400fe0163}</x14:id>
        </ext>
      </extLst>
    </cfRule>
  </conditionalFormatting>
  <conditionalFormatting sqref="N32:N37">
    <cfRule type="dataBar" priority="1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{ee5761ff-1e03-4186-b199-4225d0b7dd71}</x14:id>
        </ext>
      </extLst>
    </cfRule>
  </conditionalFormatting>
  <conditionalFormatting sqref="N38:N40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{77a0a5d9-1868-460b-bdfb-3c9269c06550}</x14:id>
        </ext>
      </extLst>
    </cfRule>
  </conditionalFormatting>
  <conditionalFormatting sqref="N41:N43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{48c3f351-0b71-4dfd-9417-10751192c423}</x14:id>
        </ext>
      </extLst>
    </cfRule>
  </conditionalFormatting>
  <conditionalFormatting sqref="P32:P39">
    <cfRule type="cellIs" dxfId="37" priority="174" operator="equal">
      <formula>$S$32</formula>
    </cfRule>
  </conditionalFormatting>
  <conditionalFormatting sqref="Q2:Q13">
    <cfRule type="cellIs" dxfId="38" priority="181" operator="equal">
      <formula>配置!$D$4</formula>
    </cfRule>
    <cfRule type="cellIs" dxfId="39" priority="182" operator="equal">
      <formula>配置!$D$3</formula>
    </cfRule>
    <cfRule type="cellIs" dxfId="37" priority="183" operator="equal">
      <formula>配置!$D$2</formula>
    </cfRule>
  </conditionalFormatting>
  <conditionalFormatting sqref="Q14:Q16">
    <cfRule type="cellIs" dxfId="38" priority="167" operator="equal">
      <formula>配置!$D$4</formula>
    </cfRule>
    <cfRule type="cellIs" dxfId="39" priority="168" operator="equal">
      <formula>配置!$D$3</formula>
    </cfRule>
    <cfRule type="cellIs" dxfId="37" priority="169" operator="equal">
      <formula>配置!$D$2</formula>
    </cfRule>
  </conditionalFormatting>
  <conditionalFormatting sqref="Q17:Q19">
    <cfRule type="cellIs" dxfId="38" priority="160" operator="equal">
      <formula>配置!$D$4</formula>
    </cfRule>
    <cfRule type="cellIs" dxfId="39" priority="161" operator="equal">
      <formula>配置!$D$3</formula>
    </cfRule>
    <cfRule type="cellIs" dxfId="37" priority="162" operator="equal">
      <formula>配置!$D$2</formula>
    </cfRule>
  </conditionalFormatting>
  <conditionalFormatting sqref="Q20:Q22">
    <cfRule type="cellIs" dxfId="38" priority="153" operator="equal">
      <formula>配置!$D$4</formula>
    </cfRule>
    <cfRule type="cellIs" dxfId="39" priority="154" operator="equal">
      <formula>配置!$D$3</formula>
    </cfRule>
    <cfRule type="cellIs" dxfId="37" priority="155" operator="equal">
      <formula>配置!$D$2</formula>
    </cfRule>
  </conditionalFormatting>
  <conditionalFormatting sqref="Q23:Q25">
    <cfRule type="cellIs" dxfId="38" priority="2" operator="equal">
      <formula>配置!$D$4</formula>
    </cfRule>
    <cfRule type="cellIs" dxfId="39" priority="3" operator="equal">
      <formula>配置!$D$3</formula>
    </cfRule>
    <cfRule type="cellIs" dxfId="37" priority="4" operator="equal">
      <formula>配置!$D$2</formula>
    </cfRule>
  </conditionalFormatting>
  <conditionalFormatting sqref="Q26:Q28">
    <cfRule type="cellIs" dxfId="38" priority="146" operator="equal">
      <formula>配置!$D$4</formula>
    </cfRule>
    <cfRule type="cellIs" dxfId="39" priority="147" operator="equal">
      <formula>配置!$D$3</formula>
    </cfRule>
    <cfRule type="cellIs" dxfId="37" priority="148" operator="equal">
      <formula>配置!$D$2</formula>
    </cfRule>
  </conditionalFormatting>
  <conditionalFormatting sqref="R32:R35">
    <cfRule type="cellIs" dxfId="37" priority="175" operator="equal">
      <formula>$S$32</formula>
    </cfRule>
  </conditionalFormatting>
  <conditionalFormatting sqref="O29:O30 Q1:R1 Q2 Q4:Q5 Q7:Q8 Q10:Q11 Q13">
    <cfRule type="cellIs" dxfId="37" priority="191" operator="equal">
      <formula>配置!$D$2</formula>
    </cfRule>
  </conditionalFormatting>
  <conditionalFormatting sqref="Q2 Q4:Q5 Q7:Q8 Q10:Q11 Q13">
    <cfRule type="cellIs" dxfId="38" priority="190" operator="equal">
      <formula>配置!$D$4</formula>
    </cfRule>
  </conditionalFormatting>
  <conditionalFormatting sqref="Q14 Q16">
    <cfRule type="cellIs" dxfId="38" priority="172" operator="equal">
      <formula>配置!$D$4</formula>
    </cfRule>
    <cfRule type="cellIs" dxfId="37" priority="173" operator="equal">
      <formula>配置!$D$2</formula>
    </cfRule>
  </conditionalFormatting>
  <conditionalFormatting sqref="Q17 Q19">
    <cfRule type="cellIs" dxfId="38" priority="165" operator="equal">
      <formula>配置!$D$4</formula>
    </cfRule>
    <cfRule type="cellIs" dxfId="37" priority="166" operator="equal">
      <formula>配置!$D$2</formula>
    </cfRule>
  </conditionalFormatting>
  <conditionalFormatting sqref="C20:C22 C26:C28">
    <cfRule type="cellIs" dxfId="37" priority="12" operator="equal">
      <formula>$S$32</formula>
    </cfRule>
  </conditionalFormatting>
  <conditionalFormatting sqref="Q20 Q22">
    <cfRule type="cellIs" dxfId="38" priority="158" operator="equal">
      <formula>配置!$D$4</formula>
    </cfRule>
    <cfRule type="cellIs" dxfId="37" priority="159" operator="equal">
      <formula>配置!$D$2</formula>
    </cfRule>
  </conditionalFormatting>
  <conditionalFormatting sqref="Q23 Q25">
    <cfRule type="cellIs" dxfId="38" priority="5" operator="equal">
      <formula>配置!$D$4</formula>
    </cfRule>
    <cfRule type="cellIs" dxfId="37" priority="6" operator="equal">
      <formula>配置!$D$2</formula>
    </cfRule>
  </conditionalFormatting>
  <conditionalFormatting sqref="Q26 Q28">
    <cfRule type="cellIs" dxfId="38" priority="151" operator="equal">
      <formula>配置!$D$4</formula>
    </cfRule>
    <cfRule type="cellIs" dxfId="37" priority="152" operator="equal">
      <formula>配置!$D$2</formula>
    </cfRule>
  </conditionalFormatting>
  <dataValidations count="1">
    <dataValidation type="list" allowBlank="1" showInputMessage="1" showErrorMessage="1" sqref="Q2:Q13 Q14:Q16 Q17:Q19 Q20:Q22 Q23:Q25 Q26:Q28">
      <formula1>配置!$D$2:$D$4</formula1>
    </dataValidation>
  </dataValidations>
  <pageMargins left="0.75" right="0.75" top="1" bottom="1" header="0.5" footer="0.5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e1df8b2-474c-411d-a0df-6a620ff0bf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F32:F34</xm:sqref>
        </x14:conditionalFormatting>
        <x14:conditionalFormatting xmlns:xm="http://schemas.microsoft.com/office/excel/2006/main">
          <x14:cfRule type="dataBar" id="{2bb2ffe5-8976-4ef9-abd8-cbc2ff9864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F35:F37</xm:sqref>
        </x14:conditionalFormatting>
        <x14:conditionalFormatting xmlns:xm="http://schemas.microsoft.com/office/excel/2006/main">
          <x14:cfRule type="dataBar" id="{d27680a9-38a1-47a9-aa4a-d5954216d8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F38:F40</xm:sqref>
        </x14:conditionalFormatting>
        <x14:conditionalFormatting xmlns:xm="http://schemas.microsoft.com/office/excel/2006/main">
          <x14:cfRule type="dataBar" id="{b4d44467-90d3-4071-a3bc-8aa3afea5c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F41:F43</xm:sqref>
        </x14:conditionalFormatting>
        <x14:conditionalFormatting xmlns:xm="http://schemas.microsoft.com/office/excel/2006/main">
          <x14:cfRule type="dataBar" id="{4183a907-4e43-4fa8-9f7d-ca8e3bf098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G32:G34</xm:sqref>
        </x14:conditionalFormatting>
        <x14:conditionalFormatting xmlns:xm="http://schemas.microsoft.com/office/excel/2006/main">
          <x14:cfRule type="dataBar" id="{e6178b68-4d1d-488d-9d05-8759b6312b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G35:G37</xm:sqref>
        </x14:conditionalFormatting>
        <x14:conditionalFormatting xmlns:xm="http://schemas.microsoft.com/office/excel/2006/main">
          <x14:cfRule type="dataBar" id="{f655239f-70ac-4064-a7eb-2fd93ea453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G38:G40</xm:sqref>
        </x14:conditionalFormatting>
        <x14:conditionalFormatting xmlns:xm="http://schemas.microsoft.com/office/excel/2006/main">
          <x14:cfRule type="dataBar" id="{d229a18e-4ed8-409e-a61c-32c400fe01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G41:G43</xm:sqref>
        </x14:conditionalFormatting>
        <x14:conditionalFormatting xmlns:xm="http://schemas.microsoft.com/office/excel/2006/main">
          <x14:cfRule type="dataBar" id="{ee5761ff-1e03-4186-b199-4225d0b7dd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N32:N37</xm:sqref>
        </x14:conditionalFormatting>
        <x14:conditionalFormatting xmlns:xm="http://schemas.microsoft.com/office/excel/2006/main">
          <x14:cfRule type="dataBar" id="{77a0a5d9-1868-460b-bdfb-3c9269c065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N38:N40</xm:sqref>
        </x14:conditionalFormatting>
        <x14:conditionalFormatting xmlns:xm="http://schemas.microsoft.com/office/excel/2006/main">
          <x14:cfRule type="dataBar" id="{48c3f351-0b71-4dfd-9417-10751192c4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N41:N43</xm:sqref>
        </x14:conditionalFormatting>
      </x14:conditionalFormatting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87"/>
  <sheetViews>
    <sheetView topLeftCell="A61" workbookViewId="0">
      <selection activeCell="Y86" sqref="Y86"/>
    </sheetView>
  </sheetViews>
  <sheetFormatPr defaultColWidth="9" defaultRowHeight="13.5"/>
  <cols>
    <col min="7" max="7" width="9.375"/>
    <col min="9" max="9" width="9.375"/>
  </cols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35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2" customFormat="1" ht="14.25" customHeight="1" spans="1:25">
      <c r="A2" s="56">
        <v>7064</v>
      </c>
      <c r="B2" s="56">
        <f>VLOOKUP(表1_86121822242672122[[#This Row],[区服]],$P$80:$Q$87,2,FALSE)</f>
        <v>47</v>
      </c>
      <c r="C2" s="57" t="s">
        <v>302</v>
      </c>
      <c r="D2" s="58" t="str">
        <f>表1_86121822242672122[[#This Row],[目标国家]]</f>
        <v>魏</v>
      </c>
      <c r="E2" s="59">
        <f>(VLOOKUP(表1_86121822242672122[[#This Row],[目标区服]],$R$80:$S$88,2,FALSE)-表1_86121822242672122[[#This Row],[开服天数]])*配置!$B$1</f>
        <v>1000</v>
      </c>
      <c r="F2" s="59">
        <f>表1_86121822242672122[[#This Row],[补偿Coin]]*(表1_86121822242672122[[#This Row],[活跃高战玩家数]]+表1_86121822242672122[[#This Row],[活跃中坚玩家数]])</f>
        <v>20000</v>
      </c>
      <c r="G2" s="59">
        <f>(VLOOKUP(表1_86121822242672122[[#This Row],[目标区服]],$R$80:$S$93,2,FALSE)-表1_86121822242672122[[#This Row],[开服天数]])*配置!$B$2</f>
        <v>10</v>
      </c>
      <c r="H2" s="60" t="s">
        <v>25</v>
      </c>
      <c r="I2" s="60">
        <f>IF(表1_86121822242672122[[#This Row],[原国家]]="魏",0,IF(表1_86121822242672122[[#This Row],[原国家]]="蜀",1,2))</f>
        <v>0</v>
      </c>
      <c r="J2" s="100">
        <v>2</v>
      </c>
      <c r="K2" s="100">
        <v>82</v>
      </c>
      <c r="L2" s="100">
        <v>2</v>
      </c>
      <c r="M2" s="100">
        <v>18</v>
      </c>
      <c r="N2" s="100">
        <v>80279</v>
      </c>
      <c r="O2" s="100">
        <v>1766589</v>
      </c>
      <c r="P2" s="100">
        <v>14808514</v>
      </c>
      <c r="Q2" s="111" t="s">
        <v>25</v>
      </c>
      <c r="R2" s="60">
        <f>IF(表1_86121822242672122[[#This Row],[目标国家]]="魏",0,IF(表1_86121822242672122[[#This Row],[目标国家]]="蜀",1,2))</f>
        <v>0</v>
      </c>
      <c r="S2" s="100">
        <v>33892</v>
      </c>
      <c r="T2" s="100">
        <v>0</v>
      </c>
      <c r="U2" s="100">
        <v>88892</v>
      </c>
      <c r="V2" s="100">
        <v>5730</v>
      </c>
      <c r="W2" s="100">
        <v>468117</v>
      </c>
      <c r="X2" s="112" t="str">
        <f>"{"&amp;"'coin':"&amp;表1_86121822242672122[[#This Row],[补偿Coin]]&amp;",'"&amp;配置!$A$2&amp;"':"&amp;表1_86121822242672122[[#This Row],[补偿辎重]]&amp;"},"</f>
        <v>{'coin':1000,'item036':10},</v>
      </c>
      <c r="Y2" s="145" t="str">
        <f>"      '"&amp;表1_86121822242672122[[#This Row],[区服]]&amp;"':{"</f>
        <v>      '7064':{</v>
      </c>
    </row>
    <row r="3" s="2" customFormat="1" ht="14.25" customHeight="1" spans="1:25">
      <c r="A3" s="56">
        <v>7064</v>
      </c>
      <c r="B3" s="56">
        <f>VLOOKUP(表1_86121822242672122[[#This Row],[区服]],$P$80:$Q$87,2,FALSE)</f>
        <v>47</v>
      </c>
      <c r="C3" s="57" t="s">
        <v>302</v>
      </c>
      <c r="D3" s="60" t="str">
        <f>表1_86121822242672122[[#This Row],[目标国家]]</f>
        <v>吴</v>
      </c>
      <c r="E3" s="59">
        <f>(VLOOKUP(表1_86121822242672122[[#This Row],[目标区服]],$R$80:$S$88,2,FALSE)-表1_86121822242672122[[#This Row],[开服天数]])*配置!$B$1</f>
        <v>1000</v>
      </c>
      <c r="F3" s="61">
        <f>表1_86121822242672122[[#This Row],[补偿Coin]]*(表1_86121822242672122[[#This Row],[活跃高战玩家数]]+表1_86121822242672122[[#This Row],[活跃中坚玩家数]])</f>
        <v>24000</v>
      </c>
      <c r="G3" s="61">
        <f>(VLOOKUP(表1_86121822242672122[[#This Row],[目标区服]],$R$80:$S$83,2,FALSE)-表1_86121822242672122[[#This Row],[开服天数]])*配置!$B$2</f>
        <v>10</v>
      </c>
      <c r="H3" s="60" t="s">
        <v>26</v>
      </c>
      <c r="I3" s="60">
        <f>IF(表1_86121822242672122[[#This Row],[原国家]]="魏",0,IF(表1_86121822242672122[[#This Row],[原国家]]="蜀",1,2))</f>
        <v>1</v>
      </c>
      <c r="J3" s="100">
        <v>3</v>
      </c>
      <c r="K3" s="100">
        <v>162</v>
      </c>
      <c r="L3" s="100">
        <v>3</v>
      </c>
      <c r="M3" s="100">
        <v>21</v>
      </c>
      <c r="N3" s="100">
        <v>111616</v>
      </c>
      <c r="O3" s="100">
        <v>1700081</v>
      </c>
      <c r="P3" s="100">
        <v>19961666</v>
      </c>
      <c r="Q3" s="111" t="s">
        <v>27</v>
      </c>
      <c r="R3" s="60">
        <f>IF(表1_86121822242672122[[#This Row],[目标国家]]="魏",0,IF(表1_86121822242672122[[#This Row],[目标国家]]="蜀",1,2))</f>
        <v>2</v>
      </c>
      <c r="S3" s="100">
        <v>16162</v>
      </c>
      <c r="T3" s="100">
        <v>0</v>
      </c>
      <c r="U3" s="100">
        <v>152846</v>
      </c>
      <c r="V3" s="100">
        <v>6735</v>
      </c>
      <c r="W3" s="100">
        <v>559121</v>
      </c>
      <c r="X3" s="112" t="str">
        <f>"{"&amp;"'coin':"&amp;表1_86121822242672122[[#This Row],[补偿Coin]]&amp;",'"&amp;配置!$A$2&amp;"':"&amp;表1_86121822242672122[[#This Row],[补偿辎重]]&amp;"},"</f>
        <v>{'coin':1000,'item036':10},</v>
      </c>
      <c r="Y3" s="145" t="str">
        <f>"            'to_zone':'"&amp;表1_86121822242672122[[#This Row],[目标区服]]&amp;"',
            'reward':"&amp;表1_86121822242672122[[#This Row],[辅助导出]]&amp;"
            'country':["&amp;R2&amp;","&amp;R3&amp;","&amp;R4&amp;"],"</f>
        <v>            'to_zone':'h1_728',
            'reward':{'coin':1000,'item036':10},
            'country':[0,2,1],</v>
      </c>
    </row>
    <row r="4" s="2" customFormat="1" ht="14.25" customHeight="1" spans="1:25">
      <c r="A4" s="56">
        <v>7064</v>
      </c>
      <c r="B4" s="56">
        <f>VLOOKUP(表1_86121822242672122[[#This Row],[区服]],$P$80:$Q$87,2,FALSE)</f>
        <v>47</v>
      </c>
      <c r="C4" s="57" t="s">
        <v>302</v>
      </c>
      <c r="D4" s="60" t="str">
        <f>表1_86121822242672122[[#This Row],[目标国家]]</f>
        <v>蜀</v>
      </c>
      <c r="E4" s="59">
        <f>(VLOOKUP(表1_86121822242672122[[#This Row],[目标区服]],$R$80:$S$88,2,FALSE)-表1_86121822242672122[[#This Row],[开服天数]])*配置!$B$1</f>
        <v>1000</v>
      </c>
      <c r="F4" s="61">
        <f>表1_86121822242672122[[#This Row],[补偿Coin]]*(表1_86121822242672122[[#This Row],[活跃高战玩家数]]+表1_86121822242672122[[#This Row],[活跃中坚玩家数]])</f>
        <v>21000</v>
      </c>
      <c r="G4" s="61">
        <f>(VLOOKUP(表1_86121822242672122[[#This Row],[目标区服]],$R$80:$S$83,2,FALSE)-表1_86121822242672122[[#This Row],[开服天数]])*配置!$B$2</f>
        <v>10</v>
      </c>
      <c r="H4" s="60" t="s">
        <v>27</v>
      </c>
      <c r="I4" s="60">
        <f>IF(表1_86121822242672122[[#This Row],[原国家]]="魏",0,IF(表1_86121822242672122[[#This Row],[原国家]]="蜀",1,2))</f>
        <v>2</v>
      </c>
      <c r="J4" s="100">
        <v>4</v>
      </c>
      <c r="K4" s="100">
        <v>151</v>
      </c>
      <c r="L4" s="100">
        <v>4</v>
      </c>
      <c r="M4" s="100">
        <v>17</v>
      </c>
      <c r="N4" s="100">
        <v>100394</v>
      </c>
      <c r="O4" s="100">
        <v>2191439</v>
      </c>
      <c r="P4" s="100">
        <v>18261351</v>
      </c>
      <c r="Q4" s="111" t="s">
        <v>26</v>
      </c>
      <c r="R4" s="60">
        <f>IF(表1_86121822242672122[[#This Row],[目标国家]]="魏",0,IF(表1_86121822242672122[[#This Row],[目标国家]]="蜀",1,2))</f>
        <v>1</v>
      </c>
      <c r="S4" s="100">
        <v>39684</v>
      </c>
      <c r="T4" s="100">
        <v>0</v>
      </c>
      <c r="U4" s="100">
        <v>330420</v>
      </c>
      <c r="V4" s="100">
        <v>7785</v>
      </c>
      <c r="W4" s="113">
        <v>804857</v>
      </c>
      <c r="X4" s="112" t="str">
        <f>"{"&amp;"'coin':"&amp;表1_86121822242672122[[#This Row],[补偿Coin]]&amp;",'"&amp;配置!$A$2&amp;"':"&amp;表1_86121822242672122[[#This Row],[补偿辎重]]&amp;"},"</f>
        <v>{'coin':1000,'item036':10},</v>
      </c>
      <c r="Y4" s="145" t="str">
        <f>"      },"</f>
        <v>      },</v>
      </c>
    </row>
    <row r="5" s="2" customFormat="1" ht="14.25" customHeight="1" spans="1:25">
      <c r="A5" s="62">
        <v>7065</v>
      </c>
      <c r="B5" s="56">
        <f>VLOOKUP(表1_86121822242672122[[#This Row],[区服]],$P$80:$Q$87,2,FALSE)</f>
        <v>47</v>
      </c>
      <c r="C5" s="57" t="s">
        <v>302</v>
      </c>
      <c r="D5" s="60" t="str">
        <f>表1_86121822242672122[[#This Row],[目标国家]]</f>
        <v>魏</v>
      </c>
      <c r="E5" s="59">
        <f>(VLOOKUP(表1_86121822242672122[[#This Row],[目标区服]],$R$80:$S$88,2,FALSE)-表1_86121822242672122[[#This Row],[开服天数]])*配置!$B$1</f>
        <v>1000</v>
      </c>
      <c r="F5" s="61">
        <f>表1_86121822242672122[[#This Row],[补偿Coin]]*(表1_86121822242672122[[#This Row],[活跃高战玩家数]]+表1_86121822242672122[[#This Row],[活跃中坚玩家数]])</f>
        <v>29000</v>
      </c>
      <c r="G5" s="61">
        <f>(VLOOKUP(表1_86121822242672122[[#This Row],[目标区服]],$R$80:$S$83,2,FALSE)-表1_86121822242672122[[#This Row],[开服天数]])*配置!$B$2</f>
        <v>10</v>
      </c>
      <c r="H5" s="60" t="s">
        <v>25</v>
      </c>
      <c r="I5" s="60">
        <f>IF(表1_86121822242672122[[#This Row],[原国家]]="魏",0,IF(表1_86121822242672122[[#This Row],[原国家]]="蜀",1,2))</f>
        <v>0</v>
      </c>
      <c r="J5" s="100">
        <v>2</v>
      </c>
      <c r="K5" s="100">
        <v>96</v>
      </c>
      <c r="L5" s="100">
        <v>3</v>
      </c>
      <c r="M5" s="100">
        <v>26</v>
      </c>
      <c r="N5" s="100">
        <v>112311</v>
      </c>
      <c r="O5" s="100">
        <v>3052855</v>
      </c>
      <c r="P5" s="100">
        <v>28709490</v>
      </c>
      <c r="Q5" s="111" t="s">
        <v>25</v>
      </c>
      <c r="R5" s="60">
        <f>IF(表1_86121822242672122[[#This Row],[目标国家]]="魏",0,IF(表1_86121822242672122[[#This Row],[目标国家]]="蜀",1,2))</f>
        <v>0</v>
      </c>
      <c r="S5" s="100">
        <v>109069</v>
      </c>
      <c r="T5" s="100">
        <v>0</v>
      </c>
      <c r="U5" s="100">
        <v>448377</v>
      </c>
      <c r="V5" s="100">
        <v>11141</v>
      </c>
      <c r="W5" s="114">
        <v>826548</v>
      </c>
      <c r="X5" s="112" t="str">
        <f>"{"&amp;"'coin':"&amp;表1_86121822242672122[[#This Row],[补偿Coin]]&amp;",'"&amp;配置!$A$2&amp;"':"&amp;表1_86121822242672122[[#This Row],[补偿辎重]]&amp;"},"</f>
        <v>{'coin':1000,'item036':10},</v>
      </c>
      <c r="Y5" s="145" t="str">
        <f>"      '"&amp;表1_86121822242672122[[#This Row],[区服]]&amp;"':{"</f>
        <v>      '7065':{</v>
      </c>
    </row>
    <row r="6" s="2" customFormat="1" ht="14.25" customHeight="1" spans="1:25">
      <c r="A6" s="62">
        <v>7065</v>
      </c>
      <c r="B6" s="56">
        <f>VLOOKUP(表1_86121822242672122[[#This Row],[区服]],$P$80:$Q$87,2,FALSE)</f>
        <v>47</v>
      </c>
      <c r="C6" s="57" t="s">
        <v>302</v>
      </c>
      <c r="D6" s="60" t="str">
        <f>表1_86121822242672122[[#This Row],[目标国家]]</f>
        <v>蜀</v>
      </c>
      <c r="E6" s="59">
        <f>(VLOOKUP(表1_86121822242672122[[#This Row],[目标区服]],$R$80:$S$88,2,FALSE)-表1_86121822242672122[[#This Row],[开服天数]])*配置!$B$1</f>
        <v>1000</v>
      </c>
      <c r="F6" s="61">
        <f>表1_86121822242672122[[#This Row],[补偿Coin]]*(表1_86121822242672122[[#This Row],[活跃高战玩家数]]+表1_86121822242672122[[#This Row],[活跃中坚玩家数]])</f>
        <v>25000</v>
      </c>
      <c r="G6" s="61">
        <f>(VLOOKUP(表1_86121822242672122[[#This Row],[目标区服]],$R$80:$S$83,2,FALSE)-表1_86121822242672122[[#This Row],[开服天数]])*配置!$B$2</f>
        <v>10</v>
      </c>
      <c r="H6" s="60" t="s">
        <v>26</v>
      </c>
      <c r="I6" s="60">
        <f>IF(表1_86121822242672122[[#This Row],[原国家]]="魏",0,IF(表1_86121822242672122[[#This Row],[原国家]]="蜀",1,2))</f>
        <v>1</v>
      </c>
      <c r="J6" s="100">
        <v>2</v>
      </c>
      <c r="K6" s="100">
        <v>106</v>
      </c>
      <c r="L6" s="100">
        <v>1</v>
      </c>
      <c r="M6" s="100">
        <v>24</v>
      </c>
      <c r="N6" s="100">
        <v>77778</v>
      </c>
      <c r="O6" s="100">
        <v>1513211</v>
      </c>
      <c r="P6" s="100">
        <v>19741877</v>
      </c>
      <c r="Q6" s="111" t="s">
        <v>26</v>
      </c>
      <c r="R6" s="60">
        <f>IF(表1_86121822242672122[[#This Row],[目标国家]]="魏",0,IF(表1_86121822242672122[[#This Row],[目标国家]]="蜀",1,2))</f>
        <v>1</v>
      </c>
      <c r="S6" s="100">
        <v>13046</v>
      </c>
      <c r="T6" s="100">
        <v>27566</v>
      </c>
      <c r="U6" s="100">
        <v>206920</v>
      </c>
      <c r="V6" s="100">
        <v>5906</v>
      </c>
      <c r="W6" s="115">
        <v>442527</v>
      </c>
      <c r="X6" s="112" t="str">
        <f>"{"&amp;"'coin':"&amp;表1_86121822242672122[[#This Row],[补偿Coin]]&amp;",'"&amp;配置!$A$2&amp;"':"&amp;表1_86121822242672122[[#This Row],[补偿辎重]]&amp;"},"</f>
        <v>{'coin':1000,'item036':10},</v>
      </c>
      <c r="Y6" s="145" t="str">
        <f>"            'to_zone':'"&amp;表1_86121822242672122[[#This Row],[目标区服]]&amp;"',
            'reward':"&amp;表1_86121822242672122[[#This Row],[辅助导出]]&amp;"
            'country':["&amp;R5&amp;","&amp;R6&amp;","&amp;R7&amp;"],"</f>
        <v>            'to_zone':'h1_728',
            'reward':{'coin':1000,'item036':10},
            'country':[0,1,2],</v>
      </c>
    </row>
    <row r="7" s="2" customFormat="1" ht="14.25" customHeight="1" spans="1:25">
      <c r="A7" s="62">
        <v>7065</v>
      </c>
      <c r="B7" s="56">
        <f>VLOOKUP(表1_86121822242672122[[#This Row],[区服]],$P$80:$Q$87,2,FALSE)</f>
        <v>47</v>
      </c>
      <c r="C7" s="57" t="s">
        <v>302</v>
      </c>
      <c r="D7" s="60" t="str">
        <f>表1_86121822242672122[[#This Row],[目标国家]]</f>
        <v>吴</v>
      </c>
      <c r="E7" s="59">
        <f>(VLOOKUP(表1_86121822242672122[[#This Row],[目标区服]],$R$80:$S$88,2,FALSE)-表1_86121822242672122[[#This Row],[开服天数]])*配置!$B$1</f>
        <v>1000</v>
      </c>
      <c r="F7" s="61">
        <f>表1_86121822242672122[[#This Row],[补偿Coin]]*(表1_86121822242672122[[#This Row],[活跃高战玩家数]]+表1_86121822242672122[[#This Row],[活跃中坚玩家数]])</f>
        <v>28000</v>
      </c>
      <c r="G7" s="61">
        <f>(VLOOKUP(表1_86121822242672122[[#This Row],[目标区服]],$R$80:$S$83,2,FALSE)-表1_86121822242672122[[#This Row],[开服天数]])*配置!$B$2</f>
        <v>10</v>
      </c>
      <c r="H7" s="60" t="s">
        <v>27</v>
      </c>
      <c r="I7" s="60">
        <f>IF(表1_86121822242672122[[#This Row],[原国家]]="魏",0,IF(表1_86121822242672122[[#This Row],[原国家]]="蜀",1,2))</f>
        <v>2</v>
      </c>
      <c r="J7" s="100">
        <v>5</v>
      </c>
      <c r="K7" s="100">
        <v>193</v>
      </c>
      <c r="L7" s="100">
        <v>6</v>
      </c>
      <c r="M7" s="100">
        <v>22</v>
      </c>
      <c r="N7" s="100">
        <v>123455</v>
      </c>
      <c r="O7" s="100">
        <v>2941533</v>
      </c>
      <c r="P7" s="100">
        <v>29775180</v>
      </c>
      <c r="Q7" s="111" t="s">
        <v>27</v>
      </c>
      <c r="R7" s="60">
        <f>IF(表1_86121822242672122[[#This Row],[目标国家]]="魏",0,IF(表1_86121822242672122[[#This Row],[目标国家]]="蜀",1,2))</f>
        <v>2</v>
      </c>
      <c r="S7" s="100">
        <v>77272</v>
      </c>
      <c r="T7" s="100">
        <v>0</v>
      </c>
      <c r="U7" s="100">
        <v>528716</v>
      </c>
      <c r="V7" s="100">
        <v>11548</v>
      </c>
      <c r="W7" s="114">
        <v>772903</v>
      </c>
      <c r="X7" s="112" t="str">
        <f>"{"&amp;"'coin':"&amp;表1_86121822242672122[[#This Row],[补偿Coin]]&amp;",'"&amp;配置!$A$2&amp;"':"&amp;表1_86121822242672122[[#This Row],[补偿辎重]]&amp;"},"</f>
        <v>{'coin':1000,'item036':10},</v>
      </c>
      <c r="Y7" s="145" t="str">
        <f>"      },"</f>
        <v>      },</v>
      </c>
    </row>
    <row r="8" s="2" customFormat="1" ht="14.25" customHeight="1" spans="1:25">
      <c r="A8" s="62">
        <v>7066</v>
      </c>
      <c r="B8" s="56">
        <f>VLOOKUP(表1_86121822242672122[[#This Row],[区服]],$P$80:$Q$87,2,FALSE)</f>
        <v>47</v>
      </c>
      <c r="C8" s="57" t="s">
        <v>302</v>
      </c>
      <c r="D8" s="60" t="str">
        <f>表1_86121822242672122[[#This Row],[目标国家]]</f>
        <v>魏</v>
      </c>
      <c r="E8" s="59">
        <f>(VLOOKUP(表1_86121822242672122[[#This Row],[目标区服]],$R$80:$S$88,2,FALSE)-表1_86121822242672122[[#This Row],[开服天数]])*配置!$B$1</f>
        <v>1000</v>
      </c>
      <c r="F8" s="61">
        <f>表1_86121822242672122[[#This Row],[补偿Coin]]*(表1_86121822242672122[[#This Row],[活跃高战玩家数]]+表1_86121822242672122[[#This Row],[活跃中坚玩家数]])</f>
        <v>12000</v>
      </c>
      <c r="G8" s="63">
        <f>(VLOOKUP(表1_86121822242672122[[#This Row],[目标区服]],$R$80:$S$83,2,FALSE)-表1_86121822242672122[[#This Row],[开服天数]])*配置!$B$2</f>
        <v>10</v>
      </c>
      <c r="H8" s="60" t="s">
        <v>25</v>
      </c>
      <c r="I8" s="101">
        <f>IF(表1_86121822242672122[[#This Row],[原国家]]="魏",0,IF(表1_86121822242672122[[#This Row],[原国家]]="蜀",1,2))</f>
        <v>0</v>
      </c>
      <c r="J8" s="100">
        <v>2</v>
      </c>
      <c r="K8" s="100">
        <v>77</v>
      </c>
      <c r="L8" s="100">
        <v>2</v>
      </c>
      <c r="M8" s="100">
        <v>10</v>
      </c>
      <c r="N8" s="100">
        <v>50319</v>
      </c>
      <c r="O8" s="100">
        <v>2093805</v>
      </c>
      <c r="P8" s="100">
        <v>9979349</v>
      </c>
      <c r="Q8" s="111" t="s">
        <v>25</v>
      </c>
      <c r="R8" s="60">
        <f>IF(表1_86121822242672122[[#This Row],[目标国家]]="魏",0,IF(表1_86121822242672122[[#This Row],[目标国家]]="蜀",1,2))</f>
        <v>0</v>
      </c>
      <c r="S8" s="100">
        <v>31756</v>
      </c>
      <c r="T8" s="100">
        <v>0</v>
      </c>
      <c r="U8" s="100">
        <v>94434</v>
      </c>
      <c r="V8" s="100">
        <v>5313</v>
      </c>
      <c r="W8" s="115">
        <v>671653</v>
      </c>
      <c r="X8" s="116" t="str">
        <f>"{"&amp;"'coin':"&amp;表1_86121822242672122[[#This Row],[补偿Coin]]&amp;",'"&amp;配置!$A$2&amp;"':"&amp;表1_86121822242672122[[#This Row],[补偿辎重]]&amp;"},"</f>
        <v>{'coin':1000,'item036':10},</v>
      </c>
      <c r="Y8" s="116" t="str">
        <f>"      '"&amp;表1_86121822242672122[[#This Row],[区服]]&amp;"':{"</f>
        <v>      '7066':{</v>
      </c>
    </row>
    <row r="9" s="2" customFormat="1" ht="14.25" customHeight="1" spans="1:25">
      <c r="A9" s="62">
        <v>7066</v>
      </c>
      <c r="B9" s="56">
        <f>VLOOKUP(表1_86121822242672122[[#This Row],[区服]],$P$80:$Q$87,2,FALSE)</f>
        <v>47</v>
      </c>
      <c r="C9" s="57" t="s">
        <v>302</v>
      </c>
      <c r="D9" s="60" t="str">
        <f>表1_86121822242672122[[#This Row],[目标国家]]</f>
        <v>蜀</v>
      </c>
      <c r="E9" s="59">
        <f>(VLOOKUP(表1_86121822242672122[[#This Row],[目标区服]],$R$80:$S$88,2,FALSE)-表1_86121822242672122[[#This Row],[开服天数]])*配置!$B$1</f>
        <v>1000</v>
      </c>
      <c r="F9" s="61">
        <f>表1_86121822242672122[[#This Row],[补偿Coin]]*(表1_86121822242672122[[#This Row],[活跃高战玩家数]]+表1_86121822242672122[[#This Row],[活跃中坚玩家数]])</f>
        <v>39000</v>
      </c>
      <c r="G9" s="63">
        <f>(VLOOKUP(表1_86121822242672122[[#This Row],[目标区服]],$R$80:$S$83,2,FALSE)-表1_86121822242672122[[#This Row],[开服天数]])*配置!$B$2</f>
        <v>10</v>
      </c>
      <c r="H9" s="60" t="s">
        <v>26</v>
      </c>
      <c r="I9" s="101">
        <f>IF(表1_86121822242672122[[#This Row],[原国家]]="魏",0,IF(表1_86121822242672122[[#This Row],[原国家]]="蜀",1,2))</f>
        <v>1</v>
      </c>
      <c r="J9" s="100">
        <v>4</v>
      </c>
      <c r="K9" s="100">
        <v>193</v>
      </c>
      <c r="L9" s="100">
        <v>6</v>
      </c>
      <c r="M9" s="100">
        <v>33</v>
      </c>
      <c r="N9" s="100">
        <v>167873</v>
      </c>
      <c r="O9" s="100">
        <v>2170331</v>
      </c>
      <c r="P9" s="100">
        <v>31712146</v>
      </c>
      <c r="Q9" s="111" t="s">
        <v>26</v>
      </c>
      <c r="R9" s="60">
        <f>IF(表1_86121822242672122[[#This Row],[目标国家]]="魏",0,IF(表1_86121822242672122[[#This Row],[目标国家]]="蜀",1,2))</f>
        <v>1</v>
      </c>
      <c r="S9" s="100">
        <v>50812</v>
      </c>
      <c r="T9" s="100">
        <v>0</v>
      </c>
      <c r="U9" s="100">
        <v>513660</v>
      </c>
      <c r="V9" s="100">
        <v>10292</v>
      </c>
      <c r="W9" s="115">
        <v>674515</v>
      </c>
      <c r="X9" s="116" t="str">
        <f>"{"&amp;"'coin':"&amp;表1_86121822242672122[[#This Row],[补偿Coin]]&amp;",'"&amp;配置!$A$2&amp;"':"&amp;表1_86121822242672122[[#This Row],[补偿辎重]]&amp;"},"</f>
        <v>{'coin':1000,'item036':10},</v>
      </c>
      <c r="Y9" s="116" t="str">
        <f>"            'to_zone':'"&amp;表1_86121822242672122[[#This Row],[目标区服]]&amp;"',
            'reward':"&amp;表1_86121822242672122[[#This Row],[辅助导出]]&amp;"
            'country':["&amp;R8&amp;","&amp;R9&amp;","&amp;R10&amp;"],"</f>
        <v>            'to_zone':'h1_728',
            'reward':{'coin':1000,'item036':10},
            'country':[0,1,2],</v>
      </c>
    </row>
    <row r="10" s="2" customFormat="1" ht="14.25" customHeight="1" spans="1:25">
      <c r="A10" s="62">
        <v>7066</v>
      </c>
      <c r="B10" s="56">
        <f>VLOOKUP(表1_86121822242672122[[#This Row],[区服]],$P$80:$Q$87,2,FALSE)</f>
        <v>47</v>
      </c>
      <c r="C10" s="57" t="s">
        <v>302</v>
      </c>
      <c r="D10" s="60" t="str">
        <f>表1_86121822242672122[[#This Row],[目标国家]]</f>
        <v>吴</v>
      </c>
      <c r="E10" s="59">
        <f>(VLOOKUP(表1_86121822242672122[[#This Row],[目标区服]],$R$80:$S$88,2,FALSE)-表1_86121822242672122[[#This Row],[开服天数]])*配置!$B$1</f>
        <v>1000</v>
      </c>
      <c r="F10" s="61">
        <f>表1_86121822242672122[[#This Row],[补偿Coin]]*(表1_86121822242672122[[#This Row],[活跃高战玩家数]]+表1_86121822242672122[[#This Row],[活跃中坚玩家数]])</f>
        <v>24000</v>
      </c>
      <c r="G10" s="63">
        <f>(VLOOKUP(表1_86121822242672122[[#This Row],[目标区服]],$R$80:$S$83,2,FALSE)-表1_86121822242672122[[#This Row],[开服天数]])*配置!$B$2</f>
        <v>10</v>
      </c>
      <c r="H10" s="60" t="s">
        <v>27</v>
      </c>
      <c r="I10" s="101">
        <f>IF(表1_86121822242672122[[#This Row],[原国家]]="魏",0,IF(表1_86121822242672122[[#This Row],[原国家]]="蜀",1,2))</f>
        <v>2</v>
      </c>
      <c r="J10" s="100">
        <v>3</v>
      </c>
      <c r="K10" s="100">
        <v>125</v>
      </c>
      <c r="L10" s="100">
        <v>2</v>
      </c>
      <c r="M10" s="100">
        <v>22</v>
      </c>
      <c r="N10" s="100">
        <v>97736</v>
      </c>
      <c r="O10" s="100">
        <v>2236342</v>
      </c>
      <c r="P10" s="100">
        <v>18753905</v>
      </c>
      <c r="Q10" s="111" t="s">
        <v>27</v>
      </c>
      <c r="R10" s="60">
        <f>IF(表1_86121822242672122[[#This Row],[目标国家]]="魏",0,IF(表1_86121822242672122[[#This Row],[目标国家]]="蜀",1,2))</f>
        <v>2</v>
      </c>
      <c r="S10" s="100">
        <v>20300</v>
      </c>
      <c r="T10" s="100">
        <v>0</v>
      </c>
      <c r="U10" s="100">
        <v>228971</v>
      </c>
      <c r="V10" s="100">
        <v>6873</v>
      </c>
      <c r="W10" s="115">
        <v>585857</v>
      </c>
      <c r="X10" s="116" t="str">
        <f>"{"&amp;"'coin':"&amp;表1_86121822242672122[[#This Row],[补偿Coin]]&amp;",'"&amp;配置!$A$2&amp;"':"&amp;表1_86121822242672122[[#This Row],[补偿辎重]]&amp;"},"</f>
        <v>{'coin':1000,'item036':10},</v>
      </c>
      <c r="Y10" s="116" t="str">
        <f>"      },"</f>
        <v>      },</v>
      </c>
    </row>
    <row r="11" s="2" customFormat="1" ht="14.25" customHeight="1" spans="1:25">
      <c r="A11" s="64">
        <v>7067</v>
      </c>
      <c r="B11" s="65">
        <f>VLOOKUP(表1_86121822242672122[[#This Row],[区服]],$P$80:$Q$87,2,FALSE)</f>
        <v>46</v>
      </c>
      <c r="C11" s="66" t="s">
        <v>303</v>
      </c>
      <c r="D11" s="67" t="str">
        <f>表1_86121822242672122[[#This Row],[目标国家]]</f>
        <v>魏</v>
      </c>
      <c r="E11" s="68">
        <f>(VLOOKUP(表1_86121822242672122[[#This Row],[目标区服]],$R$80:$S$88,2,FALSE)-表1_86121822242672122[[#This Row],[开服天数]])*配置!$B$1</f>
        <v>1000</v>
      </c>
      <c r="F11" s="69">
        <f>表1_86121822242672122[[#This Row],[补偿Coin]]*(表1_86121822242672122[[#This Row],[活跃高战玩家数]]+表1_86121822242672122[[#This Row],[活跃中坚玩家数]])</f>
        <v>28000</v>
      </c>
      <c r="G11" s="70">
        <f>(VLOOKUP(表1_86121822242672122[[#This Row],[目标区服]],$R$80:$S$83,2,FALSE)-表1_86121822242672122[[#This Row],[开服天数]])*配置!$B$2</f>
        <v>10</v>
      </c>
      <c r="H11" s="67" t="s">
        <v>25</v>
      </c>
      <c r="I11" s="102">
        <f>IF(表1_86121822242672122[[#This Row],[原国家]]="魏",0,IF(表1_86121822242672122[[#This Row],[原国家]]="蜀",1,2))</f>
        <v>0</v>
      </c>
      <c r="J11" s="103">
        <v>4</v>
      </c>
      <c r="K11" s="103">
        <v>132</v>
      </c>
      <c r="L11" s="103">
        <v>4</v>
      </c>
      <c r="M11" s="103">
        <v>24</v>
      </c>
      <c r="N11" s="103">
        <v>122709</v>
      </c>
      <c r="O11" s="103">
        <v>2333538</v>
      </c>
      <c r="P11" s="103">
        <v>22491453</v>
      </c>
      <c r="Q11" s="117" t="s">
        <v>25</v>
      </c>
      <c r="R11" s="67">
        <f>IF(表1_86121822242672122[[#This Row],[目标国家]]="魏",0,IF(表1_86121822242672122[[#This Row],[目标国家]]="蜀",1,2))</f>
        <v>0</v>
      </c>
      <c r="S11" s="103">
        <v>34196</v>
      </c>
      <c r="T11" s="103">
        <v>0</v>
      </c>
      <c r="U11" s="103">
        <v>246925</v>
      </c>
      <c r="V11" s="103">
        <v>8065</v>
      </c>
      <c r="W11" s="118">
        <v>679205</v>
      </c>
      <c r="X11" s="119" t="str">
        <f>"{"&amp;"'coin':"&amp;表1_86121822242672122[[#This Row],[补偿Coin]]&amp;",'"&amp;配置!$A$2&amp;"':"&amp;表1_86121822242672122[[#This Row],[补偿辎重]]&amp;"},"</f>
        <v>{'coin':1000,'item036':10},</v>
      </c>
      <c r="Y11" s="119" t="str">
        <f>"      '"&amp;表1_86121822242672122[[#This Row],[区服]]&amp;"':{"</f>
        <v>      '7067':{</v>
      </c>
    </row>
    <row r="12" s="2" customFormat="1" ht="14.25" customHeight="1" spans="1:25">
      <c r="A12" s="64">
        <v>7067</v>
      </c>
      <c r="B12" s="65">
        <f>VLOOKUP(表1_86121822242672122[[#This Row],[区服]],$P$80:$Q$87,2,FALSE)</f>
        <v>46</v>
      </c>
      <c r="C12" s="66" t="s">
        <v>303</v>
      </c>
      <c r="D12" s="67" t="str">
        <f>表1_86121822242672122[[#This Row],[目标国家]]</f>
        <v>吴</v>
      </c>
      <c r="E12" s="68">
        <f>(VLOOKUP(表1_86121822242672122[[#This Row],[目标区服]],$R$80:$S$88,2,FALSE)-表1_86121822242672122[[#This Row],[开服天数]])*配置!$B$1</f>
        <v>1000</v>
      </c>
      <c r="F12" s="69">
        <f>表1_86121822242672122[[#This Row],[补偿Coin]]*(表1_86121822242672122[[#This Row],[活跃高战玩家数]]+表1_86121822242672122[[#This Row],[活跃中坚玩家数]])</f>
        <v>13000</v>
      </c>
      <c r="G12" s="70">
        <f>(VLOOKUP(表1_86121822242672122[[#This Row],[目标区服]],$R$80:$S$83,2,FALSE)-表1_86121822242672122[[#This Row],[开服天数]])*配置!$B$2</f>
        <v>10</v>
      </c>
      <c r="H12" s="67" t="s">
        <v>26</v>
      </c>
      <c r="I12" s="102">
        <f>IF(表1_86121822242672122[[#This Row],[原国家]]="魏",0,IF(表1_86121822242672122[[#This Row],[原国家]]="蜀",1,2))</f>
        <v>1</v>
      </c>
      <c r="J12" s="103">
        <v>2</v>
      </c>
      <c r="K12" s="103">
        <v>113</v>
      </c>
      <c r="L12" s="103">
        <v>3</v>
      </c>
      <c r="M12" s="103">
        <v>10</v>
      </c>
      <c r="N12" s="103">
        <v>59566</v>
      </c>
      <c r="O12" s="103">
        <v>1710411</v>
      </c>
      <c r="P12" s="103">
        <v>9862638</v>
      </c>
      <c r="Q12" s="117" t="s">
        <v>27</v>
      </c>
      <c r="R12" s="67">
        <f>IF(表1_86121822242672122[[#This Row],[目标国家]]="魏",0,IF(表1_86121822242672122[[#This Row],[目标国家]]="蜀",1,2))</f>
        <v>2</v>
      </c>
      <c r="S12" s="103">
        <v>4992</v>
      </c>
      <c r="T12" s="103">
        <v>0</v>
      </c>
      <c r="U12" s="103">
        <v>46229</v>
      </c>
      <c r="V12" s="103">
        <v>4497</v>
      </c>
      <c r="W12" s="120">
        <v>484593</v>
      </c>
      <c r="X12" s="119" t="str">
        <f>"{"&amp;"'coin':"&amp;表1_86121822242672122[[#This Row],[补偿Coin]]&amp;",'"&amp;配置!$A$2&amp;"':"&amp;表1_86121822242672122[[#This Row],[补偿辎重]]&amp;"},"</f>
        <v>{'coin':1000,'item036':10},</v>
      </c>
      <c r="Y12" s="119" t="str">
        <f>"            'to_zone':'"&amp;表1_86121822242672122[[#This Row],[目标区服]]&amp;"',
            'reward':"&amp;表1_86121822242672122[[#This Row],[辅助导出]]&amp;"
            'country':["&amp;R11&amp;","&amp;R12&amp;","&amp;R13&amp;"],"</f>
        <v>            'to_zone':'h1_729',
            'reward':{'coin':1000,'item036':10},
            'country':[0,2,2],</v>
      </c>
    </row>
    <row r="13" s="2" customFormat="1" ht="14.25" customHeight="1" spans="1:25">
      <c r="A13" s="64">
        <v>7067</v>
      </c>
      <c r="B13" s="65">
        <f>VLOOKUP(表1_86121822242672122[[#This Row],[区服]],$P$80:$Q$87,2,FALSE)</f>
        <v>46</v>
      </c>
      <c r="C13" s="66" t="s">
        <v>303</v>
      </c>
      <c r="D13" s="67" t="str">
        <f>表1_86121822242672122[[#This Row],[目标国家]]</f>
        <v>吴</v>
      </c>
      <c r="E13" s="68">
        <f>(VLOOKUP(表1_86121822242672122[[#This Row],[目标区服]],$R$80:$S$88,2,FALSE)-表1_86121822242672122[[#This Row],[开服天数]])*配置!$B$1</f>
        <v>1000</v>
      </c>
      <c r="F13" s="69">
        <f>表1_86121822242672122[[#This Row],[补偿Coin]]*(表1_86121822242672122[[#This Row],[活跃高战玩家数]]+表1_86121822242672122[[#This Row],[活跃中坚玩家数]])</f>
        <v>26000</v>
      </c>
      <c r="G13" s="70">
        <f>(VLOOKUP(表1_86121822242672122[[#This Row],[目标区服]],$R$80:$S$83,2,FALSE)-表1_86121822242672122[[#This Row],[开服天数]])*配置!$B$2</f>
        <v>10</v>
      </c>
      <c r="H13" s="67" t="s">
        <v>27</v>
      </c>
      <c r="I13" s="102">
        <f>IF(表1_86121822242672122[[#This Row],[原国家]]="魏",0,IF(表1_86121822242672122[[#This Row],[原国家]]="蜀",1,2))</f>
        <v>2</v>
      </c>
      <c r="J13" s="103">
        <v>3</v>
      </c>
      <c r="K13" s="103">
        <v>150</v>
      </c>
      <c r="L13" s="103">
        <v>2</v>
      </c>
      <c r="M13" s="103">
        <v>24</v>
      </c>
      <c r="N13" s="103">
        <v>116220</v>
      </c>
      <c r="O13" s="103">
        <v>2340767</v>
      </c>
      <c r="P13" s="103">
        <v>20510211</v>
      </c>
      <c r="Q13" s="117" t="s">
        <v>27</v>
      </c>
      <c r="R13" s="67">
        <f>IF(表1_86121822242672122[[#This Row],[目标国家]]="魏",0,IF(表1_86121822242672122[[#This Row],[目标国家]]="蜀",1,2))</f>
        <v>2</v>
      </c>
      <c r="S13" s="103">
        <v>28422</v>
      </c>
      <c r="T13" s="103">
        <v>12960</v>
      </c>
      <c r="U13" s="103">
        <v>306692</v>
      </c>
      <c r="V13" s="103">
        <v>7908</v>
      </c>
      <c r="W13" s="118">
        <v>814550</v>
      </c>
      <c r="X13" s="119" t="str">
        <f>"{"&amp;"'coin':"&amp;表1_86121822242672122[[#This Row],[补偿Coin]]&amp;",'"&amp;配置!$A$2&amp;"':"&amp;表1_86121822242672122[[#This Row],[补偿辎重]]&amp;"},"</f>
        <v>{'coin':1000,'item036':10},</v>
      </c>
      <c r="Y13" s="119" t="str">
        <f>"      },"</f>
        <v>      },</v>
      </c>
    </row>
    <row r="14" s="2" customFormat="1" ht="14.25" customHeight="1" spans="1:25">
      <c r="A14" s="65">
        <v>7068</v>
      </c>
      <c r="B14" s="65">
        <f>VLOOKUP(表1_86121822242672122[[#This Row],[区服]],$P$80:$Q$87,2,FALSE)</f>
        <v>46</v>
      </c>
      <c r="C14" s="66" t="s">
        <v>303</v>
      </c>
      <c r="D14" s="67" t="str">
        <f>表1_86121822242672122[[#This Row],[目标国家]]</f>
        <v>魏</v>
      </c>
      <c r="E14" s="68">
        <f>(VLOOKUP(表1_86121822242672122[[#This Row],[目标区服]],$R$80:$S$88,2,FALSE)-表1_86121822242672122[[#This Row],[开服天数]])*配置!$B$1</f>
        <v>1000</v>
      </c>
      <c r="F14" s="69">
        <f>表1_86121822242672122[[#This Row],[补偿Coin]]*(表1_86121822242672122[[#This Row],[活跃高战玩家数]]+表1_86121822242672122[[#This Row],[活跃中坚玩家数]])</f>
        <v>20000</v>
      </c>
      <c r="G14" s="69">
        <f>(VLOOKUP(表1_86121822242672122[[#This Row],[目标区服]],$R$80:$S$83,2,FALSE)-表1_86121822242672122[[#This Row],[开服天数]])*配置!$B$2</f>
        <v>10</v>
      </c>
      <c r="H14" s="67" t="s">
        <v>25</v>
      </c>
      <c r="I14" s="67">
        <f>IF(表1_86121822242672122[[#This Row],[原国家]]="魏",0,IF(表1_86121822242672122[[#This Row],[原国家]]="蜀",1,2))</f>
        <v>0</v>
      </c>
      <c r="J14" s="103">
        <v>1</v>
      </c>
      <c r="K14" s="103">
        <v>74</v>
      </c>
      <c r="L14" s="103">
        <v>3</v>
      </c>
      <c r="M14" s="103">
        <v>17</v>
      </c>
      <c r="N14" s="103">
        <v>84162</v>
      </c>
      <c r="O14" s="103">
        <v>1569597</v>
      </c>
      <c r="P14" s="103">
        <v>13684827</v>
      </c>
      <c r="Q14" s="117" t="s">
        <v>25</v>
      </c>
      <c r="R14" s="67">
        <f>IF(表1_86121822242672122[[#This Row],[目标国家]]="魏",0,IF(表1_86121822242672122[[#This Row],[目标国家]]="蜀",1,2))</f>
        <v>0</v>
      </c>
      <c r="S14" s="103">
        <v>10330</v>
      </c>
      <c r="T14" s="103">
        <v>0</v>
      </c>
      <c r="U14" s="103">
        <v>78905</v>
      </c>
      <c r="V14" s="103">
        <v>4548</v>
      </c>
      <c r="W14" s="120">
        <v>472363</v>
      </c>
      <c r="X14" s="121" t="str">
        <f>"{"&amp;"'coin':"&amp;表1_86121822242672122[[#This Row],[补偿Coin]]&amp;",'"&amp;配置!$A$2&amp;"':"&amp;表1_86121822242672122[[#This Row],[补偿辎重]]&amp;"},"</f>
        <v>{'coin':1000,'item036':10},</v>
      </c>
      <c r="Y14" s="146" t="str">
        <f>"      '"&amp;表1_86121822242672122[[#This Row],[区服]]&amp;"':{"</f>
        <v>      '7068':{</v>
      </c>
    </row>
    <row r="15" s="2" customFormat="1" ht="14.25" customHeight="1" spans="1:25">
      <c r="A15" s="65">
        <v>7068</v>
      </c>
      <c r="B15" s="65">
        <f>VLOOKUP(表1_86121822242672122[[#This Row],[区服]],$P$80:$Q$87,2,FALSE)</f>
        <v>46</v>
      </c>
      <c r="C15" s="66" t="s">
        <v>303</v>
      </c>
      <c r="D15" s="67" t="str">
        <f>表1_86121822242672122[[#This Row],[目标国家]]</f>
        <v>蜀</v>
      </c>
      <c r="E15" s="68">
        <f>(VLOOKUP(表1_86121822242672122[[#This Row],[目标区服]],$R$80:$S$88,2,FALSE)-表1_86121822242672122[[#This Row],[开服天数]])*配置!$B$1</f>
        <v>1000</v>
      </c>
      <c r="F15" s="69">
        <f>表1_86121822242672122[[#This Row],[补偿Coin]]*(表1_86121822242672122[[#This Row],[活跃高战玩家数]]+表1_86121822242672122[[#This Row],[活跃中坚玩家数]])</f>
        <v>32000</v>
      </c>
      <c r="G15" s="69">
        <f>(VLOOKUP(表1_86121822242672122[[#This Row],[目标区服]],$R$80:$S$83,2,FALSE)-表1_86121822242672122[[#This Row],[开服天数]])*配置!$B$2</f>
        <v>10</v>
      </c>
      <c r="H15" s="67" t="s">
        <v>26</v>
      </c>
      <c r="I15" s="67">
        <f>IF(表1_86121822242672122[[#This Row],[原国家]]="魏",0,IF(表1_86121822242672122[[#This Row],[原国家]]="蜀",1,2))</f>
        <v>1</v>
      </c>
      <c r="J15" s="103">
        <v>6</v>
      </c>
      <c r="K15" s="103">
        <v>246</v>
      </c>
      <c r="L15" s="103">
        <v>6</v>
      </c>
      <c r="M15" s="103">
        <v>26</v>
      </c>
      <c r="N15" s="103">
        <v>149041</v>
      </c>
      <c r="O15" s="103">
        <v>2223512</v>
      </c>
      <c r="P15" s="103">
        <v>25216077</v>
      </c>
      <c r="Q15" s="117" t="s">
        <v>26</v>
      </c>
      <c r="R15" s="67">
        <f>IF(表1_86121822242672122[[#This Row],[目标国家]]="魏",0,IF(表1_86121822242672122[[#This Row],[目标国家]]="蜀",1,2))</f>
        <v>1</v>
      </c>
      <c r="S15" s="103">
        <v>51672</v>
      </c>
      <c r="T15" s="103">
        <v>0</v>
      </c>
      <c r="U15" s="103">
        <v>420131</v>
      </c>
      <c r="V15" s="103">
        <v>10310</v>
      </c>
      <c r="W15" s="120">
        <v>612620</v>
      </c>
      <c r="X15" s="121" t="str">
        <f>"{"&amp;"'coin':"&amp;表1_86121822242672122[[#This Row],[补偿Coin]]&amp;",'"&amp;配置!$A$2&amp;"':"&amp;表1_86121822242672122[[#This Row],[补偿辎重]]&amp;"},"</f>
        <v>{'coin':1000,'item036':10},</v>
      </c>
      <c r="Y15" s="146" t="str">
        <f>"            'to_zone':'"&amp;表1_86121822242672122[[#This Row],[目标区服]]&amp;"',
            'reward':"&amp;表1_86121822242672122[[#This Row],[辅助导出]]&amp;"
            'country':["&amp;R14&amp;","&amp;R15&amp;","&amp;R16&amp;"],"</f>
        <v>            'to_zone':'h1_729',
            'reward':{'coin':1000,'item036':10},
            'country':[0,1,0],</v>
      </c>
    </row>
    <row r="16" s="2" customFormat="1" ht="14.25" customHeight="1" spans="1:25">
      <c r="A16" s="65">
        <v>7068</v>
      </c>
      <c r="B16" s="65">
        <f>VLOOKUP(表1_86121822242672122[[#This Row],[区服]],$P$80:$Q$87,2,FALSE)</f>
        <v>46</v>
      </c>
      <c r="C16" s="66" t="s">
        <v>303</v>
      </c>
      <c r="D16" s="67" t="str">
        <f>表1_86121822242672122[[#This Row],[目标国家]]</f>
        <v>魏</v>
      </c>
      <c r="E16" s="68">
        <f>(VLOOKUP(表1_86121822242672122[[#This Row],[目标区服]],$R$80:$S$88,2,FALSE)-表1_86121822242672122[[#This Row],[开服天数]])*配置!$B$1</f>
        <v>1000</v>
      </c>
      <c r="F16" s="69">
        <f>表1_86121822242672122[[#This Row],[补偿Coin]]*(表1_86121822242672122[[#This Row],[活跃高战玩家数]]+表1_86121822242672122[[#This Row],[活跃中坚玩家数]])</f>
        <v>15000</v>
      </c>
      <c r="G16" s="69">
        <f>(VLOOKUP(表1_86121822242672122[[#This Row],[目标区服]],$R$80:$S$83,2,FALSE)-表1_86121822242672122[[#This Row],[开服天数]])*配置!$B$2</f>
        <v>10</v>
      </c>
      <c r="H16" s="67" t="s">
        <v>27</v>
      </c>
      <c r="I16" s="67">
        <f>IF(表1_86121822242672122[[#This Row],[原国家]]="魏",0,IF(表1_86121822242672122[[#This Row],[原国家]]="蜀",1,2))</f>
        <v>2</v>
      </c>
      <c r="J16" s="103">
        <v>2</v>
      </c>
      <c r="K16" s="103">
        <v>75</v>
      </c>
      <c r="L16" s="103">
        <v>1</v>
      </c>
      <c r="M16" s="103">
        <v>14</v>
      </c>
      <c r="N16" s="103">
        <v>48675</v>
      </c>
      <c r="O16" s="103">
        <v>1180737</v>
      </c>
      <c r="P16" s="103">
        <v>8717525</v>
      </c>
      <c r="Q16" s="117" t="s">
        <v>25</v>
      </c>
      <c r="R16" s="67">
        <f>IF(表1_86121822242672122[[#This Row],[目标国家]]="魏",0,IF(表1_86121822242672122[[#This Row],[目标国家]]="蜀",1,2))</f>
        <v>0</v>
      </c>
      <c r="S16" s="103">
        <v>426</v>
      </c>
      <c r="T16" s="103">
        <v>0</v>
      </c>
      <c r="U16" s="103">
        <v>120142</v>
      </c>
      <c r="V16" s="103">
        <v>3318</v>
      </c>
      <c r="W16" s="120">
        <v>362022</v>
      </c>
      <c r="X16" s="121" t="str">
        <f>"{"&amp;"'coin':"&amp;表1_86121822242672122[[#This Row],[补偿Coin]]&amp;",'"&amp;配置!$A$2&amp;"':"&amp;表1_86121822242672122[[#This Row],[补偿辎重]]&amp;"},"</f>
        <v>{'coin':1000,'item036':10},</v>
      </c>
      <c r="Y16" s="146" t="str">
        <f>"      },"</f>
        <v>      },</v>
      </c>
    </row>
    <row r="17" s="2" customFormat="1" ht="14.25" customHeight="1" spans="1:25">
      <c r="A17" s="65">
        <v>7069</v>
      </c>
      <c r="B17" s="65">
        <f>VLOOKUP(表1_86121822242672122[[#This Row],[区服]],$P$80:$Q$87,2,FALSE)</f>
        <v>46</v>
      </c>
      <c r="C17" s="66" t="s">
        <v>303</v>
      </c>
      <c r="D17" s="67" t="str">
        <f>表1_86121822242672122[[#This Row],[目标国家]]</f>
        <v>魏</v>
      </c>
      <c r="E17" s="68">
        <f>(VLOOKUP(表1_86121822242672122[[#This Row],[目标区服]],$R$80:$S$88,2,FALSE)-表1_86121822242672122[[#This Row],[开服天数]])*配置!$B$1</f>
        <v>1000</v>
      </c>
      <c r="F17" s="69">
        <f>表1_86121822242672122[[#This Row],[补偿Coin]]*(表1_86121822242672122[[#This Row],[活跃高战玩家数]]+表1_86121822242672122[[#This Row],[活跃中坚玩家数]])</f>
        <v>14000</v>
      </c>
      <c r="G17" s="69">
        <f>(VLOOKUP(表1_86121822242672122[[#This Row],[目标区服]],$R$80:$S$83,2,FALSE)-表1_86121822242672122[[#This Row],[开服天数]])*配置!$B$2</f>
        <v>10</v>
      </c>
      <c r="H17" s="67" t="s">
        <v>25</v>
      </c>
      <c r="I17" s="67">
        <f>IF(表1_86121822242672122[[#This Row],[原国家]]="魏",0,IF(表1_86121822242672122[[#This Row],[原国家]]="蜀",1,2))</f>
        <v>0</v>
      </c>
      <c r="J17" s="103">
        <v>2</v>
      </c>
      <c r="K17" s="103">
        <v>88</v>
      </c>
      <c r="L17" s="103">
        <v>2</v>
      </c>
      <c r="M17" s="103">
        <v>12</v>
      </c>
      <c r="N17" s="103">
        <v>57290</v>
      </c>
      <c r="O17" s="103">
        <v>1844232</v>
      </c>
      <c r="P17" s="103">
        <v>9405419</v>
      </c>
      <c r="Q17" s="117" t="s">
        <v>25</v>
      </c>
      <c r="R17" s="67">
        <f>IF(表1_86121822242672122[[#This Row],[目标国家]]="魏",0,IF(表1_86121822242672122[[#This Row],[目标国家]]="蜀",1,2))</f>
        <v>0</v>
      </c>
      <c r="S17" s="103">
        <v>1094</v>
      </c>
      <c r="T17" s="103">
        <v>27216</v>
      </c>
      <c r="U17" s="103">
        <v>314889</v>
      </c>
      <c r="V17" s="103">
        <v>4613</v>
      </c>
      <c r="W17" s="120">
        <v>545236</v>
      </c>
      <c r="X17" s="121" t="str">
        <f>"{"&amp;"'coin':"&amp;表1_86121822242672122[[#This Row],[补偿Coin]]&amp;",'"&amp;配置!$A$2&amp;"':"&amp;表1_86121822242672122[[#This Row],[补偿辎重]]&amp;"},"</f>
        <v>{'coin':1000,'item036':10},</v>
      </c>
      <c r="Y17" s="146" t="str">
        <f>"      '"&amp;表1_86121822242672122[[#This Row],[区服]]&amp;"':{"</f>
        <v>      '7069':{</v>
      </c>
    </row>
    <row r="18" s="2" customFormat="1" ht="14.25" customHeight="1" spans="1:25">
      <c r="A18" s="65">
        <v>7069</v>
      </c>
      <c r="B18" s="65">
        <f>VLOOKUP(表1_86121822242672122[[#This Row],[区服]],$P$80:$Q$87,2,FALSE)</f>
        <v>46</v>
      </c>
      <c r="C18" s="66" t="s">
        <v>303</v>
      </c>
      <c r="D18" s="67" t="str">
        <f>表1_86121822242672122[[#This Row],[目标国家]]</f>
        <v>蜀</v>
      </c>
      <c r="E18" s="68">
        <f>(VLOOKUP(表1_86121822242672122[[#This Row],[目标区服]],$R$80:$S$88,2,FALSE)-表1_86121822242672122[[#This Row],[开服天数]])*配置!$B$1</f>
        <v>1000</v>
      </c>
      <c r="F18" s="69">
        <f>表1_86121822242672122[[#This Row],[补偿Coin]]*(表1_86121822242672122[[#This Row],[活跃高战玩家数]]+表1_86121822242672122[[#This Row],[活跃中坚玩家数]])</f>
        <v>28000</v>
      </c>
      <c r="G18" s="69">
        <f>(VLOOKUP(表1_86121822242672122[[#This Row],[目标区服]],$R$80:$S$83,2,FALSE)-表1_86121822242672122[[#This Row],[开服天数]])*配置!$B$2</f>
        <v>10</v>
      </c>
      <c r="H18" s="67" t="s">
        <v>26</v>
      </c>
      <c r="I18" s="67">
        <f>IF(表1_86121822242672122[[#This Row],[原国家]]="魏",0,IF(表1_86121822242672122[[#This Row],[原国家]]="蜀",1,2))</f>
        <v>1</v>
      </c>
      <c r="J18" s="103">
        <v>4</v>
      </c>
      <c r="K18" s="103">
        <v>190</v>
      </c>
      <c r="L18" s="103">
        <v>4</v>
      </c>
      <c r="M18" s="103">
        <v>24</v>
      </c>
      <c r="N18" s="103">
        <v>119039</v>
      </c>
      <c r="O18" s="103">
        <v>2127892</v>
      </c>
      <c r="P18" s="103">
        <v>19210930</v>
      </c>
      <c r="Q18" s="117" t="s">
        <v>26</v>
      </c>
      <c r="R18" s="67">
        <f>IF(表1_86121822242672122[[#This Row],[目标国家]]="魏",0,IF(表1_86121822242672122[[#This Row],[目标国家]]="蜀",1,2))</f>
        <v>1</v>
      </c>
      <c r="S18" s="103">
        <v>20380</v>
      </c>
      <c r="T18" s="103">
        <v>0</v>
      </c>
      <c r="U18" s="103">
        <v>183243</v>
      </c>
      <c r="V18" s="103">
        <v>7647</v>
      </c>
      <c r="W18" s="118">
        <v>699832</v>
      </c>
      <c r="X18" s="121" t="str">
        <f>"{"&amp;"'coin':"&amp;表1_86121822242672122[[#This Row],[补偿Coin]]&amp;",'"&amp;配置!$A$2&amp;"':"&amp;表1_86121822242672122[[#This Row],[补偿辎重]]&amp;"},"</f>
        <v>{'coin':1000,'item036':10},</v>
      </c>
      <c r="Y18" s="146" t="str">
        <f>"            'to_zone':'"&amp;表1_86121822242672122[[#This Row],[目标区服]]&amp;"',
            'reward':"&amp;表1_86121822242672122[[#This Row],[辅助导出]]&amp;"
            'country':["&amp;R17&amp;","&amp;R18&amp;","&amp;R19&amp;"],"</f>
        <v>            'to_zone':'h1_729',
            'reward':{'coin':1000,'item036':10},
            'country':[0,1,2],</v>
      </c>
    </row>
    <row r="19" s="2" customFormat="1" ht="14.25" customHeight="1" spans="1:25">
      <c r="A19" s="65">
        <v>7069</v>
      </c>
      <c r="B19" s="65">
        <f>VLOOKUP(表1_86121822242672122[[#This Row],[区服]],$P$80:$Q$87,2,FALSE)</f>
        <v>46</v>
      </c>
      <c r="C19" s="66" t="s">
        <v>303</v>
      </c>
      <c r="D19" s="67" t="str">
        <f>表1_86121822242672122[[#This Row],[目标国家]]</f>
        <v>吴</v>
      </c>
      <c r="E19" s="68">
        <f>(VLOOKUP(表1_86121822242672122[[#This Row],[目标区服]],$R$80:$S$88,2,FALSE)-表1_86121822242672122[[#This Row],[开服天数]])*配置!$B$1</f>
        <v>1000</v>
      </c>
      <c r="F19" s="69">
        <f>表1_86121822242672122[[#This Row],[补偿Coin]]*(表1_86121822242672122[[#This Row],[活跃高战玩家数]]+表1_86121822242672122[[#This Row],[活跃中坚玩家数]])</f>
        <v>22000</v>
      </c>
      <c r="G19" s="69">
        <f>(VLOOKUP(表1_86121822242672122[[#This Row],[目标区服]],$R$80:$S$83,2,FALSE)-表1_86121822242672122[[#This Row],[开服天数]])*配置!$B$2</f>
        <v>10</v>
      </c>
      <c r="H19" s="67" t="s">
        <v>27</v>
      </c>
      <c r="I19" s="67">
        <f>IF(表1_86121822242672122[[#This Row],[原国家]]="魏",0,IF(表1_86121822242672122[[#This Row],[原国家]]="蜀",1,2))</f>
        <v>2</v>
      </c>
      <c r="J19" s="103">
        <v>3</v>
      </c>
      <c r="K19" s="103">
        <v>117</v>
      </c>
      <c r="L19" s="103">
        <v>3</v>
      </c>
      <c r="M19" s="103">
        <v>19</v>
      </c>
      <c r="N19" s="103">
        <v>120543</v>
      </c>
      <c r="O19" s="103">
        <v>1992698</v>
      </c>
      <c r="P19" s="103">
        <v>18012744</v>
      </c>
      <c r="Q19" s="117" t="s">
        <v>27</v>
      </c>
      <c r="R19" s="67">
        <f>IF(表1_86121822242672122[[#This Row],[目标国家]]="魏",0,IF(表1_86121822242672122[[#This Row],[目标国家]]="蜀",1,2))</f>
        <v>2</v>
      </c>
      <c r="S19" s="103">
        <v>36936</v>
      </c>
      <c r="T19" s="103">
        <v>0</v>
      </c>
      <c r="U19" s="103">
        <v>375642</v>
      </c>
      <c r="V19" s="103">
        <v>7162</v>
      </c>
      <c r="W19" s="120">
        <v>568025</v>
      </c>
      <c r="X19" s="121" t="str">
        <f>"{"&amp;"'coin':"&amp;表1_86121822242672122[[#This Row],[补偿Coin]]&amp;",'"&amp;配置!$A$2&amp;"':"&amp;表1_86121822242672122[[#This Row],[补偿辎重]]&amp;"},"</f>
        <v>{'coin':1000,'item036':10},</v>
      </c>
      <c r="Y19" s="146" t="str">
        <f>"      },"</f>
        <v>      },</v>
      </c>
    </row>
    <row r="20" s="2" customFormat="1" ht="14.25" customHeight="1" spans="1:25">
      <c r="A20" s="71">
        <v>7070</v>
      </c>
      <c r="B20" s="71">
        <f>VLOOKUP(表1_86121822242672122[[#This Row],[区服]],$P$80:$Q$87,2,FALSE)</f>
        <v>45</v>
      </c>
      <c r="C20" s="72" t="s">
        <v>304</v>
      </c>
      <c r="D20" s="73" t="str">
        <f>表1_86121822242672122[[#This Row],[目标国家]]</f>
        <v>魏</v>
      </c>
      <c r="E20" s="74">
        <f>(VLOOKUP(表1_86121822242672122[[#This Row],[目标区服]],$R$80:$S$88,2,FALSE)-表1_86121822242672122[[#This Row],[开服天数]])*配置!$B$1</f>
        <v>1000</v>
      </c>
      <c r="F20" s="75">
        <f>表1_86121822242672122[[#This Row],[补偿Coin]]*(表1_86121822242672122[[#This Row],[活跃高战玩家数]]+表1_86121822242672122[[#This Row],[活跃中坚玩家数]])</f>
        <v>24000</v>
      </c>
      <c r="G20" s="75">
        <f>(VLOOKUP(表1_86121822242672122[[#This Row],[目标区服]],$R$80:$S$83,2,FALSE)-表1_86121822242672122[[#This Row],[开服天数]])*配置!$B$2</f>
        <v>10</v>
      </c>
      <c r="H20" s="73" t="s">
        <v>25</v>
      </c>
      <c r="I20" s="73">
        <f>IF(表1_86121822242672122[[#This Row],[原国家]]="魏",0,IF(表1_86121822242672122[[#This Row],[原国家]]="蜀",1,2))</f>
        <v>0</v>
      </c>
      <c r="J20" s="104">
        <v>2</v>
      </c>
      <c r="K20" s="104">
        <v>69</v>
      </c>
      <c r="L20" s="104">
        <v>1</v>
      </c>
      <c r="M20" s="104">
        <v>23</v>
      </c>
      <c r="N20" s="104">
        <v>84090</v>
      </c>
      <c r="O20" s="104">
        <v>1870748</v>
      </c>
      <c r="P20" s="104">
        <v>19621154</v>
      </c>
      <c r="Q20" s="122" t="s">
        <v>25</v>
      </c>
      <c r="R20" s="73">
        <f>IF(表1_86121822242672122[[#This Row],[目标国家]]="魏",0,IF(表1_86121822242672122[[#This Row],[目标国家]]="蜀",1,2))</f>
        <v>0</v>
      </c>
      <c r="S20" s="104">
        <v>10228</v>
      </c>
      <c r="T20" s="104">
        <v>0</v>
      </c>
      <c r="U20" s="104">
        <v>207557</v>
      </c>
      <c r="V20" s="104">
        <v>5553</v>
      </c>
      <c r="W20" s="105">
        <v>498320</v>
      </c>
      <c r="X20" s="123" t="str">
        <f>"{"&amp;"'coin':"&amp;表1_86121822242672122[[#This Row],[补偿Coin]]&amp;",'"&amp;配置!$A$2&amp;"':"&amp;表1_86121822242672122[[#This Row],[补偿辎重]]&amp;"},"</f>
        <v>{'coin':1000,'item036':10},</v>
      </c>
      <c r="Y20" s="147" t="str">
        <f>"      '"&amp;表1_86121822242672122[[#This Row],[区服]]&amp;"':{"</f>
        <v>      '7070':{</v>
      </c>
    </row>
    <row r="21" s="2" customFormat="1" ht="14.25" customHeight="1" spans="1:25">
      <c r="A21" s="71">
        <v>7070</v>
      </c>
      <c r="B21" s="71">
        <f>VLOOKUP(表1_86121822242672122[[#This Row],[区服]],$P$80:$Q$87,2,FALSE)</f>
        <v>45</v>
      </c>
      <c r="C21" s="72" t="s">
        <v>304</v>
      </c>
      <c r="D21" s="73" t="str">
        <f>表1_86121822242672122[[#This Row],[目标国家]]</f>
        <v>蜀</v>
      </c>
      <c r="E21" s="74">
        <f>(VLOOKUP(表1_86121822242672122[[#This Row],[目标区服]],$R$80:$S$88,2,FALSE)-表1_86121822242672122[[#This Row],[开服天数]])*配置!$B$1</f>
        <v>1000</v>
      </c>
      <c r="F21" s="75">
        <f>表1_86121822242672122[[#This Row],[补偿Coin]]*(表1_86121822242672122[[#This Row],[活跃高战玩家数]]+表1_86121822242672122[[#This Row],[活跃中坚玩家数]])</f>
        <v>39000</v>
      </c>
      <c r="G21" s="75">
        <f>(VLOOKUP(表1_86121822242672122[[#This Row],[目标区服]],$R$80:$S$83,2,FALSE)-表1_86121822242672122[[#This Row],[开服天数]])*配置!$B$2</f>
        <v>10</v>
      </c>
      <c r="H21" s="73" t="s">
        <v>26</v>
      </c>
      <c r="I21" s="73">
        <f>IF(表1_86121822242672122[[#This Row],[原国家]]="魏",0,IF(表1_86121822242672122[[#This Row],[原国家]]="蜀",1,2))</f>
        <v>1</v>
      </c>
      <c r="J21" s="104">
        <v>4</v>
      </c>
      <c r="K21" s="104">
        <v>208</v>
      </c>
      <c r="L21" s="104">
        <v>5</v>
      </c>
      <c r="M21" s="104">
        <v>34</v>
      </c>
      <c r="N21" s="104">
        <v>156617</v>
      </c>
      <c r="O21" s="104">
        <v>3298334</v>
      </c>
      <c r="P21" s="104">
        <v>38107309</v>
      </c>
      <c r="Q21" s="122" t="s">
        <v>26</v>
      </c>
      <c r="R21" s="73">
        <f>IF(表1_86121822242672122[[#This Row],[目标国家]]="魏",0,IF(表1_86121822242672122[[#This Row],[目标国家]]="蜀",1,2))</f>
        <v>1</v>
      </c>
      <c r="S21" s="104">
        <v>97848</v>
      </c>
      <c r="T21" s="104">
        <v>27864</v>
      </c>
      <c r="U21" s="104">
        <v>413151</v>
      </c>
      <c r="V21" s="104">
        <v>13792</v>
      </c>
      <c r="W21" s="124">
        <v>938012</v>
      </c>
      <c r="X21" s="123" t="str">
        <f>"{"&amp;"'coin':"&amp;表1_86121822242672122[[#This Row],[补偿Coin]]&amp;",'"&amp;配置!$A$2&amp;"':"&amp;表1_86121822242672122[[#This Row],[补偿辎重]]&amp;"},"</f>
        <v>{'coin':1000,'item036':10},</v>
      </c>
      <c r="Y21" s="147" t="str">
        <f>"            'to_zone':'"&amp;表1_86121822242672122[[#This Row],[目标区服]]&amp;"',
            'reward':"&amp;表1_86121822242672122[[#This Row],[辅助导出]]&amp;"
            'country':["&amp;R20&amp;","&amp;R21&amp;","&amp;R22&amp;"],"</f>
        <v>            'to_zone':'h1_730',
            'reward':{'coin':1000,'item036':10},
            'country':[0,1,2],</v>
      </c>
    </row>
    <row r="22" s="2" customFormat="1" ht="14.25" customHeight="1" spans="1:25">
      <c r="A22" s="71">
        <v>7070</v>
      </c>
      <c r="B22" s="71">
        <f>VLOOKUP(表1_86121822242672122[[#This Row],[区服]],$P$80:$Q$87,2,FALSE)</f>
        <v>45</v>
      </c>
      <c r="C22" s="72" t="s">
        <v>304</v>
      </c>
      <c r="D22" s="73" t="str">
        <f>表1_86121822242672122[[#This Row],[目标国家]]</f>
        <v>吴</v>
      </c>
      <c r="E22" s="74">
        <f>(VLOOKUP(表1_86121822242672122[[#This Row],[目标区服]],$R$80:$S$88,2,FALSE)-表1_86121822242672122[[#This Row],[开服天数]])*配置!$B$1</f>
        <v>1000</v>
      </c>
      <c r="F22" s="75">
        <f>表1_86121822242672122[[#This Row],[补偿Coin]]*(表1_86121822242672122[[#This Row],[活跃高战玩家数]]+表1_86121822242672122[[#This Row],[活跃中坚玩家数]])</f>
        <v>21000</v>
      </c>
      <c r="G22" s="75">
        <f>(VLOOKUP(表1_86121822242672122[[#This Row],[目标区服]],$R$80:$S$83,2,FALSE)-表1_86121822242672122[[#This Row],[开服天数]])*配置!$B$2</f>
        <v>10</v>
      </c>
      <c r="H22" s="73" t="s">
        <v>27</v>
      </c>
      <c r="I22" s="73">
        <f>IF(表1_86121822242672122[[#This Row],[原国家]]="魏",0,IF(表1_86121822242672122[[#This Row],[原国家]]="蜀",1,2))</f>
        <v>2</v>
      </c>
      <c r="J22" s="104">
        <v>3</v>
      </c>
      <c r="K22" s="104">
        <v>118</v>
      </c>
      <c r="L22" s="104">
        <v>4</v>
      </c>
      <c r="M22" s="104">
        <v>17</v>
      </c>
      <c r="N22" s="104">
        <v>81099</v>
      </c>
      <c r="O22" s="104">
        <v>3297551</v>
      </c>
      <c r="P22" s="104">
        <v>21605680</v>
      </c>
      <c r="Q22" s="122" t="s">
        <v>27</v>
      </c>
      <c r="R22" s="73">
        <f>IF(表1_86121822242672122[[#This Row],[目标国家]]="魏",0,IF(表1_86121822242672122[[#This Row],[目标国家]]="蜀",1,2))</f>
        <v>2</v>
      </c>
      <c r="S22" s="104">
        <v>87872</v>
      </c>
      <c r="T22" s="104">
        <v>46148</v>
      </c>
      <c r="U22" s="104">
        <v>544685</v>
      </c>
      <c r="V22" s="104">
        <v>10713</v>
      </c>
      <c r="W22" s="124">
        <v>996475</v>
      </c>
      <c r="X22" s="123" t="str">
        <f>"{"&amp;"'coin':"&amp;表1_86121822242672122[[#This Row],[补偿Coin]]&amp;",'"&amp;配置!$A$2&amp;"':"&amp;表1_86121822242672122[[#This Row],[补偿辎重]]&amp;"},"</f>
        <v>{'coin':1000,'item036':10},</v>
      </c>
      <c r="Y22" s="147" t="str">
        <f>"      },"</f>
        <v>      },</v>
      </c>
    </row>
    <row r="23" s="2" customFormat="1" ht="14.25" customHeight="1" spans="1:25">
      <c r="A23" s="71">
        <v>7071</v>
      </c>
      <c r="B23" s="71">
        <f>VLOOKUP(表1_86121822242672122[[#This Row],[区服]],$P$80:$Q$87,2,FALSE)</f>
        <v>45</v>
      </c>
      <c r="C23" s="72" t="s">
        <v>304</v>
      </c>
      <c r="D23" s="73" t="str">
        <f>表1_86121822242672122[[#This Row],[目标国家]]</f>
        <v>蜀</v>
      </c>
      <c r="E23" s="74">
        <f>(VLOOKUP(表1_86121822242672122[[#This Row],[目标区服]],$R$80:$S$88,2,FALSE)-表1_86121822242672122[[#This Row],[开服天数]])*配置!$B$1</f>
        <v>1000</v>
      </c>
      <c r="F23" s="75">
        <f>表1_86121822242672122[[#This Row],[补偿Coin]]*(表1_86121822242672122[[#This Row],[活跃高战玩家数]]+表1_86121822242672122[[#This Row],[活跃中坚玩家数]])</f>
        <v>17000</v>
      </c>
      <c r="G23" s="75">
        <f>(VLOOKUP(表1_86121822242672122[[#This Row],[目标区服]],$R$80:$S$83,2,FALSE)-表1_86121822242672122[[#This Row],[开服天数]])*配置!$B$2</f>
        <v>10</v>
      </c>
      <c r="H23" s="73" t="s">
        <v>25</v>
      </c>
      <c r="I23" s="73">
        <f>IF(表1_86121822242672122[[#This Row],[原国家]]="魏",0,IF(表1_86121822242672122[[#This Row],[原国家]]="蜀",1,2))</f>
        <v>0</v>
      </c>
      <c r="J23" s="105">
        <v>0</v>
      </c>
      <c r="K23" s="105">
        <v>68</v>
      </c>
      <c r="L23" s="105">
        <v>0</v>
      </c>
      <c r="M23" s="105">
        <v>17</v>
      </c>
      <c r="N23" s="105">
        <v>54995</v>
      </c>
      <c r="O23" s="105">
        <v>1426947</v>
      </c>
      <c r="P23" s="105">
        <v>11454688</v>
      </c>
      <c r="Q23" s="122" t="s">
        <v>26</v>
      </c>
      <c r="R23" s="73">
        <f>IF(表1_86121822242672122[[#This Row],[目标国家]]="魏",0,IF(表1_86121822242672122[[#This Row],[目标国家]]="蜀",1,2))</f>
        <v>1</v>
      </c>
      <c r="S23" s="105">
        <v>6838</v>
      </c>
      <c r="T23" s="105">
        <v>0</v>
      </c>
      <c r="U23" s="105">
        <v>159698</v>
      </c>
      <c r="V23" s="105">
        <v>3812</v>
      </c>
      <c r="W23" s="105">
        <v>399528</v>
      </c>
      <c r="X23" s="123" t="str">
        <f>"{"&amp;"'coin':"&amp;表1_86121822242672122[[#This Row],[补偿Coin]]&amp;",'"&amp;配置!$A$2&amp;"':"&amp;表1_86121822242672122[[#This Row],[补偿辎重]]&amp;"},"</f>
        <v>{'coin':1000,'item036':10},</v>
      </c>
      <c r="Y23" s="147" t="str">
        <f>"      '"&amp;表1_86121822242672122[[#This Row],[区服]]&amp;"':{"</f>
        <v>      '7071':{</v>
      </c>
    </row>
    <row r="24" s="2" customFormat="1" ht="14.25" customHeight="1" spans="1:25">
      <c r="A24" s="71">
        <v>7071</v>
      </c>
      <c r="B24" s="71">
        <f>VLOOKUP(表1_86121822242672122[[#This Row],[区服]],$P$80:$Q$87,2,FALSE)</f>
        <v>45</v>
      </c>
      <c r="C24" s="72" t="s">
        <v>304</v>
      </c>
      <c r="D24" s="73" t="str">
        <f>表1_86121822242672122[[#This Row],[目标国家]]</f>
        <v>魏</v>
      </c>
      <c r="E24" s="74">
        <f>(VLOOKUP(表1_86121822242672122[[#This Row],[目标区服]],$R$80:$S$88,2,FALSE)-表1_86121822242672122[[#This Row],[开服天数]])*配置!$B$1</f>
        <v>1000</v>
      </c>
      <c r="F24" s="75">
        <f>表1_86121822242672122[[#This Row],[补偿Coin]]*(表1_86121822242672122[[#This Row],[活跃高战玩家数]]+表1_86121822242672122[[#This Row],[活跃中坚玩家数]])</f>
        <v>31000</v>
      </c>
      <c r="G24" s="75">
        <f>(VLOOKUP(表1_86121822242672122[[#This Row],[目标区服]],$R$80:$S$83,2,FALSE)-表1_86121822242672122[[#This Row],[开服天数]])*配置!$B$2</f>
        <v>10</v>
      </c>
      <c r="H24" s="73" t="s">
        <v>26</v>
      </c>
      <c r="I24" s="73">
        <f>IF(表1_86121822242672122[[#This Row],[原国家]]="魏",0,IF(表1_86121822242672122[[#This Row],[原国家]]="蜀",1,2))</f>
        <v>1</v>
      </c>
      <c r="J24" s="105">
        <v>9</v>
      </c>
      <c r="K24" s="105">
        <v>279</v>
      </c>
      <c r="L24" s="105">
        <v>8</v>
      </c>
      <c r="M24" s="105">
        <v>23</v>
      </c>
      <c r="N24" s="105">
        <v>162607</v>
      </c>
      <c r="O24" s="105">
        <v>3080083</v>
      </c>
      <c r="P24" s="105">
        <v>31288315</v>
      </c>
      <c r="Q24" s="122" t="s">
        <v>25</v>
      </c>
      <c r="R24" s="73">
        <f>IF(表1_86121822242672122[[#This Row],[目标国家]]="魏",0,IF(表1_86121822242672122[[#This Row],[目标国家]]="蜀",1,2))</f>
        <v>0</v>
      </c>
      <c r="S24" s="105">
        <v>88986</v>
      </c>
      <c r="T24" s="105">
        <v>0</v>
      </c>
      <c r="U24" s="105">
        <v>663342</v>
      </c>
      <c r="V24" s="105">
        <v>13713</v>
      </c>
      <c r="W24" s="124">
        <v>824850</v>
      </c>
      <c r="X24" s="123" t="str">
        <f>"{"&amp;"'coin':"&amp;表1_86121822242672122[[#This Row],[补偿Coin]]&amp;",'"&amp;配置!$A$2&amp;"':"&amp;表1_86121822242672122[[#This Row],[补偿辎重]]&amp;"},"</f>
        <v>{'coin':1000,'item036':10},</v>
      </c>
      <c r="Y24" s="147" t="str">
        <f>"            'to_zone':'"&amp;表1_86121822242672122[[#This Row],[目标区服]]&amp;"',
            'reward':"&amp;表1_86121822242672122[[#This Row],[辅助导出]]&amp;"
            'country':["&amp;R23&amp;","&amp;R24&amp;","&amp;R25&amp;"],"</f>
        <v>            'to_zone':'h1_730',
            'reward':{'coin':1000,'item036':10},
            'country':[1,0,2],</v>
      </c>
    </row>
    <row r="25" s="2" customFormat="1" ht="14.25" customHeight="1" spans="1:25">
      <c r="A25" s="71">
        <v>7071</v>
      </c>
      <c r="B25" s="71">
        <f>VLOOKUP(表1_86121822242672122[[#This Row],[区服]],$P$80:$Q$104,2,FALSE)</f>
        <v>45</v>
      </c>
      <c r="C25" s="72" t="s">
        <v>304</v>
      </c>
      <c r="D25" s="73" t="str">
        <f>表1_86121822242672122[[#This Row],[目标国家]]</f>
        <v>吴</v>
      </c>
      <c r="E25" s="74">
        <f>(VLOOKUP(表1_86121822242672122[[#This Row],[目标区服]],$R$80:$S$88,2,FALSE)-表1_86121822242672122[[#This Row],[开服天数]])*配置!$B$1</f>
        <v>1000</v>
      </c>
      <c r="F25" s="75">
        <f>表1_86121822242672122[[#This Row],[补偿Coin]]*(表1_86121822242672122[[#This Row],[活跃高战玩家数]]+表1_86121822242672122[[#This Row],[活跃中坚玩家数]])</f>
        <v>26000</v>
      </c>
      <c r="G25" s="75">
        <f>(VLOOKUP(表1_86121822242672122[[#This Row],[目标区服]],$R$80:$S$83,2,FALSE)-表1_86121822242672122[[#This Row],[开服天数]])*配置!$B$2</f>
        <v>10</v>
      </c>
      <c r="H25" s="73" t="s">
        <v>27</v>
      </c>
      <c r="I25" s="73">
        <f>IF(表1_86121822242672122[[#This Row],[原国家]]="魏",0,IF(表1_86121822242672122[[#This Row],[原国家]]="蜀",1,2))</f>
        <v>2</v>
      </c>
      <c r="J25" s="105">
        <v>0</v>
      </c>
      <c r="K25" s="105">
        <v>48</v>
      </c>
      <c r="L25" s="105">
        <v>2</v>
      </c>
      <c r="M25" s="105">
        <v>24</v>
      </c>
      <c r="N25" s="105">
        <v>81889</v>
      </c>
      <c r="O25" s="105">
        <v>1497343</v>
      </c>
      <c r="P25" s="105">
        <v>17595806</v>
      </c>
      <c r="Q25" s="122" t="s">
        <v>27</v>
      </c>
      <c r="R25" s="73">
        <f>IF(表1_86121822242672122[[#This Row],[目标国家]]="魏",0,IF(表1_86121822242672122[[#This Row],[目标国家]]="蜀",1,2))</f>
        <v>2</v>
      </c>
      <c r="S25" s="105">
        <v>31732</v>
      </c>
      <c r="T25" s="105">
        <v>27216</v>
      </c>
      <c r="U25" s="105">
        <v>225711</v>
      </c>
      <c r="V25" s="105">
        <v>5483</v>
      </c>
      <c r="W25" s="105">
        <v>456065</v>
      </c>
      <c r="X25" s="123" t="str">
        <f>"{"&amp;"'coin':"&amp;表1_86121822242672122[[#This Row],[补偿Coin]]&amp;",'"&amp;配置!$A$2&amp;"':"&amp;表1_86121822242672122[[#This Row],[补偿辎重]]&amp;"},"</f>
        <v>{'coin':1000,'item036':10},</v>
      </c>
      <c r="Y25" s="147" t="str">
        <f>"      },"</f>
        <v>      },</v>
      </c>
    </row>
    <row r="26" s="2" customFormat="1" ht="14.25" customHeight="1" spans="1:25">
      <c r="A26" s="76">
        <v>7072</v>
      </c>
      <c r="B26" s="76">
        <f>VLOOKUP(表1_86121822242672122[[#This Row],[区服]],$P$80:$Q$104,2,FALSE)</f>
        <v>44</v>
      </c>
      <c r="C26" s="77" t="s">
        <v>305</v>
      </c>
      <c r="D26" s="78" t="str">
        <f>表1_86121822242672122[[#This Row],[目标国家]]</f>
        <v>魏</v>
      </c>
      <c r="E26" s="79">
        <f>(VLOOKUP(表1_86121822242672122[[#This Row],[目标区服]],$R$80:$S$88,2,FALSE)-表1_86121822242672122[[#This Row],[开服天数]])*配置!$B$1</f>
        <v>1000</v>
      </c>
      <c r="F26" s="80">
        <f>表1_86121822242672122[[#This Row],[补偿Coin]]*(表1_86121822242672122[[#This Row],[活跃高战玩家数]]+表1_86121822242672122[[#This Row],[活跃中坚玩家数]])</f>
        <v>29000</v>
      </c>
      <c r="G26" s="80">
        <f>(VLOOKUP(表1_86121822242672122[[#This Row],[目标区服]],$R$80:$S$83,2,FALSE)-表1_86121822242672122[[#This Row],[开服天数]])*配置!$B$2</f>
        <v>10</v>
      </c>
      <c r="H26" s="78" t="s">
        <v>25</v>
      </c>
      <c r="I26" s="78">
        <f>IF(表1_86121822242672122[[#This Row],[原国家]]="魏",0,IF(表1_86121822242672122[[#This Row],[原国家]]="蜀",1,2))</f>
        <v>0</v>
      </c>
      <c r="J26" s="106">
        <v>4</v>
      </c>
      <c r="K26" s="106">
        <v>178</v>
      </c>
      <c r="L26" s="106">
        <v>4</v>
      </c>
      <c r="M26" s="106">
        <v>25</v>
      </c>
      <c r="N26" s="106">
        <v>107290</v>
      </c>
      <c r="O26" s="106">
        <v>2969487</v>
      </c>
      <c r="P26" s="106">
        <v>24234335</v>
      </c>
      <c r="Q26" s="125" t="s">
        <v>25</v>
      </c>
      <c r="R26" s="78">
        <f>IF(表1_86121822242672122[[#This Row],[目标国家]]="魏",0,IF(表1_86121822242672122[[#This Row],[目标国家]]="蜀",1,2))</f>
        <v>0</v>
      </c>
      <c r="S26" s="106">
        <v>60354</v>
      </c>
      <c r="T26" s="106">
        <v>0</v>
      </c>
      <c r="U26" s="106">
        <v>275057</v>
      </c>
      <c r="V26" s="106">
        <v>10057</v>
      </c>
      <c r="W26" s="126">
        <v>861906</v>
      </c>
      <c r="X26" s="127" t="str">
        <f>"{"&amp;"'coin':"&amp;表1_86121822242672122[[#This Row],[补偿Coin]]&amp;",'"&amp;配置!$A$2&amp;"':"&amp;表1_86121822242672122[[#This Row],[补偿辎重]]&amp;"},"</f>
        <v>{'coin':1000,'item036':10},</v>
      </c>
      <c r="Y26" s="148" t="str">
        <f>"      '"&amp;表1_86121822242672122[[#This Row],[区服]]&amp;"':{"</f>
        <v>      '7072':{</v>
      </c>
    </row>
    <row r="27" s="2" customFormat="1" ht="14.25" customHeight="1" spans="1:25">
      <c r="A27" s="76">
        <v>7072</v>
      </c>
      <c r="B27" s="76">
        <f>VLOOKUP(表1_86121822242672122[[#This Row],[区服]],$P$80:$Q$104,2,FALSE)</f>
        <v>44</v>
      </c>
      <c r="C27" s="77" t="s">
        <v>305</v>
      </c>
      <c r="D27" s="78" t="str">
        <f>表1_86121822242672122[[#This Row],[目标国家]]</f>
        <v>蜀</v>
      </c>
      <c r="E27" s="79">
        <f>(VLOOKUP(表1_86121822242672122[[#This Row],[目标区服]],$R$80:$S$88,2,FALSE)-表1_86121822242672122[[#This Row],[开服天数]])*配置!$B$1</f>
        <v>1000</v>
      </c>
      <c r="F27" s="80">
        <f>表1_86121822242672122[[#This Row],[补偿Coin]]*(表1_86121822242672122[[#This Row],[活跃高战玩家数]]+表1_86121822242672122[[#This Row],[活跃中坚玩家数]])</f>
        <v>24000</v>
      </c>
      <c r="G27" s="80">
        <f>(VLOOKUP(表1_86121822242672122[[#This Row],[目标区服]],$R$80:$S$83,2,FALSE)-表1_86121822242672122[[#This Row],[开服天数]])*配置!$B$2</f>
        <v>10</v>
      </c>
      <c r="H27" s="78" t="s">
        <v>26</v>
      </c>
      <c r="I27" s="78">
        <f>IF(表1_86121822242672122[[#This Row],[原国家]]="魏",0,IF(表1_86121822242672122[[#This Row],[原国家]]="蜀",1,2))</f>
        <v>1</v>
      </c>
      <c r="J27" s="106">
        <v>3</v>
      </c>
      <c r="K27" s="106">
        <v>106</v>
      </c>
      <c r="L27" s="106">
        <v>2</v>
      </c>
      <c r="M27" s="106">
        <v>22</v>
      </c>
      <c r="N27" s="106">
        <v>83000</v>
      </c>
      <c r="O27" s="106">
        <v>2043188</v>
      </c>
      <c r="P27" s="106">
        <v>17511843</v>
      </c>
      <c r="Q27" s="125" t="s">
        <v>26</v>
      </c>
      <c r="R27" s="78">
        <f>IF(表1_86121822242672122[[#This Row],[目标国家]]="魏",0,IF(表1_86121822242672122[[#This Row],[目标国家]]="蜀",1,2))</f>
        <v>1</v>
      </c>
      <c r="S27" s="106">
        <v>42798</v>
      </c>
      <c r="T27" s="106">
        <v>0</v>
      </c>
      <c r="U27" s="106">
        <v>202557</v>
      </c>
      <c r="V27" s="106">
        <v>6954</v>
      </c>
      <c r="W27" s="126">
        <v>547701</v>
      </c>
      <c r="X27" s="127" t="str">
        <f>"{"&amp;"'coin':"&amp;表1_86121822242672122[[#This Row],[补偿Coin]]&amp;",'"&amp;配置!$A$2&amp;"':"&amp;表1_86121822242672122[[#This Row],[补偿辎重]]&amp;"},"</f>
        <v>{'coin':1000,'item036':10},</v>
      </c>
      <c r="Y27" s="148" t="str">
        <f>"            'to_zone':'"&amp;表1_86121822242672122[[#This Row],[目标区服]]&amp;"',
            'reward':"&amp;表1_86121822242672122[[#This Row],[辅助导出]]&amp;"
            'country':["&amp;R26&amp;","&amp;R27&amp;","&amp;R28&amp;"],"</f>
        <v>            'to_zone':'h1_731',
            'reward':{'coin':1000,'item036':10},
            'country':[0,1,2],</v>
      </c>
    </row>
    <row r="28" s="2" customFormat="1" ht="14.25" customHeight="1" spans="1:25">
      <c r="A28" s="76">
        <v>7072</v>
      </c>
      <c r="B28" s="76">
        <f>VLOOKUP(表1_86121822242672122[[#This Row],[区服]],$P$80:$Q$104,2,FALSE)</f>
        <v>44</v>
      </c>
      <c r="C28" s="77" t="s">
        <v>305</v>
      </c>
      <c r="D28" s="78" t="str">
        <f>表1_86121822242672122[[#This Row],[目标国家]]</f>
        <v>吴</v>
      </c>
      <c r="E28" s="79">
        <f>(VLOOKUP(表1_86121822242672122[[#This Row],[目标区服]],$R$80:$S$88,2,FALSE)-表1_86121822242672122[[#This Row],[开服天数]])*配置!$B$1</f>
        <v>1000</v>
      </c>
      <c r="F28" s="80">
        <f>表1_86121822242672122[[#This Row],[补偿Coin]]*(表1_86121822242672122[[#This Row],[活跃高战玩家数]]+表1_86121822242672122[[#This Row],[活跃中坚玩家数]])</f>
        <v>27000</v>
      </c>
      <c r="G28" s="80">
        <f>(VLOOKUP(表1_86121822242672122[[#This Row],[目标区服]],$R$80:$S$83,2,FALSE)-表1_86121822242672122[[#This Row],[开服天数]])*配置!$B$2</f>
        <v>10</v>
      </c>
      <c r="H28" s="78" t="s">
        <v>27</v>
      </c>
      <c r="I28" s="78">
        <f>IF(表1_86121822242672122[[#This Row],[原国家]]="魏",0,IF(表1_86121822242672122[[#This Row],[原国家]]="蜀",1,2))</f>
        <v>2</v>
      </c>
      <c r="J28" s="106">
        <v>2</v>
      </c>
      <c r="K28" s="106">
        <v>111</v>
      </c>
      <c r="L28" s="106">
        <v>4</v>
      </c>
      <c r="M28" s="106">
        <v>23</v>
      </c>
      <c r="N28" s="106">
        <v>109858</v>
      </c>
      <c r="O28" s="106">
        <v>2827813</v>
      </c>
      <c r="P28" s="106">
        <v>23383920</v>
      </c>
      <c r="Q28" s="125" t="s">
        <v>27</v>
      </c>
      <c r="R28" s="78">
        <f>IF(表1_86121822242672122[[#This Row],[目标国家]]="魏",0,IF(表1_86121822242672122[[#This Row],[目标国家]]="蜀",1,2))</f>
        <v>2</v>
      </c>
      <c r="S28" s="106">
        <v>57226</v>
      </c>
      <c r="T28" s="106">
        <v>0</v>
      </c>
      <c r="U28" s="106">
        <v>213468</v>
      </c>
      <c r="V28" s="106">
        <v>8849</v>
      </c>
      <c r="W28" s="126">
        <v>768799</v>
      </c>
      <c r="X28" s="127" t="str">
        <f>"{"&amp;"'coin':"&amp;表1_86121822242672122[[#This Row],[补偿Coin]]&amp;",'"&amp;配置!$A$2&amp;"':"&amp;表1_86121822242672122[[#This Row],[补偿辎重]]&amp;"},"</f>
        <v>{'coin':1000,'item036':10},</v>
      </c>
      <c r="Y28" s="148" t="str">
        <f>"      },"</f>
        <v>      },</v>
      </c>
    </row>
    <row r="29" s="2" customFormat="1" ht="14.25" customHeight="1" spans="1:25">
      <c r="A29" s="76">
        <v>7073</v>
      </c>
      <c r="B29" s="76">
        <f>VLOOKUP(表1_86121822242672122[[#This Row],[区服]],$P$80:$Q$104,2,FALSE)</f>
        <v>44</v>
      </c>
      <c r="C29" s="77" t="s">
        <v>305</v>
      </c>
      <c r="D29" s="78" t="str">
        <f>表1_86121822242672122[[#This Row],[目标国家]]</f>
        <v>蜀</v>
      </c>
      <c r="E29" s="79">
        <f>(VLOOKUP(表1_86121822242672122[[#This Row],[目标区服]],$R$80:$S$88,2,FALSE)-表1_86121822242672122[[#This Row],[开服天数]])*配置!$B$1</f>
        <v>1000</v>
      </c>
      <c r="F29" s="80">
        <f>表1_86121822242672122[[#This Row],[补偿Coin]]*(表1_86121822242672122[[#This Row],[活跃高战玩家数]]+表1_86121822242672122[[#This Row],[活跃中坚玩家数]])</f>
        <v>8000</v>
      </c>
      <c r="G29" s="80">
        <f>(VLOOKUP(表1_86121822242672122[[#This Row],[目标区服]],$R$80:$S$83,2,FALSE)-表1_86121822242672122[[#This Row],[开服天数]])*配置!$B$2</f>
        <v>10</v>
      </c>
      <c r="H29" s="78" t="s">
        <v>25</v>
      </c>
      <c r="I29" s="78">
        <f>IF(表1_86121822242672122[[#This Row],[原国家]]="魏",0,IF(表1_86121822242672122[[#This Row],[原国家]]="蜀",1,2))</f>
        <v>0</v>
      </c>
      <c r="J29" s="106">
        <v>0</v>
      </c>
      <c r="K29" s="106">
        <v>29</v>
      </c>
      <c r="L29" s="106">
        <v>0</v>
      </c>
      <c r="M29" s="106">
        <v>8</v>
      </c>
      <c r="N29" s="106">
        <v>41745</v>
      </c>
      <c r="O29" s="106">
        <v>565535</v>
      </c>
      <c r="P29" s="106">
        <v>2728772</v>
      </c>
      <c r="Q29" s="125" t="s">
        <v>26</v>
      </c>
      <c r="R29" s="78">
        <f>IF(表1_86121822242672122[[#This Row],[目标国家]]="魏",0,IF(表1_86121822242672122[[#This Row],[目标国家]]="蜀",1,2))</f>
        <v>1</v>
      </c>
      <c r="S29" s="106">
        <v>340</v>
      </c>
      <c r="T29" s="106">
        <v>0</v>
      </c>
      <c r="U29" s="106">
        <v>89865</v>
      </c>
      <c r="V29" s="106">
        <v>1392</v>
      </c>
      <c r="W29" s="106">
        <v>165196</v>
      </c>
      <c r="X29" s="127" t="str">
        <f>"{"&amp;"'coin':"&amp;表1_86121822242672122[[#This Row],[补偿Coin]]&amp;",'"&amp;配置!$A$2&amp;"':"&amp;表1_86121822242672122[[#This Row],[补偿辎重]]&amp;"},"</f>
        <v>{'coin':1000,'item036':10},</v>
      </c>
      <c r="Y29" s="148" t="str">
        <f>"      '"&amp;表1_86121822242672122[[#This Row],[区服]]&amp;"':{"</f>
        <v>      '7073':{</v>
      </c>
    </row>
    <row r="30" s="2" customFormat="1" ht="14.25" customHeight="1" spans="1:25">
      <c r="A30" s="76">
        <v>7073</v>
      </c>
      <c r="B30" s="76">
        <f>VLOOKUP(表1_86121822242672122[[#This Row],[区服]],$P$80:$Q$104,2,FALSE)</f>
        <v>44</v>
      </c>
      <c r="C30" s="77" t="s">
        <v>305</v>
      </c>
      <c r="D30" s="78" t="str">
        <f>表1_86121822242672122[[#This Row],[目标国家]]</f>
        <v>蜀</v>
      </c>
      <c r="E30" s="79">
        <f>(VLOOKUP(表1_86121822242672122[[#This Row],[目标区服]],$R$80:$S$88,2,FALSE)-表1_86121822242672122[[#This Row],[开服天数]])*配置!$B$1</f>
        <v>1000</v>
      </c>
      <c r="F30" s="80">
        <f>表1_86121822242672122[[#This Row],[补偿Coin]]*(表1_86121822242672122[[#This Row],[活跃高战玩家数]]+表1_86121822242672122[[#This Row],[活跃中坚玩家数]])</f>
        <v>15000</v>
      </c>
      <c r="G30" s="80">
        <f>(VLOOKUP(表1_86121822242672122[[#This Row],[目标区服]],$R$80:$S$83,2,FALSE)-表1_86121822242672122[[#This Row],[开服天数]])*配置!$B$2</f>
        <v>10</v>
      </c>
      <c r="H30" s="78" t="s">
        <v>26</v>
      </c>
      <c r="I30" s="78">
        <f>IF(表1_86121822242672122[[#This Row],[原国家]]="魏",0,IF(表1_86121822242672122[[#This Row],[原国家]]="蜀",1,2))</f>
        <v>1</v>
      </c>
      <c r="J30" s="106">
        <v>9</v>
      </c>
      <c r="K30" s="106">
        <v>343</v>
      </c>
      <c r="L30" s="106">
        <v>9</v>
      </c>
      <c r="M30" s="106">
        <v>6</v>
      </c>
      <c r="N30" s="106">
        <v>116839</v>
      </c>
      <c r="O30" s="106">
        <v>2143609</v>
      </c>
      <c r="P30" s="106">
        <v>15299457</v>
      </c>
      <c r="Q30" s="125" t="s">
        <v>26</v>
      </c>
      <c r="R30" s="78">
        <f>IF(表1_86121822242672122[[#This Row],[目标国家]]="魏",0,IF(表1_86121822242672122[[#This Row],[目标国家]]="蜀",1,2))</f>
        <v>1</v>
      </c>
      <c r="S30" s="106">
        <v>42562</v>
      </c>
      <c r="T30" s="106">
        <v>0</v>
      </c>
      <c r="U30" s="106">
        <v>422029</v>
      </c>
      <c r="V30" s="106">
        <v>10075</v>
      </c>
      <c r="W30" s="106">
        <v>535519</v>
      </c>
      <c r="X30" s="127" t="str">
        <f>"{"&amp;"'coin':"&amp;表1_86121822242672122[[#This Row],[补偿Coin]]&amp;",'"&amp;配置!$A$2&amp;"':"&amp;表1_86121822242672122[[#This Row],[补偿辎重]]&amp;"},"</f>
        <v>{'coin':1000,'item036':10},</v>
      </c>
      <c r="Y30" s="148" t="str">
        <f>"            'to_zone':'"&amp;表1_86121822242672122[[#This Row],[目标区服]]&amp;"',
            'reward':"&amp;表1_86121822242672122[[#This Row],[辅助导出]]&amp;"
            'country':["&amp;R29&amp;","&amp;R30&amp;","&amp;R31&amp;"],"</f>
        <v>            'to_zone':'h1_731',
            'reward':{'coin':1000,'item036':10},
            'country':[1,1,0],</v>
      </c>
    </row>
    <row r="31" s="2" customFormat="1" ht="14.25" customHeight="1" spans="1:25">
      <c r="A31" s="76">
        <v>7073</v>
      </c>
      <c r="B31" s="76">
        <f>VLOOKUP(表1_86121822242672122[[#This Row],[区服]],$P$80:$Q$104,2,FALSE)</f>
        <v>44</v>
      </c>
      <c r="C31" s="77" t="s">
        <v>305</v>
      </c>
      <c r="D31" s="78" t="str">
        <f>表1_86121822242672122[[#This Row],[目标国家]]</f>
        <v>魏</v>
      </c>
      <c r="E31" s="79">
        <f>(VLOOKUP(表1_86121822242672122[[#This Row],[目标区服]],$R$80:$S$88,2,FALSE)-表1_86121822242672122[[#This Row],[开服天数]])*配置!$B$1</f>
        <v>1000</v>
      </c>
      <c r="F31" s="80">
        <f>表1_86121822242672122[[#This Row],[补偿Coin]]*(表1_86121822242672122[[#This Row],[活跃高战玩家数]]+表1_86121822242672122[[#This Row],[活跃中坚玩家数]])</f>
        <v>4000</v>
      </c>
      <c r="G31" s="80">
        <f>(VLOOKUP(表1_86121822242672122[[#This Row],[目标区服]],$R$80:$S$83,2,FALSE)-表1_86121822242672122[[#This Row],[开服天数]])*配置!$B$2</f>
        <v>10</v>
      </c>
      <c r="H31" s="78" t="s">
        <v>27</v>
      </c>
      <c r="I31" s="78">
        <f>IF(表1_86121822242672122[[#This Row],[原国家]]="魏",0,IF(表1_86121822242672122[[#This Row],[原国家]]="蜀",1,2))</f>
        <v>2</v>
      </c>
      <c r="J31" s="106">
        <v>0</v>
      </c>
      <c r="K31" s="106">
        <v>23</v>
      </c>
      <c r="L31" s="106">
        <v>1</v>
      </c>
      <c r="M31" s="106">
        <v>3</v>
      </c>
      <c r="N31" s="106">
        <v>22205</v>
      </c>
      <c r="O31" s="106">
        <v>731839</v>
      </c>
      <c r="P31" s="106">
        <v>1889271</v>
      </c>
      <c r="Q31" s="125" t="s">
        <v>25</v>
      </c>
      <c r="R31" s="78">
        <f>IF(表1_86121822242672122[[#This Row],[目标国家]]="魏",0,IF(表1_86121822242672122[[#This Row],[目标国家]]="蜀",1,2))</f>
        <v>0</v>
      </c>
      <c r="S31" s="106">
        <v>312</v>
      </c>
      <c r="T31" s="106">
        <v>0</v>
      </c>
      <c r="U31" s="106">
        <v>70665</v>
      </c>
      <c r="V31" s="106">
        <v>1306</v>
      </c>
      <c r="W31" s="106">
        <v>273113</v>
      </c>
      <c r="X31" s="127" t="str">
        <f>"{"&amp;"'coin':"&amp;表1_86121822242672122[[#This Row],[补偿Coin]]&amp;",'"&amp;配置!$A$2&amp;"':"&amp;表1_86121822242672122[[#This Row],[补偿辎重]]&amp;"},"</f>
        <v>{'coin':1000,'item036':10},</v>
      </c>
      <c r="Y31" s="148" t="str">
        <f>"      },"</f>
        <v>      },</v>
      </c>
    </row>
    <row r="32" s="2" customFormat="1" ht="14.25" customHeight="1" spans="1:25">
      <c r="A32" s="76">
        <v>7074</v>
      </c>
      <c r="B32" s="76">
        <f>VLOOKUP(表1_86121822242672122[[#This Row],[区服]],$P$80:$Q$104,2,FALSE)</f>
        <v>44</v>
      </c>
      <c r="C32" s="77" t="s">
        <v>305</v>
      </c>
      <c r="D32" s="78" t="str">
        <f>表1_86121822242672122[[#This Row],[目标国家]]</f>
        <v>魏</v>
      </c>
      <c r="E32" s="79">
        <f>(VLOOKUP(表1_86121822242672122[[#This Row],[目标区服]],$R$80:$S$88,2,FALSE)-表1_86121822242672122[[#This Row],[开服天数]])*配置!$B$1</f>
        <v>1000</v>
      </c>
      <c r="F32" s="80">
        <f>表1_86121822242672122[[#This Row],[补偿Coin]]*(表1_86121822242672122[[#This Row],[活跃高战玩家数]]+表1_86121822242672122[[#This Row],[活跃中坚玩家数]])</f>
        <v>12000</v>
      </c>
      <c r="G32" s="80">
        <f>(VLOOKUP(表1_86121822242672122[[#This Row],[目标区服]],$R$80:$S$83,2,FALSE)-表1_86121822242672122[[#This Row],[开服天数]])*配置!$B$2</f>
        <v>10</v>
      </c>
      <c r="H32" s="78" t="s">
        <v>25</v>
      </c>
      <c r="I32" s="78">
        <f>IF(表1_86121822242672122[[#This Row],[原国家]]="魏",0,IF(表1_86121822242672122[[#This Row],[原国家]]="蜀",1,2))</f>
        <v>0</v>
      </c>
      <c r="J32" s="106">
        <v>0</v>
      </c>
      <c r="K32" s="106">
        <v>40</v>
      </c>
      <c r="L32" s="106">
        <v>0</v>
      </c>
      <c r="M32" s="106">
        <v>12</v>
      </c>
      <c r="N32" s="106">
        <v>56800</v>
      </c>
      <c r="O32" s="106">
        <v>676579</v>
      </c>
      <c r="P32" s="106">
        <v>5666437</v>
      </c>
      <c r="Q32" s="125" t="s">
        <v>25</v>
      </c>
      <c r="R32" s="78">
        <f>IF(表1_86121822242672122[[#This Row],[目标国家]]="魏",0,IF(表1_86121822242672122[[#This Row],[目标国家]]="蜀",1,2))</f>
        <v>0</v>
      </c>
      <c r="S32" s="106">
        <v>1710</v>
      </c>
      <c r="T32" s="106">
        <v>0</v>
      </c>
      <c r="U32" s="106">
        <v>88651</v>
      </c>
      <c r="V32" s="106">
        <v>2022</v>
      </c>
      <c r="W32" s="106">
        <v>215599</v>
      </c>
      <c r="X32" s="127" t="str">
        <f>"{"&amp;"'coin':"&amp;表1_86121822242672122[[#This Row],[补偿Coin]]&amp;",'"&amp;配置!$A$2&amp;"':"&amp;表1_86121822242672122[[#This Row],[补偿辎重]]&amp;"},"</f>
        <v>{'coin':1000,'item036':10},</v>
      </c>
      <c r="Y32" s="148" t="str">
        <f>"      '"&amp;表1_86121822242672122[[#This Row],[区服]]&amp;"':{"</f>
        <v>      '7074':{</v>
      </c>
    </row>
    <row r="33" s="2" customFormat="1" ht="14.25" customHeight="1" spans="1:25">
      <c r="A33" s="76">
        <v>7074</v>
      </c>
      <c r="B33" s="76">
        <f>VLOOKUP(表1_86121822242672122[[#This Row],[区服]],$P$80:$Q$104,2,FALSE)</f>
        <v>44</v>
      </c>
      <c r="C33" s="77" t="s">
        <v>305</v>
      </c>
      <c r="D33" s="78" t="str">
        <f>表1_86121822242672122[[#This Row],[目标国家]]</f>
        <v>魏</v>
      </c>
      <c r="E33" s="79">
        <f>(VLOOKUP(表1_86121822242672122[[#This Row],[目标区服]],$R$80:$S$88,2,FALSE)-表1_86121822242672122[[#This Row],[开服天数]])*配置!$B$1</f>
        <v>1000</v>
      </c>
      <c r="F33" s="80">
        <f>表1_86121822242672122[[#This Row],[补偿Coin]]*(表1_86121822242672122[[#This Row],[活跃高战玩家数]]+表1_86121822242672122[[#This Row],[活跃中坚玩家数]])</f>
        <v>10000</v>
      </c>
      <c r="G33" s="80">
        <f>(VLOOKUP(表1_86121822242672122[[#This Row],[目标区服]],$R$80:$S$83,2,FALSE)-表1_86121822242672122[[#This Row],[开服天数]])*配置!$B$2</f>
        <v>10</v>
      </c>
      <c r="H33" s="78" t="s">
        <v>26</v>
      </c>
      <c r="I33" s="78">
        <f>IF(表1_86121822242672122[[#This Row],[原国家]]="魏",0,IF(表1_86121822242672122[[#This Row],[原国家]]="蜀",1,2))</f>
        <v>1</v>
      </c>
      <c r="J33" s="106">
        <v>1</v>
      </c>
      <c r="K33" s="106">
        <v>44</v>
      </c>
      <c r="L33" s="106">
        <v>0</v>
      </c>
      <c r="M33" s="106">
        <v>10</v>
      </c>
      <c r="N33" s="106">
        <v>43626</v>
      </c>
      <c r="O33" s="106">
        <v>625764</v>
      </c>
      <c r="P33" s="106">
        <v>4271202</v>
      </c>
      <c r="Q33" s="125" t="s">
        <v>25</v>
      </c>
      <c r="R33" s="78">
        <f>IF(表1_86121822242672122[[#This Row],[目标国家]]="魏",0,IF(表1_86121822242672122[[#This Row],[目标国家]]="蜀",1,2))</f>
        <v>0</v>
      </c>
      <c r="S33" s="106">
        <v>4484</v>
      </c>
      <c r="T33" s="106">
        <v>0</v>
      </c>
      <c r="U33" s="106">
        <v>44251</v>
      </c>
      <c r="V33" s="106">
        <v>1967</v>
      </c>
      <c r="W33" s="106">
        <v>260127</v>
      </c>
      <c r="X33" s="127" t="str">
        <f>"{"&amp;"'coin':"&amp;表1_86121822242672122[[#This Row],[补偿Coin]]&amp;",'"&amp;配置!$A$2&amp;"':"&amp;表1_86121822242672122[[#This Row],[补偿辎重]]&amp;"},"</f>
        <v>{'coin':1000,'item036':10},</v>
      </c>
      <c r="Y33" s="148" t="str">
        <f>"            'to_zone':'"&amp;表1_86121822242672122[[#This Row],[目标区服]]&amp;"',
            'reward':"&amp;表1_86121822242672122[[#This Row],[辅助导出]]&amp;"
            'country':["&amp;R32&amp;","&amp;R33&amp;","&amp;R34&amp;"],"</f>
        <v>            'to_zone':'h1_731',
            'reward':{'coin':1000,'item036':10},
            'country':[0,0,2],</v>
      </c>
    </row>
    <row r="34" s="2" customFormat="1" ht="14.25" customHeight="1" spans="1:25">
      <c r="A34" s="76">
        <v>7074</v>
      </c>
      <c r="B34" s="76">
        <f>VLOOKUP(表1_86121822242672122[[#This Row],[区服]],$P$80:$Q$104,2,FALSE)</f>
        <v>44</v>
      </c>
      <c r="C34" s="77" t="s">
        <v>305</v>
      </c>
      <c r="D34" s="78" t="str">
        <f>表1_86121822242672122[[#This Row],[目标国家]]</f>
        <v>吴</v>
      </c>
      <c r="E34" s="79">
        <f>(VLOOKUP(表1_86121822242672122[[#This Row],[目标区服]],$R$80:$S$88,2,FALSE)-表1_86121822242672122[[#This Row],[开服天数]])*配置!$B$1</f>
        <v>1000</v>
      </c>
      <c r="F34" s="80">
        <f>表1_86121822242672122[[#This Row],[补偿Coin]]*(表1_86121822242672122[[#This Row],[活跃高战玩家数]]+表1_86121822242672122[[#This Row],[活跃中坚玩家数]])</f>
        <v>22000</v>
      </c>
      <c r="G34" s="80">
        <f>(VLOOKUP(表1_86121822242672122[[#This Row],[目标区服]],$R$80:$S$93,2,FALSE)-表1_86121822242672122[[#This Row],[开服天数]])*配置!$B$2</f>
        <v>10</v>
      </c>
      <c r="H34" s="78" t="s">
        <v>27</v>
      </c>
      <c r="I34" s="78">
        <f>IF(表1_86121822242672122[[#This Row],[原国家]]="魏",0,IF(表1_86121822242672122[[#This Row],[原国家]]="蜀",1,2))</f>
        <v>2</v>
      </c>
      <c r="J34" s="106">
        <v>8</v>
      </c>
      <c r="K34" s="106">
        <v>311</v>
      </c>
      <c r="L34" s="106">
        <v>8</v>
      </c>
      <c r="M34" s="106">
        <v>14</v>
      </c>
      <c r="N34" s="106">
        <v>140140</v>
      </c>
      <c r="O34" s="106">
        <v>1728137</v>
      </c>
      <c r="P34" s="106">
        <v>15194795</v>
      </c>
      <c r="Q34" s="125" t="s">
        <v>27</v>
      </c>
      <c r="R34" s="78">
        <f>IF(表1_86121822242672122[[#This Row],[目标国家]]="魏",0,IF(表1_86121822242672122[[#This Row],[目标国家]]="蜀",1,2))</f>
        <v>2</v>
      </c>
      <c r="S34" s="106">
        <v>21706</v>
      </c>
      <c r="T34" s="106">
        <v>0</v>
      </c>
      <c r="U34" s="106">
        <v>409166</v>
      </c>
      <c r="V34" s="106">
        <v>8714</v>
      </c>
      <c r="W34" s="106">
        <v>444574</v>
      </c>
      <c r="X34" s="127" t="str">
        <f>"{"&amp;"'coin':"&amp;表1_86121822242672122[[#This Row],[补偿Coin]]&amp;",'"&amp;配置!$A$2&amp;"':"&amp;表1_86121822242672122[[#This Row],[补偿辎重]]&amp;"},"</f>
        <v>{'coin':1000,'item036':10},</v>
      </c>
      <c r="Y34" s="148" t="str">
        <f>"      },"</f>
        <v>      },</v>
      </c>
    </row>
    <row r="35" s="2" customFormat="1" ht="14.25" customHeight="1" spans="1:25">
      <c r="A35" s="81">
        <v>7075</v>
      </c>
      <c r="B35" s="81">
        <f>VLOOKUP(表1_86121822242672122[[#This Row],[区服]],$P$80:$Q$104,2,FALSE)</f>
        <v>43</v>
      </c>
      <c r="C35" s="82" t="s">
        <v>306</v>
      </c>
      <c r="D35" s="83" t="str">
        <f>表1_86121822242672122[[#This Row],[目标国家]]</f>
        <v>魏</v>
      </c>
      <c r="E35" s="84">
        <f>(VLOOKUP(表1_86121822242672122[[#This Row],[目标区服]],$R$80:$S$88,2,FALSE)-表1_86121822242672122[[#This Row],[开服天数]])*配置!$B$1</f>
        <v>1000</v>
      </c>
      <c r="F35" s="85">
        <f>表1_86121822242672122[[#This Row],[补偿Coin]]*(表1_86121822242672122[[#This Row],[活跃高战玩家数]]+表1_86121822242672122[[#This Row],[活跃中坚玩家数]])</f>
        <v>27000</v>
      </c>
      <c r="G35" s="85">
        <f>(VLOOKUP(表1_86121822242672122[[#This Row],[目标区服]],$R$80:$S$93,2,FALSE)-表1_86121822242672122[[#This Row],[开服天数]])*配置!$B$2</f>
        <v>10</v>
      </c>
      <c r="H35" s="83" t="s">
        <v>25</v>
      </c>
      <c r="I35" s="83">
        <f>IF(表1_86121822242672122[[#This Row],[原国家]]="魏",0,IF(表1_86121822242672122[[#This Row],[原国家]]="蜀",1,2))</f>
        <v>0</v>
      </c>
      <c r="J35" s="107">
        <v>1</v>
      </c>
      <c r="K35" s="107">
        <v>75</v>
      </c>
      <c r="L35" s="107">
        <v>0</v>
      </c>
      <c r="M35" s="107">
        <v>27</v>
      </c>
      <c r="N35" s="107">
        <v>61946</v>
      </c>
      <c r="O35" s="107">
        <v>1522637</v>
      </c>
      <c r="P35" s="107">
        <v>22014433</v>
      </c>
      <c r="Q35" s="128" t="s">
        <v>25</v>
      </c>
      <c r="R35" s="83">
        <f>IF(表1_86121822242672122[[#This Row],[目标国家]]="魏",0,IF(表1_86121822242672122[[#This Row],[目标国家]]="蜀",1,2))</f>
        <v>0</v>
      </c>
      <c r="S35" s="107">
        <v>21536</v>
      </c>
      <c r="T35" s="107">
        <v>0</v>
      </c>
      <c r="U35" s="107">
        <v>74824</v>
      </c>
      <c r="V35" s="107">
        <v>5567</v>
      </c>
      <c r="W35" s="107">
        <v>486850</v>
      </c>
      <c r="X35" s="129" t="str">
        <f>"{"&amp;"'coin':"&amp;表1_86121822242672122[[#This Row],[补偿Coin]]&amp;",'"&amp;配置!$A$2&amp;"':"&amp;表1_86121822242672122[[#This Row],[补偿辎重]]&amp;"},"</f>
        <v>{'coin':1000,'item036':10},</v>
      </c>
      <c r="Y35" s="149" t="str">
        <f>"      '"&amp;表1_86121822242672122[[#This Row],[区服]]&amp;"':{"</f>
        <v>      '7075':{</v>
      </c>
    </row>
    <row r="36" s="2" customFormat="1" ht="14.25" customHeight="1" spans="1:25">
      <c r="A36" s="81">
        <v>7075</v>
      </c>
      <c r="B36" s="81">
        <f>VLOOKUP(表1_86121822242672122[[#This Row],[区服]],$P$80:$Q$104,2,FALSE)</f>
        <v>43</v>
      </c>
      <c r="C36" s="82" t="s">
        <v>306</v>
      </c>
      <c r="D36" s="83" t="str">
        <f>表1_86121822242672122[[#This Row],[目标国家]]</f>
        <v>蜀</v>
      </c>
      <c r="E36" s="84">
        <f>(VLOOKUP(表1_86121822242672122[[#This Row],[目标区服]],$R$80:$S$88,2,FALSE)-表1_86121822242672122[[#This Row],[开服天数]])*配置!$B$1</f>
        <v>1000</v>
      </c>
      <c r="F36" s="85">
        <f>表1_86121822242672122[[#This Row],[补偿Coin]]*(表1_86121822242672122[[#This Row],[活跃高战玩家数]]+表1_86121822242672122[[#This Row],[活跃中坚玩家数]])</f>
        <v>48000</v>
      </c>
      <c r="G36" s="85">
        <f>(VLOOKUP(表1_86121822242672122[[#This Row],[目标区服]],$R$80:$S$93,2,FALSE)-表1_86121822242672122[[#This Row],[开服天数]])*配置!$B$2</f>
        <v>10</v>
      </c>
      <c r="H36" s="83" t="s">
        <v>26</v>
      </c>
      <c r="I36" s="83">
        <f>IF(表1_86121822242672122[[#This Row],[原国家]]="魏",0,IF(表1_86121822242672122[[#This Row],[原国家]]="蜀",1,2))</f>
        <v>1</v>
      </c>
      <c r="J36" s="107">
        <v>6</v>
      </c>
      <c r="K36" s="107">
        <v>228</v>
      </c>
      <c r="L36" s="107">
        <v>8</v>
      </c>
      <c r="M36" s="107">
        <v>40</v>
      </c>
      <c r="N36" s="107">
        <v>209436</v>
      </c>
      <c r="O36" s="107">
        <v>2729414</v>
      </c>
      <c r="P36" s="107">
        <v>50277938</v>
      </c>
      <c r="Q36" s="128" t="s">
        <v>26</v>
      </c>
      <c r="R36" s="83">
        <f>IF(表1_86121822242672122[[#This Row],[目标国家]]="魏",0,IF(表1_86121822242672122[[#This Row],[目标国家]]="蜀",1,2))</f>
        <v>1</v>
      </c>
      <c r="S36" s="107">
        <v>133444</v>
      </c>
      <c r="T36" s="107">
        <v>0</v>
      </c>
      <c r="U36" s="107">
        <v>783820</v>
      </c>
      <c r="V36" s="107">
        <v>16079</v>
      </c>
      <c r="W36" s="130">
        <v>834822</v>
      </c>
      <c r="X36" s="129" t="str">
        <f>"{"&amp;"'coin':"&amp;表1_86121822242672122[[#This Row],[补偿Coin]]&amp;",'"&amp;配置!$A$2&amp;"':"&amp;表1_86121822242672122[[#This Row],[补偿辎重]]&amp;"},"</f>
        <v>{'coin':1000,'item036':10},</v>
      </c>
      <c r="Y36" s="149" t="str">
        <f>"            'to_zone':'"&amp;表1_86121822242672122[[#This Row],[目标区服]]&amp;"',
            'reward':"&amp;表1_86121822242672122[[#This Row],[辅助导出]]&amp;"
            'country':["&amp;R35&amp;","&amp;R36&amp;","&amp;R37&amp;"],"</f>
        <v>            'to_zone':'h1_732',
            'reward':{'coin':1000,'item036':10},
            'country':[0,1,2],</v>
      </c>
    </row>
    <row r="37" s="2" customFormat="1" ht="14.25" customHeight="1" spans="1:25">
      <c r="A37" s="81">
        <v>7075</v>
      </c>
      <c r="B37" s="81">
        <f>VLOOKUP(表1_86121822242672122[[#This Row],[区服]],$P$80:$Q$104,2,FALSE)</f>
        <v>43</v>
      </c>
      <c r="C37" s="82" t="s">
        <v>306</v>
      </c>
      <c r="D37" s="83" t="str">
        <f>表1_86121822242672122[[#This Row],[目标国家]]</f>
        <v>吴</v>
      </c>
      <c r="E37" s="84">
        <f>(VLOOKUP(表1_86121822242672122[[#This Row],[目标区服]],$R$80:$S$88,2,FALSE)-表1_86121822242672122[[#This Row],[开服天数]])*配置!$B$1</f>
        <v>1000</v>
      </c>
      <c r="F37" s="85">
        <f>表1_86121822242672122[[#This Row],[补偿Coin]]*(表1_86121822242672122[[#This Row],[活跃高战玩家数]]+表1_86121822242672122[[#This Row],[活跃中坚玩家数]])</f>
        <v>16000</v>
      </c>
      <c r="G37" s="85">
        <f>(VLOOKUP(表1_86121822242672122[[#This Row],[目标区服]],$R$80:$S$93,2,FALSE)-表1_86121822242672122[[#This Row],[开服天数]])*配置!$B$2</f>
        <v>10</v>
      </c>
      <c r="H37" s="83" t="s">
        <v>27</v>
      </c>
      <c r="I37" s="83">
        <f>IF(表1_86121822242672122[[#This Row],[原国家]]="魏",0,IF(表1_86121822242672122[[#This Row],[原国家]]="蜀",1,2))</f>
        <v>2</v>
      </c>
      <c r="J37" s="107">
        <v>2</v>
      </c>
      <c r="K37" s="107">
        <v>92</v>
      </c>
      <c r="L37" s="107">
        <v>2</v>
      </c>
      <c r="M37" s="107">
        <v>14</v>
      </c>
      <c r="N37" s="107">
        <v>55626</v>
      </c>
      <c r="O37" s="107">
        <v>2138294</v>
      </c>
      <c r="P37" s="107">
        <v>15516929</v>
      </c>
      <c r="Q37" s="128" t="s">
        <v>27</v>
      </c>
      <c r="R37" s="83">
        <f>IF(表1_86121822242672122[[#This Row],[目标国家]]="魏",0,IF(表1_86121822242672122[[#This Row],[目标国家]]="蜀",1,2))</f>
        <v>2</v>
      </c>
      <c r="S37" s="107">
        <v>33412</v>
      </c>
      <c r="T37" s="107">
        <v>0</v>
      </c>
      <c r="U37" s="107">
        <v>297562</v>
      </c>
      <c r="V37" s="107">
        <v>6239</v>
      </c>
      <c r="W37" s="130">
        <v>659865</v>
      </c>
      <c r="X37" s="129" t="str">
        <f>"{"&amp;"'coin':"&amp;表1_86121822242672122[[#This Row],[补偿Coin]]&amp;",'"&amp;配置!$A$2&amp;"':"&amp;表1_86121822242672122[[#This Row],[补偿辎重]]&amp;"},"</f>
        <v>{'coin':1000,'item036':10},</v>
      </c>
      <c r="Y37" s="149" t="str">
        <f>"      },"</f>
        <v>      },</v>
      </c>
    </row>
    <row r="38" s="2" customFormat="1" ht="14.25" customHeight="1" spans="1:25">
      <c r="A38" s="81">
        <v>7076</v>
      </c>
      <c r="B38" s="81">
        <f>VLOOKUP(表1_86121822242672122[[#This Row],[区服]],$P$80:$Q$104,2,FALSE)</f>
        <v>42</v>
      </c>
      <c r="C38" s="82" t="s">
        <v>306</v>
      </c>
      <c r="D38" s="83" t="str">
        <f>表1_86121822242672122[[#This Row],[目标国家]]</f>
        <v>吴</v>
      </c>
      <c r="E38" s="84">
        <f>(VLOOKUP(表1_86121822242672122[[#This Row],[目标区服]],$R$80:$S$88,2,FALSE)-表1_86121822242672122[[#This Row],[开服天数]])*配置!$B$1</f>
        <v>1500</v>
      </c>
      <c r="F38" s="85">
        <f>表1_86121822242672122[[#This Row],[补偿Coin]]*(表1_86121822242672122[[#This Row],[活跃高战玩家数]]+表1_86121822242672122[[#This Row],[活跃中坚玩家数]])</f>
        <v>27000</v>
      </c>
      <c r="G38" s="85">
        <f>(VLOOKUP(表1_86121822242672122[[#This Row],[目标区服]],$R$80:$S$93,2,FALSE)-表1_86121822242672122[[#This Row],[开服天数]])*配置!$B$2</f>
        <v>15</v>
      </c>
      <c r="H38" s="83" t="s">
        <v>25</v>
      </c>
      <c r="I38" s="83">
        <f>IF(表1_86121822242672122[[#This Row],[原国家]]="魏",0,IF(表1_86121822242672122[[#This Row],[原国家]]="蜀",1,2))</f>
        <v>0</v>
      </c>
      <c r="J38" s="107">
        <v>2</v>
      </c>
      <c r="K38" s="107">
        <v>81</v>
      </c>
      <c r="L38" s="107">
        <v>2</v>
      </c>
      <c r="M38" s="107">
        <v>16</v>
      </c>
      <c r="N38" s="107">
        <v>73793</v>
      </c>
      <c r="O38" s="107">
        <v>1679624</v>
      </c>
      <c r="P38" s="107">
        <v>12186855</v>
      </c>
      <c r="Q38" s="128" t="s">
        <v>27</v>
      </c>
      <c r="R38" s="83">
        <f>IF(表1_86121822242672122[[#This Row],[目标国家]]="魏",0,IF(表1_86121822242672122[[#This Row],[目标国家]]="蜀",1,2))</f>
        <v>2</v>
      </c>
      <c r="S38" s="107">
        <v>14470</v>
      </c>
      <c r="T38" s="107">
        <v>0</v>
      </c>
      <c r="U38" s="107">
        <v>163046</v>
      </c>
      <c r="V38" s="107">
        <v>4792</v>
      </c>
      <c r="W38" s="107">
        <v>493093</v>
      </c>
      <c r="X38" s="129" t="str">
        <f>"{"&amp;"'coin':"&amp;表1_86121822242672122[[#This Row],[补偿Coin]]&amp;",'"&amp;配置!$A$2&amp;"':"&amp;表1_86121822242672122[[#This Row],[补偿辎重]]&amp;"},"</f>
        <v>{'coin':1500,'item036':15},</v>
      </c>
      <c r="Y38" s="149" t="str">
        <f>"      '"&amp;表1_86121822242672122[[#This Row],[区服]]&amp;"':{"</f>
        <v>      '7076':{</v>
      </c>
    </row>
    <row r="39" s="2" customFormat="1" ht="14.25" customHeight="1" spans="1:25">
      <c r="A39" s="81">
        <v>7076</v>
      </c>
      <c r="B39" s="81">
        <f>VLOOKUP(表1_86121822242672122[[#This Row],[区服]],$P$80:$Q$104,2,FALSE)</f>
        <v>42</v>
      </c>
      <c r="C39" s="82" t="s">
        <v>306</v>
      </c>
      <c r="D39" s="83" t="str">
        <f>表1_86121822242672122[[#This Row],[目标国家]]</f>
        <v>吴</v>
      </c>
      <c r="E39" s="84">
        <f>(VLOOKUP(表1_86121822242672122[[#This Row],[目标区服]],$R$80:$S$88,2,FALSE)-表1_86121822242672122[[#This Row],[开服天数]])*配置!$B$1</f>
        <v>1500</v>
      </c>
      <c r="F39" s="85">
        <f>表1_86121822242672122[[#This Row],[补偿Coin]]*(表1_86121822242672122[[#This Row],[活跃高战玩家数]]+表1_86121822242672122[[#This Row],[活跃中坚玩家数]])</f>
        <v>42000</v>
      </c>
      <c r="G39" s="85">
        <f>(VLOOKUP(表1_86121822242672122[[#This Row],[目标区服]],$R$80:$S$93,2,FALSE)-表1_86121822242672122[[#This Row],[开服天数]])*配置!$B$2</f>
        <v>15</v>
      </c>
      <c r="H39" s="83" t="s">
        <v>26</v>
      </c>
      <c r="I39" s="83">
        <f>IF(表1_86121822242672122[[#This Row],[原国家]]="魏",0,IF(表1_86121822242672122[[#This Row],[原国家]]="蜀",1,2))</f>
        <v>1</v>
      </c>
      <c r="J39" s="107">
        <v>5</v>
      </c>
      <c r="K39" s="107">
        <v>231</v>
      </c>
      <c r="L39" s="107">
        <v>4</v>
      </c>
      <c r="M39" s="107">
        <v>24</v>
      </c>
      <c r="N39" s="107">
        <v>145739</v>
      </c>
      <c r="O39" s="107">
        <v>2279332</v>
      </c>
      <c r="P39" s="107">
        <v>23578618</v>
      </c>
      <c r="Q39" s="128" t="s">
        <v>27</v>
      </c>
      <c r="R39" s="83">
        <f>IF(表1_86121822242672122[[#This Row],[目标国家]]="魏",0,IF(表1_86121822242672122[[#This Row],[目标国家]]="蜀",1,2))</f>
        <v>2</v>
      </c>
      <c r="S39" s="107">
        <v>21014</v>
      </c>
      <c r="T39" s="107">
        <v>0</v>
      </c>
      <c r="U39" s="107">
        <v>221364</v>
      </c>
      <c r="V39" s="107">
        <v>8916</v>
      </c>
      <c r="W39" s="131">
        <v>616202</v>
      </c>
      <c r="X39" s="129" t="str">
        <f>"{"&amp;"'coin':"&amp;表1_86121822242672122[[#This Row],[补偿Coin]]&amp;",'"&amp;配置!$A$2&amp;"':"&amp;表1_86121822242672122[[#This Row],[补偿辎重]]&amp;"},"</f>
        <v>{'coin':1500,'item036':15},</v>
      </c>
      <c r="Y39" s="149" t="str">
        <f>"            'to_zone':'"&amp;表1_86121822242672122[[#This Row],[目标区服]]&amp;"',
            'reward':"&amp;表1_86121822242672122[[#This Row],[辅助导出]]&amp;"
            'country':["&amp;R38&amp;","&amp;R39&amp;","&amp;R40&amp;"],"</f>
        <v>            'to_zone':'h1_732',
            'reward':{'coin':1500,'item036':15},
            'country':[2,2,2],</v>
      </c>
    </row>
    <row r="40" s="2" customFormat="1" ht="14.25" customHeight="1" spans="1:25">
      <c r="A40" s="81">
        <v>7076</v>
      </c>
      <c r="B40" s="81">
        <f>VLOOKUP(表1_86121822242672122[[#This Row],[区服]],$P$80:$Q$104,2,FALSE)</f>
        <v>42</v>
      </c>
      <c r="C40" s="82" t="s">
        <v>306</v>
      </c>
      <c r="D40" s="83" t="str">
        <f>表1_86121822242672122[[#This Row],[目标国家]]</f>
        <v>吴</v>
      </c>
      <c r="E40" s="84">
        <f>(VLOOKUP(表1_86121822242672122[[#This Row],[目标区服]],$R$80:$S$88,2,FALSE)-表1_86121822242672122[[#This Row],[开服天数]])*配置!$B$1</f>
        <v>1500</v>
      </c>
      <c r="F40" s="85">
        <f>表1_86121822242672122[[#This Row],[补偿Coin]]*(表1_86121822242672122[[#This Row],[活跃高战玩家数]]+表1_86121822242672122[[#This Row],[活跃中坚玩家数]])</f>
        <v>25500</v>
      </c>
      <c r="G40" s="85">
        <f>(VLOOKUP(表1_86121822242672122[[#This Row],[目标区服]],$R$80:$S$93,2,FALSE)-表1_86121822242672122[[#This Row],[开服天数]])*配置!$B$2</f>
        <v>15</v>
      </c>
      <c r="H40" s="83" t="s">
        <v>27</v>
      </c>
      <c r="I40" s="83">
        <f>IF(表1_86121822242672122[[#This Row],[原国家]]="魏",0,IF(表1_86121822242672122[[#This Row],[原国家]]="蜀",1,2))</f>
        <v>2</v>
      </c>
      <c r="J40" s="107">
        <v>2</v>
      </c>
      <c r="K40" s="107">
        <v>83</v>
      </c>
      <c r="L40" s="107">
        <v>2</v>
      </c>
      <c r="M40" s="107">
        <v>15</v>
      </c>
      <c r="N40" s="107">
        <v>59315</v>
      </c>
      <c r="O40" s="107">
        <v>1343521</v>
      </c>
      <c r="P40" s="107">
        <v>10118957</v>
      </c>
      <c r="Q40" s="128" t="s">
        <v>27</v>
      </c>
      <c r="R40" s="83">
        <f>IF(表1_86121822242672122[[#This Row],[目标国家]]="魏",0,IF(表1_86121822242672122[[#This Row],[目标国家]]="蜀",1,2))</f>
        <v>2</v>
      </c>
      <c r="S40" s="107">
        <v>10904</v>
      </c>
      <c r="T40" s="107">
        <v>0</v>
      </c>
      <c r="U40" s="107">
        <v>157777</v>
      </c>
      <c r="V40" s="107">
        <v>4088</v>
      </c>
      <c r="W40" s="107">
        <v>418860</v>
      </c>
      <c r="X40" s="129" t="str">
        <f>"{"&amp;"'coin':"&amp;表1_86121822242672122[[#This Row],[补偿Coin]]&amp;",'"&amp;配置!$A$2&amp;"':"&amp;表1_86121822242672122[[#This Row],[补偿辎重]]&amp;"},"</f>
        <v>{'coin':1500,'item036':15},</v>
      </c>
      <c r="Y40" s="149" t="str">
        <f>"      },"</f>
        <v>      },</v>
      </c>
    </row>
    <row r="41" s="2" customFormat="1" ht="14.25" customHeight="1" spans="1:25">
      <c r="A41" s="81">
        <v>7077</v>
      </c>
      <c r="B41" s="81">
        <f>VLOOKUP(表1_86121822242672122[[#This Row],[区服]],$P$80:$Q$104,2,FALSE)</f>
        <v>42</v>
      </c>
      <c r="C41" s="82" t="s">
        <v>306</v>
      </c>
      <c r="D41" s="83" t="str">
        <f>表1_86121822242672122[[#This Row],[目标国家]]</f>
        <v>魏</v>
      </c>
      <c r="E41" s="84">
        <f>(VLOOKUP(表1_86121822242672122[[#This Row],[目标区服]],$R$80:$S$88,2,FALSE)-表1_86121822242672122[[#This Row],[开服天数]])*配置!$B$1</f>
        <v>1500</v>
      </c>
      <c r="F41" s="85">
        <f>表1_86121822242672122[[#This Row],[补偿Coin]]*(表1_86121822242672122[[#This Row],[活跃高战玩家数]]+表1_86121822242672122[[#This Row],[活跃中坚玩家数]])</f>
        <v>43500</v>
      </c>
      <c r="G41" s="85">
        <f>(VLOOKUP(表1_86121822242672122[[#This Row],[目标区服]],$R$80:$S$93,2,FALSE)-表1_86121822242672122[[#This Row],[开服天数]])*配置!$B$2</f>
        <v>15</v>
      </c>
      <c r="H41" s="83" t="s">
        <v>25</v>
      </c>
      <c r="I41" s="83">
        <f>IF(表1_86121822242672122[[#This Row],[原国家]]="魏",0,IF(表1_86121822242672122[[#This Row],[原国家]]="蜀",1,2))</f>
        <v>0</v>
      </c>
      <c r="J41" s="107">
        <v>7</v>
      </c>
      <c r="K41" s="107">
        <v>268</v>
      </c>
      <c r="L41" s="107">
        <v>10</v>
      </c>
      <c r="M41" s="107">
        <v>19</v>
      </c>
      <c r="N41" s="107">
        <v>187224</v>
      </c>
      <c r="O41" s="107">
        <v>2998897</v>
      </c>
      <c r="P41" s="107">
        <v>27374927</v>
      </c>
      <c r="Q41" s="128" t="s">
        <v>25</v>
      </c>
      <c r="R41" s="83">
        <f>IF(表1_86121822242672122[[#This Row],[目标国家]]="魏",0,IF(表1_86121822242672122[[#This Row],[目标国家]]="蜀",1,2))</f>
        <v>0</v>
      </c>
      <c r="S41" s="107">
        <v>131478</v>
      </c>
      <c r="T41" s="107">
        <v>0</v>
      </c>
      <c r="U41" s="107">
        <v>701597</v>
      </c>
      <c r="V41" s="107">
        <v>14347</v>
      </c>
      <c r="W41" s="130">
        <v>848874</v>
      </c>
      <c r="X41" s="129" t="str">
        <f>"{"&amp;"'coin':"&amp;表1_86121822242672122[[#This Row],[补偿Coin]]&amp;",'"&amp;配置!$A$2&amp;"':"&amp;表1_86121822242672122[[#This Row],[补偿辎重]]&amp;"},"</f>
        <v>{'coin':1500,'item036':15},</v>
      </c>
      <c r="Y41" s="149" t="str">
        <f>"      '"&amp;表1_86121822242672122[[#This Row],[区服]]&amp;"':{"</f>
        <v>      '7077':{</v>
      </c>
    </row>
    <row r="42" s="2" customFormat="1" ht="14.25" customHeight="1" spans="1:25">
      <c r="A42" s="81">
        <v>7077</v>
      </c>
      <c r="B42" s="81">
        <f>VLOOKUP(表1_86121822242672122[[#This Row],[区服]],$P$80:$Q$104,2,FALSE)</f>
        <v>42</v>
      </c>
      <c r="C42" s="82" t="s">
        <v>306</v>
      </c>
      <c r="D42" s="83" t="str">
        <f>表1_86121822242672122[[#This Row],[目标国家]]</f>
        <v>蜀</v>
      </c>
      <c r="E42" s="84">
        <f>(VLOOKUP(表1_86121822242672122[[#This Row],[目标区服]],$R$80:$S$88,2,FALSE)-表1_86121822242672122[[#This Row],[开服天数]])*配置!$B$1</f>
        <v>1500</v>
      </c>
      <c r="F42" s="85">
        <f>表1_86121822242672122[[#This Row],[补偿Coin]]*(表1_86121822242672122[[#This Row],[活跃高战玩家数]]+表1_86121822242672122[[#This Row],[活跃中坚玩家数]])</f>
        <v>16500</v>
      </c>
      <c r="G42" s="85">
        <f>(VLOOKUP(表1_86121822242672122[[#This Row],[目标区服]],$R$80:$S$93,2,FALSE)-表1_86121822242672122[[#This Row],[开服天数]])*配置!$B$2</f>
        <v>15</v>
      </c>
      <c r="H42" s="83" t="s">
        <v>26</v>
      </c>
      <c r="I42" s="83">
        <f>IF(表1_86121822242672122[[#This Row],[原国家]]="魏",0,IF(表1_86121822242672122[[#This Row],[原国家]]="蜀",1,2))</f>
        <v>1</v>
      </c>
      <c r="J42" s="107">
        <v>1</v>
      </c>
      <c r="K42" s="107">
        <v>66</v>
      </c>
      <c r="L42" s="107">
        <v>0</v>
      </c>
      <c r="M42" s="107">
        <v>11</v>
      </c>
      <c r="N42" s="107">
        <v>35591</v>
      </c>
      <c r="O42" s="107">
        <v>921048</v>
      </c>
      <c r="P42" s="107">
        <v>4699364</v>
      </c>
      <c r="Q42" s="128" t="s">
        <v>26</v>
      </c>
      <c r="R42" s="83">
        <f>IF(表1_86121822242672122[[#This Row],[目标国家]]="魏",0,IF(表1_86121822242672122[[#This Row],[目标国家]]="蜀",1,2))</f>
        <v>1</v>
      </c>
      <c r="S42" s="107">
        <v>1972</v>
      </c>
      <c r="T42" s="107">
        <v>0</v>
      </c>
      <c r="U42" s="107">
        <v>87491</v>
      </c>
      <c r="V42" s="107">
        <v>2431</v>
      </c>
      <c r="W42" s="107">
        <v>473686</v>
      </c>
      <c r="X42" s="129" t="str">
        <f>"{"&amp;"'coin':"&amp;表1_86121822242672122[[#This Row],[补偿Coin]]&amp;",'"&amp;配置!$A$2&amp;"':"&amp;表1_86121822242672122[[#This Row],[补偿辎重]]&amp;"},"</f>
        <v>{'coin':1500,'item036':15},</v>
      </c>
      <c r="Y42" s="149" t="str">
        <f>"            'to_zone':'"&amp;表1_86121822242672122[[#This Row],[目标区服]]&amp;"',
            'reward':"&amp;表1_86121822242672122[[#This Row],[辅助导出]]&amp;"
            'country':["&amp;R41&amp;","&amp;R42&amp;","&amp;R43&amp;"],"</f>
        <v>            'to_zone':'h1_732',
            'reward':{'coin':1500,'item036':15},
            'country':[0,1,0],</v>
      </c>
    </row>
    <row r="43" s="2" customFormat="1" ht="14.25" customHeight="1" spans="1:25">
      <c r="A43" s="81">
        <v>7077</v>
      </c>
      <c r="B43" s="81">
        <f>VLOOKUP(表1_86121822242672122[[#This Row],[区服]],$P$80:$Q$104,2,FALSE)</f>
        <v>42</v>
      </c>
      <c r="C43" s="82" t="s">
        <v>306</v>
      </c>
      <c r="D43" s="83" t="str">
        <f>表1_86121822242672122[[#This Row],[目标国家]]</f>
        <v>魏</v>
      </c>
      <c r="E43" s="84">
        <f>(VLOOKUP(表1_86121822242672122[[#This Row],[目标区服]],$R$80:$S$88,2,FALSE)-表1_86121822242672122[[#This Row],[开服天数]])*配置!$B$1</f>
        <v>1500</v>
      </c>
      <c r="F43" s="85">
        <f>表1_86121822242672122[[#This Row],[补偿Coin]]*(表1_86121822242672122[[#This Row],[活跃高战玩家数]]+表1_86121822242672122[[#This Row],[活跃中坚玩家数]])</f>
        <v>21000</v>
      </c>
      <c r="G43" s="85">
        <f>(VLOOKUP(表1_86121822242672122[[#This Row],[目标区服]],$R$80:$S$93,2,FALSE)-表1_86121822242672122[[#This Row],[开服天数]])*配置!$B$2</f>
        <v>15</v>
      </c>
      <c r="H43" s="83" t="s">
        <v>27</v>
      </c>
      <c r="I43" s="83">
        <f>IF(表1_86121822242672122[[#This Row],[原国家]]="魏",0,IF(表1_86121822242672122[[#This Row],[原国家]]="蜀",1,2))</f>
        <v>2</v>
      </c>
      <c r="J43" s="107">
        <v>1</v>
      </c>
      <c r="K43" s="107">
        <v>61</v>
      </c>
      <c r="L43" s="107">
        <v>0</v>
      </c>
      <c r="M43" s="107">
        <v>14</v>
      </c>
      <c r="N43" s="107">
        <v>60213</v>
      </c>
      <c r="O43" s="107">
        <v>960480</v>
      </c>
      <c r="P43" s="107">
        <v>7280145</v>
      </c>
      <c r="Q43" s="128" t="s">
        <v>25</v>
      </c>
      <c r="R43" s="83">
        <f>IF(表1_86121822242672122[[#This Row],[目标国家]]="魏",0,IF(表1_86121822242672122[[#This Row],[目标国家]]="蜀",1,2))</f>
        <v>0</v>
      </c>
      <c r="S43" s="107">
        <v>3768</v>
      </c>
      <c r="T43" s="107">
        <v>0</v>
      </c>
      <c r="U43" s="107">
        <v>70507</v>
      </c>
      <c r="V43" s="107">
        <v>2847</v>
      </c>
      <c r="W43" s="107">
        <v>377210</v>
      </c>
      <c r="X43" s="129" t="str">
        <f>"{"&amp;"'coin':"&amp;表1_86121822242672122[[#This Row],[补偿Coin]]&amp;",'"&amp;配置!$A$2&amp;"':"&amp;表1_86121822242672122[[#This Row],[补偿辎重]]&amp;"},"</f>
        <v>{'coin':1500,'item036':15},</v>
      </c>
      <c r="Y43" s="149" t="str">
        <f>"      },"</f>
        <v>      },</v>
      </c>
    </row>
    <row r="44" ht="14.25" customHeight="1" spans="1:25">
      <c r="A44" s="86">
        <v>7078</v>
      </c>
      <c r="B44" s="86">
        <f>VLOOKUP(表1_86121822242672122[[#This Row],[区服]],$P$80:$Q$104,2,FALSE)</f>
        <v>42</v>
      </c>
      <c r="C44" s="87" t="s">
        <v>307</v>
      </c>
      <c r="D44" s="88" t="str">
        <f>表1_86121822242672122[[#This Row],[目标国家]]</f>
        <v>蜀</v>
      </c>
      <c r="E44" s="89">
        <f>(VLOOKUP(表1_86121822242672122[[#This Row],[目标区服]],$R$80:$S$88,2,FALSE)-表1_86121822242672122[[#This Row],[开服天数]])*配置!$B$1</f>
        <v>1000</v>
      </c>
      <c r="F44" s="90">
        <f>表1_86121822242672122[[#This Row],[补偿Coin]]*(表1_86121822242672122[[#This Row],[活跃高战玩家数]]+表1_86121822242672122[[#This Row],[活跃中坚玩家数]])</f>
        <v>19000</v>
      </c>
      <c r="G44" s="90">
        <f>(VLOOKUP(表1_86121822242672122[[#This Row],[目标区服]],$R$80:$S$93,2,FALSE)-表1_86121822242672122[[#This Row],[开服天数]])*配置!$B$2</f>
        <v>10</v>
      </c>
      <c r="H44" s="88" t="s">
        <v>25</v>
      </c>
      <c r="I44" s="88">
        <f>IF(表1_86121822242672122[[#This Row],[原国家]]="魏",0,IF(表1_86121822242672122[[#This Row],[原国家]]="蜀",1,2))</f>
        <v>0</v>
      </c>
      <c r="J44" s="108">
        <v>5</v>
      </c>
      <c r="K44" s="108">
        <v>224</v>
      </c>
      <c r="L44" s="108">
        <v>5</v>
      </c>
      <c r="M44" s="108">
        <v>14</v>
      </c>
      <c r="N44" s="108">
        <v>107439</v>
      </c>
      <c r="O44" s="108">
        <v>2226764</v>
      </c>
      <c r="P44" s="108">
        <v>13633755</v>
      </c>
      <c r="Q44" s="132" t="s">
        <v>26</v>
      </c>
      <c r="R44" s="88">
        <f>IF(表1_86121822242672122[[#This Row],[目标国家]]="魏",0,IF(表1_86121822242672122[[#This Row],[目标国家]]="蜀",1,2))</f>
        <v>1</v>
      </c>
      <c r="S44" s="108">
        <v>24522</v>
      </c>
      <c r="T44" s="108">
        <v>0</v>
      </c>
      <c r="U44" s="108">
        <v>198932</v>
      </c>
      <c r="V44" s="108">
        <v>7702</v>
      </c>
      <c r="W44" s="133">
        <v>724990</v>
      </c>
      <c r="X44" s="134" t="str">
        <f>"{"&amp;"'coin':"&amp;表1_86121822242672122[[#This Row],[补偿Coin]]&amp;",'"&amp;配置!$A$2&amp;"':"&amp;表1_86121822242672122[[#This Row],[补偿辎重]]&amp;"},"</f>
        <v>{'coin':1000,'item036':10},</v>
      </c>
      <c r="Y44" s="136" t="str">
        <f>"      '"&amp;表1_86121822242672122[[#This Row],[区服]]&amp;"':{"</f>
        <v>      '7078':{</v>
      </c>
    </row>
    <row r="45" ht="14.25" customHeight="1" spans="1:25">
      <c r="A45" s="86">
        <v>7078</v>
      </c>
      <c r="B45" s="86">
        <f>VLOOKUP(表1_86121822242672122[[#This Row],[区服]],$P$80:$Q$104,2,FALSE)</f>
        <v>42</v>
      </c>
      <c r="C45" s="87" t="s">
        <v>307</v>
      </c>
      <c r="D45" s="88" t="str">
        <f>表1_86121822242672122[[#This Row],[目标国家]]</f>
        <v>吴</v>
      </c>
      <c r="E45" s="89">
        <f>(VLOOKUP(表1_86121822242672122[[#This Row],[目标区服]],$R$80:$S$88,2,FALSE)-表1_86121822242672122[[#This Row],[开服天数]])*配置!$B$1</f>
        <v>1000</v>
      </c>
      <c r="F45" s="90">
        <f>表1_86121822242672122[[#This Row],[补偿Coin]]*(表1_86121822242672122[[#This Row],[活跃高战玩家数]]+表1_86121822242672122[[#This Row],[活跃中坚玩家数]])</f>
        <v>15000</v>
      </c>
      <c r="G45" s="90">
        <f>(VLOOKUP(表1_86121822242672122[[#This Row],[目标区服]],$R$80:$S$93,2,FALSE)-表1_86121822242672122[[#This Row],[开服天数]])*配置!$B$2</f>
        <v>10</v>
      </c>
      <c r="H45" s="88" t="s">
        <v>26</v>
      </c>
      <c r="I45" s="88">
        <f>IF(表1_86121822242672122[[#This Row],[原国家]]="魏",0,IF(表1_86121822242672122[[#This Row],[原国家]]="蜀",1,2))</f>
        <v>1</v>
      </c>
      <c r="J45" s="108">
        <v>1</v>
      </c>
      <c r="K45" s="108">
        <v>46</v>
      </c>
      <c r="L45" s="108">
        <v>0</v>
      </c>
      <c r="M45" s="108">
        <v>15</v>
      </c>
      <c r="N45" s="108">
        <v>60297</v>
      </c>
      <c r="O45" s="108">
        <v>1132133</v>
      </c>
      <c r="P45" s="108">
        <v>6212136</v>
      </c>
      <c r="Q45" s="132" t="s">
        <v>27</v>
      </c>
      <c r="R45" s="88">
        <f>IF(表1_86121822242672122[[#This Row],[目标国家]]="魏",0,IF(表1_86121822242672122[[#This Row],[目标国家]]="蜀",1,2))</f>
        <v>2</v>
      </c>
      <c r="S45" s="108">
        <v>3314</v>
      </c>
      <c r="T45" s="108">
        <v>0</v>
      </c>
      <c r="U45" s="108">
        <v>78738</v>
      </c>
      <c r="V45" s="108">
        <v>2753</v>
      </c>
      <c r="W45" s="108">
        <v>294308</v>
      </c>
      <c r="X45" s="134" t="str">
        <f>"{"&amp;"'coin':"&amp;表1_86121822242672122[[#This Row],[补偿Coin]]&amp;",'"&amp;配置!$A$2&amp;"':"&amp;表1_86121822242672122[[#This Row],[补偿辎重]]&amp;"},"</f>
        <v>{'coin':1000,'item036':10},</v>
      </c>
      <c r="Y45" s="136" t="str">
        <f>"            'to_zone':'"&amp;表1_86121822242672122[[#This Row],[目标区服]]&amp;"',
            'reward':"&amp;表1_86121822242672122[[#This Row],[辅助导出]]&amp;"
            'country':["&amp;R44&amp;","&amp;R45&amp;","&amp;R70&amp;"],"</f>
        <v>            'to_zone':'h1_733',
            'reward':{'coin':1000,'item036':10},
            'country':[1,2,2],</v>
      </c>
    </row>
    <row r="46" ht="14.25" customHeight="1" spans="1:25">
      <c r="A46" s="86">
        <v>7078</v>
      </c>
      <c r="B46" s="86">
        <f>VLOOKUP(表1_86121822242672122[[#This Row],[区服]],$P$80:$Q$104,2,FALSE)</f>
        <v>42</v>
      </c>
      <c r="C46" s="87" t="s">
        <v>307</v>
      </c>
      <c r="D46" s="88" t="str">
        <f>表1_86121822242672122[[#This Row],[目标国家]]</f>
        <v>吴</v>
      </c>
      <c r="E46" s="89">
        <f>(VLOOKUP(表1_86121822242672122[[#This Row],[目标区服]],$R$80:$S$88,2,FALSE)-表1_86121822242672122[[#This Row],[开服天数]])*配置!$B$1</f>
        <v>1000</v>
      </c>
      <c r="F46" s="90">
        <f>表1_86121822242672122[[#This Row],[补偿Coin]]*(表1_86121822242672122[[#This Row],[活跃高战玩家数]]+表1_86121822242672122[[#This Row],[活跃中坚玩家数]])</f>
        <v>17000</v>
      </c>
      <c r="G46" s="90">
        <f>(VLOOKUP(表1_86121822242672122[[#This Row],[目标区服]],$R$80:$S$93,2,FALSE)-表1_86121822242672122[[#This Row],[开服天数]])*配置!$B$2</f>
        <v>10</v>
      </c>
      <c r="H46" s="88" t="s">
        <v>27</v>
      </c>
      <c r="I46" s="88">
        <f>IF(表1_86121822242672122[[#This Row],[原国家]]="魏",0,IF(表1_86121822242672122[[#This Row],[原国家]]="蜀",1,2))</f>
        <v>2</v>
      </c>
      <c r="J46" s="108">
        <v>3</v>
      </c>
      <c r="K46" s="108">
        <v>125</v>
      </c>
      <c r="L46" s="108">
        <v>3</v>
      </c>
      <c r="M46" s="108">
        <v>14</v>
      </c>
      <c r="N46" s="108">
        <v>91982</v>
      </c>
      <c r="O46" s="108">
        <v>1809970</v>
      </c>
      <c r="P46" s="108">
        <v>10038865</v>
      </c>
      <c r="Q46" s="132" t="s">
        <v>27</v>
      </c>
      <c r="R46" s="88">
        <f>IF(表1_86121822242672122[[#This Row],[目标国家]]="魏",0,IF(表1_86121822242672122[[#This Row],[目标国家]]="蜀",1,2))</f>
        <v>2</v>
      </c>
      <c r="S46" s="108">
        <v>18354</v>
      </c>
      <c r="T46" s="108">
        <v>0</v>
      </c>
      <c r="U46" s="108">
        <v>112388</v>
      </c>
      <c r="V46" s="108">
        <v>5430</v>
      </c>
      <c r="W46" s="135">
        <v>715453</v>
      </c>
      <c r="X46" s="134" t="str">
        <f>"{"&amp;"'coin':"&amp;表1_86121822242672122[[#This Row],[补偿Coin]]&amp;",'"&amp;配置!$A$2&amp;"':"&amp;表1_86121822242672122[[#This Row],[补偿辎重]]&amp;"},"</f>
        <v>{'coin':1000,'item036':10},</v>
      </c>
      <c r="Y46" s="136" t="str">
        <f>"      },"</f>
        <v>      },</v>
      </c>
    </row>
    <row r="47" ht="14.25" customHeight="1" spans="1:25">
      <c r="A47" s="86">
        <v>7079</v>
      </c>
      <c r="B47" s="86">
        <f>VLOOKUP(表1_86121822242672122[[#This Row],[区服]],$P$80:$Q$104,2,FALSE)</f>
        <v>42</v>
      </c>
      <c r="C47" s="87" t="s">
        <v>307</v>
      </c>
      <c r="D47" s="88" t="str">
        <f>表1_86121822242672122[[#This Row],[目标国家]]</f>
        <v>魏</v>
      </c>
      <c r="E47" s="89">
        <f>(VLOOKUP(表1_86121822242672122[[#This Row],[目标区服]],$R$80:$S$88,2,FALSE)-表1_86121822242672122[[#This Row],[开服天数]])*配置!$B$1</f>
        <v>1000</v>
      </c>
      <c r="F47" s="90">
        <f>表1_86121822242672122[[#This Row],[补偿Coin]]*(表1_86121822242672122[[#This Row],[活跃高战玩家数]]+表1_86121822242672122[[#This Row],[活跃中坚玩家数]])</f>
        <v>17000</v>
      </c>
      <c r="G47" s="90">
        <f>(VLOOKUP(表1_86121822242672122[[#This Row],[目标区服]],$R$80:$S$93,2,FALSE)-表1_86121822242672122[[#This Row],[开服天数]])*配置!$B$2</f>
        <v>10</v>
      </c>
      <c r="H47" s="88" t="s">
        <v>25</v>
      </c>
      <c r="I47" s="88">
        <f>IF(表1_86121822242672122[[#This Row],[原国家]]="魏",0,IF(表1_86121822242672122[[#This Row],[原国家]]="蜀",1,2))</f>
        <v>0</v>
      </c>
      <c r="J47" s="108">
        <v>3</v>
      </c>
      <c r="K47" s="108">
        <v>113</v>
      </c>
      <c r="L47" s="108">
        <v>5</v>
      </c>
      <c r="M47" s="108">
        <v>12</v>
      </c>
      <c r="N47" s="108">
        <v>106509</v>
      </c>
      <c r="O47" s="108">
        <v>2151531</v>
      </c>
      <c r="P47" s="108">
        <v>14496900</v>
      </c>
      <c r="Q47" s="132" t="s">
        <v>25</v>
      </c>
      <c r="R47" s="88">
        <f>IF(表1_86121822242672122[[#This Row],[目标国家]]="魏",0,IF(表1_86121822242672122[[#This Row],[目标国家]]="蜀",1,2))</f>
        <v>0</v>
      </c>
      <c r="S47" s="108">
        <v>73232</v>
      </c>
      <c r="T47" s="108">
        <v>0</v>
      </c>
      <c r="U47" s="108">
        <v>276317</v>
      </c>
      <c r="V47" s="108">
        <v>7898</v>
      </c>
      <c r="W47" s="108">
        <v>588152</v>
      </c>
      <c r="X47" s="136" t="str">
        <f>"{"&amp;"'coin':"&amp;表1_86121822242672122[[#This Row],[补偿Coin]]&amp;",'"&amp;配置!$A$2&amp;"':"&amp;表1_86121822242672122[[#This Row],[补偿辎重]]&amp;"},"</f>
        <v>{'coin':1000,'item036':10},</v>
      </c>
      <c r="Y47" s="136" t="str">
        <f>"      '"&amp;表1_86121822242672122[[#This Row],[区服]]&amp;"':{"</f>
        <v>      '7079':{</v>
      </c>
    </row>
    <row r="48" ht="14.25" customHeight="1" spans="1:25">
      <c r="A48" s="86">
        <v>7079</v>
      </c>
      <c r="B48" s="86">
        <f>VLOOKUP(表1_86121822242672122[[#This Row],[区服]],$P$80:$Q$104,2,FALSE)</f>
        <v>42</v>
      </c>
      <c r="C48" s="87" t="s">
        <v>307</v>
      </c>
      <c r="D48" s="88" t="str">
        <f>表1_86121822242672122[[#This Row],[目标国家]]</f>
        <v>魏</v>
      </c>
      <c r="E48" s="89">
        <f>(VLOOKUP(表1_86121822242672122[[#This Row],[目标区服]],$R$80:$S$88,2,FALSE)-表1_86121822242672122[[#This Row],[开服天数]])*配置!$B$1</f>
        <v>1000</v>
      </c>
      <c r="F48" s="90">
        <f>表1_86121822242672122[[#This Row],[补偿Coin]]*(表1_86121822242672122[[#This Row],[活跃高战玩家数]]+表1_86121822242672122[[#This Row],[活跃中坚玩家数]])</f>
        <v>13000</v>
      </c>
      <c r="G48" s="90">
        <f>(VLOOKUP(表1_86121822242672122[[#This Row],[目标区服]],$R$80:$S$93,2,FALSE)-表1_86121822242672122[[#This Row],[开服天数]])*配置!$B$2</f>
        <v>10</v>
      </c>
      <c r="H48" s="88" t="s">
        <v>26</v>
      </c>
      <c r="I48" s="88">
        <f>IF(表1_86121822242672122[[#This Row],[原国家]]="魏",0,IF(表1_86121822242672122[[#This Row],[原国家]]="蜀",1,2))</f>
        <v>1</v>
      </c>
      <c r="J48" s="108">
        <v>1</v>
      </c>
      <c r="K48" s="108">
        <v>74</v>
      </c>
      <c r="L48" s="108">
        <v>1</v>
      </c>
      <c r="M48" s="108">
        <v>12</v>
      </c>
      <c r="N48" s="108">
        <v>50631</v>
      </c>
      <c r="O48" s="108">
        <v>901193</v>
      </c>
      <c r="P48" s="108">
        <v>5723201</v>
      </c>
      <c r="Q48" s="132" t="s">
        <v>25</v>
      </c>
      <c r="R48" s="88">
        <f>IF(表1_86121822242672122[[#This Row],[目标国家]]="魏",0,IF(表1_86121822242672122[[#This Row],[目标国家]]="蜀",1,2))</f>
        <v>0</v>
      </c>
      <c r="S48" s="108">
        <v>854</v>
      </c>
      <c r="T48" s="108">
        <v>0</v>
      </c>
      <c r="U48" s="108">
        <v>130313</v>
      </c>
      <c r="V48" s="108">
        <v>2657</v>
      </c>
      <c r="W48" s="108">
        <v>329724</v>
      </c>
      <c r="X48" s="136" t="str">
        <f>"{"&amp;"'coin':"&amp;表1_86121822242672122[[#This Row],[补偿Coin]]&amp;",'"&amp;配置!$A$2&amp;"':"&amp;表1_86121822242672122[[#This Row],[补偿辎重]]&amp;"},"</f>
        <v>{'coin':1000,'item036':10},</v>
      </c>
      <c r="Y48" s="136" t="str">
        <f>"            'to_zone':'"&amp;表1_86121822242672122[[#This Row],[目标区服]]&amp;"',
            'reward':"&amp;表1_86121822242672122[[#This Row],[辅助导出]]&amp;"
            'country':["&amp;R47&amp;","&amp;R48&amp;","&amp;R49&amp;"],"</f>
        <v>            'to_zone':'h1_733',
            'reward':{'coin':1000,'item036':10},
            'country':[0,0,1],</v>
      </c>
    </row>
    <row r="49" ht="14.25" customHeight="1" spans="1:25">
      <c r="A49" s="86">
        <v>7079</v>
      </c>
      <c r="B49" s="86">
        <f>VLOOKUP(表1_86121822242672122[[#This Row],[区服]],$P$80:$Q$104,2,FALSE)</f>
        <v>42</v>
      </c>
      <c r="C49" s="87" t="s">
        <v>307</v>
      </c>
      <c r="D49" s="88" t="str">
        <f>表1_86121822242672122[[#This Row],[目标国家]]</f>
        <v>蜀</v>
      </c>
      <c r="E49" s="89">
        <f>(VLOOKUP(表1_86121822242672122[[#This Row],[目标区服]],$R$80:$S$88,2,FALSE)-表1_86121822242672122[[#This Row],[开服天数]])*配置!$B$1</f>
        <v>1000</v>
      </c>
      <c r="F49" s="90">
        <f>表1_86121822242672122[[#This Row],[补偿Coin]]*(表1_86121822242672122[[#This Row],[活跃高战玩家数]]+表1_86121822242672122[[#This Row],[活跃中坚玩家数]])</f>
        <v>17000</v>
      </c>
      <c r="G49" s="90">
        <f>(VLOOKUP(表1_86121822242672122[[#This Row],[目标区服]],$R$80:$S$93,2,FALSE)-表1_86121822242672122[[#This Row],[开服天数]])*配置!$B$2</f>
        <v>10</v>
      </c>
      <c r="H49" s="88" t="s">
        <v>27</v>
      </c>
      <c r="I49" s="88">
        <f>IF(表1_86121822242672122[[#This Row],[原国家]]="魏",0,IF(表1_86121822242672122[[#This Row],[原国家]]="蜀",1,2))</f>
        <v>2</v>
      </c>
      <c r="J49" s="108">
        <v>5</v>
      </c>
      <c r="K49" s="108">
        <v>208</v>
      </c>
      <c r="L49" s="108">
        <v>4</v>
      </c>
      <c r="M49" s="108">
        <v>13</v>
      </c>
      <c r="N49" s="108">
        <v>85553</v>
      </c>
      <c r="O49" s="108">
        <v>1970710</v>
      </c>
      <c r="P49" s="108">
        <v>11275621</v>
      </c>
      <c r="Q49" s="132" t="s">
        <v>26</v>
      </c>
      <c r="R49" s="88">
        <f>IF(表1_86121822242672122[[#This Row],[目标国家]]="魏",0,IF(表1_86121822242672122[[#This Row],[目标国家]]="蜀",1,2))</f>
        <v>1</v>
      </c>
      <c r="S49" s="108">
        <v>15242</v>
      </c>
      <c r="T49" s="108">
        <v>0</v>
      </c>
      <c r="U49" s="108">
        <v>223006</v>
      </c>
      <c r="V49" s="108">
        <v>6674</v>
      </c>
      <c r="W49" s="108">
        <v>489513</v>
      </c>
      <c r="X49" s="134" t="str">
        <f>"{"&amp;"'coin':"&amp;表1_86121822242672122[[#This Row],[补偿Coin]]&amp;",'"&amp;配置!$A$2&amp;"':"&amp;表1_86121822242672122[[#This Row],[补偿辎重]]&amp;"},"</f>
        <v>{'coin':1000,'item036':10},</v>
      </c>
      <c r="Y49" s="136" t="str">
        <f>"      },"</f>
        <v>      },</v>
      </c>
    </row>
    <row r="50" ht="14.25" customHeight="1" spans="1:25">
      <c r="A50" s="86">
        <v>7080</v>
      </c>
      <c r="B50" s="86">
        <f>VLOOKUP(表1_86121822242672122[[#This Row],[区服]],$P$80:$Q$104,2,FALSE)</f>
        <v>42</v>
      </c>
      <c r="C50" s="87" t="s">
        <v>307</v>
      </c>
      <c r="D50" s="88" t="str">
        <f>表1_86121822242672122[[#This Row],[目标国家]]</f>
        <v>魏</v>
      </c>
      <c r="E50" s="89">
        <f>(VLOOKUP(表1_86121822242672122[[#This Row],[目标区服]],$R$80:$S$88,2,FALSE)-表1_86121822242672122[[#This Row],[开服天数]])*配置!$B$1</f>
        <v>1000</v>
      </c>
      <c r="F50" s="90">
        <f>表1_86121822242672122[[#This Row],[补偿Coin]]*(表1_86121822242672122[[#This Row],[活跃高战玩家数]]+表1_86121822242672122[[#This Row],[活跃中坚玩家数]])</f>
        <v>20000</v>
      </c>
      <c r="G50" s="90">
        <f>(VLOOKUP(表1_86121822242672122[[#This Row],[目标区服]],$R$80:$S$93,2,FALSE)-表1_86121822242672122[[#This Row],[开服天数]])*配置!$B$2</f>
        <v>10</v>
      </c>
      <c r="H50" s="88" t="s">
        <v>25</v>
      </c>
      <c r="I50" s="88">
        <f>IF(表1_86121822242672122[[#This Row],[原国家]]="魏",0,IF(表1_86121822242672122[[#This Row],[原国家]]="蜀",1,2))</f>
        <v>0</v>
      </c>
      <c r="J50" s="108">
        <v>3</v>
      </c>
      <c r="K50" s="108">
        <v>112</v>
      </c>
      <c r="L50" s="108">
        <v>4</v>
      </c>
      <c r="M50" s="108">
        <v>16</v>
      </c>
      <c r="N50" s="108">
        <v>108888</v>
      </c>
      <c r="O50" s="108">
        <v>2240978</v>
      </c>
      <c r="P50" s="108">
        <v>14470324</v>
      </c>
      <c r="Q50" s="132" t="s">
        <v>25</v>
      </c>
      <c r="R50" s="88">
        <f>IF(表1_86121822242672122[[#This Row],[目标国家]]="魏",0,IF(表1_86121822242672122[[#This Row],[目标国家]]="蜀",1,2))</f>
        <v>0</v>
      </c>
      <c r="S50" s="108">
        <v>44218</v>
      </c>
      <c r="T50" s="108">
        <v>0</v>
      </c>
      <c r="U50" s="108">
        <v>235078</v>
      </c>
      <c r="V50" s="108">
        <v>7096</v>
      </c>
      <c r="W50" s="133">
        <v>750636</v>
      </c>
      <c r="X50" s="136" t="str">
        <f>"{"&amp;"'coin':"&amp;表1_86121822242672122[[#This Row],[补偿Coin]]&amp;",'"&amp;配置!$A$2&amp;"':"&amp;表1_86121822242672122[[#This Row],[补偿辎重]]&amp;"},"</f>
        <v>{'coin':1000,'item036':10},</v>
      </c>
      <c r="Y50" s="136" t="str">
        <f>"      '"&amp;表1_86121822242672122[[#This Row],[区服]]&amp;"':{"</f>
        <v>      '7080':{</v>
      </c>
    </row>
    <row r="51" ht="14.25" customHeight="1" spans="1:25">
      <c r="A51" s="86">
        <v>7080</v>
      </c>
      <c r="B51" s="86">
        <f>VLOOKUP(表1_86121822242672122[[#This Row],[区服]],$P$80:$Q$104,2,FALSE)</f>
        <v>42</v>
      </c>
      <c r="C51" s="87" t="s">
        <v>307</v>
      </c>
      <c r="D51" s="88" t="str">
        <f>表1_86121822242672122[[#This Row],[目标国家]]</f>
        <v>蜀</v>
      </c>
      <c r="E51" s="89">
        <f>(VLOOKUP(表1_86121822242672122[[#This Row],[目标区服]],$R$80:$S$88,2,FALSE)-表1_86121822242672122[[#This Row],[开服天数]])*配置!$B$1</f>
        <v>1000</v>
      </c>
      <c r="F51" s="90">
        <f>表1_86121822242672122[[#This Row],[补偿Coin]]*(表1_86121822242672122[[#This Row],[活跃高战玩家数]]+表1_86121822242672122[[#This Row],[活跃中坚玩家数]])</f>
        <v>12000</v>
      </c>
      <c r="G51" s="90">
        <f>(VLOOKUP(表1_86121822242672122[[#This Row],[目标区服]],$R$80:$S$93,2,FALSE)-表1_86121822242672122[[#This Row],[开服天数]])*配置!$B$2</f>
        <v>10</v>
      </c>
      <c r="H51" s="88" t="s">
        <v>26</v>
      </c>
      <c r="I51" s="88">
        <f>IF(表1_86121822242672122[[#This Row],[原国家]]="魏",0,IF(表1_86121822242672122[[#This Row],[原国家]]="蜀",1,2))</f>
        <v>1</v>
      </c>
      <c r="J51" s="108">
        <v>2</v>
      </c>
      <c r="K51" s="108">
        <v>68</v>
      </c>
      <c r="L51" s="108">
        <v>2</v>
      </c>
      <c r="M51" s="108">
        <v>10</v>
      </c>
      <c r="N51" s="108">
        <v>70237</v>
      </c>
      <c r="O51" s="108">
        <v>1263927</v>
      </c>
      <c r="P51" s="108">
        <v>8386970</v>
      </c>
      <c r="Q51" s="132" t="s">
        <v>26</v>
      </c>
      <c r="R51" s="88">
        <f>IF(表1_86121822242672122[[#This Row],[目标国家]]="魏",0,IF(表1_86121822242672122[[#This Row],[目标国家]]="蜀",1,2))</f>
        <v>1</v>
      </c>
      <c r="S51" s="108">
        <v>25966</v>
      </c>
      <c r="T51" s="108">
        <v>0</v>
      </c>
      <c r="U51" s="108">
        <v>137283</v>
      </c>
      <c r="V51" s="108">
        <v>4181</v>
      </c>
      <c r="W51" s="108">
        <v>322208</v>
      </c>
      <c r="X51" s="136" t="str">
        <f>"{"&amp;"'coin':"&amp;表1_86121822242672122[[#This Row],[补偿Coin]]&amp;",'"&amp;配置!$A$2&amp;"':"&amp;表1_86121822242672122[[#This Row],[补偿辎重]]&amp;"},"</f>
        <v>{'coin':1000,'item036':10},</v>
      </c>
      <c r="Y51" s="136" t="str">
        <f>"            'to_zone':'"&amp;表1_86121822242672122[[#This Row],[目标区服]]&amp;"',
            'reward':"&amp;表1_86121822242672122[[#This Row],[辅助导出]]&amp;"
            'country':["&amp;R50&amp;","&amp;R51&amp;","&amp;R52&amp;"],"</f>
        <v>            'to_zone':'h1_733',
            'reward':{'coin':1000,'item036':10},
            'country':[0,1,2],</v>
      </c>
    </row>
    <row r="52" ht="14.25" customHeight="1" spans="1:25">
      <c r="A52" s="86">
        <v>7080</v>
      </c>
      <c r="B52" s="86">
        <f>VLOOKUP(表1_86121822242672122[[#This Row],[区服]],$P$80:$Q$104,2,FALSE)</f>
        <v>42</v>
      </c>
      <c r="C52" s="87" t="s">
        <v>307</v>
      </c>
      <c r="D52" s="88" t="str">
        <f>表1_86121822242672122[[#This Row],[目标国家]]</f>
        <v>吴</v>
      </c>
      <c r="E52" s="89">
        <f>(VLOOKUP(表1_86121822242672122[[#This Row],[目标区服]],$R$80:$S$88,2,FALSE)-表1_86121822242672122[[#This Row],[开服天数]])*配置!$B$1</f>
        <v>1000</v>
      </c>
      <c r="F52" s="90">
        <f>表1_86121822242672122[[#This Row],[补偿Coin]]*(表1_86121822242672122[[#This Row],[活跃高战玩家数]]+表1_86121822242672122[[#This Row],[活跃中坚玩家数]])</f>
        <v>14000</v>
      </c>
      <c r="G52" s="90">
        <f>(VLOOKUP(表1_86121822242672122[[#This Row],[目标区服]],$R$80:$S$93,2,FALSE)-表1_86121822242672122[[#This Row],[开服天数]])*配置!$B$2</f>
        <v>10</v>
      </c>
      <c r="H52" s="88" t="s">
        <v>27</v>
      </c>
      <c r="I52" s="88">
        <f>IF(表1_86121822242672122[[#This Row],[原国家]]="魏",0,IF(表1_86121822242672122[[#This Row],[原国家]]="蜀",1,2))</f>
        <v>2</v>
      </c>
      <c r="J52" s="108">
        <v>4</v>
      </c>
      <c r="K52" s="108">
        <v>215</v>
      </c>
      <c r="L52" s="108">
        <v>4</v>
      </c>
      <c r="M52" s="108">
        <v>10</v>
      </c>
      <c r="N52" s="108">
        <v>81931</v>
      </c>
      <c r="O52" s="108">
        <v>2900486</v>
      </c>
      <c r="P52" s="108">
        <v>13134196</v>
      </c>
      <c r="Q52" s="132" t="s">
        <v>27</v>
      </c>
      <c r="R52" s="88">
        <f>IF(表1_86121822242672122[[#This Row],[目标国家]]="魏",0,IF(表1_86121822242672122[[#This Row],[目标国家]]="蜀",1,2))</f>
        <v>2</v>
      </c>
      <c r="S52" s="108">
        <v>47822</v>
      </c>
      <c r="T52" s="108">
        <v>46188</v>
      </c>
      <c r="U52" s="108">
        <v>210748</v>
      </c>
      <c r="V52" s="108">
        <v>9175</v>
      </c>
      <c r="W52" s="133">
        <v>801020</v>
      </c>
      <c r="X52" s="134" t="str">
        <f>"{"&amp;"'coin':"&amp;表1_86121822242672122[[#This Row],[补偿Coin]]&amp;",'"&amp;配置!$A$2&amp;"':"&amp;表1_86121822242672122[[#This Row],[补偿辎重]]&amp;"},"</f>
        <v>{'coin':1000,'item036':10},</v>
      </c>
      <c r="Y52" s="136" t="str">
        <f>"      },"</f>
        <v>      },</v>
      </c>
    </row>
    <row r="53" ht="14.25" customHeight="1" spans="1:25">
      <c r="A53" s="91">
        <v>7081</v>
      </c>
      <c r="B53" s="91">
        <f>VLOOKUP(表1_86121822242672122[[#This Row],[区服]],$P$80:$Q$104,2,FALSE)</f>
        <v>41</v>
      </c>
      <c r="C53" s="92" t="s">
        <v>308</v>
      </c>
      <c r="D53" s="93" t="str">
        <f>表1_86121822242672122[[#This Row],[目标国家]]</f>
        <v>魏</v>
      </c>
      <c r="E53" s="94">
        <f>(VLOOKUP(表1_86121822242672122[[#This Row],[目标区服]],$R$80:$S$88,2,FALSE)-表1_86121822242672122[[#This Row],[开服天数]])*配置!$B$1</f>
        <v>1000</v>
      </c>
      <c r="F53" s="95">
        <f>表1_86121822242672122[[#This Row],[补偿Coin]]*(表1_86121822242672122[[#This Row],[活跃高战玩家数]]+表1_86121822242672122[[#This Row],[活跃中坚玩家数]])</f>
        <v>18000</v>
      </c>
      <c r="G53" s="95">
        <f>(VLOOKUP(表1_86121822242672122[[#This Row],[目标区服]],$R$80:$S$93,2,FALSE)-表1_86121822242672122[[#This Row],[开服天数]])*配置!$B$2</f>
        <v>10</v>
      </c>
      <c r="H53" s="93" t="s">
        <v>25</v>
      </c>
      <c r="I53" s="93">
        <f>IF(表1_86121822242672122[[#This Row],[原国家]]="魏",0,IF(表1_86121822242672122[[#This Row],[原国家]]="蜀",1,2))</f>
        <v>0</v>
      </c>
      <c r="J53" s="109">
        <v>1</v>
      </c>
      <c r="K53" s="109">
        <v>87</v>
      </c>
      <c r="L53" s="109">
        <v>2</v>
      </c>
      <c r="M53" s="109">
        <v>16</v>
      </c>
      <c r="N53" s="109">
        <v>77107</v>
      </c>
      <c r="O53" s="109">
        <v>1387586</v>
      </c>
      <c r="P53" s="109">
        <v>12047661</v>
      </c>
      <c r="Q53" s="137" t="s">
        <v>25</v>
      </c>
      <c r="R53" s="93">
        <f>IF(表1_86121822242672122[[#This Row],[目标国家]]="魏",0,IF(表1_86121822242672122[[#This Row],[目标国家]]="蜀",1,2))</f>
        <v>0</v>
      </c>
      <c r="S53" s="109">
        <v>22304</v>
      </c>
      <c r="T53" s="109">
        <v>0</v>
      </c>
      <c r="U53" s="109">
        <v>102004</v>
      </c>
      <c r="V53" s="109">
        <v>4668</v>
      </c>
      <c r="W53" s="109">
        <v>389203</v>
      </c>
      <c r="X53" s="138" t="str">
        <f>"{"&amp;"'coin':"&amp;表1_86121822242672122[[#This Row],[补偿Coin]]&amp;",'"&amp;配置!$A$2&amp;"':"&amp;表1_86121822242672122[[#This Row],[补偿辎重]]&amp;"},"</f>
        <v>{'coin':1000,'item036':10},</v>
      </c>
      <c r="Y53" s="138" t="str">
        <f>"      '"&amp;表1_86121822242672122[[#This Row],[区服]]&amp;"':{"</f>
        <v>      '7081':{</v>
      </c>
    </row>
    <row r="54" ht="14.25" customHeight="1" spans="1:25">
      <c r="A54" s="91">
        <v>7081</v>
      </c>
      <c r="B54" s="91">
        <f>VLOOKUP(表1_86121822242672122[[#This Row],[区服]],$P$80:$Q$104,2,FALSE)</f>
        <v>41</v>
      </c>
      <c r="C54" s="92" t="s">
        <v>308</v>
      </c>
      <c r="D54" s="93" t="str">
        <f>表1_86121822242672122[[#This Row],[目标国家]]</f>
        <v>蜀</v>
      </c>
      <c r="E54" s="94">
        <f>(VLOOKUP(表1_86121822242672122[[#This Row],[目标区服]],$R$80:$S$88,2,FALSE)-表1_86121822242672122[[#This Row],[开服天数]])*配置!$B$1</f>
        <v>1000</v>
      </c>
      <c r="F54" s="95">
        <f>表1_86121822242672122[[#This Row],[补偿Coin]]*(表1_86121822242672122[[#This Row],[活跃高战玩家数]]+表1_86121822242672122[[#This Row],[活跃中坚玩家数]])</f>
        <v>39000</v>
      </c>
      <c r="G54" s="95">
        <f>(VLOOKUP(表1_86121822242672122[[#This Row],[目标区服]],$R$80:$S$93,2,FALSE)-表1_86121822242672122[[#This Row],[开服天数]])*配置!$B$2</f>
        <v>10</v>
      </c>
      <c r="H54" s="93" t="s">
        <v>26</v>
      </c>
      <c r="I54" s="93">
        <f>IF(表1_86121822242672122[[#This Row],[原国家]]="魏",0,IF(表1_86121822242672122[[#This Row],[原国家]]="蜀",1,2))</f>
        <v>1</v>
      </c>
      <c r="J54" s="109">
        <v>5</v>
      </c>
      <c r="K54" s="109">
        <v>208</v>
      </c>
      <c r="L54" s="109">
        <v>7</v>
      </c>
      <c r="M54" s="109">
        <v>32</v>
      </c>
      <c r="N54" s="109">
        <v>164121</v>
      </c>
      <c r="O54" s="109">
        <v>2191150</v>
      </c>
      <c r="P54" s="109">
        <v>27105172</v>
      </c>
      <c r="Q54" s="137" t="s">
        <v>26</v>
      </c>
      <c r="R54" s="93">
        <f>IF(表1_86121822242672122[[#This Row],[目标国家]]="魏",0,IF(表1_86121822242672122[[#This Row],[目标国家]]="蜀",1,2))</f>
        <v>1</v>
      </c>
      <c r="S54" s="109">
        <v>69824</v>
      </c>
      <c r="T54" s="109">
        <v>0</v>
      </c>
      <c r="U54" s="109">
        <v>655603</v>
      </c>
      <c r="V54" s="109">
        <v>10724</v>
      </c>
      <c r="W54" s="139">
        <v>648926</v>
      </c>
      <c r="X54" s="138" t="str">
        <f>"{"&amp;"'coin':"&amp;表1_86121822242672122[[#This Row],[补偿Coin]]&amp;",'"&amp;配置!$A$2&amp;"':"&amp;表1_86121822242672122[[#This Row],[补偿辎重]]&amp;"},"</f>
        <v>{'coin':1000,'item036':10},</v>
      </c>
      <c r="Y54" s="138" t="str">
        <f>"            'to_zone':'"&amp;表1_86121822242672122[[#This Row],[目标区服]]&amp;"',
            'reward':"&amp;表1_86121822242672122[[#This Row],[辅助导出]]&amp;"
            'country':["&amp;R53&amp;","&amp;R54&amp;","&amp;R55&amp;"],"</f>
        <v>            'to_zone':'h1_734',
            'reward':{'coin':1000,'item036':10},
            'country':[0,1,2],</v>
      </c>
    </row>
    <row r="55" ht="14.25" customHeight="1" spans="1:25">
      <c r="A55" s="91">
        <v>7081</v>
      </c>
      <c r="B55" s="91">
        <f>VLOOKUP(表1_86121822242672122[[#This Row],[区服]],$P$80:$Q$104,2,FALSE)</f>
        <v>41</v>
      </c>
      <c r="C55" s="92" t="s">
        <v>308</v>
      </c>
      <c r="D55" s="93" t="str">
        <f>表1_86121822242672122[[#This Row],[目标国家]]</f>
        <v>吴</v>
      </c>
      <c r="E55" s="94">
        <f>(VLOOKUP(表1_86121822242672122[[#This Row],[目标区服]],$R$80:$S$88,2,FALSE)-表1_86121822242672122[[#This Row],[开服天数]])*配置!$B$1</f>
        <v>1000</v>
      </c>
      <c r="F55" s="95">
        <f>表1_86121822242672122[[#This Row],[补偿Coin]]*(表1_86121822242672122[[#This Row],[活跃高战玩家数]]+表1_86121822242672122[[#This Row],[活跃中坚玩家数]])</f>
        <v>21000</v>
      </c>
      <c r="G55" s="95">
        <f>(VLOOKUP(表1_86121822242672122[[#This Row],[目标区服]],$R$80:$S$93,2,FALSE)-表1_86121822242672122[[#This Row],[开服天数]])*配置!$B$2</f>
        <v>10</v>
      </c>
      <c r="H55" s="93" t="s">
        <v>27</v>
      </c>
      <c r="I55" s="93">
        <f>IF(表1_86121822242672122[[#This Row],[原国家]]="魏",0,IF(表1_86121822242672122[[#This Row],[原国家]]="蜀",1,2))</f>
        <v>2</v>
      </c>
      <c r="J55" s="109">
        <v>3</v>
      </c>
      <c r="K55" s="109">
        <v>100</v>
      </c>
      <c r="L55" s="109">
        <v>1</v>
      </c>
      <c r="M55" s="109">
        <v>20</v>
      </c>
      <c r="N55" s="109">
        <v>76273</v>
      </c>
      <c r="O55" s="109">
        <v>1225683</v>
      </c>
      <c r="P55" s="109">
        <v>12353861</v>
      </c>
      <c r="Q55" s="137" t="s">
        <v>27</v>
      </c>
      <c r="R55" s="93">
        <f>IF(表1_86121822242672122[[#This Row],[目标国家]]="魏",0,IF(表1_86121822242672122[[#This Row],[目标国家]]="蜀",1,2))</f>
        <v>2</v>
      </c>
      <c r="S55" s="109">
        <v>10662</v>
      </c>
      <c r="T55" s="109">
        <v>0</v>
      </c>
      <c r="U55" s="109">
        <v>238141</v>
      </c>
      <c r="V55" s="109">
        <v>4581</v>
      </c>
      <c r="W55" s="109">
        <v>333029</v>
      </c>
      <c r="X55" s="140" t="str">
        <f>"{"&amp;"'coin':"&amp;表1_86121822242672122[[#This Row],[补偿Coin]]&amp;",'"&amp;配置!$A$2&amp;"':"&amp;表1_86121822242672122[[#This Row],[补偿辎重]]&amp;"},"</f>
        <v>{'coin':1000,'item036':10},</v>
      </c>
      <c r="Y55" s="138" t="str">
        <f>"      },"</f>
        <v>      },</v>
      </c>
    </row>
    <row r="56" ht="14.25" customHeight="1" spans="1:25">
      <c r="A56" s="91">
        <v>7082</v>
      </c>
      <c r="B56" s="91">
        <f>VLOOKUP(表1_86121822242672122[[#This Row],[区服]],$P$80:$Q$104,2,FALSE)</f>
        <v>41</v>
      </c>
      <c r="C56" s="92" t="s">
        <v>308</v>
      </c>
      <c r="D56" s="93" t="str">
        <f>表1_86121822242672122[[#This Row],[目标国家]]</f>
        <v>魏</v>
      </c>
      <c r="E56" s="94">
        <f>(VLOOKUP(表1_86121822242672122[[#This Row],[目标区服]],$R$80:$S$88,2,FALSE)-表1_86121822242672122[[#This Row],[开服天数]])*配置!$B$1</f>
        <v>1000</v>
      </c>
      <c r="F56" s="95">
        <f>表1_86121822242672122[[#This Row],[补偿Coin]]*(表1_86121822242672122[[#This Row],[活跃高战玩家数]]+表1_86121822242672122[[#This Row],[活跃中坚玩家数]])</f>
        <v>19000</v>
      </c>
      <c r="G56" s="95">
        <f>(VLOOKUP(表1_86121822242672122[[#This Row],[目标区服]],$R$80:$S$93,2,FALSE)-表1_86121822242672122[[#This Row],[开服天数]])*配置!$B$2</f>
        <v>10</v>
      </c>
      <c r="H56" s="93" t="s">
        <v>25</v>
      </c>
      <c r="I56" s="93">
        <f>IF(表1_86121822242672122[[#This Row],[原国家]]="魏",0,IF(表1_86121822242672122[[#This Row],[原国家]]="蜀",1,2))</f>
        <v>0</v>
      </c>
      <c r="J56" s="109">
        <v>5</v>
      </c>
      <c r="K56" s="109">
        <v>207</v>
      </c>
      <c r="L56" s="109">
        <v>8</v>
      </c>
      <c r="M56" s="109">
        <v>11</v>
      </c>
      <c r="N56" s="109">
        <v>126762</v>
      </c>
      <c r="O56" s="109">
        <v>1912282</v>
      </c>
      <c r="P56" s="109">
        <v>16788484</v>
      </c>
      <c r="Q56" s="137" t="s">
        <v>25</v>
      </c>
      <c r="R56" s="93">
        <f>IF(表1_86121822242672122[[#This Row],[目标国家]]="魏",0,IF(表1_86121822242672122[[#This Row],[目标国家]]="蜀",1,2))</f>
        <v>0</v>
      </c>
      <c r="S56" s="109">
        <v>12936</v>
      </c>
      <c r="T56" s="109">
        <v>0</v>
      </c>
      <c r="U56" s="109">
        <v>389931</v>
      </c>
      <c r="V56" s="109">
        <v>7377</v>
      </c>
      <c r="W56" s="139">
        <v>551905</v>
      </c>
      <c r="X56" s="138" t="str">
        <f>"{"&amp;"'coin':"&amp;表1_86121822242672122[[#This Row],[补偿Coin]]&amp;",'"&amp;配置!$A$2&amp;"':"&amp;表1_86121822242672122[[#This Row],[补偿辎重]]&amp;"},"</f>
        <v>{'coin':1000,'item036':10},</v>
      </c>
      <c r="Y56" s="138" t="str">
        <f>"      '"&amp;表1_86121822242672122[[#This Row],[区服]]&amp;"':{"</f>
        <v>      '7082':{</v>
      </c>
    </row>
    <row r="57" ht="14.25" customHeight="1" spans="1:25">
      <c r="A57" s="91">
        <v>7082</v>
      </c>
      <c r="B57" s="91">
        <f>VLOOKUP(表1_86121822242672122[[#This Row],[区服]],$P$80:$Q$104,2,FALSE)</f>
        <v>41</v>
      </c>
      <c r="C57" s="92" t="s">
        <v>308</v>
      </c>
      <c r="D57" s="93" t="str">
        <f>表1_86121822242672122[[#This Row],[目标国家]]</f>
        <v>魏</v>
      </c>
      <c r="E57" s="94">
        <f>(VLOOKUP(表1_86121822242672122[[#This Row],[目标区服]],$R$80:$S$88,2,FALSE)-表1_86121822242672122[[#This Row],[开服天数]])*配置!$B$1</f>
        <v>1000</v>
      </c>
      <c r="F57" s="95">
        <f>表1_86121822242672122[[#This Row],[补偿Coin]]*(表1_86121822242672122[[#This Row],[活跃高战玩家数]]+表1_86121822242672122[[#This Row],[活跃中坚玩家数]])</f>
        <v>21000</v>
      </c>
      <c r="G57" s="95">
        <f>(VLOOKUP(表1_86121822242672122[[#This Row],[目标区服]],$R$80:$S$93,2,FALSE)-表1_86121822242672122[[#This Row],[开服天数]])*配置!$B$2</f>
        <v>10</v>
      </c>
      <c r="H57" s="93" t="s">
        <v>26</v>
      </c>
      <c r="I57" s="93">
        <f>IF(表1_86121822242672122[[#This Row],[原国家]]="魏",0,IF(表1_86121822242672122[[#This Row],[原国家]]="蜀",1,2))</f>
        <v>1</v>
      </c>
      <c r="J57" s="109">
        <v>1</v>
      </c>
      <c r="K57" s="109">
        <v>61</v>
      </c>
      <c r="L57" s="109">
        <v>0</v>
      </c>
      <c r="M57" s="109">
        <v>21</v>
      </c>
      <c r="N57" s="109">
        <v>77630</v>
      </c>
      <c r="O57" s="109">
        <v>960484</v>
      </c>
      <c r="P57" s="109">
        <v>9918582</v>
      </c>
      <c r="Q57" s="137" t="s">
        <v>25</v>
      </c>
      <c r="R57" s="93">
        <f>IF(表1_86121822242672122[[#This Row],[目标国家]]="魏",0,IF(表1_86121822242672122[[#This Row],[目标国家]]="蜀",1,2))</f>
        <v>0</v>
      </c>
      <c r="S57" s="109">
        <v>1160</v>
      </c>
      <c r="T57" s="109">
        <v>0</v>
      </c>
      <c r="U57" s="109">
        <v>124374</v>
      </c>
      <c r="V57" s="109">
        <v>3147</v>
      </c>
      <c r="W57" s="109">
        <v>243478</v>
      </c>
      <c r="X57" s="138" t="str">
        <f>"{"&amp;"'coin':"&amp;表1_86121822242672122[[#This Row],[补偿Coin]]&amp;",'"&amp;配置!$A$2&amp;"':"&amp;表1_86121822242672122[[#This Row],[补偿辎重]]&amp;"},"</f>
        <v>{'coin':1000,'item036':10},</v>
      </c>
      <c r="Y57" s="138" t="str">
        <f>"            'to_zone':'"&amp;表1_86121822242672122[[#This Row],[目标区服]]&amp;"',
            'reward':"&amp;表1_86121822242672122[[#This Row],[辅助导出]]&amp;"
            'country':["&amp;R56&amp;","&amp;R57&amp;","&amp;R58&amp;"],"</f>
        <v>            'to_zone':'h1_734',
            'reward':{'coin':1000,'item036':10},
            'country':[0,0,2],</v>
      </c>
    </row>
    <row r="58" ht="14.25" customHeight="1" spans="1:25">
      <c r="A58" s="91">
        <v>7082</v>
      </c>
      <c r="B58" s="91">
        <f>VLOOKUP(表1_86121822242672122[[#This Row],[区服]],$P$80:$Q$104,2,FALSE)</f>
        <v>41</v>
      </c>
      <c r="C58" s="92" t="s">
        <v>308</v>
      </c>
      <c r="D58" s="93" t="str">
        <f>表1_86121822242672122[[#This Row],[目标国家]]</f>
        <v>吴</v>
      </c>
      <c r="E58" s="94">
        <f>(VLOOKUP(表1_86121822242672122[[#This Row],[目标区服]],$R$80:$S$88,2,FALSE)-表1_86121822242672122[[#This Row],[开服天数]])*配置!$B$1</f>
        <v>1000</v>
      </c>
      <c r="F58" s="95">
        <f>表1_86121822242672122[[#This Row],[补偿Coin]]*(表1_86121822242672122[[#This Row],[活跃高战玩家数]]+表1_86121822242672122[[#This Row],[活跃中坚玩家数]])</f>
        <v>17000</v>
      </c>
      <c r="G58" s="95">
        <f>(VLOOKUP(表1_86121822242672122[[#This Row],[目标区服]],$R$80:$S$93,2,FALSE)-表1_86121822242672122[[#This Row],[开服天数]])*配置!$B$2</f>
        <v>10</v>
      </c>
      <c r="H58" s="93" t="s">
        <v>27</v>
      </c>
      <c r="I58" s="93">
        <f>IF(表1_86121822242672122[[#This Row],[原国家]]="魏",0,IF(表1_86121822242672122[[#This Row],[原国家]]="蜀",1,2))</f>
        <v>2</v>
      </c>
      <c r="J58" s="109">
        <v>3</v>
      </c>
      <c r="K58" s="109">
        <v>127</v>
      </c>
      <c r="L58" s="109">
        <v>2</v>
      </c>
      <c r="M58" s="109">
        <v>15</v>
      </c>
      <c r="N58" s="109">
        <v>87923</v>
      </c>
      <c r="O58" s="109">
        <v>1984084</v>
      </c>
      <c r="P58" s="109">
        <v>12453577</v>
      </c>
      <c r="Q58" s="137" t="s">
        <v>27</v>
      </c>
      <c r="R58" s="93">
        <f>IF(表1_86121822242672122[[#This Row],[目标国家]]="魏",0,IF(表1_86121822242672122[[#This Row],[目标国家]]="蜀",1,2))</f>
        <v>2</v>
      </c>
      <c r="S58" s="109">
        <v>57162</v>
      </c>
      <c r="T58" s="109">
        <v>0</v>
      </c>
      <c r="U58" s="109">
        <v>178667</v>
      </c>
      <c r="V58" s="109">
        <v>7043</v>
      </c>
      <c r="W58" s="139">
        <v>829015</v>
      </c>
      <c r="X58" s="140" t="str">
        <f>"{"&amp;"'coin':"&amp;表1_86121822242672122[[#This Row],[补偿Coin]]&amp;",'"&amp;配置!$A$2&amp;"':"&amp;表1_86121822242672122[[#This Row],[补偿辎重]]&amp;"},"</f>
        <v>{'coin':1000,'item036':10},</v>
      </c>
      <c r="Y58" s="138" t="str">
        <f>"      },"</f>
        <v>      },</v>
      </c>
    </row>
    <row r="59" ht="14.25" customHeight="1" spans="1:25">
      <c r="A59" s="96">
        <v>7083</v>
      </c>
      <c r="B59" s="96">
        <f>VLOOKUP(表1_86121822242672122[[#This Row],[区服]],$P$80:$Q$104,2,FALSE)</f>
        <v>41</v>
      </c>
      <c r="C59" s="97" t="s">
        <v>309</v>
      </c>
      <c r="D59" s="98" t="str">
        <f>表1_86121822242672122[[#This Row],[目标国家]]</f>
        <v>魏</v>
      </c>
      <c r="E59" s="89">
        <f>(VLOOKUP(表1_86121822242672122[[#This Row],[目标区服]],$R$80:$S$88,2,FALSE)-表1_86121822242672122[[#This Row],[开服天数]])*配置!$B$1</f>
        <v>1000</v>
      </c>
      <c r="F59" s="99">
        <f>表1_86121822242672122[[#This Row],[补偿Coin]]*(表1_86121822242672122[[#This Row],[活跃高战玩家数]]+表1_86121822242672122[[#This Row],[活跃中坚玩家数]])</f>
        <v>23000</v>
      </c>
      <c r="G59" s="99">
        <f>(VLOOKUP(表1_86121822242672122[[#This Row],[目标区服]],$R$80:$S$93,2,FALSE)-表1_86121822242672122[[#This Row],[开服天数]])*配置!$B$2</f>
        <v>10</v>
      </c>
      <c r="H59" s="98" t="s">
        <v>25</v>
      </c>
      <c r="I59" s="98">
        <f>IF(表1_86121822242672122[[#This Row],[原国家]]="魏",0,IF(表1_86121822242672122[[#This Row],[原国家]]="蜀",1,2))</f>
        <v>0</v>
      </c>
      <c r="J59" s="110">
        <v>4</v>
      </c>
      <c r="K59" s="110">
        <v>163</v>
      </c>
      <c r="L59" s="110">
        <v>4</v>
      </c>
      <c r="M59" s="110">
        <v>19</v>
      </c>
      <c r="N59" s="110">
        <v>121802</v>
      </c>
      <c r="O59" s="110">
        <v>2229832</v>
      </c>
      <c r="P59" s="110">
        <v>16615569</v>
      </c>
      <c r="Q59" s="141" t="s">
        <v>25</v>
      </c>
      <c r="R59" s="98">
        <f>IF(表1_86121822242672122[[#This Row],[目标国家]]="魏",0,IF(表1_86121822242672122[[#This Row],[目标国家]]="蜀",1,2))</f>
        <v>0</v>
      </c>
      <c r="S59" s="110">
        <v>47104</v>
      </c>
      <c r="T59" s="110">
        <v>0</v>
      </c>
      <c r="U59" s="110">
        <v>608905</v>
      </c>
      <c r="V59" s="110">
        <v>8247</v>
      </c>
      <c r="W59" s="142">
        <v>628643</v>
      </c>
      <c r="X59" s="143" t="str">
        <f>"{"&amp;"'coin':"&amp;表1_86121822242672122[[#This Row],[补偿Coin]]&amp;",'"&amp;配置!$A$2&amp;"':"&amp;表1_86121822242672122[[#This Row],[补偿辎重]]&amp;"},"</f>
        <v>{'coin':1000,'item036':10},</v>
      </c>
      <c r="Y59" s="143" t="str">
        <f>"      '"&amp;表1_86121822242672122[[#This Row],[区服]]&amp;"':{"</f>
        <v>      '7083':{</v>
      </c>
    </row>
    <row r="60" ht="14.25" customHeight="1" spans="1:25">
      <c r="A60" s="96">
        <v>7083</v>
      </c>
      <c r="B60" s="96">
        <f>VLOOKUP(表1_86121822242672122[[#This Row],[区服]],$P$80:$Q$104,2,FALSE)</f>
        <v>41</v>
      </c>
      <c r="C60" s="97" t="s">
        <v>309</v>
      </c>
      <c r="D60" s="98" t="str">
        <f>表1_86121822242672122[[#This Row],[目标国家]]</f>
        <v>魏</v>
      </c>
      <c r="E60" s="89">
        <f>(VLOOKUP(表1_86121822242672122[[#This Row],[目标区服]],$R$80:$S$88,2,FALSE)-表1_86121822242672122[[#This Row],[开服天数]])*配置!$B$1</f>
        <v>1000</v>
      </c>
      <c r="F60" s="99">
        <f>表1_86121822242672122[[#This Row],[补偿Coin]]*(表1_86121822242672122[[#This Row],[活跃高战玩家数]]+表1_86121822242672122[[#This Row],[活跃中坚玩家数]])</f>
        <v>12000</v>
      </c>
      <c r="G60" s="99">
        <f>(VLOOKUP(表1_86121822242672122[[#This Row],[目标区服]],$R$80:$S$93,2,FALSE)-表1_86121822242672122[[#This Row],[开服天数]])*配置!$B$2</f>
        <v>10</v>
      </c>
      <c r="H60" s="98" t="s">
        <v>26</v>
      </c>
      <c r="I60" s="98">
        <f>IF(表1_86121822242672122[[#This Row],[原国家]]="魏",0,IF(表1_86121822242672122[[#This Row],[原国家]]="蜀",1,2))</f>
        <v>1</v>
      </c>
      <c r="J60" s="110">
        <v>2</v>
      </c>
      <c r="K60" s="110">
        <v>104</v>
      </c>
      <c r="L60" s="110">
        <v>2</v>
      </c>
      <c r="M60" s="110">
        <v>10</v>
      </c>
      <c r="N60" s="110">
        <v>45675</v>
      </c>
      <c r="O60" s="110">
        <v>1199149</v>
      </c>
      <c r="P60" s="110">
        <v>5882635</v>
      </c>
      <c r="Q60" s="141" t="s">
        <v>25</v>
      </c>
      <c r="R60" s="98">
        <f>IF(表1_86121822242672122[[#This Row],[目标国家]]="魏",0,IF(表1_86121822242672122[[#This Row],[目标国家]]="蜀",1,2))</f>
        <v>0</v>
      </c>
      <c r="S60" s="110">
        <v>5744</v>
      </c>
      <c r="T60" s="110">
        <v>0</v>
      </c>
      <c r="U60" s="110">
        <v>143582</v>
      </c>
      <c r="V60" s="110">
        <v>3499</v>
      </c>
      <c r="W60" s="110">
        <v>375935</v>
      </c>
      <c r="X60" s="143" t="str">
        <f>"{"&amp;"'coin':"&amp;表1_86121822242672122[[#This Row],[补偿Coin]]&amp;",'"&amp;配置!$A$2&amp;"':"&amp;表1_86121822242672122[[#This Row],[补偿辎重]]&amp;"},"</f>
        <v>{'coin':1000,'item036':10},</v>
      </c>
      <c r="Y60" s="143" t="str">
        <f>"            'to_zone':'"&amp;表1_86121822242672122[[#This Row],[目标区服]]&amp;"',
            'reward':"&amp;表1_86121822242672122[[#This Row],[辅助导出]]&amp;"
            'country':["&amp;R59&amp;","&amp;R60&amp;","&amp;R61&amp;"],"</f>
        <v>            'to_zone':'h1_735',
            'reward':{'coin':1000,'item036':10},
            'country':[0,0,1],</v>
      </c>
    </row>
    <row r="61" ht="14.25" customHeight="1" spans="1:25">
      <c r="A61" s="96">
        <v>7083</v>
      </c>
      <c r="B61" s="96">
        <f>VLOOKUP(表1_86121822242672122[[#This Row],[区服]],$P$80:$Q$104,2,FALSE)</f>
        <v>41</v>
      </c>
      <c r="C61" s="97" t="s">
        <v>309</v>
      </c>
      <c r="D61" s="98" t="str">
        <f>表1_86121822242672122[[#This Row],[目标国家]]</f>
        <v>蜀</v>
      </c>
      <c r="E61" s="89">
        <f>(VLOOKUP(表1_86121822242672122[[#This Row],[目标区服]],$R$80:$S$88,2,FALSE)-表1_86121822242672122[[#This Row],[开服天数]])*配置!$B$1</f>
        <v>1000</v>
      </c>
      <c r="F61" s="99">
        <f>表1_86121822242672122[[#This Row],[补偿Coin]]*(表1_86121822242672122[[#This Row],[活跃高战玩家数]]+表1_86121822242672122[[#This Row],[活跃中坚玩家数]])</f>
        <v>22000</v>
      </c>
      <c r="G61" s="99">
        <f>(VLOOKUP(表1_86121822242672122[[#This Row],[目标区服]],$R$80:$S$93,2,FALSE)-表1_86121822242672122[[#This Row],[开服天数]])*配置!$B$2</f>
        <v>10</v>
      </c>
      <c r="H61" s="98" t="s">
        <v>27</v>
      </c>
      <c r="I61" s="98">
        <f>IF(表1_86121822242672122[[#This Row],[原国家]]="魏",0,IF(表1_86121822242672122[[#This Row],[原国家]]="蜀",1,2))</f>
        <v>2</v>
      </c>
      <c r="J61" s="110">
        <v>3</v>
      </c>
      <c r="K61" s="110">
        <v>128</v>
      </c>
      <c r="L61" s="110">
        <v>4</v>
      </c>
      <c r="M61" s="110">
        <v>18</v>
      </c>
      <c r="N61" s="110">
        <v>121064</v>
      </c>
      <c r="O61" s="110">
        <v>1897200</v>
      </c>
      <c r="P61" s="110">
        <v>15675506</v>
      </c>
      <c r="Q61" s="141" t="s">
        <v>26</v>
      </c>
      <c r="R61" s="98">
        <f>IF(表1_86121822242672122[[#This Row],[目标国家]]="魏",0,IF(表1_86121822242672122[[#This Row],[目标国家]]="蜀",1,2))</f>
        <v>1</v>
      </c>
      <c r="S61" s="110">
        <v>21146</v>
      </c>
      <c r="T61" s="110">
        <v>0</v>
      </c>
      <c r="U61" s="110">
        <v>140582</v>
      </c>
      <c r="V61" s="110">
        <v>6354</v>
      </c>
      <c r="W61" s="110">
        <v>518176</v>
      </c>
      <c r="X61" s="144" t="str">
        <f>"{"&amp;"'coin':"&amp;表1_86121822242672122[[#This Row],[补偿Coin]]&amp;",'"&amp;配置!$A$2&amp;"':"&amp;表1_86121822242672122[[#This Row],[补偿辎重]]&amp;"},"</f>
        <v>{'coin':1000,'item036':10},</v>
      </c>
      <c r="Y61" s="143" t="str">
        <f>"      },"</f>
        <v>      },</v>
      </c>
    </row>
    <row r="62" ht="14.25" customHeight="1" spans="1:25">
      <c r="A62" s="96">
        <v>7084</v>
      </c>
      <c r="B62" s="96">
        <f>VLOOKUP(表1_86121822242672122[[#This Row],[区服]],$P$80:$Q$104,2,FALSE)</f>
        <v>41</v>
      </c>
      <c r="C62" s="97" t="s">
        <v>309</v>
      </c>
      <c r="D62" s="98" t="str">
        <f>表1_86121822242672122[[#This Row],[目标国家]]</f>
        <v>吴</v>
      </c>
      <c r="E62" s="89">
        <f>(VLOOKUP(表1_86121822242672122[[#This Row],[目标区服]],$R$80:$S$88,2,FALSE)-表1_86121822242672122[[#This Row],[开服天数]])*配置!$B$1</f>
        <v>1000</v>
      </c>
      <c r="F62" s="99">
        <f>表1_86121822242672122[[#This Row],[补偿Coin]]*(表1_86121822242672122[[#This Row],[活跃高战玩家数]]+表1_86121822242672122[[#This Row],[活跃中坚玩家数]])</f>
        <v>16000</v>
      </c>
      <c r="G62" s="99">
        <f>(VLOOKUP(表1_86121822242672122[[#This Row],[目标区服]],$R$80:$S$93,2,FALSE)-表1_86121822242672122[[#This Row],[开服天数]])*配置!$B$2</f>
        <v>10</v>
      </c>
      <c r="H62" s="98" t="s">
        <v>25</v>
      </c>
      <c r="I62" s="98">
        <f>IF(表1_86121822242672122[[#This Row],[原国家]]="魏",0,IF(表1_86121822242672122[[#This Row],[原国家]]="蜀",1,2))</f>
        <v>0</v>
      </c>
      <c r="J62" s="110">
        <v>2</v>
      </c>
      <c r="K62" s="110">
        <v>79</v>
      </c>
      <c r="L62" s="110">
        <v>1</v>
      </c>
      <c r="M62" s="110">
        <v>15</v>
      </c>
      <c r="N62" s="110">
        <v>57950</v>
      </c>
      <c r="O62" s="110">
        <v>1151563</v>
      </c>
      <c r="P62" s="110">
        <v>8880093</v>
      </c>
      <c r="Q62" s="141" t="s">
        <v>27</v>
      </c>
      <c r="R62" s="98">
        <f>IF(表1_86121822242672122[[#This Row],[目标国家]]="魏",0,IF(表1_86121822242672122[[#This Row],[目标国家]]="蜀",1,2))</f>
        <v>2</v>
      </c>
      <c r="S62" s="110">
        <v>24294</v>
      </c>
      <c r="T62" s="110">
        <v>0</v>
      </c>
      <c r="U62" s="110">
        <v>137953</v>
      </c>
      <c r="V62" s="110">
        <v>4117</v>
      </c>
      <c r="W62" s="110">
        <v>357662</v>
      </c>
      <c r="X62" s="143" t="str">
        <f>"{"&amp;"'coin':"&amp;表1_86121822242672122[[#This Row],[补偿Coin]]&amp;",'"&amp;配置!$A$2&amp;"':"&amp;表1_86121822242672122[[#This Row],[补偿辎重]]&amp;"},"</f>
        <v>{'coin':1000,'item036':10},</v>
      </c>
      <c r="Y62" s="143" t="str">
        <f>"      '"&amp;表1_86121822242672122[[#This Row],[区服]]&amp;"':{"</f>
        <v>      '7084':{</v>
      </c>
    </row>
    <row r="63" ht="14.25" customHeight="1" spans="1:25">
      <c r="A63" s="96">
        <v>7084</v>
      </c>
      <c r="B63" s="96">
        <f>VLOOKUP(表1_86121822242672122[[#This Row],[区服]],$P$80:$Q$104,2,FALSE)</f>
        <v>41</v>
      </c>
      <c r="C63" s="97" t="s">
        <v>309</v>
      </c>
      <c r="D63" s="98" t="str">
        <f>表1_86121822242672122[[#This Row],[目标国家]]</f>
        <v>蜀</v>
      </c>
      <c r="E63" s="89">
        <f>(VLOOKUP(表1_86121822242672122[[#This Row],[目标区服]],$R$80:$S$88,2,FALSE)-表1_86121822242672122[[#This Row],[开服天数]])*配置!$B$1</f>
        <v>1000</v>
      </c>
      <c r="F63" s="99">
        <f>表1_86121822242672122[[#This Row],[补偿Coin]]*(表1_86121822242672122[[#This Row],[活跃高战玩家数]]+表1_86121822242672122[[#This Row],[活跃中坚玩家数]])</f>
        <v>29000</v>
      </c>
      <c r="G63" s="99">
        <f>(VLOOKUP(表1_86121822242672122[[#This Row],[目标区服]],$R$80:$S$93,2,FALSE)-表1_86121822242672122[[#This Row],[开服天数]])*配置!$B$2</f>
        <v>10</v>
      </c>
      <c r="H63" s="98" t="s">
        <v>26</v>
      </c>
      <c r="I63" s="98">
        <f>IF(表1_86121822242672122[[#This Row],[原国家]]="魏",0,IF(表1_86121822242672122[[#This Row],[原国家]]="蜀",1,2))</f>
        <v>1</v>
      </c>
      <c r="J63" s="110">
        <v>4</v>
      </c>
      <c r="K63" s="110">
        <v>218</v>
      </c>
      <c r="L63" s="110">
        <v>6</v>
      </c>
      <c r="M63" s="110">
        <v>23</v>
      </c>
      <c r="N63" s="110">
        <v>140509</v>
      </c>
      <c r="O63" s="110">
        <v>1868057</v>
      </c>
      <c r="P63" s="110">
        <v>20575397</v>
      </c>
      <c r="Q63" s="141" t="s">
        <v>26</v>
      </c>
      <c r="R63" s="98">
        <f>IF(表1_86121822242672122[[#This Row],[目标国家]]="魏",0,IF(表1_86121822242672122[[#This Row],[目标国家]]="蜀",1,2))</f>
        <v>1</v>
      </c>
      <c r="S63" s="110">
        <v>45632</v>
      </c>
      <c r="T63" s="110">
        <v>0</v>
      </c>
      <c r="U63" s="110">
        <v>216167</v>
      </c>
      <c r="V63" s="110">
        <v>8685</v>
      </c>
      <c r="W63" s="142">
        <v>662300</v>
      </c>
      <c r="X63" s="143" t="str">
        <f>"{"&amp;"'coin':"&amp;表1_86121822242672122[[#This Row],[补偿Coin]]&amp;",'"&amp;配置!$A$2&amp;"':"&amp;表1_86121822242672122[[#This Row],[补偿辎重]]&amp;"},"</f>
        <v>{'coin':1000,'item036':10},</v>
      </c>
      <c r="Y63" s="143" t="str">
        <f>"            'to_zone':'"&amp;表1_86121822242672122[[#This Row],[目标区服]]&amp;"',
            'reward':"&amp;表1_86121822242672122[[#This Row],[辅助导出]]&amp;"
            'country':["&amp;R62&amp;","&amp;R63&amp;","&amp;R64&amp;"],"</f>
        <v>            'to_zone':'h1_735',
            'reward':{'coin':1000,'item036':10},
            'country':[2,1,2],</v>
      </c>
    </row>
    <row r="64" ht="14.25" customHeight="1" spans="1:25">
      <c r="A64" s="96">
        <v>7084</v>
      </c>
      <c r="B64" s="96">
        <f>VLOOKUP(表1_86121822242672122[[#This Row],[区服]],$P$80:$Q$104,2,FALSE)</f>
        <v>41</v>
      </c>
      <c r="C64" s="97" t="s">
        <v>309</v>
      </c>
      <c r="D64" s="98" t="str">
        <f>表1_86121822242672122[[#This Row],[目标国家]]</f>
        <v>吴</v>
      </c>
      <c r="E64" s="89">
        <f>(VLOOKUP(表1_86121822242672122[[#This Row],[目标区服]],$R$80:$S$88,2,FALSE)-表1_86121822242672122[[#This Row],[开服天数]])*配置!$B$1</f>
        <v>1000</v>
      </c>
      <c r="F64" s="99">
        <f>表1_86121822242672122[[#This Row],[补偿Coin]]*(表1_86121822242672122[[#This Row],[活跃高战玩家数]]+表1_86121822242672122[[#This Row],[活跃中坚玩家数]])</f>
        <v>21000</v>
      </c>
      <c r="G64" s="99">
        <f>(VLOOKUP(表1_86121822242672122[[#This Row],[目标区服]],$R$80:$S$93,2,FALSE)-表1_86121822242672122[[#This Row],[开服天数]])*配置!$B$2</f>
        <v>10</v>
      </c>
      <c r="H64" s="98" t="s">
        <v>27</v>
      </c>
      <c r="I64" s="98">
        <f>IF(表1_86121822242672122[[#This Row],[原国家]]="魏",0,IF(表1_86121822242672122[[#This Row],[原国家]]="蜀",1,2))</f>
        <v>2</v>
      </c>
      <c r="J64" s="110">
        <v>3</v>
      </c>
      <c r="K64" s="110">
        <v>98</v>
      </c>
      <c r="L64" s="110">
        <v>3</v>
      </c>
      <c r="M64" s="110">
        <v>18</v>
      </c>
      <c r="N64" s="110">
        <v>94863</v>
      </c>
      <c r="O64" s="110">
        <v>1628654</v>
      </c>
      <c r="P64" s="110">
        <v>14251931</v>
      </c>
      <c r="Q64" s="141" t="s">
        <v>27</v>
      </c>
      <c r="R64" s="98">
        <f>IF(表1_86121822242672122[[#This Row],[目标国家]]="魏",0,IF(表1_86121822242672122[[#This Row],[目标国家]]="蜀",1,2))</f>
        <v>2</v>
      </c>
      <c r="S64" s="110">
        <v>33762</v>
      </c>
      <c r="T64" s="110">
        <v>0</v>
      </c>
      <c r="U64" s="110">
        <v>285090</v>
      </c>
      <c r="V64" s="110">
        <v>5963</v>
      </c>
      <c r="W64" s="110">
        <v>451914</v>
      </c>
      <c r="X64" s="144" t="str">
        <f>"{"&amp;"'coin':"&amp;表1_86121822242672122[[#This Row],[补偿Coin]]&amp;",'"&amp;配置!$A$2&amp;"':"&amp;表1_86121822242672122[[#This Row],[补偿辎重]]&amp;"},"</f>
        <v>{'coin':1000,'item036':10},</v>
      </c>
      <c r="Y64" s="143" t="str">
        <f>"      },"</f>
        <v>      },</v>
      </c>
    </row>
    <row r="65" ht="14.25" customHeight="1" spans="1:25">
      <c r="A65" s="96">
        <v>7085</v>
      </c>
      <c r="B65" s="96">
        <f>VLOOKUP(表1_86121822242672122[[#This Row],[区服]],$P$80:$Q$104,2,FALSE)</f>
        <v>41</v>
      </c>
      <c r="C65" s="97" t="s">
        <v>309</v>
      </c>
      <c r="D65" s="98" t="str">
        <f>表1_86121822242672122[[#This Row],[目标国家]]</f>
        <v>吴</v>
      </c>
      <c r="E65" s="89">
        <f>(VLOOKUP(表1_86121822242672122[[#This Row],[目标区服]],$R$80:$S$88,2,FALSE)-表1_86121822242672122[[#This Row],[开服天数]])*配置!$B$1</f>
        <v>1000</v>
      </c>
      <c r="F65" s="99">
        <f>表1_86121822242672122[[#This Row],[补偿Coin]]*(表1_86121822242672122[[#This Row],[活跃高战玩家数]]+表1_86121822242672122[[#This Row],[活跃中坚玩家数]])</f>
        <v>20000</v>
      </c>
      <c r="G65" s="99">
        <f>(VLOOKUP(表1_86121822242672122[[#This Row],[目标区服]],$R$80:$S$93,2,FALSE)-表1_86121822242672122[[#This Row],[开服天数]])*配置!$B$2</f>
        <v>10</v>
      </c>
      <c r="H65" s="98" t="s">
        <v>25</v>
      </c>
      <c r="I65" s="98">
        <f>IF(表1_86121822242672122[[#This Row],[原国家]]="魏",0,IF(表1_86121822242672122[[#This Row],[原国家]]="蜀",1,2))</f>
        <v>0</v>
      </c>
      <c r="J65" s="110">
        <v>5</v>
      </c>
      <c r="K65" s="110">
        <v>197</v>
      </c>
      <c r="L65" s="110">
        <v>6</v>
      </c>
      <c r="M65" s="110">
        <v>14</v>
      </c>
      <c r="N65" s="110">
        <v>122298</v>
      </c>
      <c r="O65" s="110">
        <v>1829167</v>
      </c>
      <c r="P65" s="110">
        <v>15341205</v>
      </c>
      <c r="Q65" s="141" t="s">
        <v>27</v>
      </c>
      <c r="R65" s="98">
        <f>IF(表1_86121822242672122[[#This Row],[目标国家]]="魏",0,IF(表1_86121822242672122[[#This Row],[目标国家]]="蜀",1,2))</f>
        <v>2</v>
      </c>
      <c r="S65" s="110">
        <v>25402</v>
      </c>
      <c r="T65" s="110">
        <v>0</v>
      </c>
      <c r="U65" s="110">
        <v>378103</v>
      </c>
      <c r="V65" s="110">
        <v>7395</v>
      </c>
      <c r="W65" s="142">
        <v>535966</v>
      </c>
      <c r="X65" s="143" t="str">
        <f>"{"&amp;"'coin':"&amp;表1_86121822242672122[[#This Row],[补偿Coin]]&amp;",'"&amp;配置!$A$2&amp;"':"&amp;表1_86121822242672122[[#This Row],[补偿辎重]]&amp;"},"</f>
        <v>{'coin':1000,'item036':10},</v>
      </c>
      <c r="Y65" s="143" t="str">
        <f>"      '"&amp;表1_86121822242672122[[#This Row],[区服]]&amp;"':{"</f>
        <v>      '7085':{</v>
      </c>
    </row>
    <row r="66" ht="14.25" customHeight="1" spans="1:25">
      <c r="A66" s="96">
        <v>7085</v>
      </c>
      <c r="B66" s="96">
        <f>VLOOKUP(表1_86121822242672122[[#This Row],[区服]],$P$80:$Q$104,2,FALSE)</f>
        <v>41</v>
      </c>
      <c r="C66" s="97" t="s">
        <v>309</v>
      </c>
      <c r="D66" s="98" t="str">
        <f>表1_86121822242672122[[#This Row],[目标国家]]</f>
        <v>蜀</v>
      </c>
      <c r="E66" s="89">
        <f>(VLOOKUP(表1_86121822242672122[[#This Row],[目标区服]],$R$80:$S$88,2,FALSE)-表1_86121822242672122[[#This Row],[开服天数]])*配置!$B$1</f>
        <v>1000</v>
      </c>
      <c r="F66" s="99">
        <f>表1_86121822242672122[[#This Row],[补偿Coin]]*(表1_86121822242672122[[#This Row],[活跃高战玩家数]]+表1_86121822242672122[[#This Row],[活跃中坚玩家数]])</f>
        <v>11000</v>
      </c>
      <c r="G66" s="99">
        <f>(VLOOKUP(表1_86121822242672122[[#This Row],[目标区服]],$R$80:$S$93,2,FALSE)-表1_86121822242672122[[#This Row],[开服天数]])*配置!$B$2</f>
        <v>10</v>
      </c>
      <c r="H66" s="98" t="s">
        <v>26</v>
      </c>
      <c r="I66" s="98">
        <f>IF(表1_86121822242672122[[#This Row],[原国家]]="魏",0,IF(表1_86121822242672122[[#This Row],[原国家]]="蜀",1,2))</f>
        <v>1</v>
      </c>
      <c r="J66" s="110">
        <v>0</v>
      </c>
      <c r="K66" s="110">
        <v>28</v>
      </c>
      <c r="L66" s="110">
        <v>0</v>
      </c>
      <c r="M66" s="110">
        <v>11</v>
      </c>
      <c r="N66" s="110">
        <v>38762</v>
      </c>
      <c r="O66" s="110">
        <v>638303</v>
      </c>
      <c r="P66" s="110">
        <v>3834873</v>
      </c>
      <c r="Q66" s="141" t="s">
        <v>26</v>
      </c>
      <c r="R66" s="98">
        <f>IF(表1_86121822242672122[[#This Row],[目标国家]]="魏",0,IF(表1_86121822242672122[[#This Row],[目标国家]]="蜀",1,2))</f>
        <v>1</v>
      </c>
      <c r="S66" s="110">
        <v>2486</v>
      </c>
      <c r="T66" s="110">
        <v>0</v>
      </c>
      <c r="U66" s="110">
        <v>88125</v>
      </c>
      <c r="V66" s="110">
        <v>1614</v>
      </c>
      <c r="W66" s="110">
        <v>184447</v>
      </c>
      <c r="X66" s="143" t="str">
        <f>"{"&amp;"'coin':"&amp;表1_86121822242672122[[#This Row],[补偿Coin]]&amp;",'"&amp;配置!$A$2&amp;"':"&amp;表1_86121822242672122[[#This Row],[补偿辎重]]&amp;"},"</f>
        <v>{'coin':1000,'item036':10},</v>
      </c>
      <c r="Y66" s="143" t="str">
        <f>"            'to_zone':'"&amp;表1_86121822242672122[[#This Row],[目标区服]]&amp;"',
            'reward':"&amp;表1_86121822242672122[[#This Row],[辅助导出]]&amp;"
            'country':["&amp;R65&amp;","&amp;R66&amp;","&amp;R67&amp;"],"</f>
        <v>            'to_zone':'h1_735',
            'reward':{'coin':1000,'item036':10},
            'country':[2,1,0],</v>
      </c>
    </row>
    <row r="67" ht="14.25" customHeight="1" spans="1:25">
      <c r="A67" s="96">
        <v>7085</v>
      </c>
      <c r="B67" s="96">
        <f>VLOOKUP(表1_86121822242672122[[#This Row],[区服]],$P$80:$Q$104,2,FALSE)</f>
        <v>41</v>
      </c>
      <c r="C67" s="97" t="s">
        <v>309</v>
      </c>
      <c r="D67" s="98" t="str">
        <f>表1_86121822242672122[[#This Row],[目标国家]]</f>
        <v>魏</v>
      </c>
      <c r="E67" s="89">
        <f>(VLOOKUP(表1_86121822242672122[[#This Row],[目标区服]],$R$80:$S$88,2,FALSE)-表1_86121822242672122[[#This Row],[开服天数]])*配置!$B$1</f>
        <v>1000</v>
      </c>
      <c r="F67" s="99">
        <f>表1_86121822242672122[[#This Row],[补偿Coin]]*(表1_86121822242672122[[#This Row],[活跃高战玩家数]]+表1_86121822242672122[[#This Row],[活跃中坚玩家数]])</f>
        <v>18000</v>
      </c>
      <c r="G67" s="99">
        <f>(VLOOKUP(表1_86121822242672122[[#This Row],[目标区服]],$R$80:$S$93,2,FALSE)-表1_86121822242672122[[#This Row],[开服天数]])*配置!$B$2</f>
        <v>10</v>
      </c>
      <c r="H67" s="98" t="s">
        <v>27</v>
      </c>
      <c r="I67" s="98">
        <f>IF(表1_86121822242672122[[#This Row],[原国家]]="魏",0,IF(表1_86121822242672122[[#This Row],[原国家]]="蜀",1,2))</f>
        <v>2</v>
      </c>
      <c r="J67" s="110">
        <v>4</v>
      </c>
      <c r="K67" s="110">
        <v>170</v>
      </c>
      <c r="L67" s="110">
        <v>4</v>
      </c>
      <c r="M67" s="110">
        <v>14</v>
      </c>
      <c r="N67" s="110">
        <v>115757</v>
      </c>
      <c r="O67" s="110">
        <v>1981546</v>
      </c>
      <c r="P67" s="110">
        <v>13867562</v>
      </c>
      <c r="Q67" s="141" t="s">
        <v>25</v>
      </c>
      <c r="R67" s="98">
        <f>IF(表1_86121822242672122[[#This Row],[目标国家]]="魏",0,IF(表1_86121822242672122[[#This Row],[目标国家]]="蜀",1,2))</f>
        <v>0</v>
      </c>
      <c r="S67" s="110">
        <v>16824</v>
      </c>
      <c r="T67" s="110">
        <v>0</v>
      </c>
      <c r="U67" s="110">
        <v>250203</v>
      </c>
      <c r="V67" s="110">
        <v>6676</v>
      </c>
      <c r="W67" s="110">
        <v>520862</v>
      </c>
      <c r="X67" s="144" t="str">
        <f>"{"&amp;"'coin':"&amp;表1_86121822242672122[[#This Row],[补偿Coin]]&amp;",'"&amp;配置!$A$2&amp;"':"&amp;表1_86121822242672122[[#This Row],[补偿辎重]]&amp;"},"</f>
        <v>{'coin':1000,'item036':10},</v>
      </c>
      <c r="Y67" s="143" t="str">
        <f>"      },"</f>
        <v>      },</v>
      </c>
    </row>
    <row r="68" ht="14.25" customHeight="1" spans="1:25">
      <c r="A68" s="150">
        <v>7086</v>
      </c>
      <c r="B68" s="150">
        <f>VLOOKUP(表1_86121822242672122[[#This Row],[区服]],$P$80:$Q$104,2,FALSE)</f>
        <v>40</v>
      </c>
      <c r="C68" s="151" t="s">
        <v>310</v>
      </c>
      <c r="D68" s="152" t="str">
        <f>表1_86121822242672122[[#This Row],[目标国家]]</f>
        <v>魏</v>
      </c>
      <c r="E68" s="153">
        <f>(VLOOKUP(表1_86121822242672122[[#This Row],[目标区服]],$R$80:$S$88,2,FALSE)-表1_86121822242672122[[#This Row],[开服天数]])*配置!$B$1</f>
        <v>1000</v>
      </c>
      <c r="F68" s="154">
        <f>表1_86121822242672122[[#This Row],[补偿Coin]]*(表1_86121822242672122[[#This Row],[活跃高战玩家数]]+表1_86121822242672122[[#This Row],[活跃中坚玩家数]])</f>
        <v>25000</v>
      </c>
      <c r="G68" s="154">
        <f>(VLOOKUP(表1_86121822242672122[[#This Row],[目标区服]],$R$80:$S$93,2,FALSE)-表1_86121822242672122[[#This Row],[开服天数]])*配置!$B$2</f>
        <v>10</v>
      </c>
      <c r="H68" s="152" t="s">
        <v>25</v>
      </c>
      <c r="I68" s="152">
        <f>IF(表1_86121822242672122[[#This Row],[原国家]]="魏",0,IF(表1_86121822242672122[[#This Row],[原国家]]="蜀",1,2))</f>
        <v>0</v>
      </c>
      <c r="J68" s="191">
        <v>3</v>
      </c>
      <c r="K68" s="191">
        <v>115</v>
      </c>
      <c r="L68" s="191">
        <v>3</v>
      </c>
      <c r="M68" s="191">
        <v>22</v>
      </c>
      <c r="N68" s="191">
        <v>111882</v>
      </c>
      <c r="O68" s="191">
        <v>1740183</v>
      </c>
      <c r="P68" s="191">
        <v>17221867</v>
      </c>
      <c r="Q68" s="193" t="s">
        <v>25</v>
      </c>
      <c r="R68" s="152">
        <f>IF(表1_86121822242672122[[#This Row],[目标国家]]="魏",0,IF(表1_86121822242672122[[#This Row],[目标国家]]="蜀",1,2))</f>
        <v>0</v>
      </c>
      <c r="S68" s="191">
        <v>22470</v>
      </c>
      <c r="T68" s="191">
        <v>0</v>
      </c>
      <c r="U68" s="191">
        <v>323033</v>
      </c>
      <c r="V68" s="191">
        <v>6307</v>
      </c>
      <c r="W68" s="191">
        <v>557311</v>
      </c>
      <c r="X68" s="194" t="str">
        <f>"{"&amp;"'coin':"&amp;表1_86121822242672122[[#This Row],[补偿Coin]]&amp;",'"&amp;配置!$A$2&amp;"':"&amp;表1_86121822242672122[[#This Row],[补偿辎重]]&amp;"},"</f>
        <v>{'coin':1000,'item036':10},</v>
      </c>
      <c r="Y68" s="194" t="str">
        <f>"      '"&amp;表1_86121822242672122[[#This Row],[区服]]&amp;"':{"</f>
        <v>      '7086':{</v>
      </c>
    </row>
    <row r="69" ht="14.25" customHeight="1" spans="1:25">
      <c r="A69" s="150">
        <v>7086</v>
      </c>
      <c r="B69" s="150">
        <f>VLOOKUP(表1_86121822242672122[[#This Row],[区服]],$P$80:$Q$104,2,FALSE)</f>
        <v>40</v>
      </c>
      <c r="C69" s="151" t="s">
        <v>310</v>
      </c>
      <c r="D69" s="152" t="str">
        <f>表1_86121822242672122[[#This Row],[目标国家]]</f>
        <v>蜀</v>
      </c>
      <c r="E69" s="153">
        <f>(VLOOKUP(表1_86121822242672122[[#This Row],[目标区服]],$R$80:$S$88,2,FALSE)-表1_86121822242672122[[#This Row],[开服天数]])*配置!$B$1</f>
        <v>1000</v>
      </c>
      <c r="F69" s="154">
        <f>表1_86121822242672122[[#This Row],[补偿Coin]]*(表1_86121822242672122[[#This Row],[活跃高战玩家数]]+表1_86121822242672122[[#This Row],[活跃中坚玩家数]])</f>
        <v>26000</v>
      </c>
      <c r="G69" s="154">
        <f>(VLOOKUP(表1_86121822242672122[[#This Row],[目标区服]],$R$80:$S$93,2,FALSE)-表1_86121822242672122[[#This Row],[开服天数]])*配置!$B$2</f>
        <v>10</v>
      </c>
      <c r="H69" s="152" t="s">
        <v>26</v>
      </c>
      <c r="I69" s="152">
        <f>IF(表1_86121822242672122[[#This Row],[原国家]]="魏",0,IF(表1_86121822242672122[[#This Row],[原国家]]="蜀",1,2))</f>
        <v>1</v>
      </c>
      <c r="J69" s="191">
        <v>4</v>
      </c>
      <c r="K69" s="191">
        <v>202</v>
      </c>
      <c r="L69" s="191">
        <v>3</v>
      </c>
      <c r="M69" s="191">
        <v>23</v>
      </c>
      <c r="N69" s="191">
        <v>109994</v>
      </c>
      <c r="O69" s="191">
        <v>1885062</v>
      </c>
      <c r="P69" s="191">
        <v>17526104</v>
      </c>
      <c r="Q69" s="193" t="s">
        <v>26</v>
      </c>
      <c r="R69" s="152">
        <f>IF(表1_86121822242672122[[#This Row],[目标国家]]="魏",0,IF(表1_86121822242672122[[#This Row],[目标国家]]="蜀",1,2))</f>
        <v>1</v>
      </c>
      <c r="S69" s="191">
        <v>26054</v>
      </c>
      <c r="T69" s="191">
        <v>0</v>
      </c>
      <c r="U69" s="191">
        <v>337722</v>
      </c>
      <c r="V69" s="191">
        <v>7558</v>
      </c>
      <c r="W69" s="191">
        <v>589725</v>
      </c>
      <c r="X69" s="194" t="str">
        <f>"{"&amp;"'coin':"&amp;表1_86121822242672122[[#This Row],[补偿Coin]]&amp;",'"&amp;配置!$A$2&amp;"':"&amp;表1_86121822242672122[[#This Row],[补偿辎重]]&amp;"},"</f>
        <v>{'coin':1000,'item036':10},</v>
      </c>
      <c r="Y69" s="194" t="str">
        <f>"            'to_zone':'"&amp;表1_86121822242672122[[#This Row],[目标区服]]&amp;"',
            'reward':"&amp;表1_86121822242672122[[#This Row],[辅助导出]]&amp;"
            'country':["&amp;R68&amp;","&amp;R69&amp;","&amp;R70&amp;"],"</f>
        <v>            'to_zone':'h1_736',
            'reward':{'coin':1000,'item036':10},
            'country':[0,1,2],</v>
      </c>
    </row>
    <row r="70" ht="14.25" customHeight="1" spans="1:25">
      <c r="A70" s="150">
        <v>7086</v>
      </c>
      <c r="B70" s="150">
        <f>VLOOKUP(表1_86121822242672122[[#This Row],[区服]],$P$80:$Q$104,2,FALSE)</f>
        <v>40</v>
      </c>
      <c r="C70" s="151" t="s">
        <v>310</v>
      </c>
      <c r="D70" s="152" t="str">
        <f>表1_86121822242672122[[#This Row],[目标国家]]</f>
        <v>吴</v>
      </c>
      <c r="E70" s="153">
        <f>(VLOOKUP(表1_86121822242672122[[#This Row],[目标区服]],$R$80:$S$88,2,FALSE)-表1_86121822242672122[[#This Row],[开服天数]])*配置!$B$1</f>
        <v>1000</v>
      </c>
      <c r="F70" s="154">
        <f>表1_86121822242672122[[#This Row],[补偿Coin]]*(表1_86121822242672122[[#This Row],[活跃高战玩家数]]+表1_86121822242672122[[#This Row],[活跃中坚玩家数]])</f>
        <v>17000</v>
      </c>
      <c r="G70" s="154">
        <f>(VLOOKUP(表1_86121822242672122[[#This Row],[目标区服]],$R$80:$S$93,2,FALSE)-表1_86121822242672122[[#This Row],[开服天数]])*配置!$B$2</f>
        <v>10</v>
      </c>
      <c r="H70" s="152" t="s">
        <v>27</v>
      </c>
      <c r="I70" s="152">
        <f>IF(表1_86121822242672122[[#This Row],[原国家]]="魏",0,IF(表1_86121822242672122[[#This Row],[原国家]]="蜀",1,2))</f>
        <v>2</v>
      </c>
      <c r="J70" s="191">
        <v>2</v>
      </c>
      <c r="K70" s="191">
        <v>78</v>
      </c>
      <c r="L70" s="191">
        <v>4</v>
      </c>
      <c r="M70" s="191">
        <v>13</v>
      </c>
      <c r="N70" s="191">
        <v>77734</v>
      </c>
      <c r="O70" s="191">
        <v>1804954</v>
      </c>
      <c r="P70" s="191">
        <v>12601767</v>
      </c>
      <c r="Q70" s="193" t="s">
        <v>27</v>
      </c>
      <c r="R70" s="152">
        <f>IF(表1_86121822242672122[[#This Row],[目标国家]]="魏",0,IF(表1_86121822242672122[[#This Row],[目标国家]]="蜀",1,2))</f>
        <v>2</v>
      </c>
      <c r="S70" s="191">
        <v>30296</v>
      </c>
      <c r="T70" s="191">
        <v>0</v>
      </c>
      <c r="U70" s="191">
        <v>178945</v>
      </c>
      <c r="V70" s="191">
        <v>5432</v>
      </c>
      <c r="W70" s="195">
        <v>616348</v>
      </c>
      <c r="X70" s="196" t="str">
        <f>"{"&amp;"'coin':"&amp;表1_86121822242672122[[#This Row],[补偿Coin]]&amp;",'"&amp;配置!$A$2&amp;"':"&amp;表1_86121822242672122[[#This Row],[补偿辎重]]&amp;"},"</f>
        <v>{'coin':1000,'item036':10},</v>
      </c>
      <c r="Y70" s="194" t="str">
        <f>"      },"</f>
        <v>      },</v>
      </c>
    </row>
    <row r="71" ht="14.25" customHeight="1" spans="1:25">
      <c r="A71" s="150">
        <v>7087</v>
      </c>
      <c r="B71" s="150">
        <f>VLOOKUP(表1_86121822242672122[[#This Row],[区服]],$P$80:$Q$104,2,FALSE)</f>
        <v>40</v>
      </c>
      <c r="C71" s="151" t="s">
        <v>310</v>
      </c>
      <c r="D71" s="152" t="str">
        <f>表1_86121822242672122[[#This Row],[目标国家]]</f>
        <v>魏</v>
      </c>
      <c r="E71" s="153">
        <f>(VLOOKUP(表1_86121822242672122[[#This Row],[目标区服]],$R$80:$S$88,2,FALSE)-表1_86121822242672122[[#This Row],[开服天数]])*配置!$B$1</f>
        <v>1000</v>
      </c>
      <c r="F71" s="154">
        <f>表1_86121822242672122[[#This Row],[补偿Coin]]*(表1_86121822242672122[[#This Row],[活跃高战玩家数]]+表1_86121822242672122[[#This Row],[活跃中坚玩家数]])</f>
        <v>26000</v>
      </c>
      <c r="G71" s="154">
        <f>(VLOOKUP(表1_86121822242672122[[#This Row],[目标区服]],$R$80:$S$93,2,FALSE)-表1_86121822242672122[[#This Row],[开服天数]])*配置!$B$2</f>
        <v>10</v>
      </c>
      <c r="H71" s="152" t="s">
        <v>25</v>
      </c>
      <c r="I71" s="152">
        <f>IF(表1_86121822242672122[[#This Row],[原国家]]="魏",0,IF(表1_86121822242672122[[#This Row],[原国家]]="蜀",1,2))</f>
        <v>0</v>
      </c>
      <c r="J71" s="191">
        <v>4</v>
      </c>
      <c r="K71" s="191">
        <v>120</v>
      </c>
      <c r="L71" s="191">
        <v>5</v>
      </c>
      <c r="M71" s="191">
        <v>21</v>
      </c>
      <c r="N71" s="191">
        <v>108932</v>
      </c>
      <c r="O71" s="191">
        <v>2639464</v>
      </c>
      <c r="P71" s="191">
        <v>20425471</v>
      </c>
      <c r="Q71" s="193" t="s">
        <v>25</v>
      </c>
      <c r="R71" s="152">
        <f>IF(表1_86121822242672122[[#This Row],[目标国家]]="魏",0,IF(表1_86121822242672122[[#This Row],[目标国家]]="蜀",1,2))</f>
        <v>0</v>
      </c>
      <c r="S71" s="191">
        <v>86686</v>
      </c>
      <c r="T71" s="191">
        <v>0</v>
      </c>
      <c r="U71" s="191">
        <v>785344</v>
      </c>
      <c r="V71" s="191">
        <v>9819</v>
      </c>
      <c r="W71" s="195">
        <v>852545</v>
      </c>
      <c r="X71" s="194" t="str">
        <f>"{"&amp;"'coin':"&amp;表1_86121822242672122[[#This Row],[补偿Coin]]&amp;",'"&amp;配置!$A$2&amp;"':"&amp;表1_86121822242672122[[#This Row],[补偿辎重]]&amp;"},"</f>
        <v>{'coin':1000,'item036':10},</v>
      </c>
      <c r="Y71" s="194" t="str">
        <f>"      '"&amp;表1_86121822242672122[[#This Row],[区服]]&amp;"':{"</f>
        <v>      '7087':{</v>
      </c>
    </row>
    <row r="72" ht="14.25" customHeight="1" spans="1:25">
      <c r="A72" s="150">
        <v>7087</v>
      </c>
      <c r="B72" s="150">
        <f>VLOOKUP(表1_86121822242672122[[#This Row],[区服]],$P$80:$Q$104,2,FALSE)</f>
        <v>40</v>
      </c>
      <c r="C72" s="151" t="s">
        <v>310</v>
      </c>
      <c r="D72" s="152" t="str">
        <f>表1_86121822242672122[[#This Row],[目标国家]]</f>
        <v>蜀</v>
      </c>
      <c r="E72" s="153">
        <f>(VLOOKUP(表1_86121822242672122[[#This Row],[目标区服]],$R$80:$S$88,2,FALSE)-表1_86121822242672122[[#This Row],[开服天数]])*配置!$B$1</f>
        <v>1000</v>
      </c>
      <c r="F72" s="154">
        <f>表1_86121822242672122[[#This Row],[补偿Coin]]*(表1_86121822242672122[[#This Row],[活跃高战玩家数]]+表1_86121822242672122[[#This Row],[活跃中坚玩家数]])</f>
        <v>27000</v>
      </c>
      <c r="G72" s="154">
        <f>(VLOOKUP(表1_86121822242672122[[#This Row],[目标区服]],$R$80:$S$93,2,FALSE)-表1_86121822242672122[[#This Row],[开服天数]])*配置!$B$2</f>
        <v>10</v>
      </c>
      <c r="H72" s="152" t="s">
        <v>26</v>
      </c>
      <c r="I72" s="152">
        <f>IF(表1_86121822242672122[[#This Row],[原国家]]="魏",0,IF(表1_86121822242672122[[#This Row],[原国家]]="蜀",1,2))</f>
        <v>1</v>
      </c>
      <c r="J72" s="191">
        <v>3</v>
      </c>
      <c r="K72" s="191">
        <v>186</v>
      </c>
      <c r="L72" s="191">
        <v>2</v>
      </c>
      <c r="M72" s="191">
        <v>25</v>
      </c>
      <c r="N72" s="191">
        <v>105546</v>
      </c>
      <c r="O72" s="191">
        <v>1618503</v>
      </c>
      <c r="P72" s="191">
        <v>17882464</v>
      </c>
      <c r="Q72" s="193" t="s">
        <v>26</v>
      </c>
      <c r="R72" s="152">
        <f>IF(表1_86121822242672122[[#This Row],[目标国家]]="魏",0,IF(表1_86121822242672122[[#This Row],[目标国家]]="蜀",1,2))</f>
        <v>1</v>
      </c>
      <c r="S72" s="191">
        <v>24376</v>
      </c>
      <c r="T72" s="191">
        <v>0</v>
      </c>
      <c r="U72" s="191">
        <v>98200</v>
      </c>
      <c r="V72" s="191">
        <v>6874</v>
      </c>
      <c r="W72" s="191">
        <v>556607</v>
      </c>
      <c r="X72" s="194" t="str">
        <f>"{"&amp;"'coin':"&amp;表1_86121822242672122[[#This Row],[补偿Coin]]&amp;",'"&amp;配置!$A$2&amp;"':"&amp;表1_86121822242672122[[#This Row],[补偿辎重]]&amp;"},"</f>
        <v>{'coin':1000,'item036':10},</v>
      </c>
      <c r="Y72" s="194" t="str">
        <f>"            'to_zone':'"&amp;表1_86121822242672122[[#This Row],[目标区服]]&amp;"',
            'reward':"&amp;表1_86121822242672122[[#This Row],[辅助导出]]&amp;"
            'country':["&amp;R71&amp;","&amp;R72&amp;","&amp;R73&amp;"],"</f>
        <v>            'to_zone':'h1_736',
            'reward':{'coin':1000,'item036':10},
            'country':[0,1,2],</v>
      </c>
    </row>
    <row r="73" ht="14.25" customHeight="1" spans="1:25">
      <c r="A73" s="150">
        <v>7087</v>
      </c>
      <c r="B73" s="150">
        <f>VLOOKUP(表1_86121822242672122[[#This Row],[区服]],$P$80:$Q$104,2,FALSE)</f>
        <v>40</v>
      </c>
      <c r="C73" s="151" t="s">
        <v>310</v>
      </c>
      <c r="D73" s="152" t="str">
        <f>表1_86121822242672122[[#This Row],[目标国家]]</f>
        <v>吴</v>
      </c>
      <c r="E73" s="153">
        <f>(VLOOKUP(表1_86121822242672122[[#This Row],[目标区服]],$R$80:$S$88,2,FALSE)-表1_86121822242672122[[#This Row],[开服天数]])*配置!$B$1</f>
        <v>1000</v>
      </c>
      <c r="F73" s="154">
        <f>表1_86121822242672122[[#This Row],[补偿Coin]]*(表1_86121822242672122[[#This Row],[活跃高战玩家数]]+表1_86121822242672122[[#This Row],[活跃中坚玩家数]])</f>
        <v>26000</v>
      </c>
      <c r="G73" s="154">
        <f>(VLOOKUP(表1_86121822242672122[[#This Row],[目标区服]],$R$80:$S$93,2,FALSE)-表1_86121822242672122[[#This Row],[开服天数]])*配置!$B$2</f>
        <v>10</v>
      </c>
      <c r="H73" s="152" t="s">
        <v>27</v>
      </c>
      <c r="I73" s="152">
        <f>IF(表1_86121822242672122[[#This Row],[原国家]]="魏",0,IF(表1_86121822242672122[[#This Row],[原国家]]="蜀",1,2))</f>
        <v>2</v>
      </c>
      <c r="J73" s="191">
        <v>2</v>
      </c>
      <c r="K73" s="191">
        <v>89</v>
      </c>
      <c r="L73" s="191">
        <v>3</v>
      </c>
      <c r="M73" s="191">
        <v>23</v>
      </c>
      <c r="N73" s="191">
        <v>95792</v>
      </c>
      <c r="O73" s="191">
        <v>1891164</v>
      </c>
      <c r="P73" s="191">
        <v>17434013</v>
      </c>
      <c r="Q73" s="193" t="s">
        <v>27</v>
      </c>
      <c r="R73" s="152">
        <f>IF(表1_86121822242672122[[#This Row],[目标国家]]="魏",0,IF(表1_86121822242672122[[#This Row],[目标国家]]="蜀",1,2))</f>
        <v>2</v>
      </c>
      <c r="S73" s="191">
        <v>26500</v>
      </c>
      <c r="T73" s="191">
        <v>0</v>
      </c>
      <c r="U73" s="191">
        <v>185504</v>
      </c>
      <c r="V73" s="191">
        <v>6091</v>
      </c>
      <c r="W73" s="191">
        <v>525609</v>
      </c>
      <c r="X73" s="194" t="str">
        <f>"{"&amp;"'coin':"&amp;表1_86121822242672122[[#This Row],[补偿Coin]]&amp;",'"&amp;配置!$A$2&amp;"':"&amp;表1_86121822242672122[[#This Row],[补偿辎重]]&amp;"},"</f>
        <v>{'coin':1000,'item036':10},</v>
      </c>
      <c r="Y73" s="194" t="str">
        <f>"      },"</f>
        <v>      },</v>
      </c>
    </row>
    <row r="74" ht="14.25" customHeight="1" spans="1:25">
      <c r="A74" s="150">
        <v>7088</v>
      </c>
      <c r="B74" s="150">
        <f>VLOOKUP(表1_86121822242672122[[#This Row],[区服]],$P$80:$Q$104,2,FALSE)</f>
        <v>40</v>
      </c>
      <c r="C74" s="151" t="s">
        <v>310</v>
      </c>
      <c r="D74" s="152" t="str">
        <f>表1_86121822242672122[[#This Row],[目标国家]]</f>
        <v>蜀</v>
      </c>
      <c r="E74" s="153">
        <f>(VLOOKUP(表1_86121822242672122[[#This Row],[目标区服]],$R$80:$S$88,2,FALSE)-表1_86121822242672122[[#This Row],[开服天数]])*配置!$B$1</f>
        <v>1000</v>
      </c>
      <c r="F74" s="154">
        <f>表1_86121822242672122[[#This Row],[补偿Coin]]*(表1_86121822242672122[[#This Row],[活跃高战玩家数]]+表1_86121822242672122[[#This Row],[活跃中坚玩家数]])</f>
        <v>28000</v>
      </c>
      <c r="G74" s="154">
        <f>(VLOOKUP(表1_86121822242672122[[#This Row],[目标区服]],$R$80:$S$93,2,FALSE)-表1_86121822242672122[[#This Row],[开服天数]])*配置!$B$2</f>
        <v>10</v>
      </c>
      <c r="H74" s="152" t="s">
        <v>25</v>
      </c>
      <c r="I74" s="152">
        <f>IF(表1_86121822242672122[[#This Row],[原国家]]="魏",0,IF(表1_86121822242672122[[#This Row],[原国家]]="蜀",1,2))</f>
        <v>0</v>
      </c>
      <c r="J74" s="191">
        <v>5</v>
      </c>
      <c r="K74" s="191">
        <v>205</v>
      </c>
      <c r="L74" s="191">
        <v>6</v>
      </c>
      <c r="M74" s="191">
        <v>22</v>
      </c>
      <c r="N74" s="191">
        <v>143568</v>
      </c>
      <c r="O74" s="191">
        <v>2180323</v>
      </c>
      <c r="P74" s="191">
        <v>20796295</v>
      </c>
      <c r="Q74" s="193" t="s">
        <v>26</v>
      </c>
      <c r="R74" s="152">
        <f>IF(表1_86121822242672122[[#This Row],[目标国家]]="魏",0,IF(表1_86121822242672122[[#This Row],[目标国家]]="蜀",1,2))</f>
        <v>1</v>
      </c>
      <c r="S74" s="191">
        <v>32344</v>
      </c>
      <c r="T74" s="191">
        <v>0</v>
      </c>
      <c r="U74" s="191">
        <v>151757</v>
      </c>
      <c r="V74" s="191">
        <v>8573</v>
      </c>
      <c r="W74" s="195">
        <v>654635</v>
      </c>
      <c r="X74" s="194" t="str">
        <f>"{"&amp;"'coin':"&amp;表1_86121822242672122[[#This Row],[补偿Coin]]&amp;",'"&amp;配置!$A$2&amp;"':"&amp;表1_86121822242672122[[#This Row],[补偿辎重]]&amp;"},"</f>
        <v>{'coin':1000,'item036':10},</v>
      </c>
      <c r="Y74" s="194" t="str">
        <f>"      '"&amp;表1_86121822242672122[[#This Row],[区服]]&amp;"':{"</f>
        <v>      '7088':{</v>
      </c>
    </row>
    <row r="75" ht="14.25" customHeight="1" spans="1:25">
      <c r="A75" s="150">
        <v>7088</v>
      </c>
      <c r="B75" s="150">
        <f>VLOOKUP(表1_86121822242672122[[#This Row],[区服]],$P$80:$Q$104,2,FALSE)</f>
        <v>40</v>
      </c>
      <c r="C75" s="151" t="s">
        <v>310</v>
      </c>
      <c r="D75" s="152" t="str">
        <f>表1_86121822242672122[[#This Row],[目标国家]]</f>
        <v>吴</v>
      </c>
      <c r="E75" s="153">
        <f>(VLOOKUP(表1_86121822242672122[[#This Row],[目标区服]],$R$80:$S$88,2,FALSE)-表1_86121822242672122[[#This Row],[开服天数]])*配置!$B$1</f>
        <v>1000</v>
      </c>
      <c r="F75" s="154">
        <f>表1_86121822242672122[[#This Row],[补偿Coin]]*(表1_86121822242672122[[#This Row],[活跃高战玩家数]]+表1_86121822242672122[[#This Row],[活跃中坚玩家数]])</f>
        <v>21000</v>
      </c>
      <c r="G75" s="154">
        <f>(VLOOKUP(表1_86121822242672122[[#This Row],[目标区服]],$R$80:$S$93,2,FALSE)-表1_86121822242672122[[#This Row],[开服天数]])*配置!$B$2</f>
        <v>10</v>
      </c>
      <c r="H75" s="152" t="s">
        <v>26</v>
      </c>
      <c r="I75" s="152">
        <f>IF(表1_86121822242672122[[#This Row],[原国家]]="魏",0,IF(表1_86121822242672122[[#This Row],[原国家]]="蜀",1,2))</f>
        <v>1</v>
      </c>
      <c r="J75" s="191">
        <v>1</v>
      </c>
      <c r="K75" s="191">
        <v>81</v>
      </c>
      <c r="L75" s="191">
        <v>1</v>
      </c>
      <c r="M75" s="191">
        <v>20</v>
      </c>
      <c r="N75" s="191">
        <v>79727</v>
      </c>
      <c r="O75" s="191">
        <v>1044307</v>
      </c>
      <c r="P75" s="191">
        <v>11359544</v>
      </c>
      <c r="Q75" s="193" t="s">
        <v>27</v>
      </c>
      <c r="R75" s="152">
        <f>IF(表1_86121822242672122[[#This Row],[目标国家]]="魏",0,IF(表1_86121822242672122[[#This Row],[目标国家]]="蜀",1,2))</f>
        <v>2</v>
      </c>
      <c r="S75" s="191">
        <v>7868</v>
      </c>
      <c r="T75" s="191">
        <v>0</v>
      </c>
      <c r="U75" s="191">
        <v>157857</v>
      </c>
      <c r="V75" s="191">
        <v>3803</v>
      </c>
      <c r="W75" s="191">
        <v>297462</v>
      </c>
      <c r="X75" s="194" t="str">
        <f>"{"&amp;"'coin':"&amp;表1_86121822242672122[[#This Row],[补偿Coin]]&amp;",'"&amp;配置!$A$2&amp;"':"&amp;表1_86121822242672122[[#This Row],[补偿辎重]]&amp;"},"</f>
        <v>{'coin':1000,'item036':10},</v>
      </c>
      <c r="Y75" s="194" t="str">
        <f>"            'to_zone':'"&amp;表1_86121822242672122[[#This Row],[目标区服]]&amp;"',
            'reward':"&amp;表1_86121822242672122[[#This Row],[辅助导出]]&amp;"
            'country':["&amp;R74&amp;","&amp;R75&amp;","&amp;R76&amp;"],"</f>
        <v>            'to_zone':'h1_736',
            'reward':{'coin':1000,'item036':10},
            'country':[1,2,2],</v>
      </c>
    </row>
    <row r="76" ht="14.25" customHeight="1" spans="1:25">
      <c r="A76" s="150">
        <v>7088</v>
      </c>
      <c r="B76" s="150">
        <f>VLOOKUP(表1_86121822242672122[[#This Row],[区服]],$P$80:$Q$104,2,FALSE)</f>
        <v>40</v>
      </c>
      <c r="C76" s="151" t="s">
        <v>310</v>
      </c>
      <c r="D76" s="152" t="str">
        <f>表1_86121822242672122[[#This Row],[目标国家]]</f>
        <v>吴</v>
      </c>
      <c r="E76" s="153">
        <f>(VLOOKUP(表1_86121822242672122[[#This Row],[目标区服]],$R$80:$S$88,2,FALSE)-表1_86121822242672122[[#This Row],[开服天数]])*配置!$B$1</f>
        <v>1000</v>
      </c>
      <c r="F76" s="154">
        <f>表1_86121822242672122[[#This Row],[补偿Coin]]*(表1_86121822242672122[[#This Row],[活跃高战玩家数]]+表1_86121822242672122[[#This Row],[活跃中坚玩家数]])</f>
        <v>18000</v>
      </c>
      <c r="G76" s="154">
        <f>(VLOOKUP(表1_86121822242672122[[#This Row],[目标区服]],$R$80:$S$93,2,FALSE)-表1_86121822242672122[[#This Row],[开服天数]])*配置!$B$2</f>
        <v>10</v>
      </c>
      <c r="H76" s="152" t="s">
        <v>27</v>
      </c>
      <c r="I76" s="152">
        <f>IF(表1_86121822242672122[[#This Row],[原国家]]="魏",0,IF(表1_86121822242672122[[#This Row],[原国家]]="蜀",1,2))</f>
        <v>2</v>
      </c>
      <c r="J76" s="191">
        <v>3</v>
      </c>
      <c r="K76" s="191">
        <v>109</v>
      </c>
      <c r="L76" s="191">
        <v>2</v>
      </c>
      <c r="M76" s="191">
        <v>16</v>
      </c>
      <c r="N76" s="191">
        <v>76287</v>
      </c>
      <c r="O76" s="191">
        <v>1570456</v>
      </c>
      <c r="P76" s="191">
        <v>10915113</v>
      </c>
      <c r="Q76" s="193" t="s">
        <v>27</v>
      </c>
      <c r="R76" s="152">
        <f>IF(表1_86121822242672122[[#This Row],[目标国家]]="魏",0,IF(表1_86121822242672122[[#This Row],[目标国家]]="蜀",1,2))</f>
        <v>2</v>
      </c>
      <c r="S76" s="191">
        <v>7362</v>
      </c>
      <c r="T76" s="191">
        <v>0</v>
      </c>
      <c r="U76" s="191">
        <v>105214</v>
      </c>
      <c r="V76" s="191">
        <v>4706</v>
      </c>
      <c r="W76" s="191">
        <v>480778</v>
      </c>
      <c r="X76" s="194" t="str">
        <f>"{"&amp;"'coin':"&amp;表1_86121822242672122[[#This Row],[补偿Coin]]&amp;",'"&amp;配置!$A$2&amp;"':"&amp;表1_86121822242672122[[#This Row],[补偿辎重]]&amp;"},"</f>
        <v>{'coin':1000,'item036':10},</v>
      </c>
      <c r="Y76" s="194" t="str">
        <f>"      },"</f>
        <v>      },</v>
      </c>
    </row>
    <row r="79" ht="37.5" customHeight="1" spans="1:19">
      <c r="A79" s="36" t="s">
        <v>28</v>
      </c>
      <c r="B79" s="37" t="s">
        <v>29</v>
      </c>
      <c r="C79" s="38" t="s">
        <v>30</v>
      </c>
      <c r="D79" s="38" t="s">
        <v>31</v>
      </c>
      <c r="E79" s="38" t="s">
        <v>32</v>
      </c>
      <c r="F79" s="38" t="s">
        <v>33</v>
      </c>
      <c r="G79" s="38" t="s">
        <v>15</v>
      </c>
      <c r="H79" s="37" t="s">
        <v>18</v>
      </c>
      <c r="I79" s="37" t="s">
        <v>19</v>
      </c>
      <c r="J79" s="37" t="s">
        <v>20</v>
      </c>
      <c r="K79" s="38" t="s">
        <v>35</v>
      </c>
      <c r="L79" s="38" t="s">
        <v>36</v>
      </c>
      <c r="M79" s="38" t="s">
        <v>37</v>
      </c>
      <c r="N79" s="38" t="s">
        <v>88</v>
      </c>
      <c r="P79" s="51" t="s">
        <v>0</v>
      </c>
      <c r="Q79" s="51" t="s">
        <v>1</v>
      </c>
      <c r="R79" s="51"/>
      <c r="S79" s="51" t="s">
        <v>38</v>
      </c>
    </row>
    <row r="80" ht="15.75" customHeight="1" spans="1:19">
      <c r="A80" s="155" t="s">
        <v>302</v>
      </c>
      <c r="B80" s="155" t="s">
        <v>25</v>
      </c>
      <c r="C80" s="155">
        <f>COUNTIFS(表1_86121822242672122[目标区服],表2_97131923252773123[[#This Row],[合区区服]],表1_86121822242672122[目标国家（映射）],表2_97131923252773123[[#This Row],[国家]])</f>
        <v>3</v>
      </c>
      <c r="D80" s="155">
        <f>SUMIFS(表1_86121822242672122[活跃高战玩家数],表1_86121822242672122[目标区服],表2_97131923252773123[[#This Row],[合区区服]],表1_86121822242672122[目标国家（映射）],表2_97131923252773123[[#This Row],[国家]])</f>
        <v>7</v>
      </c>
      <c r="E80" s="155">
        <f>SUMIFS(表1_86121822242672122[活跃中坚玩家数],表1_86121822242672122[目标区服],表2_97131923252773123[[#This Row],[合区区服]],表1_86121822242672122[目标国家（映射）],表2_97131923252773123[[#This Row],[国家]])</f>
        <v>54</v>
      </c>
      <c r="F80" s="155">
        <f t="array" ref="F80">MAX((表1_86121822242672122[目标区服]=表2_97131923252773123[[#This Row],[合区区服]])*(表1_86121822242672122[目标国家（映射）]=表2_97131923252773123[[#This Row],[国家]])*表1_86121822242672122[活跃尖端战力])</f>
        <v>3052855</v>
      </c>
      <c r="G80" s="156">
        <f>SUMIFS(表1_86121822242672122[活跃总战力],表1_86121822242672122[目标区服],表2_97131923252773123[[#This Row],[合区区服]],表1_86121822242672122[目标国家（映射）],表2_97131923252773123[[#This Row],[国家]])</f>
        <v>53497353</v>
      </c>
      <c r="H80" s="155">
        <f>SUMIFS(表1_86121822242672122[活跃实际充值],表1_86121822242672122[目标区服],表2_97131923252773123[[#This Row],[合区区服]],表1_86121822242672122[目标国家（映射）],表2_97131923252773123[[#This Row],[国家]])</f>
        <v>174717</v>
      </c>
      <c r="I80" s="155">
        <f>SUMIFS(表1_86121822242672122[活跃虚拟充值],表1_86121822242672122[目标区服],表2_97131923252773123[[#This Row],[合区区服]],表1_86121822242672122[目标国家（映射）],表2_97131923252773123[[#This Row],[国家]])</f>
        <v>0</v>
      </c>
      <c r="J80" s="155">
        <f>SUMIFS(表1_86121822242672122[活跃Coin],表1_86121822242672122[目标区服],表2_97131923252773123[[#This Row],[合区区服]],表1_86121822242672122[目标国家（映射）],表2_97131923252773123[[#This Row],[国家]])</f>
        <v>631703</v>
      </c>
      <c r="K80" s="155">
        <f>SUMIFS(表1_86121822242672122[共计补偿Coin],表1_86121822242672122[目标区服],表2_97131923252773123[[#This Row],[合区区服]],表1_86121822242672122[目标国家（映射）],表2_97131923252773123[[#This Row],[国家]])</f>
        <v>61000</v>
      </c>
      <c r="L80" s="155">
        <f>表2_97131923252773123[[#This Row],[活跃Coin]]+表2_97131923252773123[[#This Row],[共计补偿Coin]]</f>
        <v>692703</v>
      </c>
      <c r="M80" s="155">
        <f>SUMIFS(表1_86121822242672122[综合国力],表1_86121822242672122[目标区服],表2_97131923252773123[[#This Row],[合区区服]],表1_86121822242672122[目标国家（映射）],表2_97131923252773123[[#This Row],[国家]])</f>
        <v>22184</v>
      </c>
      <c r="N80" s="155">
        <f t="array" ref="N80">MAX((表1_86121822242672122[目标区服]=表2_97131923252773123[[#This Row],[合区区服]])*(表1_86121822242672122[目标国家（映射）]=表2_97131923252773123[[#This Row],[国家]])*表1_86121822242672122[单将最高战力])</f>
        <v>826548</v>
      </c>
      <c r="P80" s="51">
        <v>7064</v>
      </c>
      <c r="Q80" s="51">
        <v>47</v>
      </c>
      <c r="R80" s="51" t="s">
        <v>302</v>
      </c>
      <c r="S80" s="51">
        <v>49</v>
      </c>
    </row>
    <row r="81" ht="15" spans="1:19">
      <c r="A81" s="155" t="s">
        <v>302</v>
      </c>
      <c r="B81" s="155" t="s">
        <v>26</v>
      </c>
      <c r="C81" s="155">
        <f>COUNTIFS(表1_86121822242672122[目标区服],表2_97131923252773123[[#This Row],[合区区服]],表1_86121822242672122[目标国家（映射）],表2_97131923252773123[[#This Row],[国家]])</f>
        <v>3</v>
      </c>
      <c r="D81" s="155">
        <f>SUMIFS(表1_86121822242672122[活跃高战玩家数],表1_86121822242672122[目标区服],表2_97131923252773123[[#This Row],[合区区服]],表1_86121822242672122[目标国家（映射）],表2_97131923252773123[[#This Row],[国家]])</f>
        <v>11</v>
      </c>
      <c r="E81" s="155">
        <f>SUMIFS(表1_86121822242672122[活跃中坚玩家数],表1_86121822242672122[目标区服],表2_97131923252773123[[#This Row],[合区区服]],表1_86121822242672122[目标国家（映射）],表2_97131923252773123[[#This Row],[国家]])</f>
        <v>74</v>
      </c>
      <c r="F81" s="155">
        <f t="array" ref="F81">MAX((表1_86121822242672122[目标区服]=表2_97131923252773123[[#This Row],[合区区服]])*(表1_86121822242672122[目标国家（映射）]=表2_97131923252773123[[#This Row],[国家]])*表1_86121822242672122[活跃尖端战力])</f>
        <v>2191439</v>
      </c>
      <c r="G81" s="156">
        <f>SUMIFS(表1_86121822242672122[活跃总战力],表1_86121822242672122[目标区服],表2_97131923252773123[[#This Row],[合区区服]],表1_86121822242672122[目标国家（映射）],表2_97131923252773123[[#This Row],[国家]])</f>
        <v>69715374</v>
      </c>
      <c r="H81" s="155">
        <f>SUMIFS(表1_86121822242672122[活跃实际充值],表1_86121822242672122[目标区服],表2_97131923252773123[[#This Row],[合区区服]],表1_86121822242672122[目标国家（映射）],表2_97131923252773123[[#This Row],[国家]])</f>
        <v>103542</v>
      </c>
      <c r="I81" s="155">
        <f>SUMIFS(表1_86121822242672122[活跃虚拟充值],表1_86121822242672122[目标区服],表2_97131923252773123[[#This Row],[合区区服]],表1_86121822242672122[目标国家（映射）],表2_97131923252773123[[#This Row],[国家]])</f>
        <v>27566</v>
      </c>
      <c r="J81" s="155">
        <f>SUMIFS(表1_86121822242672122[活跃Coin],表1_86121822242672122[目标区服],表2_97131923252773123[[#This Row],[合区区服]],表1_86121822242672122[目标国家（映射）],表2_97131923252773123[[#This Row],[国家]])</f>
        <v>1051000</v>
      </c>
      <c r="K81" s="155">
        <f>SUMIFS(表1_86121822242672122[共计补偿Coin],表1_86121822242672122[目标区服],表2_97131923252773123[[#This Row],[合区区服]],表1_86121822242672122[目标国家（映射）],表2_97131923252773123[[#This Row],[国家]])</f>
        <v>85000</v>
      </c>
      <c r="L81" s="155">
        <f>表2_97131923252773123[[#This Row],[活跃Coin]]+表2_97131923252773123[[#This Row],[共计补偿Coin]]</f>
        <v>1136000</v>
      </c>
      <c r="M81" s="155">
        <f>SUMIFS(表1_86121822242672122[综合国力],表1_86121822242672122[目标区服],表2_97131923252773123[[#This Row],[合区区服]],表1_86121822242672122[目标国家（映射）],表2_97131923252773123[[#This Row],[国家]])</f>
        <v>23983</v>
      </c>
      <c r="N81" s="155">
        <f t="array" ref="N81">MAX((表1_86121822242672122[目标区服]=表2_97131923252773123[[#This Row],[合区区服]])*(表1_86121822242672122[目标国家（映射）]=表2_97131923252773123[[#This Row],[国家]])*表1_86121822242672122[单将最高战力])</f>
        <v>804857</v>
      </c>
      <c r="P81" s="51">
        <v>7065</v>
      </c>
      <c r="Q81" s="51">
        <v>47</v>
      </c>
      <c r="R81" s="51" t="s">
        <v>303</v>
      </c>
      <c r="S81" s="51">
        <v>48</v>
      </c>
    </row>
    <row r="82" ht="15" spans="1:19">
      <c r="A82" s="155" t="s">
        <v>302</v>
      </c>
      <c r="B82" s="155" t="s">
        <v>27</v>
      </c>
      <c r="C82" s="155">
        <f>COUNTIFS(表1_86121822242672122[目标区服],表2_97131923252773123[[#This Row],[合区区服]],表1_86121822242672122[目标国家（映射）],表2_97131923252773123[[#This Row],[国家]])</f>
        <v>3</v>
      </c>
      <c r="D82" s="155">
        <f>SUMIFS(表1_86121822242672122[活跃高战玩家数],表1_86121822242672122[目标区服],表2_97131923252773123[[#This Row],[合区区服]],表1_86121822242672122[目标国家（映射）],表2_97131923252773123[[#This Row],[国家]])</f>
        <v>11</v>
      </c>
      <c r="E82" s="155">
        <f>SUMIFS(表1_86121822242672122[活跃中坚玩家数],表1_86121822242672122[目标区服],表2_97131923252773123[[#This Row],[合区区服]],表1_86121822242672122[目标国家（映射）],表2_97131923252773123[[#This Row],[国家]])</f>
        <v>65</v>
      </c>
      <c r="F82" s="155">
        <f t="array" ref="F82">MAX((表1_86121822242672122[目标区服]=表2_97131923252773123[[#This Row],[合区区服]])*(表1_86121822242672122[目标国家（映射）]=表2_97131923252773123[[#This Row],[国家]])*表1_86121822242672122[活跃尖端战力])</f>
        <v>2941533</v>
      </c>
      <c r="G82" s="156">
        <f>SUMIFS(表1_86121822242672122[活跃总战力],表1_86121822242672122[目标区服],表2_97131923252773123[[#This Row],[合区区服]],表1_86121822242672122[目标国家（映射）],表2_97131923252773123[[#This Row],[国家]])</f>
        <v>68490751</v>
      </c>
      <c r="H82" s="155">
        <f>SUMIFS(表1_86121822242672122[活跃实际充值],表1_86121822242672122[目标区服],表2_97131923252773123[[#This Row],[合区区服]],表1_86121822242672122[目标国家（映射）],表2_97131923252773123[[#This Row],[国家]])</f>
        <v>113734</v>
      </c>
      <c r="I82" s="155">
        <f>SUMIFS(表1_86121822242672122[活跃虚拟充值],表1_86121822242672122[目标区服],表2_97131923252773123[[#This Row],[合区区服]],表1_86121822242672122[目标国家（映射）],表2_97131923252773123[[#This Row],[国家]])</f>
        <v>0</v>
      </c>
      <c r="J82" s="155">
        <f>SUMIFS(表1_86121822242672122[活跃Coin],表1_86121822242672122[目标区服],表2_97131923252773123[[#This Row],[合区区服]],表1_86121822242672122[目标国家（映射）],表2_97131923252773123[[#This Row],[国家]])</f>
        <v>910533</v>
      </c>
      <c r="K82" s="155">
        <f>SUMIFS(表1_86121822242672122[共计补偿Coin],表1_86121822242672122[目标区服],表2_97131923252773123[[#This Row],[合区区服]],表1_86121822242672122[目标国家（映射）],表2_97131923252773123[[#This Row],[国家]])</f>
        <v>76000</v>
      </c>
      <c r="L82" s="155">
        <f>表2_97131923252773123[[#This Row],[活跃Coin]]+表2_97131923252773123[[#This Row],[共计补偿Coin]]</f>
        <v>986533</v>
      </c>
      <c r="M82" s="155">
        <f>SUMIFS(表1_86121822242672122[综合国力],表1_86121822242672122[目标区服],表2_97131923252773123[[#This Row],[合区区服]],表1_86121822242672122[目标国家（映射）],表2_97131923252773123[[#This Row],[国家]])</f>
        <v>25156</v>
      </c>
      <c r="N82" s="155">
        <f t="array" ref="N82">MAX((表1_86121822242672122[目标区服]=表2_97131923252773123[[#This Row],[合区区服]])*(表1_86121822242672122[目标国家（映射）]=表2_97131923252773123[[#This Row],[国家]])*表1_86121822242672122[单将最高战力])</f>
        <v>772903</v>
      </c>
      <c r="P82" s="51">
        <v>7066</v>
      </c>
      <c r="Q82" s="51">
        <v>47</v>
      </c>
      <c r="R82" s="51" t="s">
        <v>304</v>
      </c>
      <c r="S82" s="51">
        <v>47</v>
      </c>
    </row>
    <row r="83" ht="15" spans="1:19">
      <c r="A83" s="157" t="s">
        <v>303</v>
      </c>
      <c r="B83" s="157" t="s">
        <v>25</v>
      </c>
      <c r="C83" s="157">
        <f>COUNTIFS(表1_86121822242672122[目标区服],表2_97131923252773123[[#This Row],[合区区服]],表1_86121822242672122[目标国家（映射）],表2_97131923252773123[[#This Row],[国家]])</f>
        <v>4</v>
      </c>
      <c r="D83" s="157">
        <f>SUMIFS(表1_86121822242672122[活跃高战玩家数],表1_86121822242672122[目标区服],表2_97131923252773123[[#This Row],[合区区服]],表1_86121822242672122[目标国家（映射）],表2_97131923252773123[[#This Row],[国家]])</f>
        <v>10</v>
      </c>
      <c r="E83" s="157">
        <f>SUMIFS(表1_86121822242672122[活跃中坚玩家数],表1_86121822242672122[目标区服],表2_97131923252773123[[#This Row],[合区区服]],表1_86121822242672122[目标国家（映射）],表2_97131923252773123[[#This Row],[国家]])</f>
        <v>67</v>
      </c>
      <c r="F83" s="157">
        <f t="array" ref="F83">MAX((表1_86121822242672122[目标区服]=表2_97131923252773123[[#This Row],[合区区服]])*(表1_86121822242672122[目标国家（映射）]=表2_97131923252773123[[#This Row],[国家]])*表1_86121822242672122[活跃尖端战力])</f>
        <v>2333538</v>
      </c>
      <c r="G83" s="158">
        <f>SUMIFS(表1_86121822242672122[活跃总战力],表1_86121822242672122[目标区服],表2_97131923252773123[[#This Row],[合区区服]],表1_86121822242672122[目标国家（映射）],表2_97131923252773123[[#This Row],[国家]])</f>
        <v>54299224</v>
      </c>
      <c r="H83" s="157">
        <f>SUMIFS(表1_86121822242672122[活跃实际充值],表1_86121822242672122[目标区服],表2_97131923252773123[[#This Row],[合区区服]],表1_86121822242672122[目标国家（映射）],表2_97131923252773123[[#This Row],[国家]])</f>
        <v>46046</v>
      </c>
      <c r="I83" s="157">
        <f>SUMIFS(表1_86121822242672122[活跃虚拟充值],表1_86121822242672122[目标区服],表2_97131923252773123[[#This Row],[合区区服]],表1_86121822242672122[目标国家（映射）],表2_97131923252773123[[#This Row],[国家]])</f>
        <v>27216</v>
      </c>
      <c r="J83" s="157">
        <f>SUMIFS(表1_86121822242672122[活跃Coin],表1_86121822242672122[目标区服],表2_97131923252773123[[#This Row],[合区区服]],表1_86121822242672122[目标国家（映射）],表2_97131923252773123[[#This Row],[国家]])</f>
        <v>760861</v>
      </c>
      <c r="K83" s="157">
        <f>SUMIFS(表1_86121822242672122[共计补偿Coin],表1_86121822242672122[目标区服],表2_97131923252773123[[#This Row],[合区区服]],表1_86121822242672122[目标国家（映射）],表2_97131923252773123[[#This Row],[国家]])</f>
        <v>77000</v>
      </c>
      <c r="L83" s="157">
        <f>表2_97131923252773123[[#This Row],[活跃Coin]]+表2_97131923252773123[[#This Row],[共计补偿Coin]]</f>
        <v>837861</v>
      </c>
      <c r="M83" s="157">
        <f>SUMIFS(表1_86121822242672122[综合国力],表1_86121822242672122[目标区服],表2_97131923252773123[[#This Row],[合区区服]],表1_86121822242672122[目标国家（映射）],表2_97131923252773123[[#This Row],[国家]])</f>
        <v>20544</v>
      </c>
      <c r="N83" s="157">
        <f t="array" ref="N83">MAX((表1_86121822242672122[目标区服]=表2_97131923252773123[[#This Row],[合区区服]])*(表1_86121822242672122[目标国家（映射）]=表2_97131923252773123[[#This Row],[国家]])*表1_86121822242672122[单将最高战力])</f>
        <v>679205</v>
      </c>
      <c r="P83" s="51">
        <v>7067</v>
      </c>
      <c r="Q83" s="51">
        <v>46</v>
      </c>
      <c r="R83" s="51" t="s">
        <v>305</v>
      </c>
      <c r="S83" s="51">
        <v>46</v>
      </c>
    </row>
    <row r="84" ht="15" spans="1:22">
      <c r="A84" s="157" t="s">
        <v>303</v>
      </c>
      <c r="B84" s="157" t="s">
        <v>26</v>
      </c>
      <c r="C84" s="157">
        <f>COUNTIFS(表1_86121822242672122[目标区服],表2_97131923252773123[[#This Row],[合区区服]],表1_86121822242672122[目标国家（映射）],表2_97131923252773123[[#This Row],[国家]])</f>
        <v>2</v>
      </c>
      <c r="D84" s="157">
        <f>SUMIFS(表1_86121822242672122[活跃高战玩家数],表1_86121822242672122[目标区服],表2_97131923252773123[[#This Row],[合区区服]],表1_86121822242672122[目标国家（映射）],表2_97131923252773123[[#This Row],[国家]])</f>
        <v>10</v>
      </c>
      <c r="E84" s="157">
        <f>SUMIFS(表1_86121822242672122[活跃中坚玩家数],表1_86121822242672122[目标区服],表2_97131923252773123[[#This Row],[合区区服]],表1_86121822242672122[目标国家（映射）],表2_97131923252773123[[#This Row],[国家]])</f>
        <v>50</v>
      </c>
      <c r="F84" s="157">
        <f t="array" ref="F84">MAX((表1_86121822242672122[目标区服]=表2_97131923252773123[[#This Row],[合区区服]])*(表1_86121822242672122[目标国家（映射）]=表2_97131923252773123[[#This Row],[国家]])*表1_86121822242672122[活跃尖端战力])</f>
        <v>2223512</v>
      </c>
      <c r="G84" s="158">
        <f>SUMIFS(表1_86121822242672122[活跃总战力],表1_86121822242672122[目标区服],表2_97131923252773123[[#This Row],[合区区服]],表1_86121822242672122[目标国家（映射）],表2_97131923252773123[[#This Row],[国家]])</f>
        <v>44427007</v>
      </c>
      <c r="H84" s="157">
        <f>SUMIFS(表1_86121822242672122[活跃实际充值],表1_86121822242672122[目标区服],表2_97131923252773123[[#This Row],[合区区服]],表1_86121822242672122[目标国家（映射）],表2_97131923252773123[[#This Row],[国家]])</f>
        <v>72052</v>
      </c>
      <c r="I84" s="157">
        <f>SUMIFS(表1_86121822242672122[活跃虚拟充值],表1_86121822242672122[目标区服],表2_97131923252773123[[#This Row],[合区区服]],表1_86121822242672122[目标国家（映射）],表2_97131923252773123[[#This Row],[国家]])</f>
        <v>0</v>
      </c>
      <c r="J84" s="157">
        <f>SUMIFS(表1_86121822242672122[活跃Coin],表1_86121822242672122[目标区服],表2_97131923252773123[[#This Row],[合区区服]],表1_86121822242672122[目标国家（映射）],表2_97131923252773123[[#This Row],[国家]])</f>
        <v>603374</v>
      </c>
      <c r="K84" s="157">
        <f>SUMIFS(表1_86121822242672122[共计补偿Coin],表1_86121822242672122[目标区服],表2_97131923252773123[[#This Row],[合区区服]],表1_86121822242672122[目标国家（映射）],表2_97131923252773123[[#This Row],[国家]])</f>
        <v>60000</v>
      </c>
      <c r="L84" s="157">
        <f>表2_97131923252773123[[#This Row],[活跃Coin]]+表2_97131923252773123[[#This Row],[共计补偿Coin]]</f>
        <v>663374</v>
      </c>
      <c r="M84" s="157">
        <f>SUMIFS(表1_86121822242672122[综合国力],表1_86121822242672122[目标区服],表2_97131923252773123[[#This Row],[合区区服]],表1_86121822242672122[目标国家（映射）],表2_97131923252773123[[#This Row],[国家]])</f>
        <v>17957</v>
      </c>
      <c r="N84" s="157">
        <f t="array" ref="N84">MAX((表1_86121822242672122[目标区服]=表2_97131923252773123[[#This Row],[合区区服]])*(表1_86121822242672122[目标国家（映射）]=表2_97131923252773123[[#This Row],[国家]])*表1_86121822242672122[单将最高战力])</f>
        <v>699832</v>
      </c>
      <c r="P84" s="51">
        <v>7068</v>
      </c>
      <c r="Q84" s="51">
        <v>46</v>
      </c>
      <c r="R84" s="51" t="s">
        <v>306</v>
      </c>
      <c r="S84" s="51">
        <v>45</v>
      </c>
      <c r="V84" t="s">
        <v>311</v>
      </c>
    </row>
    <row r="85" ht="15" spans="1:19">
      <c r="A85" s="157" t="s">
        <v>303</v>
      </c>
      <c r="B85" s="159" t="s">
        <v>27</v>
      </c>
      <c r="C85" s="159">
        <f>COUNTIFS(表1_86121822242672122[目标区服],表2_97131923252773123[[#This Row],[合区区服]],表1_86121822242672122[目标国家（映射）],表2_97131923252773123[[#This Row],[国家]])</f>
        <v>3</v>
      </c>
      <c r="D85" s="159">
        <f>SUMIFS(表1_86121822242672122[活跃高战玩家数],表1_86121822242672122[目标区服],表2_97131923252773123[[#This Row],[合区区服]],表1_86121822242672122[目标国家（映射）],表2_97131923252773123[[#This Row],[国家]])</f>
        <v>8</v>
      </c>
      <c r="E85" s="159">
        <f>SUMIFS(表1_86121822242672122[活跃中坚玩家数],表1_86121822242672122[目标区服],表2_97131923252773123[[#This Row],[合区区服]],表1_86121822242672122[目标国家（映射）],表2_97131923252773123[[#This Row],[国家]])</f>
        <v>53</v>
      </c>
      <c r="F85" s="159">
        <f t="array" ref="F85">MAX((表1_86121822242672122[目标区服]=表2_97131923252773123[[#This Row],[合区区服]])*(表1_86121822242672122[目标国家（映射）]=表2_97131923252773123[[#This Row],[国家]])*表1_86121822242672122[活跃尖端战力])</f>
        <v>2340767</v>
      </c>
      <c r="G85" s="160">
        <f>SUMIFS(表1_86121822242672122[活跃总战力],表1_86121822242672122[目标区服],表2_97131923252773123[[#This Row],[合区区服]],表1_86121822242672122[目标国家（映射）],表2_97131923252773123[[#This Row],[国家]])</f>
        <v>48385593</v>
      </c>
      <c r="H85" s="159">
        <f>SUMIFS(表1_86121822242672122[活跃实际充值],表1_86121822242672122[目标区服],表2_97131923252773123[[#This Row],[合区区服]],表1_86121822242672122[目标国家（映射）],表2_97131923252773123[[#This Row],[国家]])</f>
        <v>70350</v>
      </c>
      <c r="I85" s="159">
        <f>SUMIFS(表1_86121822242672122[活跃虚拟充值],表1_86121822242672122[目标区服],表2_97131923252773123[[#This Row],[合区区服]],表1_86121822242672122[目标国家（映射）],表2_97131923252773123[[#This Row],[国家]])</f>
        <v>12960</v>
      </c>
      <c r="J85" s="159">
        <f>SUMIFS(表1_86121822242672122[活跃Coin],表1_86121822242672122[目标区服],表2_97131923252773123[[#This Row],[合区区服]],表1_86121822242672122[目标国家（映射）],表2_97131923252773123[[#This Row],[国家]])</f>
        <v>728563</v>
      </c>
      <c r="K85" s="159">
        <f>SUMIFS(表1_86121822242672122[共计补偿Coin],表1_86121822242672122[目标区服],表2_97131923252773123[[#This Row],[合区区服]],表1_86121822242672122[目标国家（映射）],表2_97131923252773123[[#This Row],[国家]])</f>
        <v>61000</v>
      </c>
      <c r="L85" s="159">
        <f>表2_97131923252773123[[#This Row],[活跃Coin]]+表2_97131923252773123[[#This Row],[共计补偿Coin]]</f>
        <v>789563</v>
      </c>
      <c r="M85" s="159">
        <f>SUMIFS(表1_86121822242672122[综合国力],表1_86121822242672122[目标区服],表2_97131923252773123[[#This Row],[合区区服]],表1_86121822242672122[目标国家（映射）],表2_97131923252773123[[#This Row],[国家]])</f>
        <v>19567</v>
      </c>
      <c r="N85" s="157">
        <f t="array" ref="N85">MAX((表1_86121822242672122[目标区服]=表2_97131923252773123[[#This Row],[合区区服]])*(表1_86121822242672122[目标国家（映射）]=表2_97131923252773123[[#This Row],[国家]])*表1_86121822242672122[单将最高战力])</f>
        <v>814550</v>
      </c>
      <c r="P85" s="51">
        <v>7069</v>
      </c>
      <c r="Q85" s="51">
        <v>46</v>
      </c>
      <c r="R85" s="51" t="s">
        <v>307</v>
      </c>
      <c r="S85" s="51">
        <v>44</v>
      </c>
    </row>
    <row r="86" ht="15" spans="1:19">
      <c r="A86" s="161" t="s">
        <v>304</v>
      </c>
      <c r="B86" s="161" t="s">
        <v>25</v>
      </c>
      <c r="C86" s="161">
        <f>COUNTIFS(表1_86121822242672122[目标区服],表2_97131923252773123[[#This Row],[合区区服]],表1_86121822242672122[目标国家（映射）],表2_97131923252773123[[#This Row],[国家]])</f>
        <v>2</v>
      </c>
      <c r="D86" s="161">
        <f>SUMIFS(表1_86121822242672122[活跃高战玩家数],表1_86121822242672122[目标区服],表2_97131923252773123[[#This Row],[合区区服]],表1_86121822242672122[目标国家（映射）],表2_97131923252773123[[#This Row],[国家]])</f>
        <v>9</v>
      </c>
      <c r="E86" s="161">
        <f>SUMIFS(表1_86121822242672122[活跃中坚玩家数],表1_86121822242672122[目标区服],表2_97131923252773123[[#This Row],[合区区服]],表1_86121822242672122[目标国家（映射）],表2_97131923252773123[[#This Row],[国家]])</f>
        <v>46</v>
      </c>
      <c r="F86" s="161">
        <f t="array" ref="F86">MAX((表1_86121822242672122[目标区服]=表2_97131923252773123[[#This Row],[合区区服]])*(表1_86121822242672122[目标国家（映射）]=表2_97131923252773123[[#This Row],[国家]])*表1_86121822242672122[活跃尖端战力])</f>
        <v>3080083</v>
      </c>
      <c r="G86" s="162">
        <f>SUMIFS(表1_86121822242672122[活跃总战力],表1_86121822242672122[目标区服],表2_97131923252773123[[#This Row],[合区区服]],表1_86121822242672122[目标国家（映射）],表2_97131923252773123[[#This Row],[国家]])</f>
        <v>50909469</v>
      </c>
      <c r="H86" s="161">
        <f>SUMIFS(表1_86121822242672122[活跃实际充值],表1_86121822242672122[目标区服],表2_97131923252773123[[#This Row],[合区区服]],表1_86121822242672122[目标国家（映射）],表2_97131923252773123[[#This Row],[国家]])</f>
        <v>99214</v>
      </c>
      <c r="I86" s="161">
        <f>SUMIFS(表1_86121822242672122[活跃虚拟充值],表1_86121822242672122[目标区服],表2_97131923252773123[[#This Row],[合区区服]],表1_86121822242672122[目标国家（映射）],表2_97131923252773123[[#This Row],[国家]])</f>
        <v>0</v>
      </c>
      <c r="J86" s="161">
        <f>SUMIFS(表1_86121822242672122[活跃Coin],表1_86121822242672122[目标区服],表2_97131923252773123[[#This Row],[合区区服]],表1_86121822242672122[目标国家（映射）],表2_97131923252773123[[#This Row],[国家]])</f>
        <v>870899</v>
      </c>
      <c r="K86" s="161">
        <f>SUMIFS(表1_86121822242672122[共计补偿Coin],表1_86121822242672122[目标区服],表2_97131923252773123[[#This Row],[合区区服]],表1_86121822242672122[目标国家（映射）],表2_97131923252773123[[#This Row],[国家]])</f>
        <v>55000</v>
      </c>
      <c r="L86" s="161">
        <f>表2_97131923252773123[[#This Row],[活跃Coin]]+表2_97131923252773123[[#This Row],[共计补偿Coin]]</f>
        <v>925899</v>
      </c>
      <c r="M86" s="161">
        <f>SUMIFS(表1_86121822242672122[综合国力],表1_86121822242672122[目标区服],表2_97131923252773123[[#This Row],[合区区服]],表1_86121822242672122[目标国家（映射）],表2_97131923252773123[[#This Row],[国家]])</f>
        <v>19266</v>
      </c>
      <c r="N86" s="161">
        <f t="array" ref="N86">MAX((表1_86121822242672122[目标区服]=表2_97131923252773123[[#This Row],[合区区服]])*(表1_86121822242672122[目标国家（映射）]=表2_97131923252773123[[#This Row],[国家]])*表1_86121822242672122[单将最高战力])</f>
        <v>824850</v>
      </c>
      <c r="P86" s="51">
        <v>7070</v>
      </c>
      <c r="Q86" s="51">
        <v>45</v>
      </c>
      <c r="R86" s="51" t="s">
        <v>308</v>
      </c>
      <c r="S86" s="51">
        <v>43</v>
      </c>
    </row>
    <row r="87" ht="15" spans="1:19">
      <c r="A87" s="161" t="s">
        <v>304</v>
      </c>
      <c r="B87" s="161" t="s">
        <v>26</v>
      </c>
      <c r="C87" s="161">
        <f>COUNTIFS(表1_86121822242672122[目标区服],表2_97131923252773123[[#This Row],[合区区服]],表1_86121822242672122[目标国家（映射）],表2_97131923252773123[[#This Row],[国家]])</f>
        <v>2</v>
      </c>
      <c r="D87" s="161">
        <f>SUMIFS(表1_86121822242672122[活跃高战玩家数],表1_86121822242672122[目标区服],表2_97131923252773123[[#This Row],[合区区服]],表1_86121822242672122[目标国家（映射）],表2_97131923252773123[[#This Row],[国家]])</f>
        <v>5</v>
      </c>
      <c r="E87" s="161">
        <f>SUMIFS(表1_86121822242672122[活跃中坚玩家数],表1_86121822242672122[目标区服],表2_97131923252773123[[#This Row],[合区区服]],表1_86121822242672122[目标国家（映射）],表2_97131923252773123[[#This Row],[国家]])</f>
        <v>51</v>
      </c>
      <c r="F87" s="161">
        <f t="array" ref="F87">MAX((表1_86121822242672122[目标区服]=表2_97131923252773123[[#This Row],[合区区服]])*(表1_86121822242672122[目标国家（映射）]=表2_97131923252773123[[#This Row],[国家]])*表1_86121822242672122[活跃尖端战力])</f>
        <v>3298334</v>
      </c>
      <c r="G87" s="162">
        <f>SUMIFS(表1_86121822242672122[活跃总战力],表1_86121822242672122[目标区服],表2_97131923252773123[[#This Row],[合区区服]],表1_86121822242672122[目标国家（映射）],表2_97131923252773123[[#This Row],[国家]])</f>
        <v>49561997</v>
      </c>
      <c r="H87" s="161">
        <f>SUMIFS(表1_86121822242672122[活跃实际充值],表1_86121822242672122[目标区服],表2_97131923252773123[[#This Row],[合区区服]],表1_86121822242672122[目标国家（映射）],表2_97131923252773123[[#This Row],[国家]])</f>
        <v>104686</v>
      </c>
      <c r="I87" s="161">
        <f>SUMIFS(表1_86121822242672122[活跃虚拟充值],表1_86121822242672122[目标区服],表2_97131923252773123[[#This Row],[合区区服]],表1_86121822242672122[目标国家（映射）],表2_97131923252773123[[#This Row],[国家]])</f>
        <v>27864</v>
      </c>
      <c r="J87" s="161">
        <f>SUMIFS(表1_86121822242672122[活跃Coin],表1_86121822242672122[目标区服],表2_97131923252773123[[#This Row],[合区区服]],表1_86121822242672122[目标国家（映射）],表2_97131923252773123[[#This Row],[国家]])</f>
        <v>572849</v>
      </c>
      <c r="K87" s="161">
        <f>SUMIFS(表1_86121822242672122[共计补偿Coin],表1_86121822242672122[目标区服],表2_97131923252773123[[#This Row],[合区区服]],表1_86121822242672122[目标国家（映射）],表2_97131923252773123[[#This Row],[国家]])</f>
        <v>56000</v>
      </c>
      <c r="L87" s="161">
        <f>表2_97131923252773123[[#This Row],[活跃Coin]]+表2_97131923252773123[[#This Row],[共计补偿Coin]]</f>
        <v>628849</v>
      </c>
      <c r="M87" s="161">
        <f>SUMIFS(表1_86121822242672122[综合国力],表1_86121822242672122[目标区服],表2_97131923252773123[[#This Row],[合区区服]],表1_86121822242672122[目标国家（映射）],表2_97131923252773123[[#This Row],[国家]])</f>
        <v>17604</v>
      </c>
      <c r="N87" s="161">
        <f t="array" ref="N87">MAX((表1_86121822242672122[目标区服]=表2_97131923252773123[[#This Row],[合区区服]])*(表1_86121822242672122[目标国家（映射）]=表2_97131923252773123[[#This Row],[国家]])*表1_86121822242672122[单将最高战力])</f>
        <v>938012</v>
      </c>
      <c r="P87" s="51">
        <v>7071</v>
      </c>
      <c r="Q87" s="51">
        <v>45</v>
      </c>
      <c r="R87" s="51" t="s">
        <v>309</v>
      </c>
      <c r="S87" s="51">
        <v>43</v>
      </c>
    </row>
    <row r="88" ht="15" spans="1:19">
      <c r="A88" s="161" t="s">
        <v>304</v>
      </c>
      <c r="B88" s="163" t="s">
        <v>27</v>
      </c>
      <c r="C88" s="163">
        <f>COUNTIFS(表1_86121822242672122[目标区服],表2_97131923252773123[[#This Row],[合区区服]],表1_86121822242672122[目标国家（映射）],表2_97131923252773123[[#This Row],[国家]])</f>
        <v>2</v>
      </c>
      <c r="D88" s="163">
        <f>SUMIFS(表1_86121822242672122[活跃高战玩家数],表1_86121822242672122[目标区服],表2_97131923252773123[[#This Row],[合区区服]],表1_86121822242672122[目标国家（映射）],表2_97131923252773123[[#This Row],[国家]])</f>
        <v>6</v>
      </c>
      <c r="E88" s="163">
        <f>SUMIFS(表1_86121822242672122[活跃中坚玩家数],表1_86121822242672122[目标区服],表2_97131923252773123[[#This Row],[合区区服]],表1_86121822242672122[目标国家（映射）],表2_97131923252773123[[#This Row],[国家]])</f>
        <v>41</v>
      </c>
      <c r="F88" s="163">
        <f t="array" ref="F88">MAX((表1_86121822242672122[目标区服]=表2_97131923252773123[[#This Row],[合区区服]])*(表1_86121822242672122[目标国家（映射）]=表2_97131923252773123[[#This Row],[国家]])*表1_86121822242672122[活跃尖端战力])</f>
        <v>3297551</v>
      </c>
      <c r="G88" s="164">
        <f>SUMIFS(表1_86121822242672122[活跃总战力],表1_86121822242672122[目标区服],表2_97131923252773123[[#This Row],[合区区服]],表1_86121822242672122[目标国家（映射）],表2_97131923252773123[[#This Row],[国家]])</f>
        <v>39201486</v>
      </c>
      <c r="H88" s="163">
        <f>SUMIFS(表1_86121822242672122[活跃实际充值],表1_86121822242672122[目标区服],表2_97131923252773123[[#This Row],[合区区服]],表1_86121822242672122[目标国家（映射）],表2_97131923252773123[[#This Row],[国家]])</f>
        <v>119604</v>
      </c>
      <c r="I88" s="163">
        <f>SUMIFS(表1_86121822242672122[活跃虚拟充值],表1_86121822242672122[目标区服],表2_97131923252773123[[#This Row],[合区区服]],表1_86121822242672122[目标国家（映射）],表2_97131923252773123[[#This Row],[国家]])</f>
        <v>73364</v>
      </c>
      <c r="J88" s="163">
        <f>SUMIFS(表1_86121822242672122[活跃Coin],表1_86121822242672122[目标区服],表2_97131923252773123[[#This Row],[合区区服]],表1_86121822242672122[目标国家（映射）],表2_97131923252773123[[#This Row],[国家]])</f>
        <v>770396</v>
      </c>
      <c r="K88" s="163">
        <f>SUMIFS(表1_86121822242672122[共计补偿Coin],表1_86121822242672122[目标区服],表2_97131923252773123[[#This Row],[合区区服]],表1_86121822242672122[目标国家（映射）],表2_97131923252773123[[#This Row],[国家]])</f>
        <v>47000</v>
      </c>
      <c r="L88" s="163">
        <f>表2_97131923252773123[[#This Row],[活跃Coin]]+表2_97131923252773123[[#This Row],[共计补偿Coin]]</f>
        <v>817396</v>
      </c>
      <c r="M88" s="163">
        <f>SUMIFS(表1_86121822242672122[综合国力],表1_86121822242672122[目标区服],表2_97131923252773123[[#This Row],[合区区服]],表1_86121822242672122[目标国家（映射）],表2_97131923252773123[[#This Row],[国家]])</f>
        <v>16196</v>
      </c>
      <c r="N88" s="161">
        <f t="array" ref="N88">MAX((表1_86121822242672122[目标区服]=表2_97131923252773123[[#This Row],[合区区服]])*(表1_86121822242672122[目标国家（映射）]=表2_97131923252773123[[#This Row],[国家]])*表1_86121822242672122[单将最高战力])</f>
        <v>996475</v>
      </c>
      <c r="P88" s="51">
        <v>7072</v>
      </c>
      <c r="Q88" s="51">
        <v>44</v>
      </c>
      <c r="R88" s="51" t="s">
        <v>310</v>
      </c>
      <c r="S88" s="51">
        <v>42</v>
      </c>
    </row>
    <row r="89" ht="15" spans="1:19">
      <c r="A89" s="165" t="s">
        <v>305</v>
      </c>
      <c r="B89" s="165" t="s">
        <v>25</v>
      </c>
      <c r="C89" s="165">
        <f>COUNTIFS(表1_86121822242672122[目标区服],表2_97131923252773123[[#This Row],[合区区服]],表1_86121822242672122[目标国家（映射）],表2_97131923252773123[[#This Row],[国家]])</f>
        <v>4</v>
      </c>
      <c r="D89" s="165">
        <f>SUMIFS(表1_86121822242672122[活跃高战玩家数],表1_86121822242672122[目标区服],表2_97131923252773123[[#This Row],[合区区服]],表1_86121822242672122[目标国家（映射）],表2_97131923252773123[[#This Row],[国家]])</f>
        <v>5</v>
      </c>
      <c r="E89" s="165">
        <f>SUMIFS(表1_86121822242672122[活跃中坚玩家数],表1_86121822242672122[目标区服],表2_97131923252773123[[#This Row],[合区区服]],表1_86121822242672122[目标国家（映射）],表2_97131923252773123[[#This Row],[国家]])</f>
        <v>50</v>
      </c>
      <c r="F89" s="165">
        <f t="array" ref="F89">MAX((表1_86121822242672122[目标区服]=表2_97131923252773123[[#This Row],[合区区服]])*(表1_86121822242672122[目标国家（映射）]=表2_97131923252773123[[#This Row],[国家]])*表1_86121822242672122[活跃尖端战力])</f>
        <v>2969487</v>
      </c>
      <c r="G89" s="166">
        <f>SUMIFS(表1_86121822242672122[活跃总战力],表1_86121822242672122[目标区服],表2_97131923252773123[[#This Row],[合区区服]],表1_86121822242672122[目标国家（映射）],表2_97131923252773123[[#This Row],[国家]])</f>
        <v>36061245</v>
      </c>
      <c r="H89" s="165">
        <f>SUMIFS(表1_86121822242672122[活跃实际充值],表1_86121822242672122[目标区服],表2_97131923252773123[[#This Row],[合区区服]],表1_86121822242672122[目标国家（映射）],表2_97131923252773123[[#This Row],[国家]])</f>
        <v>66860</v>
      </c>
      <c r="I89" s="165">
        <f>SUMIFS(表1_86121822242672122[活跃虚拟充值],表1_86121822242672122[目标区服],表2_97131923252773123[[#This Row],[合区区服]],表1_86121822242672122[目标国家（映射）],表2_97131923252773123[[#This Row],[国家]])</f>
        <v>0</v>
      </c>
      <c r="J89" s="165">
        <f>SUMIFS(表1_86121822242672122[活跃Coin],表1_86121822242672122[目标区服],表2_97131923252773123[[#This Row],[合区区服]],表1_86121822242672122[目标国家（映射）],表2_97131923252773123[[#This Row],[国家]])</f>
        <v>478624</v>
      </c>
      <c r="K89" s="165">
        <f>SUMIFS(表1_86121822242672122[共计补偿Coin],表1_86121822242672122[目标区服],表2_97131923252773123[[#This Row],[合区区服]],表1_86121822242672122[目标国家（映射）],表2_97131923252773123[[#This Row],[国家]])</f>
        <v>55000</v>
      </c>
      <c r="L89" s="165">
        <f>表2_97131923252773123[[#This Row],[活跃Coin]]+表2_97131923252773123[[#This Row],[共计补偿Coin]]</f>
        <v>533624</v>
      </c>
      <c r="M89" s="165">
        <f>SUMIFS(表1_86121822242672122[综合国力],表1_86121822242672122[目标区服],表2_97131923252773123[[#This Row],[合区区服]],表1_86121822242672122[目标国家（映射）],表2_97131923252773123[[#This Row],[国家]])</f>
        <v>15352</v>
      </c>
      <c r="N89" s="165">
        <f t="array" ref="N89">MAX((表1_86121822242672122[目标区服]=表2_97131923252773123[[#This Row],[合区区服]])*(表1_86121822242672122[目标国家（映射）]=表2_97131923252773123[[#This Row],[国家]])*表1_86121822242672122[单将最高战力])</f>
        <v>861906</v>
      </c>
      <c r="P89" s="51">
        <v>7073</v>
      </c>
      <c r="Q89" s="51">
        <v>44</v>
      </c>
      <c r="R89" s="51"/>
      <c r="S89" s="51"/>
    </row>
    <row r="90" ht="15" spans="1:19">
      <c r="A90" s="165" t="s">
        <v>305</v>
      </c>
      <c r="B90" s="165" t="s">
        <v>26</v>
      </c>
      <c r="C90" s="165">
        <f>COUNTIFS(表1_86121822242672122[目标区服],表2_97131923252773123[[#This Row],[合区区服]],表1_86121822242672122[目标国家（映射）],表2_97131923252773123[[#This Row],[国家]])</f>
        <v>3</v>
      </c>
      <c r="D90" s="165">
        <f>SUMIFS(表1_86121822242672122[活跃高战玩家数],表1_86121822242672122[目标区服],表2_97131923252773123[[#This Row],[合区区服]],表1_86121822242672122[目标国家（映射）],表2_97131923252773123[[#This Row],[国家]])</f>
        <v>11</v>
      </c>
      <c r="E90" s="165">
        <f>SUMIFS(表1_86121822242672122[活跃中坚玩家数],表1_86121822242672122[目标区服],表2_97131923252773123[[#This Row],[合区区服]],表1_86121822242672122[目标国家（映射）],表2_97131923252773123[[#This Row],[国家]])</f>
        <v>36</v>
      </c>
      <c r="F90" s="165">
        <f t="array" ref="F90">MAX((表1_86121822242672122[目标区服]=表2_97131923252773123[[#This Row],[合区区服]])*(表1_86121822242672122[目标国家（映射）]=表2_97131923252773123[[#This Row],[国家]])*表1_86121822242672122[活跃尖端战力])</f>
        <v>2143609</v>
      </c>
      <c r="G90" s="166">
        <f>SUMIFS(表1_86121822242672122[活跃总战力],表1_86121822242672122[目标区服],表2_97131923252773123[[#This Row],[合区区服]],表1_86121822242672122[目标国家（映射）],表2_97131923252773123[[#This Row],[国家]])</f>
        <v>35540072</v>
      </c>
      <c r="H90" s="165">
        <f>SUMIFS(表1_86121822242672122[活跃实际充值],表1_86121822242672122[目标区服],表2_97131923252773123[[#This Row],[合区区服]],表1_86121822242672122[目标国家（映射）],表2_97131923252773123[[#This Row],[国家]])</f>
        <v>85700</v>
      </c>
      <c r="I90" s="165">
        <f>SUMIFS(表1_86121822242672122[活跃虚拟充值],表1_86121822242672122[目标区服],表2_97131923252773123[[#This Row],[合区区服]],表1_86121822242672122[目标国家（映射）],表2_97131923252773123[[#This Row],[国家]])</f>
        <v>0</v>
      </c>
      <c r="J90" s="165">
        <f>SUMIFS(表1_86121822242672122[活跃Coin],表1_86121822242672122[目标区服],表2_97131923252773123[[#This Row],[合区区服]],表1_86121822242672122[目标国家（映射）],表2_97131923252773123[[#This Row],[国家]])</f>
        <v>714451</v>
      </c>
      <c r="K90" s="165">
        <f>SUMIFS(表1_86121822242672122[共计补偿Coin],表1_86121822242672122[目标区服],表2_97131923252773123[[#This Row],[合区区服]],表1_86121822242672122[目标国家（映射）],表2_97131923252773123[[#This Row],[国家]])</f>
        <v>47000</v>
      </c>
      <c r="L90" s="165">
        <f>表2_97131923252773123[[#This Row],[活跃Coin]]+表2_97131923252773123[[#This Row],[共计补偿Coin]]</f>
        <v>761451</v>
      </c>
      <c r="M90" s="165">
        <f>SUMIFS(表1_86121822242672122[综合国力],表1_86121822242672122[目标区服],表2_97131923252773123[[#This Row],[合区区服]],表1_86121822242672122[目标国家（映射）],表2_97131923252773123[[#This Row],[国家]])</f>
        <v>18421</v>
      </c>
      <c r="N90" s="165">
        <f t="array" ref="N90">MAX((表1_86121822242672122[目标区服]=表2_97131923252773123[[#This Row],[合区区服]])*(表1_86121822242672122[目标国家（映射）]=表2_97131923252773123[[#This Row],[国家]])*表1_86121822242672122[单将最高战力])</f>
        <v>547701</v>
      </c>
      <c r="P90" s="51">
        <v>7074</v>
      </c>
      <c r="Q90" s="51">
        <v>44</v>
      </c>
      <c r="R90" s="51"/>
      <c r="S90" s="51"/>
    </row>
    <row r="91" ht="15" spans="1:19">
      <c r="A91" s="165" t="s">
        <v>305</v>
      </c>
      <c r="B91" s="167" t="s">
        <v>27</v>
      </c>
      <c r="C91" s="167">
        <f>COUNTIFS(表1_86121822242672122[目标区服],表2_97131923252773123[[#This Row],[合区区服]],表1_86121822242672122[目标国家（映射）],表2_97131923252773123[[#This Row],[国家]])</f>
        <v>2</v>
      </c>
      <c r="D91" s="167">
        <f>SUMIFS(表1_86121822242672122[活跃高战玩家数],表1_86121822242672122[目标区服],表2_97131923252773123[[#This Row],[合区区服]],表1_86121822242672122[目标国家（映射）],表2_97131923252773123[[#This Row],[国家]])</f>
        <v>12</v>
      </c>
      <c r="E91" s="167">
        <f>SUMIFS(表1_86121822242672122[活跃中坚玩家数],表1_86121822242672122[目标区服],表2_97131923252773123[[#This Row],[合区区服]],表1_86121822242672122[目标国家（映射）],表2_97131923252773123[[#This Row],[国家]])</f>
        <v>37</v>
      </c>
      <c r="F91" s="167">
        <f t="array" ref="F91">MAX((表1_86121822242672122[目标区服]=表2_97131923252773123[[#This Row],[合区区服]])*(表1_86121822242672122[目标国家（映射）]=表2_97131923252773123[[#This Row],[国家]])*表1_86121822242672122[活跃尖端战力])</f>
        <v>2827813</v>
      </c>
      <c r="G91" s="168">
        <f>SUMIFS(表1_86121822242672122[活跃总战力],表1_86121822242672122[目标区服],表2_97131923252773123[[#This Row],[合区区服]],表1_86121822242672122[目标国家（映射）],表2_97131923252773123[[#This Row],[国家]])</f>
        <v>38578715</v>
      </c>
      <c r="H91" s="167">
        <f>SUMIFS(表1_86121822242672122[活跃实际充值],表1_86121822242672122[目标区服],表2_97131923252773123[[#This Row],[合区区服]],表1_86121822242672122[目标国家（映射）],表2_97131923252773123[[#This Row],[国家]])</f>
        <v>78932</v>
      </c>
      <c r="I91" s="167">
        <f>SUMIFS(表1_86121822242672122[活跃虚拟充值],表1_86121822242672122[目标区服],表2_97131923252773123[[#This Row],[合区区服]],表1_86121822242672122[目标国家（映射）],表2_97131923252773123[[#This Row],[国家]])</f>
        <v>0</v>
      </c>
      <c r="J91" s="167">
        <f>SUMIFS(表1_86121822242672122[活跃Coin],表1_86121822242672122[目标区服],表2_97131923252773123[[#This Row],[合区区服]],表1_86121822242672122[目标国家（映射）],表2_97131923252773123[[#This Row],[国家]])</f>
        <v>622634</v>
      </c>
      <c r="K91" s="167">
        <f>SUMIFS(表1_86121822242672122[共计补偿Coin],表1_86121822242672122[目标区服],表2_97131923252773123[[#This Row],[合区区服]],表1_86121822242672122[目标国家（映射）],表2_97131923252773123[[#This Row],[国家]])</f>
        <v>49000</v>
      </c>
      <c r="L91" s="167">
        <f>表2_97131923252773123[[#This Row],[活跃Coin]]+表2_97131923252773123[[#This Row],[共计补偿Coin]]</f>
        <v>671634</v>
      </c>
      <c r="M91" s="167">
        <f>SUMIFS(表1_86121822242672122[综合国力],表1_86121822242672122[目标区服],表2_97131923252773123[[#This Row],[合区区服]],表1_86121822242672122[目标国家（映射）],表2_97131923252773123[[#This Row],[国家]])</f>
        <v>17563</v>
      </c>
      <c r="N91" s="165">
        <f t="array" ref="N91">MAX((表1_86121822242672122[目标区服]=表2_97131923252773123[[#This Row],[合区区服]])*(表1_86121822242672122[目标国家（映射）]=表2_97131923252773123[[#This Row],[国家]])*表1_86121822242672122[单将最高战力])</f>
        <v>768799</v>
      </c>
      <c r="P91" s="51">
        <v>7075</v>
      </c>
      <c r="Q91" s="51">
        <v>43</v>
      </c>
      <c r="R91" s="51"/>
      <c r="S91" s="51"/>
    </row>
    <row r="92" ht="15" spans="1:19">
      <c r="A92" s="169" t="s">
        <v>306</v>
      </c>
      <c r="B92" s="169" t="s">
        <v>25</v>
      </c>
      <c r="C92" s="169">
        <f>COUNTIFS(表1_86121822242672122[目标区服],表2_97131923252773123[[#This Row],[合区区服]],表1_86121822242672122[目标国家（映射）],表2_97131923252773123[[#This Row],[国家]])</f>
        <v>3</v>
      </c>
      <c r="D92" s="169">
        <f>SUMIFS(表1_86121822242672122[活跃高战玩家数],表1_86121822242672122[目标区服],表2_97131923252773123[[#This Row],[合区区服]],表1_86121822242672122[目标国家（映射）],表2_97131923252773123[[#This Row],[国家]])</f>
        <v>10</v>
      </c>
      <c r="E92" s="169">
        <f>SUMIFS(表1_86121822242672122[活跃中坚玩家数],表1_86121822242672122[目标区服],表2_97131923252773123[[#This Row],[合区区服]],表1_86121822242672122[目标国家（映射）],表2_97131923252773123[[#This Row],[国家]])</f>
        <v>60</v>
      </c>
      <c r="F92" s="169">
        <f t="array" ref="F92">MAX((表1_86121822242672122[目标区服]=表2_97131923252773123[[#This Row],[合区区服]])*(表1_86121822242672122[目标国家（映射）]=表2_97131923252773123[[#This Row],[国家]])*表1_86121822242672122[活跃尖端战力])</f>
        <v>2998897</v>
      </c>
      <c r="G92" s="170">
        <f>SUMIFS(表1_86121822242672122[活跃总战力],表1_86121822242672122[目标区服],表2_97131923252773123[[#This Row],[合区区服]],表1_86121822242672122[目标国家（映射）],表2_97131923252773123[[#This Row],[国家]])</f>
        <v>56669505</v>
      </c>
      <c r="H92" s="169">
        <f>SUMIFS(表1_86121822242672122[活跃实际充值],表1_86121822242672122[目标区服],表2_97131923252773123[[#This Row],[合区区服]],表1_86121822242672122[目标国家（映射）],表2_97131923252773123[[#This Row],[国家]])</f>
        <v>156782</v>
      </c>
      <c r="I92" s="169">
        <f>SUMIFS(表1_86121822242672122[活跃虚拟充值],表1_86121822242672122[目标区服],表2_97131923252773123[[#This Row],[合区区服]],表1_86121822242672122[目标国家（映射）],表2_97131923252773123[[#This Row],[国家]])</f>
        <v>0</v>
      </c>
      <c r="J92" s="169">
        <f>SUMIFS(表1_86121822242672122[活跃Coin],表1_86121822242672122[目标区服],表2_97131923252773123[[#This Row],[合区区服]],表1_86121822242672122[目标国家（映射）],表2_97131923252773123[[#This Row],[国家]])</f>
        <v>846928</v>
      </c>
      <c r="K92" s="169">
        <f>SUMIFS(表1_86121822242672122[共计补偿Coin],表1_86121822242672122[目标区服],表2_97131923252773123[[#This Row],[合区区服]],表1_86121822242672122[目标国家（映射）],表2_97131923252773123[[#This Row],[国家]])</f>
        <v>91500</v>
      </c>
      <c r="L92" s="169">
        <f>表2_97131923252773123[[#This Row],[活跃Coin]]+表2_97131923252773123[[#This Row],[共计补偿Coin]]</f>
        <v>938428</v>
      </c>
      <c r="M92" s="169">
        <f>SUMIFS(表1_86121822242672122[综合国力],表1_86121822242672122[目标区服],表2_97131923252773123[[#This Row],[合区区服]],表1_86121822242672122[目标国家（映射）],表2_97131923252773123[[#This Row],[国家]])</f>
        <v>22761</v>
      </c>
      <c r="N92" s="169">
        <f t="array" ref="N92">MAX((表1_86121822242672122[目标区服]=表2_97131923252773123[[#This Row],[合区区服]])*(表1_86121822242672122[目标国家（映射）]=表2_97131923252773123[[#This Row],[国家]])*表1_86121822242672122[单将最高战力])</f>
        <v>848874</v>
      </c>
      <c r="P92" s="51">
        <v>7076</v>
      </c>
      <c r="Q92" s="51">
        <v>42</v>
      </c>
      <c r="R92" s="51"/>
      <c r="S92" s="51"/>
    </row>
    <row r="93" ht="15" spans="1:19">
      <c r="A93" s="169" t="s">
        <v>306</v>
      </c>
      <c r="B93" s="169" t="s">
        <v>26</v>
      </c>
      <c r="C93" s="169">
        <f>COUNTIFS(表1_86121822242672122[目标区服],表2_97131923252773123[[#This Row],[合区区服]],表1_86121822242672122[目标国家（映射）],表2_97131923252773123[[#This Row],[国家]])</f>
        <v>2</v>
      </c>
      <c r="D93" s="169">
        <f>SUMIFS(表1_86121822242672122[活跃高战玩家数],表1_86121822242672122[目标区服],表2_97131923252773123[[#This Row],[合区区服]],表1_86121822242672122[目标国家（映射）],表2_97131923252773123[[#This Row],[国家]])</f>
        <v>8</v>
      </c>
      <c r="E93" s="169">
        <f>SUMIFS(表1_86121822242672122[活跃中坚玩家数],表1_86121822242672122[目标区服],表2_97131923252773123[[#This Row],[合区区服]],表1_86121822242672122[目标国家（映射）],表2_97131923252773123[[#This Row],[国家]])</f>
        <v>51</v>
      </c>
      <c r="F93" s="169">
        <f t="array" ref="F93">MAX((表1_86121822242672122[目标区服]=表2_97131923252773123[[#This Row],[合区区服]])*(表1_86121822242672122[目标国家（映射）]=表2_97131923252773123[[#This Row],[国家]])*表1_86121822242672122[活跃尖端战力])</f>
        <v>2729414</v>
      </c>
      <c r="G93" s="170">
        <f>SUMIFS(表1_86121822242672122[活跃总战力],表1_86121822242672122[目标区服],表2_97131923252773123[[#This Row],[合区区服]],表1_86121822242672122[目标国家（映射）],表2_97131923252773123[[#This Row],[国家]])</f>
        <v>54977302</v>
      </c>
      <c r="H93" s="169">
        <f>SUMIFS(表1_86121822242672122[活跃实际充值],表1_86121822242672122[目标区服],表2_97131923252773123[[#This Row],[合区区服]],表1_86121822242672122[目标国家（映射）],表2_97131923252773123[[#This Row],[国家]])</f>
        <v>135416</v>
      </c>
      <c r="I93" s="169">
        <f>SUMIFS(表1_86121822242672122[活跃虚拟充值],表1_86121822242672122[目标区服],表2_97131923252773123[[#This Row],[合区区服]],表1_86121822242672122[目标国家（映射）],表2_97131923252773123[[#This Row],[国家]])</f>
        <v>0</v>
      </c>
      <c r="J93" s="169">
        <f>SUMIFS(表1_86121822242672122[活跃Coin],表1_86121822242672122[目标区服],表2_97131923252773123[[#This Row],[合区区服]],表1_86121822242672122[目标国家（映射）],表2_97131923252773123[[#This Row],[国家]])</f>
        <v>871311</v>
      </c>
      <c r="K93" s="169">
        <f>SUMIFS(表1_86121822242672122[共计补偿Coin],表1_86121822242672122[目标区服],表2_97131923252773123[[#This Row],[合区区服]],表1_86121822242672122[目标国家（映射）],表2_97131923252773123[[#This Row],[国家]])</f>
        <v>64500</v>
      </c>
      <c r="L93" s="169">
        <f>表2_97131923252773123[[#This Row],[活跃Coin]]+表2_97131923252773123[[#This Row],[共计补偿Coin]]</f>
        <v>935811</v>
      </c>
      <c r="M93" s="169">
        <f>SUMIFS(表1_86121822242672122[综合国力],表1_86121822242672122[目标区服],表2_97131923252773123[[#This Row],[合区区服]],表1_86121822242672122[目标国家（映射）],表2_97131923252773123[[#This Row],[国家]])</f>
        <v>18510</v>
      </c>
      <c r="N93" s="169">
        <f t="array" ref="N93">MAX((表1_86121822242672122[目标区服]=表2_97131923252773123[[#This Row],[合区区服]])*(表1_86121822242672122[目标国家（映射）]=表2_97131923252773123[[#This Row],[国家]])*表1_86121822242672122[单将最高战力])</f>
        <v>834822</v>
      </c>
      <c r="P93" s="51">
        <v>7077</v>
      </c>
      <c r="Q93" s="51">
        <v>42</v>
      </c>
      <c r="R93" s="51"/>
      <c r="S93" s="51"/>
    </row>
    <row r="94" ht="15" spans="1:17">
      <c r="A94" s="169" t="s">
        <v>306</v>
      </c>
      <c r="B94" s="171" t="s">
        <v>27</v>
      </c>
      <c r="C94" s="171">
        <f>COUNTIFS(表1_86121822242672122[目标区服],表2_97131923252773123[[#This Row],[合区区服]],表1_86121822242672122[目标国家（映射）],表2_97131923252773123[[#This Row],[国家]])</f>
        <v>4</v>
      </c>
      <c r="D94" s="171">
        <f>SUMIFS(表1_86121822242672122[活跃高战玩家数],表1_86121822242672122[目标区服],表2_97131923252773123[[#This Row],[合区区服]],表1_86121822242672122[目标国家（映射）],表2_97131923252773123[[#This Row],[国家]])</f>
        <v>10</v>
      </c>
      <c r="E94" s="171">
        <f>SUMIFS(表1_86121822242672122[活跃中坚玩家数],表1_86121822242672122[目标区服],表2_97131923252773123[[#This Row],[合区区服]],表1_86121822242672122[目标国家（映射）],表2_97131923252773123[[#This Row],[国家]])</f>
        <v>69</v>
      </c>
      <c r="F94" s="171">
        <f t="array" ref="F94">MAX((表1_86121822242672122[目标区服]=表2_97131923252773123[[#This Row],[合区区服]])*(表1_86121822242672122[目标国家（映射）]=表2_97131923252773123[[#This Row],[国家]])*表1_86121822242672122[活跃尖端战力])</f>
        <v>2279332</v>
      </c>
      <c r="G94" s="172">
        <f>SUMIFS(表1_86121822242672122[活跃总战力],表1_86121822242672122[目标区服],表2_97131923252773123[[#This Row],[合区区服]],表1_86121822242672122[目标国家（映射）],表2_97131923252773123[[#This Row],[国家]])</f>
        <v>61401359</v>
      </c>
      <c r="H94" s="171">
        <f>SUMIFS(表1_86121822242672122[活跃实际充值],表1_86121822242672122[目标区服],表2_97131923252773123[[#This Row],[合区区服]],表1_86121822242672122[目标国家（映射）],表2_97131923252773123[[#This Row],[国家]])</f>
        <v>79800</v>
      </c>
      <c r="I94" s="171">
        <f>SUMIFS(表1_86121822242672122[活跃虚拟充值],表1_86121822242672122[目标区服],表2_97131923252773123[[#This Row],[合区区服]],表1_86121822242672122[目标国家（映射）],表2_97131923252773123[[#This Row],[国家]])</f>
        <v>0</v>
      </c>
      <c r="J94" s="171">
        <f>SUMIFS(表1_86121822242672122[活跃Coin],表1_86121822242672122[目标区服],表2_97131923252773123[[#This Row],[合区区服]],表1_86121822242672122[目标国家（映射）],表2_97131923252773123[[#This Row],[国家]])</f>
        <v>839749</v>
      </c>
      <c r="K94" s="171">
        <f>SUMIFS(表1_86121822242672122[共计补偿Coin],表1_86121822242672122[目标区服],表2_97131923252773123[[#This Row],[合区区服]],表1_86121822242672122[目标国家（映射）],表2_97131923252773123[[#This Row],[国家]])</f>
        <v>110500</v>
      </c>
      <c r="L94" s="171">
        <f>表2_97131923252773123[[#This Row],[活跃Coin]]+表2_97131923252773123[[#This Row],[共计补偿Coin]]</f>
        <v>950249</v>
      </c>
      <c r="M94" s="171">
        <f>SUMIFS(表1_86121822242672122[综合国力],表1_86121822242672122[目标区服],表2_97131923252773123[[#This Row],[合区区服]],表1_86121822242672122[目标国家（映射）],表2_97131923252773123[[#This Row],[国家]])</f>
        <v>24035</v>
      </c>
      <c r="N94" s="169">
        <f t="array" ref="N94">MAX((表1_86121822242672122[目标区服]=表2_97131923252773123[[#This Row],[合区区服]])*(表1_86121822242672122[目标国家（映射）]=表2_97131923252773123[[#This Row],[国家]])*表1_86121822242672122[单将最高战力])</f>
        <v>659865</v>
      </c>
      <c r="P94" s="51">
        <v>7078</v>
      </c>
      <c r="Q94" s="51">
        <v>42</v>
      </c>
    </row>
    <row r="95" ht="15" spans="1:17">
      <c r="A95" s="173" t="s">
        <v>307</v>
      </c>
      <c r="B95" s="173" t="s">
        <v>25</v>
      </c>
      <c r="C95" s="173">
        <f>COUNTIFS(表1_86121822242672122[目标区服],表2_97131923252773123[[#This Row],[合区区服]],表1_86121822242672122[目标国家（映射）],表2_97131923252773123[[#This Row],[国家]])</f>
        <v>3</v>
      </c>
      <c r="D95" s="173">
        <f>SUMIFS(表1_86121822242672122[活跃高战玩家数],表1_86121822242672122[目标区服],表2_97131923252773123[[#This Row],[合区区服]],表1_86121822242672122[目标国家（映射）],表2_97131923252773123[[#This Row],[国家]])</f>
        <v>10</v>
      </c>
      <c r="E95" s="173">
        <f>SUMIFS(表1_86121822242672122[活跃中坚玩家数],表1_86121822242672122[目标区服],表2_97131923252773123[[#This Row],[合区区服]],表1_86121822242672122[目标国家（映射）],表2_97131923252773123[[#This Row],[国家]])</f>
        <v>40</v>
      </c>
      <c r="F95" s="173">
        <f t="array" ref="F95">MAX((表1_86121822242672122[目标区服]=表2_97131923252773123[[#This Row],[合区区服]])*(表1_86121822242672122[目标国家（映射）]=表2_97131923252773123[[#This Row],[国家]])*表1_86121822242672122[活跃尖端战力])</f>
        <v>2240978</v>
      </c>
      <c r="G95" s="174">
        <f>SUMIFS(表1_86121822242672122[活跃总战力],表1_86121822242672122[目标区服],表2_97131923252773123[[#This Row],[合区区服]],表1_86121822242672122[目标国家（映射）],表2_97131923252773123[[#This Row],[国家]])</f>
        <v>34690425</v>
      </c>
      <c r="H95" s="173">
        <f>SUMIFS(表1_86121822242672122[活跃实际充值],表1_86121822242672122[目标区服],表2_97131923252773123[[#This Row],[合区区服]],表1_86121822242672122[目标国家（映射）],表2_97131923252773123[[#This Row],[国家]])</f>
        <v>118304</v>
      </c>
      <c r="I95" s="173">
        <f>SUMIFS(表1_86121822242672122[活跃虚拟充值],表1_86121822242672122[目标区服],表2_97131923252773123[[#This Row],[合区区服]],表1_86121822242672122[目标国家（映射）],表2_97131923252773123[[#This Row],[国家]])</f>
        <v>0</v>
      </c>
      <c r="J95" s="173">
        <f>SUMIFS(表1_86121822242672122[活跃Coin],表1_86121822242672122[目标区服],表2_97131923252773123[[#This Row],[合区区服]],表1_86121822242672122[目标国家（映射）],表2_97131923252773123[[#This Row],[国家]])</f>
        <v>641708</v>
      </c>
      <c r="K95" s="173">
        <f>SUMIFS(表1_86121822242672122[共计补偿Coin],表1_86121822242672122[目标区服],表2_97131923252773123[[#This Row],[合区区服]],表1_86121822242672122[目标国家（映射）],表2_97131923252773123[[#This Row],[国家]])</f>
        <v>50000</v>
      </c>
      <c r="L95" s="173">
        <f>表2_97131923252773123[[#This Row],[活跃Coin]]+表2_97131923252773123[[#This Row],[共计补偿Coin]]</f>
        <v>691708</v>
      </c>
      <c r="M95" s="173">
        <f>SUMIFS(表1_86121822242672122[综合国力],表1_86121822242672122[目标区服],表2_97131923252773123[[#This Row],[合区区服]],表1_86121822242672122[目标国家（映射）],表2_97131923252773123[[#This Row],[国家]])</f>
        <v>17651</v>
      </c>
      <c r="N95" s="173">
        <f t="array" ref="N95">MAX((表1_86121822242672122[目标区服]=表2_97131923252773123[[#This Row],[合区区服]])*(表1_86121822242672122[目标国家（映射）]=表2_97131923252773123[[#This Row],[国家]])*表1_86121822242672122[单将最高战力])</f>
        <v>750636</v>
      </c>
      <c r="P95" s="51">
        <v>7079</v>
      </c>
      <c r="Q95" s="51">
        <v>42</v>
      </c>
    </row>
    <row r="96" ht="15" spans="1:17">
      <c r="A96" s="173" t="s">
        <v>307</v>
      </c>
      <c r="B96" s="173" t="s">
        <v>26</v>
      </c>
      <c r="C96" s="173">
        <f>COUNTIFS(表1_86121822242672122[目标区服],表2_97131923252773123[[#This Row],[合区区服]],表1_86121822242672122[目标国家（映射）],表2_97131923252773123[[#This Row],[国家]])</f>
        <v>3</v>
      </c>
      <c r="D96" s="173">
        <f>SUMIFS(表1_86121822242672122[活跃高战玩家数],表1_86121822242672122[目标区服],表2_97131923252773123[[#This Row],[合区区服]],表1_86121822242672122[目标国家（映射）],表2_97131923252773123[[#This Row],[国家]])</f>
        <v>11</v>
      </c>
      <c r="E96" s="173">
        <f>SUMIFS(表1_86121822242672122[活跃中坚玩家数],表1_86121822242672122[目标区服],表2_97131923252773123[[#This Row],[合区区服]],表1_86121822242672122[目标国家（映射）],表2_97131923252773123[[#This Row],[国家]])</f>
        <v>37</v>
      </c>
      <c r="F96" s="173">
        <f t="array" ref="F96">MAX((表1_86121822242672122[目标区服]=表2_97131923252773123[[#This Row],[合区区服]])*(表1_86121822242672122[目标国家（映射）]=表2_97131923252773123[[#This Row],[国家]])*表1_86121822242672122[活跃尖端战力])</f>
        <v>2226764</v>
      </c>
      <c r="G96" s="174">
        <f>SUMIFS(表1_86121822242672122[活跃总战力],表1_86121822242672122[目标区服],表2_97131923252773123[[#This Row],[合区区服]],表1_86121822242672122[目标国家（映射）],表2_97131923252773123[[#This Row],[国家]])</f>
        <v>33296346</v>
      </c>
      <c r="H96" s="173">
        <f>SUMIFS(表1_86121822242672122[活跃实际充值],表1_86121822242672122[目标区服],表2_97131923252773123[[#This Row],[合区区服]],表1_86121822242672122[目标国家（映射）],表2_97131923252773123[[#This Row],[国家]])</f>
        <v>65730</v>
      </c>
      <c r="I96" s="173">
        <f>SUMIFS(表1_86121822242672122[活跃虚拟充值],表1_86121822242672122[目标区服],表2_97131923252773123[[#This Row],[合区区服]],表1_86121822242672122[目标国家（映射）],表2_97131923252773123[[#This Row],[国家]])</f>
        <v>0</v>
      </c>
      <c r="J96" s="173">
        <f>SUMIFS(表1_86121822242672122[活跃Coin],表1_86121822242672122[目标区服],表2_97131923252773123[[#This Row],[合区区服]],表1_86121822242672122[目标国家（映射）],表2_97131923252773123[[#This Row],[国家]])</f>
        <v>559221</v>
      </c>
      <c r="K96" s="173">
        <f>SUMIFS(表1_86121822242672122[共计补偿Coin],表1_86121822242672122[目标区服],表2_97131923252773123[[#This Row],[合区区服]],表1_86121822242672122[目标国家（映射）],表2_97131923252773123[[#This Row],[国家]])</f>
        <v>48000</v>
      </c>
      <c r="L96" s="173">
        <f>表2_97131923252773123[[#This Row],[活跃Coin]]+表2_97131923252773123[[#This Row],[共计补偿Coin]]</f>
        <v>607221</v>
      </c>
      <c r="M96" s="173">
        <f>SUMIFS(表1_86121822242672122[综合国力],表1_86121822242672122[目标区服],表2_97131923252773123[[#This Row],[合区区服]],表1_86121822242672122[目标国家（映射）],表2_97131923252773123[[#This Row],[国家]])</f>
        <v>18557</v>
      </c>
      <c r="N96" s="173">
        <f t="array" ref="N96">MAX((表1_86121822242672122[目标区服]=表2_97131923252773123[[#This Row],[合区区服]])*(表1_86121822242672122[目标国家（映射）]=表2_97131923252773123[[#This Row],[国家]])*表1_86121822242672122[单将最高战力])</f>
        <v>724990</v>
      </c>
      <c r="P96" s="51">
        <v>7080</v>
      </c>
      <c r="Q96" s="51">
        <v>42</v>
      </c>
    </row>
    <row r="97" ht="15" spans="1:17">
      <c r="A97" s="173" t="s">
        <v>307</v>
      </c>
      <c r="B97" s="175" t="s">
        <v>27</v>
      </c>
      <c r="C97" s="175">
        <f>COUNTIFS(表1_86121822242672122[目标区服],表2_97131923252773123[[#This Row],[合区区服]],表1_86121822242672122[目标国家（映射）],表2_97131923252773123[[#This Row],[国家]])</f>
        <v>3</v>
      </c>
      <c r="D97" s="175">
        <f>SUMIFS(表1_86121822242672122[活跃高战玩家数],表1_86121822242672122[目标区服],表2_97131923252773123[[#This Row],[合区区服]],表1_86121822242672122[目标国家（映射）],表2_97131923252773123[[#This Row],[国家]])</f>
        <v>7</v>
      </c>
      <c r="E97" s="175">
        <f>SUMIFS(表1_86121822242672122[活跃中坚玩家数],表1_86121822242672122[目标区服],表2_97131923252773123[[#This Row],[合区区服]],表1_86121822242672122[目标国家（映射）],表2_97131923252773123[[#This Row],[国家]])</f>
        <v>39</v>
      </c>
      <c r="F97" s="175">
        <f t="array" ref="F97">MAX((表1_86121822242672122[目标区服]=表2_97131923252773123[[#This Row],[合区区服]])*(表1_86121822242672122[目标国家（映射）]=表2_97131923252773123[[#This Row],[国家]])*表1_86121822242672122[活跃尖端战力])</f>
        <v>2900486</v>
      </c>
      <c r="G97" s="176">
        <f>SUMIFS(表1_86121822242672122[活跃总战力],表1_86121822242672122[目标区服],表2_97131923252773123[[#This Row],[合区区服]],表1_86121822242672122[目标国家（映射）],表2_97131923252773123[[#This Row],[国家]])</f>
        <v>29385197</v>
      </c>
      <c r="H97" s="175">
        <f>SUMIFS(表1_86121822242672122[活跃实际充值],表1_86121822242672122[目标区服],表2_97131923252773123[[#This Row],[合区区服]],表1_86121822242672122[目标国家（映射）],表2_97131923252773123[[#This Row],[国家]])</f>
        <v>69490</v>
      </c>
      <c r="I97" s="175">
        <f>SUMIFS(表1_86121822242672122[活跃虚拟充值],表1_86121822242672122[目标区服],表2_97131923252773123[[#This Row],[合区区服]],表1_86121822242672122[目标国家（映射）],表2_97131923252773123[[#This Row],[国家]])</f>
        <v>46188</v>
      </c>
      <c r="J97" s="175">
        <f>SUMIFS(表1_86121822242672122[活跃Coin],表1_86121822242672122[目标区服],表2_97131923252773123[[#This Row],[合区区服]],表1_86121822242672122[目标国家（映射）],表2_97131923252773123[[#This Row],[国家]])</f>
        <v>401874</v>
      </c>
      <c r="K97" s="175">
        <f>SUMIFS(表1_86121822242672122[共计补偿Coin],表1_86121822242672122[目标区服],表2_97131923252773123[[#This Row],[合区区服]],表1_86121822242672122[目标国家（映射）],表2_97131923252773123[[#This Row],[国家]])</f>
        <v>46000</v>
      </c>
      <c r="L97" s="175">
        <f>表2_97131923252773123[[#This Row],[活跃Coin]]+表2_97131923252773123[[#This Row],[共计补偿Coin]]</f>
        <v>447874</v>
      </c>
      <c r="M97" s="175">
        <f>SUMIFS(表1_86121822242672122[综合国力],表1_86121822242672122[目标区服],表2_97131923252773123[[#This Row],[合区区服]],表1_86121822242672122[目标国家（映射）],表2_97131923252773123[[#This Row],[国家]])</f>
        <v>17358</v>
      </c>
      <c r="N97" s="173">
        <f t="array" ref="N97">MAX((表1_86121822242672122[目标区服]=表2_97131923252773123[[#This Row],[合区区服]])*(表1_86121822242672122[目标国家（映射）]=表2_97131923252773123[[#This Row],[国家]])*表1_86121822242672122[单将最高战力])</f>
        <v>801020</v>
      </c>
      <c r="P97" s="51">
        <v>7081</v>
      </c>
      <c r="Q97" s="51">
        <v>41</v>
      </c>
    </row>
    <row r="98" ht="15" spans="1:17">
      <c r="A98" s="177" t="s">
        <v>308</v>
      </c>
      <c r="B98" s="178" t="s">
        <v>25</v>
      </c>
      <c r="C98" s="178">
        <f>COUNTIFS(表1_86121822242672122[目标区服],表2_97131923252773123[[#This Row],[合区区服]],表1_86121822242672122[目标国家（映射）],表2_97131923252773123[[#This Row],[国家]])</f>
        <v>3</v>
      </c>
      <c r="D98" s="178">
        <f>SUMIFS(表1_86121822242672122[活跃高战玩家数],表1_86121822242672122[目标区服],表2_97131923252773123[[#This Row],[合区区服]],表1_86121822242672122[目标国家（映射）],表2_97131923252773123[[#This Row],[国家]])</f>
        <v>10</v>
      </c>
      <c r="E98" s="178">
        <f>SUMIFS(表1_86121822242672122[活跃中坚玩家数],表1_86121822242672122[目标区服],表2_97131923252773123[[#This Row],[合区区服]],表1_86121822242672122[目标国家（映射）],表2_97131923252773123[[#This Row],[国家]])</f>
        <v>48</v>
      </c>
      <c r="F98" s="178">
        <f t="array" ref="F98">MAX((表1_86121822242672122[目标区服]=表2_97131923252773123[[#This Row],[合区区服]])*(表1_86121822242672122[目标国家（映射）]=表2_97131923252773123[[#This Row],[国家]])*表1_86121822242672122[活跃尖端战力])</f>
        <v>1912282</v>
      </c>
      <c r="G98" s="179">
        <f>SUMIFS(表1_86121822242672122[活跃总战力],表1_86121822242672122[目标区服],表2_97131923252773123[[#This Row],[合区区服]],表1_86121822242672122[目标国家（映射）],表2_97131923252773123[[#This Row],[国家]])</f>
        <v>38754727</v>
      </c>
      <c r="H98" s="178">
        <f>SUMIFS(表1_86121822242672122[活跃实际充值],表1_86121822242672122[目标区服],表2_97131923252773123[[#This Row],[合区区服]],表1_86121822242672122[目标国家（映射）],表2_97131923252773123[[#This Row],[国家]])</f>
        <v>36400</v>
      </c>
      <c r="I98" s="178">
        <f>SUMIFS(表1_86121822242672122[活跃虚拟充值],表1_86121822242672122[目标区服],表2_97131923252773123[[#This Row],[合区区服]],表1_86121822242672122[目标国家（映射）],表2_97131923252773123[[#This Row],[国家]])</f>
        <v>0</v>
      </c>
      <c r="J98" s="178">
        <f>SUMIFS(表1_86121822242672122[活跃Coin],表1_86121822242672122[目标区服],表2_97131923252773123[[#This Row],[合区区服]],表1_86121822242672122[目标国家（映射）],表2_97131923252773123[[#This Row],[国家]])</f>
        <v>616309</v>
      </c>
      <c r="K98" s="178">
        <f>SUMIFS(表1_86121822242672122[共计补偿Coin],表1_86121822242672122[目标区服],表2_97131923252773123[[#This Row],[合区区服]],表1_86121822242672122[目标国家（映射）],表2_97131923252773123[[#This Row],[国家]])</f>
        <v>58000</v>
      </c>
      <c r="L98" s="178">
        <f>表2_97131923252773123[[#This Row],[活跃Coin]]+表2_97131923252773123[[#This Row],[共计补偿Coin]]</f>
        <v>674309</v>
      </c>
      <c r="M98" s="178">
        <f>SUMIFS(表1_86121822242672122[综合国力],表1_86121822242672122[目标区服],表2_97131923252773123[[#This Row],[合区区服]],表1_86121822242672122[目标国家（映射）],表2_97131923252773123[[#This Row],[国家]])</f>
        <v>15192</v>
      </c>
      <c r="N98" s="178">
        <f t="array" ref="N98">MAX((表1_86121822242672122[目标区服]=表2_97131923252773123[[#This Row],[合区区服]])*(表1_86121822242672122[目标国家（映射）]=表2_97131923252773123[[#This Row],[国家]])*表1_86121822242672122[单将最高战力])</f>
        <v>551905</v>
      </c>
      <c r="P98" s="51">
        <v>7082</v>
      </c>
      <c r="Q98" s="51">
        <v>41</v>
      </c>
    </row>
    <row r="99" ht="15" spans="1:17">
      <c r="A99" s="177" t="s">
        <v>308</v>
      </c>
      <c r="B99" s="178" t="s">
        <v>26</v>
      </c>
      <c r="C99" s="178">
        <f>COUNTIFS(表1_86121822242672122[目标区服],表2_97131923252773123[[#This Row],[合区区服]],表1_86121822242672122[目标国家（映射）],表2_97131923252773123[[#This Row],[国家]])</f>
        <v>1</v>
      </c>
      <c r="D99" s="178">
        <f>SUMIFS(表1_86121822242672122[活跃高战玩家数],表1_86121822242672122[目标区服],表2_97131923252773123[[#This Row],[合区区服]],表1_86121822242672122[目标国家（映射）],表2_97131923252773123[[#This Row],[国家]])</f>
        <v>7</v>
      </c>
      <c r="E99" s="178">
        <f>SUMIFS(表1_86121822242672122[活跃中坚玩家数],表1_86121822242672122[目标区服],表2_97131923252773123[[#This Row],[合区区服]],表1_86121822242672122[目标国家（映射）],表2_97131923252773123[[#This Row],[国家]])</f>
        <v>32</v>
      </c>
      <c r="F99" s="178">
        <f t="array" ref="F99">MAX((表1_86121822242672122[目标区服]=表2_97131923252773123[[#This Row],[合区区服]])*(表1_86121822242672122[目标国家（映射）]=表2_97131923252773123[[#This Row],[国家]])*表1_86121822242672122[活跃尖端战力])</f>
        <v>2191150</v>
      </c>
      <c r="G99" s="179">
        <f>SUMIFS(表1_86121822242672122[活跃总战力],表1_86121822242672122[目标区服],表2_97131923252773123[[#This Row],[合区区服]],表1_86121822242672122[目标国家（映射）],表2_97131923252773123[[#This Row],[国家]])</f>
        <v>27105172</v>
      </c>
      <c r="H99" s="178">
        <f>SUMIFS(表1_86121822242672122[活跃实际充值],表1_86121822242672122[目标区服],表2_97131923252773123[[#This Row],[合区区服]],表1_86121822242672122[目标国家（映射）],表2_97131923252773123[[#This Row],[国家]])</f>
        <v>69824</v>
      </c>
      <c r="I99" s="178">
        <f>SUMIFS(表1_86121822242672122[活跃虚拟充值],表1_86121822242672122[目标区服],表2_97131923252773123[[#This Row],[合区区服]],表1_86121822242672122[目标国家（映射）],表2_97131923252773123[[#This Row],[国家]])</f>
        <v>0</v>
      </c>
      <c r="J99" s="178">
        <f>SUMIFS(表1_86121822242672122[活跃Coin],表1_86121822242672122[目标区服],表2_97131923252773123[[#This Row],[合区区服]],表1_86121822242672122[目标国家（映射）],表2_97131923252773123[[#This Row],[国家]])</f>
        <v>655603</v>
      </c>
      <c r="K99" s="178">
        <f>SUMIFS(表1_86121822242672122[共计补偿Coin],表1_86121822242672122[目标区服],表2_97131923252773123[[#This Row],[合区区服]],表1_86121822242672122[目标国家（映射）],表2_97131923252773123[[#This Row],[国家]])</f>
        <v>39000</v>
      </c>
      <c r="L99" s="178">
        <f>表2_97131923252773123[[#This Row],[活跃Coin]]+表2_97131923252773123[[#This Row],[共计补偿Coin]]</f>
        <v>694603</v>
      </c>
      <c r="M99" s="178">
        <f>SUMIFS(表1_86121822242672122[综合国力],表1_86121822242672122[目标区服],表2_97131923252773123[[#This Row],[合区区服]],表1_86121822242672122[目标国家（映射）],表2_97131923252773123[[#This Row],[国家]])</f>
        <v>10724</v>
      </c>
      <c r="N99" s="178">
        <f t="array" ref="N99">MAX((表1_86121822242672122[目标区服]=表2_97131923252773123[[#This Row],[合区区服]])*(表1_86121822242672122[目标国家（映射）]=表2_97131923252773123[[#This Row],[国家]])*表1_86121822242672122[单将最高战力])</f>
        <v>648926</v>
      </c>
      <c r="P99" s="51">
        <v>7083</v>
      </c>
      <c r="Q99" s="51">
        <v>41</v>
      </c>
    </row>
    <row r="100" ht="15" spans="1:17">
      <c r="A100" s="177" t="s">
        <v>308</v>
      </c>
      <c r="B100" s="180" t="s">
        <v>27</v>
      </c>
      <c r="C100" s="180">
        <f>COUNTIFS(表1_86121822242672122[目标区服],表2_97131923252773123[[#This Row],[合区区服]],表1_86121822242672122[目标国家（映射）],表2_97131923252773123[[#This Row],[国家]])</f>
        <v>2</v>
      </c>
      <c r="D100" s="180">
        <f>SUMIFS(表1_86121822242672122[活跃高战玩家数],表1_86121822242672122[目标区服],表2_97131923252773123[[#This Row],[合区区服]],表1_86121822242672122[目标国家（映射）],表2_97131923252773123[[#This Row],[国家]])</f>
        <v>3</v>
      </c>
      <c r="E100" s="180">
        <f>SUMIFS(表1_86121822242672122[活跃中坚玩家数],表1_86121822242672122[目标区服],表2_97131923252773123[[#This Row],[合区区服]],表1_86121822242672122[目标国家（映射）],表2_97131923252773123[[#This Row],[国家]])</f>
        <v>35</v>
      </c>
      <c r="F100" s="178">
        <f t="array" ref="F100">MAX((表1_86121822242672122[目标区服]=表2_97131923252773123[[#This Row],[合区区服]])*(表1_86121822242672122[目标国家（映射）]=表2_97131923252773123[[#This Row],[国家]])*表1_86121822242672122[活跃尖端战力])</f>
        <v>1984084</v>
      </c>
      <c r="G100" s="179">
        <f>SUMIFS(表1_86121822242672122[活跃总战力],表1_86121822242672122[目标区服],表2_97131923252773123[[#This Row],[合区区服]],表1_86121822242672122[目标国家（映射）],表2_97131923252773123[[#This Row],[国家]])</f>
        <v>24807438</v>
      </c>
      <c r="H100" s="178">
        <f>SUMIFS(表1_86121822242672122[活跃实际充值],表1_86121822242672122[目标区服],表2_97131923252773123[[#This Row],[合区区服]],表1_86121822242672122[目标国家（映射）],表2_97131923252773123[[#This Row],[国家]])</f>
        <v>67824</v>
      </c>
      <c r="I100" s="178">
        <f>SUMIFS(表1_86121822242672122[活跃虚拟充值],表1_86121822242672122[目标区服],表2_97131923252773123[[#This Row],[合区区服]],表1_86121822242672122[目标国家（映射）],表2_97131923252773123[[#This Row],[国家]])</f>
        <v>0</v>
      </c>
      <c r="J100" s="178">
        <f>SUMIFS(表1_86121822242672122[活跃Coin],表1_86121822242672122[目标区服],表2_97131923252773123[[#This Row],[合区区服]],表1_86121822242672122[目标国家（映射）],表2_97131923252773123[[#This Row],[国家]])</f>
        <v>416808</v>
      </c>
      <c r="K100" s="178">
        <f>SUMIFS(表1_86121822242672122[共计补偿Coin],表1_86121822242672122[目标区服],表2_97131923252773123[[#This Row],[合区区服]],表1_86121822242672122[目标国家（映射）],表2_97131923252773123[[#This Row],[国家]])</f>
        <v>38000</v>
      </c>
      <c r="L100" s="178">
        <f>表2_97131923252773123[[#This Row],[活跃Coin]]+表2_97131923252773123[[#This Row],[共计补偿Coin]]</f>
        <v>454808</v>
      </c>
      <c r="M100" s="178">
        <f>SUMIFS(表1_86121822242672122[综合国力],表1_86121822242672122[目标区服],表2_97131923252773123[[#This Row],[合区区服]],表1_86121822242672122[目标国家（映射）],表2_97131923252773123[[#This Row],[国家]])</f>
        <v>11624</v>
      </c>
      <c r="N100" s="178">
        <f t="array" ref="N100">MAX((表1_86121822242672122[目标区服]=表2_97131923252773123[[#This Row],[合区区服]])*(表1_86121822242672122[目标国家（映射）]=表2_97131923252773123[[#This Row],[国家]])*表1_86121822242672122[单将最高战力])</f>
        <v>829015</v>
      </c>
      <c r="P100" s="51">
        <v>7084</v>
      </c>
      <c r="Q100" s="51">
        <v>41</v>
      </c>
    </row>
    <row r="101" ht="15" spans="1:17">
      <c r="A101" s="181" t="s">
        <v>309</v>
      </c>
      <c r="B101" s="182" t="s">
        <v>25</v>
      </c>
      <c r="C101" s="182">
        <f>COUNTIFS(表1_86121822242672122[目标区服],表2_97131923252773123[[#This Row],[合区区服]],表1_86121822242672122[目标国家（映射）],表2_97131923252773123[[#This Row],[国家]])</f>
        <v>3</v>
      </c>
      <c r="D101" s="182">
        <f>SUMIFS(表1_86121822242672122[活跃高战玩家数],表1_86121822242672122[目标区服],表2_97131923252773123[[#This Row],[合区区服]],表1_86121822242672122[目标国家（映射）],表2_97131923252773123[[#This Row],[国家]])</f>
        <v>10</v>
      </c>
      <c r="E101" s="182">
        <f>SUMIFS(表1_86121822242672122[活跃中坚玩家数],表1_86121822242672122[目标区服],表2_97131923252773123[[#This Row],[合区区服]],表1_86121822242672122[目标国家（映射）],表2_97131923252773123[[#This Row],[国家]])</f>
        <v>43</v>
      </c>
      <c r="F101" s="182">
        <f t="array" ref="F101">MAX((表1_86121822242672122[目标区服]=表2_97131923252773123[[#This Row],[合区区服]])*(表1_86121822242672122[目标国家（映射）]=表2_97131923252773123[[#This Row],[国家]])*表1_86121822242672122[活跃尖端战力])</f>
        <v>2229832</v>
      </c>
      <c r="G101" s="183">
        <f>SUMIFS(表1_86121822242672122[活跃总战力],表1_86121822242672122[目标区服],表2_97131923252773123[[#This Row],[合区区服]],表1_86121822242672122[目标国家（映射）],表2_97131923252773123[[#This Row],[国家]])</f>
        <v>36365766</v>
      </c>
      <c r="H101" s="182">
        <f>SUMIFS(表1_86121822242672122[活跃实际充值],表1_86121822242672122[目标区服],表2_97131923252773123[[#This Row],[合区区服]],表1_86121822242672122[目标国家（映射）],表2_97131923252773123[[#This Row],[国家]])</f>
        <v>69672</v>
      </c>
      <c r="I101" s="182">
        <f>SUMIFS(表1_86121822242672122[活跃虚拟充值],表1_86121822242672122[目标区服],表2_97131923252773123[[#This Row],[合区区服]],表1_86121822242672122[目标国家（映射）],表2_97131923252773123[[#This Row],[国家]])</f>
        <v>0</v>
      </c>
      <c r="J101" s="182">
        <f>SUMIFS(表1_86121822242672122[活跃Coin],表1_86121822242672122[目标区服],表2_97131923252773123[[#This Row],[合区区服]],表1_86121822242672122[目标国家（映射）],表2_97131923252773123[[#This Row],[国家]])</f>
        <v>1002690</v>
      </c>
      <c r="K101" s="182">
        <f>SUMIFS(表1_86121822242672122[共计补偿Coin],表1_86121822242672122[目标区服],表2_97131923252773123[[#This Row],[合区区服]],表1_86121822242672122[目标国家（映射）],表2_97131923252773123[[#This Row],[国家]])</f>
        <v>53000</v>
      </c>
      <c r="L101" s="182">
        <f>表2_97131923252773123[[#This Row],[活跃Coin]]+表2_97131923252773123[[#This Row],[共计补偿Coin]]</f>
        <v>1055690</v>
      </c>
      <c r="M101" s="182">
        <f>SUMIFS(表1_86121822242672122[综合国力],表1_86121822242672122[目标区服],表2_97131923252773123[[#This Row],[合区区服]],表1_86121822242672122[目标国家（映射）],表2_97131923252773123[[#This Row],[国家]])</f>
        <v>18422</v>
      </c>
      <c r="N101" s="182">
        <f t="array" ref="N101">MAX((表1_86121822242672122[目标区服]=表2_97131923252773123[[#This Row],[合区区服]])*(表1_86121822242672122[目标国家（映射）]=表2_97131923252773123[[#This Row],[国家]])*表1_86121822242672122[单将最高战力])</f>
        <v>628643</v>
      </c>
      <c r="P101" s="51">
        <v>7085</v>
      </c>
      <c r="Q101" s="51">
        <v>41</v>
      </c>
    </row>
    <row r="102" ht="15" spans="1:17">
      <c r="A102" s="181" t="s">
        <v>309</v>
      </c>
      <c r="B102" s="182" t="s">
        <v>26</v>
      </c>
      <c r="C102" s="182">
        <f>COUNTIFS(表1_86121822242672122[目标区服],表2_97131923252773123[[#This Row],[合区区服]],表1_86121822242672122[目标国家（映射）],表2_97131923252773123[[#This Row],[国家]])</f>
        <v>3</v>
      </c>
      <c r="D102" s="182">
        <f>SUMIFS(表1_86121822242672122[活跃高战玩家数],表1_86121822242672122[目标区服],表2_97131923252773123[[#This Row],[合区区服]],表1_86121822242672122[目标国家（映射）],表2_97131923252773123[[#This Row],[国家]])</f>
        <v>10</v>
      </c>
      <c r="E102" s="182">
        <f>SUMIFS(表1_86121822242672122[活跃中坚玩家数],表1_86121822242672122[目标区服],表2_97131923252773123[[#This Row],[合区区服]],表1_86121822242672122[目标国家（映射）],表2_97131923252773123[[#This Row],[国家]])</f>
        <v>52</v>
      </c>
      <c r="F102" s="182">
        <f t="array" ref="F102">MAX((表1_86121822242672122[目标区服]=表2_97131923252773123[[#This Row],[合区区服]])*(表1_86121822242672122[目标国家（映射）]=表2_97131923252773123[[#This Row],[国家]])*表1_86121822242672122[活跃尖端战力])</f>
        <v>1897200</v>
      </c>
      <c r="G102" s="183">
        <f>SUMIFS(表1_86121822242672122[活跃总战力],表1_86121822242672122[目标区服],表2_97131923252773123[[#This Row],[合区区服]],表1_86121822242672122[目标国家（映射）],表2_97131923252773123[[#This Row],[国家]])</f>
        <v>40085776</v>
      </c>
      <c r="H102" s="182">
        <f>SUMIFS(表1_86121822242672122[活跃实际充值],表1_86121822242672122[目标区服],表2_97131923252773123[[#This Row],[合区区服]],表1_86121822242672122[目标国家（映射）],表2_97131923252773123[[#This Row],[国家]])</f>
        <v>69264</v>
      </c>
      <c r="I102" s="182">
        <f>SUMIFS(表1_86121822242672122[活跃虚拟充值],表1_86121822242672122[目标区服],表2_97131923252773123[[#This Row],[合区区服]],表1_86121822242672122[目标国家（映射）],表2_97131923252773123[[#This Row],[国家]])</f>
        <v>0</v>
      </c>
      <c r="J102" s="182">
        <f>SUMIFS(表1_86121822242672122[活跃Coin],表1_86121822242672122[目标区服],表2_97131923252773123[[#This Row],[合区区服]],表1_86121822242672122[目标国家（映射）],表2_97131923252773123[[#This Row],[国家]])</f>
        <v>444874</v>
      </c>
      <c r="K102" s="182">
        <f>SUMIFS(表1_86121822242672122[共计补偿Coin],表1_86121822242672122[目标区服],表2_97131923252773123[[#This Row],[合区区服]],表1_86121822242672122[目标国家（映射）],表2_97131923252773123[[#This Row],[国家]])</f>
        <v>62000</v>
      </c>
      <c r="L102" s="182">
        <f>表2_97131923252773123[[#This Row],[活跃Coin]]+表2_97131923252773123[[#This Row],[共计补偿Coin]]</f>
        <v>506874</v>
      </c>
      <c r="M102" s="182">
        <f>SUMIFS(表1_86121822242672122[综合国力],表1_86121822242672122[目标区服],表2_97131923252773123[[#This Row],[合区区服]],表1_86121822242672122[目标国家（映射）],表2_97131923252773123[[#This Row],[国家]])</f>
        <v>16653</v>
      </c>
      <c r="N102" s="182">
        <f t="array" ref="N102">MAX((表1_86121822242672122[目标区服]=表2_97131923252773123[[#This Row],[合区区服]])*(表1_86121822242672122[目标国家（映射）]=表2_97131923252773123[[#This Row],[国家]])*表1_86121822242672122[单将最高战力])</f>
        <v>662300</v>
      </c>
      <c r="P102" s="51">
        <v>7086</v>
      </c>
      <c r="Q102" s="51">
        <v>40</v>
      </c>
    </row>
    <row r="103" ht="15" spans="1:17">
      <c r="A103" s="181" t="s">
        <v>309</v>
      </c>
      <c r="B103" s="184" t="s">
        <v>27</v>
      </c>
      <c r="C103" s="184">
        <f>COUNTIFS(表1_86121822242672122[目标区服],表2_97131923252773123[[#This Row],[合区区服]],表1_86121822242672122[目标国家（映射）],表2_97131923252773123[[#This Row],[国家]])</f>
        <v>3</v>
      </c>
      <c r="D103" s="184">
        <f>SUMIFS(表1_86121822242672122[活跃高战玩家数],表1_86121822242672122[目标区服],表2_97131923252773123[[#This Row],[合区区服]],表1_86121822242672122[目标国家（映射）],表2_97131923252773123[[#This Row],[国家]])</f>
        <v>10</v>
      </c>
      <c r="E103" s="184">
        <f>SUMIFS(表1_86121822242672122[活跃中坚玩家数],表1_86121822242672122[目标区服],表2_97131923252773123[[#This Row],[合区区服]],表1_86121822242672122[目标国家（映射）],表2_97131923252773123[[#This Row],[国家]])</f>
        <v>47</v>
      </c>
      <c r="F103" s="182">
        <f t="array" ref="F103">MAX((表1_86121822242672122[目标区服]=表2_97131923252773123[[#This Row],[合区区服]])*(表1_86121822242672122[目标国家（映射）]=表2_97131923252773123[[#This Row],[国家]])*表1_86121822242672122[活跃尖端战力])</f>
        <v>1829167</v>
      </c>
      <c r="G103" s="183">
        <f>SUMIFS(表1_86121822242672122[活跃总战力],表1_86121822242672122[目标区服],表2_97131923252773123[[#This Row],[合区区服]],表1_86121822242672122[目标国家（映射）],表2_97131923252773123[[#This Row],[国家]])</f>
        <v>38473229</v>
      </c>
      <c r="H103" s="182">
        <f>SUMIFS(表1_86121822242672122[活跃实际充值],表1_86121822242672122[目标区服],表2_97131923252773123[[#This Row],[合区区服]],表1_86121822242672122[目标国家（映射）],表2_97131923252773123[[#This Row],[国家]])</f>
        <v>83458</v>
      </c>
      <c r="I103" s="182">
        <f>SUMIFS(表1_86121822242672122[活跃虚拟充值],表1_86121822242672122[目标区服],表2_97131923252773123[[#This Row],[合区区服]],表1_86121822242672122[目标国家（映射）],表2_97131923252773123[[#This Row],[国家]])</f>
        <v>0</v>
      </c>
      <c r="J103" s="182">
        <f>SUMIFS(表1_86121822242672122[活跃Coin],表1_86121822242672122[目标区服],表2_97131923252773123[[#This Row],[合区区服]],表1_86121822242672122[目标国家（映射）],表2_97131923252773123[[#This Row],[国家]])</f>
        <v>801146</v>
      </c>
      <c r="K103" s="182">
        <f>SUMIFS(表1_86121822242672122[共计补偿Coin],表1_86121822242672122[目标区服],表2_97131923252773123[[#This Row],[合区区服]],表1_86121822242672122[目标国家（映射）],表2_97131923252773123[[#This Row],[国家]])</f>
        <v>57000</v>
      </c>
      <c r="L103" s="182">
        <f>表2_97131923252773123[[#This Row],[活跃Coin]]+表2_97131923252773123[[#This Row],[共计补偿Coin]]</f>
        <v>858146</v>
      </c>
      <c r="M103" s="182">
        <f>SUMIFS(表1_86121822242672122[综合国力],表1_86121822242672122[目标区服],表2_97131923252773123[[#This Row],[合区区服]],表1_86121822242672122[目标国家（映射）],表2_97131923252773123[[#This Row],[国家]])</f>
        <v>17475</v>
      </c>
      <c r="N103" s="182">
        <f t="array" ref="N103">MAX((表1_86121822242672122[目标区服]=表2_97131923252773123[[#This Row],[合区区服]])*(表1_86121822242672122[目标国家（映射）]=表2_97131923252773123[[#This Row],[国家]])*表1_86121822242672122[单将最高战力])</f>
        <v>535966</v>
      </c>
      <c r="P103" s="51">
        <v>7087</v>
      </c>
      <c r="Q103" s="51">
        <v>40</v>
      </c>
    </row>
    <row r="104" ht="15" spans="1:17">
      <c r="A104" s="185" t="s">
        <v>310</v>
      </c>
      <c r="B104" s="186" t="s">
        <v>25</v>
      </c>
      <c r="C104" s="186">
        <f>COUNTIFS(表1_86121822242672122[目标区服],表2_97131923252773123[[#This Row],[合区区服]],表1_86121822242672122[目标国家（映射）],表2_97131923252773123[[#This Row],[国家]])</f>
        <v>2</v>
      </c>
      <c r="D104" s="186">
        <f>SUMIFS(表1_86121822242672122[活跃高战玩家数],表1_86121822242672122[目标区服],表2_97131923252773123[[#This Row],[合区区服]],表1_86121822242672122[目标国家（映射）],表2_97131923252773123[[#This Row],[国家]])</f>
        <v>8</v>
      </c>
      <c r="E104" s="186">
        <f>SUMIFS(表1_86121822242672122[活跃中坚玩家数],表1_86121822242672122[目标区服],表2_97131923252773123[[#This Row],[合区区服]],表1_86121822242672122[目标国家（映射）],表2_97131923252773123[[#This Row],[国家]])</f>
        <v>43</v>
      </c>
      <c r="F104" s="186">
        <f t="array" ref="F104">MAX((表1_86121822242672122[目标区服]=表2_97131923252773123[[#This Row],[合区区服]])*(表1_86121822242672122[目标国家（映射）]=表2_97131923252773123[[#This Row],[国家]])*表1_86121822242672122[活跃尖端战力])</f>
        <v>2639464</v>
      </c>
      <c r="G104" s="187">
        <f>SUMIFS(表1_86121822242672122[活跃总战力],表1_86121822242672122[目标区服],表2_97131923252773123[[#This Row],[合区区服]],表1_86121822242672122[目标国家（映射）],表2_97131923252773123[[#This Row],[国家]])</f>
        <v>37647338</v>
      </c>
      <c r="H104" s="186">
        <f>SUMIFS(表1_86121822242672122[活跃实际充值],表1_86121822242672122[目标区服],表2_97131923252773123[[#This Row],[合区区服]],表1_86121822242672122[目标国家（映射）],表2_97131923252773123[[#This Row],[国家]])</f>
        <v>109156</v>
      </c>
      <c r="I104" s="186">
        <f>SUMIFS(表1_86121822242672122[活跃虚拟充值],表1_86121822242672122[目标区服],表2_97131923252773123[[#This Row],[合区区服]],表1_86121822242672122[目标国家（映射）],表2_97131923252773123[[#This Row],[国家]])</f>
        <v>0</v>
      </c>
      <c r="J104" s="186">
        <f>SUMIFS(表1_86121822242672122[活跃Coin],表1_86121822242672122[目标区服],表2_97131923252773123[[#This Row],[合区区服]],表1_86121822242672122[目标国家（映射）],表2_97131923252773123[[#This Row],[国家]])</f>
        <v>1108377</v>
      </c>
      <c r="K104" s="186">
        <f>SUMIFS(表1_86121822242672122[共计补偿Coin],表1_86121822242672122[目标区服],表2_97131923252773123[[#This Row],[合区区服]],表1_86121822242672122[目标国家（映射）],表2_97131923252773123[[#This Row],[国家]])</f>
        <v>51000</v>
      </c>
      <c r="L104" s="186">
        <f>表2_97131923252773123[[#This Row],[活跃Coin]]+表2_97131923252773123[[#This Row],[共计补偿Coin]]</f>
        <v>1159377</v>
      </c>
      <c r="M104" s="186">
        <f>SUMIFS(表1_86121822242672122[综合国力],表1_86121822242672122[目标区服],表2_97131923252773123[[#This Row],[合区区服]],表1_86121822242672122[目标国家（映射）],表2_97131923252773123[[#This Row],[国家]])</f>
        <v>16126</v>
      </c>
      <c r="N104" s="186">
        <f t="array" ref="N104">MAX((表1_86121822242672122[目标区服]=表2_97131923252773123[[#This Row],[合区区服]])*(表1_86121822242672122[目标国家（映射）]=表2_97131923252773123[[#This Row],[国家]])*表1_86121822242672122[单将最高战力])</f>
        <v>852545</v>
      </c>
      <c r="P104" s="51">
        <v>7088</v>
      </c>
      <c r="Q104" s="51">
        <v>40</v>
      </c>
    </row>
    <row r="105" ht="15" spans="1:17">
      <c r="A105" s="185" t="s">
        <v>310</v>
      </c>
      <c r="B105" s="186" t="s">
        <v>26</v>
      </c>
      <c r="C105" s="186">
        <f>COUNTIFS(表1_86121822242672122[目标区服],表2_97131923252773123[[#This Row],[合区区服]],表1_86121822242672122[目标国家（映射）],表2_97131923252773123[[#This Row],[国家]])</f>
        <v>3</v>
      </c>
      <c r="D105" s="186">
        <f>SUMIFS(表1_86121822242672122[活跃高战玩家数],表1_86121822242672122[目标区服],表2_97131923252773123[[#This Row],[合区区服]],表1_86121822242672122[目标国家（映射）],表2_97131923252773123[[#This Row],[国家]])</f>
        <v>11</v>
      </c>
      <c r="E105" s="186">
        <f>SUMIFS(表1_86121822242672122[活跃中坚玩家数],表1_86121822242672122[目标区服],表2_97131923252773123[[#This Row],[合区区服]],表1_86121822242672122[目标国家（映射）],表2_97131923252773123[[#This Row],[国家]])</f>
        <v>70</v>
      </c>
      <c r="F105" s="186">
        <f t="array" ref="F105">MAX((表1_86121822242672122[目标区服]=表2_97131923252773123[[#This Row],[合区区服]])*(表1_86121822242672122[目标国家（映射）]=表2_97131923252773123[[#This Row],[国家]])*表1_86121822242672122[活跃尖端战力])</f>
        <v>2180323</v>
      </c>
      <c r="G105" s="187">
        <f>SUMIFS(表1_86121822242672122[活跃总战力],表1_86121822242672122[目标区服],表2_97131923252773123[[#This Row],[合区区服]],表1_86121822242672122[目标国家（映射）],表2_97131923252773123[[#This Row],[国家]])</f>
        <v>56204863</v>
      </c>
      <c r="H105" s="186">
        <f>SUMIFS(表1_86121822242672122[活跃实际充值],表1_86121822242672122[目标区服],表2_97131923252773123[[#This Row],[合区区服]],表1_86121822242672122[目标国家（映射）],表2_97131923252773123[[#This Row],[国家]])</f>
        <v>82774</v>
      </c>
      <c r="I105" s="186">
        <f>SUMIFS(表1_86121822242672122[活跃虚拟充值],表1_86121822242672122[目标区服],表2_97131923252773123[[#This Row],[合区区服]],表1_86121822242672122[目标国家（映射）],表2_97131923252773123[[#This Row],[国家]])</f>
        <v>0</v>
      </c>
      <c r="J105" s="186">
        <f>SUMIFS(表1_86121822242672122[活跃Coin],表1_86121822242672122[目标区服],表2_97131923252773123[[#This Row],[合区区服]],表1_86121822242672122[目标国家（映射）],表2_97131923252773123[[#This Row],[国家]])</f>
        <v>587679</v>
      </c>
      <c r="K105" s="186">
        <f>SUMIFS(表1_86121822242672122[共计补偿Coin],表1_86121822242672122[目标区服],表2_97131923252773123[[#This Row],[合区区服]],表1_86121822242672122[目标国家（映射）],表2_97131923252773123[[#This Row],[国家]])</f>
        <v>81000</v>
      </c>
      <c r="L105" s="186">
        <f>表2_97131923252773123[[#This Row],[活跃Coin]]+表2_97131923252773123[[#This Row],[共计补偿Coin]]</f>
        <v>668679</v>
      </c>
      <c r="M105" s="186">
        <f>SUMIFS(表1_86121822242672122[综合国力],表1_86121822242672122[目标区服],表2_97131923252773123[[#This Row],[合区区服]],表1_86121822242672122[目标国家（映射）],表2_97131923252773123[[#This Row],[国家]])</f>
        <v>23005</v>
      </c>
      <c r="N105" s="186">
        <f t="array" ref="N105">MAX((表1_86121822242672122[目标区服]=表2_97131923252773123[[#This Row],[合区区服]])*(表1_86121822242672122[目标国家（映射）]=表2_97131923252773123[[#This Row],[国家]])*表1_86121822242672122[单将最高战力])</f>
        <v>654635</v>
      </c>
      <c r="P105" s="51"/>
      <c r="Q105" s="51"/>
    </row>
    <row r="106" ht="15" spans="1:17">
      <c r="A106" s="185" t="s">
        <v>310</v>
      </c>
      <c r="B106" s="188" t="s">
        <v>27</v>
      </c>
      <c r="C106" s="188">
        <f>COUNTIFS(表1_86121822242672122[目标区服],表2_97131923252773123[[#This Row],[合区区服]],表1_86121822242672122[目标国家（映射）],表2_97131923252773123[[#This Row],[国家]])</f>
        <v>4</v>
      </c>
      <c r="D106" s="188">
        <f>SUMIFS(表1_86121822242672122[活跃高战玩家数],表1_86121822242672122[目标区服],表2_97131923252773123[[#This Row],[合区区服]],表1_86121822242672122[目标国家（映射）],表2_97131923252773123[[#This Row],[国家]])</f>
        <v>10</v>
      </c>
      <c r="E106" s="188">
        <f>SUMIFS(表1_86121822242672122[活跃中坚玩家数],表1_86121822242672122[目标区服],表2_97131923252773123[[#This Row],[合区区服]],表1_86121822242672122[目标国家（映射）],表2_97131923252773123[[#This Row],[国家]])</f>
        <v>72</v>
      </c>
      <c r="F106" s="186">
        <f t="array" ref="F106">MAX((表1_86121822242672122[目标区服]=表2_97131923252773123[[#This Row],[合区区服]])*(表1_86121822242672122[目标国家（映射）]=表2_97131923252773123[[#This Row],[国家]])*表1_86121822242672122[活跃尖端战力])</f>
        <v>1891164</v>
      </c>
      <c r="G106" s="187">
        <f>SUMIFS(表1_86121822242672122[活跃总战力],表1_86121822242672122[目标区服],表2_97131923252773123[[#This Row],[合区区服]],表1_86121822242672122[目标国家（映射）],表2_97131923252773123[[#This Row],[国家]])</f>
        <v>52310437</v>
      </c>
      <c r="H106" s="186">
        <f>SUMIFS(表1_86121822242672122[活跃实际充值],表1_86121822242672122[目标区服],表2_97131923252773123[[#This Row],[合区区服]],表1_86121822242672122[目标国家（映射）],表2_97131923252773123[[#This Row],[国家]])</f>
        <v>72026</v>
      </c>
      <c r="I106" s="186">
        <f>SUMIFS(表1_86121822242672122[活跃虚拟充值],表1_86121822242672122[目标区服],表2_97131923252773123[[#This Row],[合区区服]],表1_86121822242672122[目标国家（映射）],表2_97131923252773123[[#This Row],[国家]])</f>
        <v>0</v>
      </c>
      <c r="J106" s="186">
        <f>SUMIFS(表1_86121822242672122[活跃Coin],表1_86121822242672122[目标区服],表2_97131923252773123[[#This Row],[合区区服]],表1_86121822242672122[目标国家（映射）],表2_97131923252773123[[#This Row],[国家]])</f>
        <v>627520</v>
      </c>
      <c r="K106" s="186">
        <f>SUMIFS(表1_86121822242672122[共计补偿Coin],表1_86121822242672122[目标区服],表2_97131923252773123[[#This Row],[合区区服]],表1_86121822242672122[目标国家（映射）],表2_97131923252773123[[#This Row],[国家]])</f>
        <v>82000</v>
      </c>
      <c r="L106" s="186">
        <f>表2_97131923252773123[[#This Row],[活跃Coin]]+表2_97131923252773123[[#This Row],[共计补偿Coin]]</f>
        <v>709520</v>
      </c>
      <c r="M106" s="186">
        <f>SUMIFS(表1_86121822242672122[综合国力],表1_86121822242672122[目标区服],表2_97131923252773123[[#This Row],[合区区服]],表1_86121822242672122[目标国家（映射）],表2_97131923252773123[[#This Row],[国家]])</f>
        <v>20032</v>
      </c>
      <c r="N106" s="186">
        <f t="array" ref="N106">MAX((表1_86121822242672122[目标区服]=表2_97131923252773123[[#This Row],[合区区服]])*(表1_86121822242672122[目标国家（映射）]=表2_97131923252773123[[#This Row],[国家]])*表1_86121822242672122[单将最高战力])</f>
        <v>616348</v>
      </c>
      <c r="P106" s="51"/>
      <c r="Q106" s="51"/>
    </row>
    <row r="112" ht="27" spans="2:14">
      <c r="B112" s="189"/>
      <c r="C112" s="189" t="s">
        <v>9</v>
      </c>
      <c r="D112" s="189" t="s">
        <v>10</v>
      </c>
      <c r="E112" s="189" t="s">
        <v>11</v>
      </c>
      <c r="F112" s="189" t="s">
        <v>12</v>
      </c>
      <c r="G112" s="189" t="s">
        <v>13</v>
      </c>
      <c r="H112" s="189" t="s">
        <v>14</v>
      </c>
      <c r="I112" s="189" t="s">
        <v>15</v>
      </c>
      <c r="J112" s="189" t="s">
        <v>18</v>
      </c>
      <c r="K112" s="189" t="s">
        <v>19</v>
      </c>
      <c r="L112" s="189" t="s">
        <v>20</v>
      </c>
      <c r="M112" s="189" t="s">
        <v>21</v>
      </c>
      <c r="N112" s="189" t="s">
        <v>82</v>
      </c>
    </row>
    <row r="113" spans="1:14">
      <c r="A113">
        <v>7064</v>
      </c>
      <c r="B113" s="190" t="s">
        <v>25</v>
      </c>
      <c r="C113" s="190">
        <v>2</v>
      </c>
      <c r="D113" s="190">
        <v>82</v>
      </c>
      <c r="E113" s="190">
        <v>2</v>
      </c>
      <c r="F113" s="190">
        <v>18</v>
      </c>
      <c r="G113" s="190">
        <v>80279</v>
      </c>
      <c r="H113" s="190">
        <v>1766589</v>
      </c>
      <c r="I113" s="190">
        <v>14808514</v>
      </c>
      <c r="J113" s="190">
        <v>33892</v>
      </c>
      <c r="K113" s="190">
        <v>0</v>
      </c>
      <c r="L113" s="190">
        <v>88892</v>
      </c>
      <c r="M113" s="190">
        <v>5730</v>
      </c>
      <c r="N113" s="190">
        <v>468117</v>
      </c>
    </row>
    <row r="114" spans="2:14">
      <c r="B114" s="190" t="s">
        <v>26</v>
      </c>
      <c r="C114" s="190">
        <v>3</v>
      </c>
      <c r="D114" s="190">
        <v>162</v>
      </c>
      <c r="E114" s="190">
        <v>3</v>
      </c>
      <c r="F114" s="190">
        <v>21</v>
      </c>
      <c r="G114" s="190">
        <v>111616</v>
      </c>
      <c r="H114" s="190">
        <v>1700081</v>
      </c>
      <c r="I114" s="190">
        <v>19961666</v>
      </c>
      <c r="J114" s="190">
        <v>16162</v>
      </c>
      <c r="K114" s="190">
        <v>0</v>
      </c>
      <c r="L114" s="190">
        <v>152846</v>
      </c>
      <c r="M114" s="190">
        <v>6735</v>
      </c>
      <c r="N114" s="190">
        <v>559121</v>
      </c>
    </row>
    <row r="115" spans="2:14">
      <c r="B115" s="190" t="s">
        <v>27</v>
      </c>
      <c r="C115" s="190">
        <v>4</v>
      </c>
      <c r="D115" s="190">
        <v>151</v>
      </c>
      <c r="E115" s="190">
        <v>4</v>
      </c>
      <c r="F115" s="190">
        <v>17</v>
      </c>
      <c r="G115" s="190">
        <v>100394</v>
      </c>
      <c r="H115" s="190">
        <v>2191439</v>
      </c>
      <c r="I115" s="190">
        <v>18261351</v>
      </c>
      <c r="J115" s="190">
        <v>39684</v>
      </c>
      <c r="K115" s="190">
        <v>0</v>
      </c>
      <c r="L115" s="190">
        <v>330420</v>
      </c>
      <c r="M115" s="190">
        <v>7785</v>
      </c>
      <c r="N115" s="190">
        <v>804857</v>
      </c>
    </row>
    <row r="116" spans="1:14">
      <c r="A116">
        <v>7065</v>
      </c>
      <c r="B116" s="189" t="s">
        <v>25</v>
      </c>
      <c r="C116" s="189">
        <v>2</v>
      </c>
      <c r="D116" s="189">
        <v>96</v>
      </c>
      <c r="E116" s="189">
        <v>3</v>
      </c>
      <c r="F116" s="189">
        <v>26</v>
      </c>
      <c r="G116" s="189">
        <v>112311</v>
      </c>
      <c r="H116" s="189">
        <v>3052855</v>
      </c>
      <c r="I116" s="189">
        <v>28709490</v>
      </c>
      <c r="J116" s="189">
        <v>109069</v>
      </c>
      <c r="K116" s="189">
        <v>0</v>
      </c>
      <c r="L116" s="189">
        <v>448377</v>
      </c>
      <c r="M116" s="189">
        <v>11141</v>
      </c>
      <c r="N116" s="192">
        <v>826548</v>
      </c>
    </row>
    <row r="117" spans="2:14">
      <c r="B117" s="189" t="s">
        <v>26</v>
      </c>
      <c r="C117" s="189">
        <v>2</v>
      </c>
      <c r="D117" s="189">
        <v>106</v>
      </c>
      <c r="E117" s="189">
        <v>1</v>
      </c>
      <c r="F117" s="189">
        <v>24</v>
      </c>
      <c r="G117" s="189">
        <v>77778</v>
      </c>
      <c r="H117" s="189">
        <v>1513211</v>
      </c>
      <c r="I117" s="189">
        <v>19741877</v>
      </c>
      <c r="J117" s="189">
        <v>13046</v>
      </c>
      <c r="K117" s="189">
        <v>27566</v>
      </c>
      <c r="L117" s="189">
        <v>206920</v>
      </c>
      <c r="M117" s="189">
        <v>5906</v>
      </c>
      <c r="N117" s="192">
        <v>442527</v>
      </c>
    </row>
    <row r="118" spans="2:14">
      <c r="B118" s="189" t="s">
        <v>27</v>
      </c>
      <c r="C118" s="189">
        <v>5</v>
      </c>
      <c r="D118" s="189">
        <v>193</v>
      </c>
      <c r="E118" s="189">
        <v>6</v>
      </c>
      <c r="F118" s="189">
        <v>22</v>
      </c>
      <c r="G118" s="189">
        <v>123455</v>
      </c>
      <c r="H118" s="189">
        <v>2941533</v>
      </c>
      <c r="I118" s="189">
        <v>29775180</v>
      </c>
      <c r="J118" s="189">
        <v>77272</v>
      </c>
      <c r="K118" s="189">
        <v>0</v>
      </c>
      <c r="L118" s="189">
        <v>528716</v>
      </c>
      <c r="M118" s="189">
        <v>11548</v>
      </c>
      <c r="N118" s="192">
        <v>772903</v>
      </c>
    </row>
    <row r="119" spans="1:14">
      <c r="A119">
        <v>7066</v>
      </c>
      <c r="B119" s="189" t="s">
        <v>25</v>
      </c>
      <c r="C119" s="189">
        <v>2</v>
      </c>
      <c r="D119" s="189">
        <v>77</v>
      </c>
      <c r="E119" s="189">
        <v>2</v>
      </c>
      <c r="F119" s="189">
        <v>10</v>
      </c>
      <c r="G119" s="189">
        <v>50319</v>
      </c>
      <c r="H119" s="189">
        <v>2093805</v>
      </c>
      <c r="I119" s="189">
        <v>9979349</v>
      </c>
      <c r="J119" s="189">
        <v>31756</v>
      </c>
      <c r="K119" s="189">
        <v>0</v>
      </c>
      <c r="L119" s="189">
        <v>94434</v>
      </c>
      <c r="M119" s="189">
        <v>5313</v>
      </c>
      <c r="N119" s="192">
        <v>671653</v>
      </c>
    </row>
    <row r="120" spans="2:14">
      <c r="B120" s="189" t="s">
        <v>26</v>
      </c>
      <c r="C120" s="189">
        <v>4</v>
      </c>
      <c r="D120" s="189">
        <v>193</v>
      </c>
      <c r="E120" s="189">
        <v>6</v>
      </c>
      <c r="F120" s="189">
        <v>33</v>
      </c>
      <c r="G120" s="189">
        <v>167873</v>
      </c>
      <c r="H120" s="189">
        <v>2170331</v>
      </c>
      <c r="I120" s="189">
        <v>31712146</v>
      </c>
      <c r="J120" s="189">
        <v>50812</v>
      </c>
      <c r="K120" s="189">
        <v>0</v>
      </c>
      <c r="L120" s="189">
        <v>513660</v>
      </c>
      <c r="M120" s="189">
        <v>10292</v>
      </c>
      <c r="N120" s="192">
        <v>674515</v>
      </c>
    </row>
    <row r="121" spans="2:14">
      <c r="B121" s="189" t="s">
        <v>27</v>
      </c>
      <c r="C121" s="189">
        <v>3</v>
      </c>
      <c r="D121" s="189">
        <v>125</v>
      </c>
      <c r="E121" s="189">
        <v>2</v>
      </c>
      <c r="F121" s="189">
        <v>22</v>
      </c>
      <c r="G121" s="189">
        <v>97736</v>
      </c>
      <c r="H121" s="189">
        <v>2236342</v>
      </c>
      <c r="I121" s="189">
        <v>18753905</v>
      </c>
      <c r="J121" s="189">
        <v>20300</v>
      </c>
      <c r="K121" s="189">
        <v>0</v>
      </c>
      <c r="L121" s="189">
        <v>228971</v>
      </c>
      <c r="M121" s="189">
        <v>6873</v>
      </c>
      <c r="N121" s="192">
        <v>585857</v>
      </c>
    </row>
    <row r="122" spans="1:14">
      <c r="A122">
        <v>7067</v>
      </c>
      <c r="B122" s="189" t="s">
        <v>25</v>
      </c>
      <c r="C122" s="189">
        <v>4</v>
      </c>
      <c r="D122" s="189">
        <v>132</v>
      </c>
      <c r="E122" s="189">
        <v>4</v>
      </c>
      <c r="F122" s="189">
        <v>24</v>
      </c>
      <c r="G122" s="189">
        <v>122709</v>
      </c>
      <c r="H122" s="189">
        <v>2333538</v>
      </c>
      <c r="I122" s="189">
        <v>22491453</v>
      </c>
      <c r="J122" s="189">
        <v>34196</v>
      </c>
      <c r="K122" s="189">
        <v>0</v>
      </c>
      <c r="L122" s="189">
        <v>246925</v>
      </c>
      <c r="M122" s="189">
        <v>8065</v>
      </c>
      <c r="N122" s="192">
        <v>679205</v>
      </c>
    </row>
    <row r="123" spans="2:14">
      <c r="B123" s="189" t="s">
        <v>26</v>
      </c>
      <c r="C123" s="189">
        <v>2</v>
      </c>
      <c r="D123" s="189">
        <v>113</v>
      </c>
      <c r="E123" s="189">
        <v>3</v>
      </c>
      <c r="F123" s="189">
        <v>10</v>
      </c>
      <c r="G123" s="189">
        <v>59566</v>
      </c>
      <c r="H123" s="189">
        <v>1710411</v>
      </c>
      <c r="I123" s="189">
        <v>9862638</v>
      </c>
      <c r="J123" s="189">
        <v>4992</v>
      </c>
      <c r="K123" s="189">
        <v>0</v>
      </c>
      <c r="L123" s="189">
        <v>46229</v>
      </c>
      <c r="M123" s="189">
        <v>4497</v>
      </c>
      <c r="N123" s="192">
        <v>484593</v>
      </c>
    </row>
    <row r="124" spans="2:14">
      <c r="B124" s="189" t="s">
        <v>27</v>
      </c>
      <c r="C124" s="189">
        <v>3</v>
      </c>
      <c r="D124" s="189">
        <v>150</v>
      </c>
      <c r="E124" s="189">
        <v>2</v>
      </c>
      <c r="F124" s="189">
        <v>24</v>
      </c>
      <c r="G124" s="189">
        <v>116220</v>
      </c>
      <c r="H124" s="189">
        <v>2340767</v>
      </c>
      <c r="I124" s="189">
        <v>20510211</v>
      </c>
      <c r="J124" s="189">
        <v>28422</v>
      </c>
      <c r="K124" s="189">
        <v>12960</v>
      </c>
      <c r="L124" s="189">
        <v>306692</v>
      </c>
      <c r="M124" s="189">
        <v>7908</v>
      </c>
      <c r="N124" s="192">
        <v>814550</v>
      </c>
    </row>
    <row r="125" spans="1:14">
      <c r="A125">
        <v>7068</v>
      </c>
      <c r="B125" s="189" t="s">
        <v>25</v>
      </c>
      <c r="C125" s="189">
        <v>1</v>
      </c>
      <c r="D125" s="189">
        <v>74</v>
      </c>
      <c r="E125" s="189">
        <v>3</v>
      </c>
      <c r="F125" s="189">
        <v>17</v>
      </c>
      <c r="G125" s="189">
        <v>84162</v>
      </c>
      <c r="H125" s="189">
        <v>1569597</v>
      </c>
      <c r="I125" s="189">
        <v>13684827</v>
      </c>
      <c r="J125" s="189">
        <v>10330</v>
      </c>
      <c r="K125" s="189">
        <v>0</v>
      </c>
      <c r="L125" s="189">
        <v>78905</v>
      </c>
      <c r="M125" s="189">
        <v>4548</v>
      </c>
      <c r="N125" s="192">
        <v>472363</v>
      </c>
    </row>
    <row r="126" spans="2:14">
      <c r="B126" s="189" t="s">
        <v>26</v>
      </c>
      <c r="C126" s="189">
        <v>6</v>
      </c>
      <c r="D126" s="189">
        <v>246</v>
      </c>
      <c r="E126" s="189">
        <v>6</v>
      </c>
      <c r="F126" s="189">
        <v>26</v>
      </c>
      <c r="G126" s="189">
        <v>149041</v>
      </c>
      <c r="H126" s="189">
        <v>2223512</v>
      </c>
      <c r="I126" s="189">
        <v>25216077</v>
      </c>
      <c r="J126" s="189">
        <v>51672</v>
      </c>
      <c r="K126" s="189">
        <v>0</v>
      </c>
      <c r="L126" s="189">
        <v>420131</v>
      </c>
      <c r="M126" s="189">
        <v>10310</v>
      </c>
      <c r="N126" s="192">
        <v>612620</v>
      </c>
    </row>
    <row r="127" spans="2:14">
      <c r="B127" s="189" t="s">
        <v>27</v>
      </c>
      <c r="C127" s="189">
        <v>2</v>
      </c>
      <c r="D127" s="189">
        <v>75</v>
      </c>
      <c r="E127" s="189">
        <v>1</v>
      </c>
      <c r="F127" s="189">
        <v>14</v>
      </c>
      <c r="G127" s="189">
        <v>48675</v>
      </c>
      <c r="H127" s="189">
        <v>1180737</v>
      </c>
      <c r="I127" s="189">
        <v>8717525</v>
      </c>
      <c r="J127" s="189">
        <v>426</v>
      </c>
      <c r="K127" s="189">
        <v>0</v>
      </c>
      <c r="L127" s="189">
        <v>120142</v>
      </c>
      <c r="M127" s="189">
        <v>3318</v>
      </c>
      <c r="N127" s="192">
        <v>362022</v>
      </c>
    </row>
    <row r="128" spans="1:14">
      <c r="A128">
        <v>7069</v>
      </c>
      <c r="B128" s="189" t="s">
        <v>25</v>
      </c>
      <c r="C128" s="189">
        <v>2</v>
      </c>
      <c r="D128" s="189">
        <v>88</v>
      </c>
      <c r="E128" s="189">
        <v>2</v>
      </c>
      <c r="F128" s="189">
        <v>12</v>
      </c>
      <c r="G128" s="189">
        <v>57290</v>
      </c>
      <c r="H128" s="189">
        <v>1844232</v>
      </c>
      <c r="I128" s="189">
        <v>9405419</v>
      </c>
      <c r="J128" s="189">
        <v>1094</v>
      </c>
      <c r="K128" s="189">
        <v>27216</v>
      </c>
      <c r="L128" s="189">
        <v>314889</v>
      </c>
      <c r="M128" s="189">
        <v>4613</v>
      </c>
      <c r="N128" s="192">
        <v>545236</v>
      </c>
    </row>
    <row r="129" spans="2:14">
      <c r="B129" s="189" t="s">
        <v>26</v>
      </c>
      <c r="C129" s="189">
        <v>4</v>
      </c>
      <c r="D129" s="189">
        <v>190</v>
      </c>
      <c r="E129" s="189">
        <v>4</v>
      </c>
      <c r="F129" s="189">
        <v>24</v>
      </c>
      <c r="G129" s="189">
        <v>119039</v>
      </c>
      <c r="H129" s="189">
        <v>2127892</v>
      </c>
      <c r="I129" s="189">
        <v>19210930</v>
      </c>
      <c r="J129" s="189">
        <v>20380</v>
      </c>
      <c r="K129" s="189">
        <v>0</v>
      </c>
      <c r="L129" s="189">
        <v>183243</v>
      </c>
      <c r="M129" s="189">
        <v>7647</v>
      </c>
      <c r="N129" s="192">
        <v>699832</v>
      </c>
    </row>
    <row r="130" spans="2:14">
      <c r="B130" s="189" t="s">
        <v>27</v>
      </c>
      <c r="C130" s="189">
        <v>3</v>
      </c>
      <c r="D130" s="189">
        <v>117</v>
      </c>
      <c r="E130" s="189">
        <v>3</v>
      </c>
      <c r="F130" s="189">
        <v>19</v>
      </c>
      <c r="G130" s="189">
        <v>120543</v>
      </c>
      <c r="H130" s="189">
        <v>1992698</v>
      </c>
      <c r="I130" s="189">
        <v>18012744</v>
      </c>
      <c r="J130" s="189">
        <v>36936</v>
      </c>
      <c r="K130" s="189">
        <v>0</v>
      </c>
      <c r="L130" s="189">
        <v>375642</v>
      </c>
      <c r="M130" s="189">
        <v>7162</v>
      </c>
      <c r="N130" s="192">
        <v>568025</v>
      </c>
    </row>
    <row r="131" spans="1:14">
      <c r="A131">
        <v>7070</v>
      </c>
      <c r="B131" s="189" t="s">
        <v>25</v>
      </c>
      <c r="C131" s="189">
        <v>2</v>
      </c>
      <c r="D131" s="189">
        <v>69</v>
      </c>
      <c r="E131" s="189">
        <v>1</v>
      </c>
      <c r="F131" s="189">
        <v>23</v>
      </c>
      <c r="G131" s="189">
        <v>84090</v>
      </c>
      <c r="H131" s="189">
        <v>1870748</v>
      </c>
      <c r="I131" s="189">
        <v>19621154</v>
      </c>
      <c r="J131" s="189">
        <v>10228</v>
      </c>
      <c r="K131" s="189">
        <v>0</v>
      </c>
      <c r="L131" s="189">
        <v>207557</v>
      </c>
      <c r="M131" s="189">
        <v>5553</v>
      </c>
      <c r="N131" s="192">
        <v>498320</v>
      </c>
    </row>
    <row r="132" spans="2:14">
      <c r="B132" s="189" t="s">
        <v>26</v>
      </c>
      <c r="C132" s="189">
        <v>4</v>
      </c>
      <c r="D132" s="189">
        <v>208</v>
      </c>
      <c r="E132" s="189">
        <v>5</v>
      </c>
      <c r="F132" s="189">
        <v>34</v>
      </c>
      <c r="G132" s="189">
        <v>156617</v>
      </c>
      <c r="H132" s="189">
        <v>3298334</v>
      </c>
      <c r="I132" s="189">
        <v>38107309</v>
      </c>
      <c r="J132" s="189">
        <v>97848</v>
      </c>
      <c r="K132" s="189">
        <v>27864</v>
      </c>
      <c r="L132" s="189">
        <v>413151</v>
      </c>
      <c r="M132" s="189">
        <v>13792</v>
      </c>
      <c r="N132" s="192">
        <v>938012</v>
      </c>
    </row>
    <row r="133" spans="2:14">
      <c r="B133" s="189" t="s">
        <v>27</v>
      </c>
      <c r="C133" s="189">
        <v>3</v>
      </c>
      <c r="D133" s="189">
        <v>118</v>
      </c>
      <c r="E133" s="189">
        <v>4</v>
      </c>
      <c r="F133" s="189">
        <v>17</v>
      </c>
      <c r="G133" s="189">
        <v>81099</v>
      </c>
      <c r="H133" s="189">
        <v>3297551</v>
      </c>
      <c r="I133" s="189">
        <v>21605680</v>
      </c>
      <c r="J133" s="189">
        <v>87872</v>
      </c>
      <c r="K133" s="189">
        <v>46148</v>
      </c>
      <c r="L133" s="189">
        <v>544685</v>
      </c>
      <c r="M133" s="189">
        <v>10713</v>
      </c>
      <c r="N133" s="192">
        <v>996475</v>
      </c>
    </row>
    <row r="134" spans="1:14">
      <c r="A134">
        <v>7071</v>
      </c>
      <c r="B134" s="192" t="s">
        <v>25</v>
      </c>
      <c r="C134" s="192">
        <v>0</v>
      </c>
      <c r="D134" s="192">
        <v>68</v>
      </c>
      <c r="E134" s="192">
        <v>0</v>
      </c>
      <c r="F134" s="192">
        <v>17</v>
      </c>
      <c r="G134" s="192">
        <v>54995</v>
      </c>
      <c r="H134" s="192">
        <v>1426947</v>
      </c>
      <c r="I134" s="192">
        <v>11454688</v>
      </c>
      <c r="J134" s="192">
        <v>6838</v>
      </c>
      <c r="K134" s="192">
        <v>0</v>
      </c>
      <c r="L134" s="192">
        <v>159698</v>
      </c>
      <c r="M134" s="192">
        <v>3812</v>
      </c>
      <c r="N134" s="192">
        <v>399528</v>
      </c>
    </row>
    <row r="135" spans="2:14">
      <c r="B135" s="192" t="s">
        <v>26</v>
      </c>
      <c r="C135" s="192">
        <v>9</v>
      </c>
      <c r="D135" s="192">
        <v>279</v>
      </c>
      <c r="E135" s="192">
        <v>8</v>
      </c>
      <c r="F135" s="192">
        <v>23</v>
      </c>
      <c r="G135" s="192">
        <v>162607</v>
      </c>
      <c r="H135" s="192">
        <v>3080083</v>
      </c>
      <c r="I135" s="192">
        <v>31288315</v>
      </c>
      <c r="J135" s="192">
        <v>88986</v>
      </c>
      <c r="K135" s="192">
        <v>0</v>
      </c>
      <c r="L135" s="192">
        <v>663342</v>
      </c>
      <c r="M135" s="192">
        <v>13713</v>
      </c>
      <c r="N135" s="192">
        <v>824850</v>
      </c>
    </row>
    <row r="136" spans="2:14">
      <c r="B136" s="192" t="s">
        <v>27</v>
      </c>
      <c r="C136" s="192">
        <v>0</v>
      </c>
      <c r="D136" s="192">
        <v>48</v>
      </c>
      <c r="E136" s="192">
        <v>2</v>
      </c>
      <c r="F136" s="192">
        <v>24</v>
      </c>
      <c r="G136" s="192">
        <v>81889</v>
      </c>
      <c r="H136" s="192">
        <v>1497343</v>
      </c>
      <c r="I136" s="192">
        <v>17595806</v>
      </c>
      <c r="J136" s="192">
        <v>31732</v>
      </c>
      <c r="K136" s="192">
        <v>27216</v>
      </c>
      <c r="L136" s="192">
        <v>225711</v>
      </c>
      <c r="M136" s="192">
        <v>5483</v>
      </c>
      <c r="N136" s="192">
        <v>456065</v>
      </c>
    </row>
    <row r="137" spans="1:14">
      <c r="A137">
        <v>7072</v>
      </c>
      <c r="B137" s="192" t="s">
        <v>25</v>
      </c>
      <c r="C137" s="192">
        <v>4</v>
      </c>
      <c r="D137" s="192">
        <v>178</v>
      </c>
      <c r="E137" s="192">
        <v>4</v>
      </c>
      <c r="F137" s="192">
        <v>25</v>
      </c>
      <c r="G137" s="192">
        <v>107290</v>
      </c>
      <c r="H137" s="192">
        <v>2969487</v>
      </c>
      <c r="I137" s="192">
        <v>24234335</v>
      </c>
      <c r="J137" s="192">
        <v>60354</v>
      </c>
      <c r="K137" s="192">
        <v>0</v>
      </c>
      <c r="L137" s="192">
        <v>275057</v>
      </c>
      <c r="M137" s="192">
        <v>10057</v>
      </c>
      <c r="N137" s="192">
        <v>861906</v>
      </c>
    </row>
    <row r="138" spans="2:14">
      <c r="B138" s="192" t="s">
        <v>26</v>
      </c>
      <c r="C138" s="192">
        <v>3</v>
      </c>
      <c r="D138" s="192">
        <v>106</v>
      </c>
      <c r="E138" s="192">
        <v>2</v>
      </c>
      <c r="F138" s="192">
        <v>22</v>
      </c>
      <c r="G138" s="192">
        <v>83000</v>
      </c>
      <c r="H138" s="192">
        <v>2043188</v>
      </c>
      <c r="I138" s="192">
        <v>17511843</v>
      </c>
      <c r="J138" s="192">
        <v>42798</v>
      </c>
      <c r="K138" s="192">
        <v>0</v>
      </c>
      <c r="L138" s="192">
        <v>202557</v>
      </c>
      <c r="M138" s="192">
        <v>6954</v>
      </c>
      <c r="N138" s="192">
        <v>547701</v>
      </c>
    </row>
    <row r="139" spans="2:14">
      <c r="B139" s="192" t="s">
        <v>27</v>
      </c>
      <c r="C139" s="192">
        <v>2</v>
      </c>
      <c r="D139" s="192">
        <v>111</v>
      </c>
      <c r="E139" s="192">
        <v>4</v>
      </c>
      <c r="F139" s="192">
        <v>23</v>
      </c>
      <c r="G139" s="192">
        <v>109858</v>
      </c>
      <c r="H139" s="192">
        <v>2827813</v>
      </c>
      <c r="I139" s="192">
        <v>23383920</v>
      </c>
      <c r="J139" s="192">
        <v>57226</v>
      </c>
      <c r="K139" s="192">
        <v>0</v>
      </c>
      <c r="L139" s="192">
        <v>213468</v>
      </c>
      <c r="M139" s="192">
        <v>8849</v>
      </c>
      <c r="N139" s="192">
        <v>768799</v>
      </c>
    </row>
    <row r="140" spans="1:14">
      <c r="A140">
        <v>7073</v>
      </c>
      <c r="B140" s="192" t="s">
        <v>25</v>
      </c>
      <c r="C140" s="192">
        <v>0</v>
      </c>
      <c r="D140" s="192">
        <v>29</v>
      </c>
      <c r="E140" s="192">
        <v>0</v>
      </c>
      <c r="F140" s="192">
        <v>8</v>
      </c>
      <c r="G140" s="192">
        <v>41745</v>
      </c>
      <c r="H140" s="192">
        <v>565535</v>
      </c>
      <c r="I140" s="192">
        <v>2728772</v>
      </c>
      <c r="J140" s="192">
        <v>340</v>
      </c>
      <c r="K140" s="192">
        <v>0</v>
      </c>
      <c r="L140" s="192">
        <v>89865</v>
      </c>
      <c r="M140" s="192">
        <v>1392</v>
      </c>
      <c r="N140" s="192">
        <v>165196</v>
      </c>
    </row>
    <row r="141" spans="2:14">
      <c r="B141" s="192" t="s">
        <v>26</v>
      </c>
      <c r="C141" s="192">
        <v>9</v>
      </c>
      <c r="D141" s="192">
        <v>343</v>
      </c>
      <c r="E141" s="192">
        <v>9</v>
      </c>
      <c r="F141" s="192">
        <v>6</v>
      </c>
      <c r="G141" s="192">
        <v>116839</v>
      </c>
      <c r="H141" s="192">
        <v>2143609</v>
      </c>
      <c r="I141" s="192">
        <v>15299457</v>
      </c>
      <c r="J141" s="192">
        <v>42562</v>
      </c>
      <c r="K141" s="192">
        <v>0</v>
      </c>
      <c r="L141" s="192">
        <v>422029</v>
      </c>
      <c r="M141" s="192">
        <v>10075</v>
      </c>
      <c r="N141" s="192">
        <v>535519</v>
      </c>
    </row>
    <row r="142" spans="2:14">
      <c r="B142" s="192" t="s">
        <v>27</v>
      </c>
      <c r="C142" s="192">
        <v>0</v>
      </c>
      <c r="D142" s="192">
        <v>23</v>
      </c>
      <c r="E142" s="192">
        <v>1</v>
      </c>
      <c r="F142" s="192">
        <v>3</v>
      </c>
      <c r="G142" s="192">
        <v>22205</v>
      </c>
      <c r="H142" s="192">
        <v>731839</v>
      </c>
      <c r="I142" s="192">
        <v>1889271</v>
      </c>
      <c r="J142" s="192">
        <v>312</v>
      </c>
      <c r="K142" s="192">
        <v>0</v>
      </c>
      <c r="L142" s="192">
        <v>70665</v>
      </c>
      <c r="M142" s="192">
        <v>1306</v>
      </c>
      <c r="N142" s="192">
        <v>273113</v>
      </c>
    </row>
    <row r="143" spans="1:14">
      <c r="A143">
        <v>7074</v>
      </c>
      <c r="B143" s="192" t="s">
        <v>25</v>
      </c>
      <c r="C143" s="192">
        <v>0</v>
      </c>
      <c r="D143" s="192">
        <v>40</v>
      </c>
      <c r="E143" s="192">
        <v>0</v>
      </c>
      <c r="F143" s="192">
        <v>12</v>
      </c>
      <c r="G143" s="192">
        <v>56800</v>
      </c>
      <c r="H143" s="192">
        <v>676579</v>
      </c>
      <c r="I143" s="192">
        <v>5666437</v>
      </c>
      <c r="J143" s="192">
        <v>1710</v>
      </c>
      <c r="K143" s="192">
        <v>0</v>
      </c>
      <c r="L143" s="192">
        <v>88651</v>
      </c>
      <c r="M143" s="192">
        <v>2022</v>
      </c>
      <c r="N143" s="192">
        <v>215599</v>
      </c>
    </row>
    <row r="144" spans="2:14">
      <c r="B144" s="192" t="s">
        <v>26</v>
      </c>
      <c r="C144" s="192">
        <v>1</v>
      </c>
      <c r="D144" s="192">
        <v>44</v>
      </c>
      <c r="E144" s="192">
        <v>0</v>
      </c>
      <c r="F144" s="192">
        <v>10</v>
      </c>
      <c r="G144" s="192">
        <v>43626</v>
      </c>
      <c r="H144" s="192">
        <v>625764</v>
      </c>
      <c r="I144" s="192">
        <v>4271202</v>
      </c>
      <c r="J144" s="192">
        <v>4484</v>
      </c>
      <c r="K144" s="192">
        <v>0</v>
      </c>
      <c r="L144" s="192">
        <v>44251</v>
      </c>
      <c r="M144" s="192">
        <v>1967</v>
      </c>
      <c r="N144" s="192">
        <v>260127</v>
      </c>
    </row>
    <row r="145" spans="2:14">
      <c r="B145" s="192" t="s">
        <v>27</v>
      </c>
      <c r="C145" s="192">
        <v>8</v>
      </c>
      <c r="D145" s="192">
        <v>311</v>
      </c>
      <c r="E145" s="192">
        <v>8</v>
      </c>
      <c r="F145" s="192">
        <v>14</v>
      </c>
      <c r="G145" s="192">
        <v>140140</v>
      </c>
      <c r="H145" s="192">
        <v>1728137</v>
      </c>
      <c r="I145" s="192">
        <v>15194795</v>
      </c>
      <c r="J145" s="192">
        <v>21706</v>
      </c>
      <c r="K145" s="192">
        <v>0</v>
      </c>
      <c r="L145" s="192">
        <v>409166</v>
      </c>
      <c r="M145" s="192">
        <v>8714</v>
      </c>
      <c r="N145" s="192">
        <v>444574</v>
      </c>
    </row>
    <row r="146" spans="1:14">
      <c r="A146">
        <v>7075</v>
      </c>
      <c r="B146" s="192" t="s">
        <v>25</v>
      </c>
      <c r="C146" s="192">
        <v>1</v>
      </c>
      <c r="D146" s="192">
        <v>75</v>
      </c>
      <c r="E146" s="192">
        <v>0</v>
      </c>
      <c r="F146" s="192">
        <v>27</v>
      </c>
      <c r="G146" s="192">
        <v>61946</v>
      </c>
      <c r="H146" s="192">
        <v>1522637</v>
      </c>
      <c r="I146" s="192">
        <v>22014433</v>
      </c>
      <c r="J146" s="192">
        <v>21536</v>
      </c>
      <c r="K146" s="192">
        <v>0</v>
      </c>
      <c r="L146" s="192">
        <v>74824</v>
      </c>
      <c r="M146" s="192">
        <v>5567</v>
      </c>
      <c r="N146" s="192">
        <v>486850</v>
      </c>
    </row>
    <row r="147" spans="2:14">
      <c r="B147" s="192" t="s">
        <v>26</v>
      </c>
      <c r="C147" s="192">
        <v>6</v>
      </c>
      <c r="D147" s="192">
        <v>228</v>
      </c>
      <c r="E147" s="192">
        <v>8</v>
      </c>
      <c r="F147" s="192">
        <v>40</v>
      </c>
      <c r="G147" s="192">
        <v>209436</v>
      </c>
      <c r="H147" s="192">
        <v>2729414</v>
      </c>
      <c r="I147" s="192">
        <v>50277938</v>
      </c>
      <c r="J147" s="192">
        <v>133444</v>
      </c>
      <c r="K147" s="192">
        <v>0</v>
      </c>
      <c r="L147" s="192">
        <v>783820</v>
      </c>
      <c r="M147" s="192">
        <v>16079</v>
      </c>
      <c r="N147" s="192">
        <v>834822</v>
      </c>
    </row>
    <row r="148" spans="2:14">
      <c r="B148" s="192" t="s">
        <v>27</v>
      </c>
      <c r="C148" s="192">
        <v>2</v>
      </c>
      <c r="D148" s="192">
        <v>92</v>
      </c>
      <c r="E148" s="192">
        <v>2</v>
      </c>
      <c r="F148" s="192">
        <v>14</v>
      </c>
      <c r="G148" s="192">
        <v>55626</v>
      </c>
      <c r="H148" s="192">
        <v>2138294</v>
      </c>
      <c r="I148" s="192">
        <v>15516929</v>
      </c>
      <c r="J148" s="192">
        <v>33412</v>
      </c>
      <c r="K148" s="192">
        <v>0</v>
      </c>
      <c r="L148" s="192">
        <v>297562</v>
      </c>
      <c r="M148" s="192">
        <v>6239</v>
      </c>
      <c r="N148" s="192">
        <v>659865</v>
      </c>
    </row>
    <row r="149" spans="1:14">
      <c r="A149">
        <v>7076</v>
      </c>
      <c r="B149" s="192" t="s">
        <v>25</v>
      </c>
      <c r="C149" s="192">
        <v>2</v>
      </c>
      <c r="D149" s="192">
        <v>81</v>
      </c>
      <c r="E149" s="192">
        <v>2</v>
      </c>
      <c r="F149" s="192">
        <v>16</v>
      </c>
      <c r="G149" s="192">
        <v>73793</v>
      </c>
      <c r="H149" s="192">
        <v>1679624</v>
      </c>
      <c r="I149" s="192">
        <v>12186855</v>
      </c>
      <c r="J149" s="192">
        <v>14470</v>
      </c>
      <c r="K149" s="192">
        <v>0</v>
      </c>
      <c r="L149" s="192">
        <v>163046</v>
      </c>
      <c r="M149" s="192">
        <v>4792</v>
      </c>
      <c r="N149" s="192">
        <v>493093</v>
      </c>
    </row>
    <row r="150" spans="2:14">
      <c r="B150" s="192" t="s">
        <v>26</v>
      </c>
      <c r="C150" s="192">
        <v>5</v>
      </c>
      <c r="D150" s="192">
        <v>231</v>
      </c>
      <c r="E150" s="192">
        <v>4</v>
      </c>
      <c r="F150" s="192">
        <v>24</v>
      </c>
      <c r="G150" s="192">
        <v>145739</v>
      </c>
      <c r="H150" s="192">
        <v>2279332</v>
      </c>
      <c r="I150" s="192">
        <v>23578618</v>
      </c>
      <c r="J150" s="192">
        <v>21014</v>
      </c>
      <c r="K150" s="192">
        <v>0</v>
      </c>
      <c r="L150" s="192">
        <v>221364</v>
      </c>
      <c r="M150" s="192">
        <v>8916</v>
      </c>
      <c r="N150" s="192">
        <v>616202</v>
      </c>
    </row>
    <row r="151" spans="2:14">
      <c r="B151" s="192" t="s">
        <v>27</v>
      </c>
      <c r="C151" s="192">
        <v>2</v>
      </c>
      <c r="D151" s="192">
        <v>83</v>
      </c>
      <c r="E151" s="192">
        <v>2</v>
      </c>
      <c r="F151" s="192">
        <v>15</v>
      </c>
      <c r="G151" s="192">
        <v>59315</v>
      </c>
      <c r="H151" s="192">
        <v>1343521</v>
      </c>
      <c r="I151" s="192">
        <v>10118957</v>
      </c>
      <c r="J151" s="192">
        <v>10904</v>
      </c>
      <c r="K151" s="192">
        <v>0</v>
      </c>
      <c r="L151" s="192">
        <v>157777</v>
      </c>
      <c r="M151" s="192">
        <v>4088</v>
      </c>
      <c r="N151" s="192">
        <v>418860</v>
      </c>
    </row>
    <row r="152" spans="1:14">
      <c r="A152">
        <v>7077</v>
      </c>
      <c r="B152" s="192" t="s">
        <v>25</v>
      </c>
      <c r="C152" s="192">
        <v>7</v>
      </c>
      <c r="D152" s="192">
        <v>268</v>
      </c>
      <c r="E152" s="192">
        <v>10</v>
      </c>
      <c r="F152" s="192">
        <v>19</v>
      </c>
      <c r="G152" s="192">
        <v>187224</v>
      </c>
      <c r="H152" s="192">
        <v>2998897</v>
      </c>
      <c r="I152" s="192">
        <v>27374927</v>
      </c>
      <c r="J152" s="192">
        <v>131478</v>
      </c>
      <c r="K152" s="192">
        <v>0</v>
      </c>
      <c r="L152" s="192">
        <v>701597</v>
      </c>
      <c r="M152" s="192">
        <v>14347</v>
      </c>
      <c r="N152" s="192">
        <v>848874</v>
      </c>
    </row>
    <row r="153" spans="2:14">
      <c r="B153" s="192" t="s">
        <v>26</v>
      </c>
      <c r="C153" s="192">
        <v>1</v>
      </c>
      <c r="D153" s="192">
        <v>66</v>
      </c>
      <c r="E153" s="192">
        <v>0</v>
      </c>
      <c r="F153" s="192">
        <v>11</v>
      </c>
      <c r="G153" s="192">
        <v>35591</v>
      </c>
      <c r="H153" s="192">
        <v>921048</v>
      </c>
      <c r="I153" s="192">
        <v>4699364</v>
      </c>
      <c r="J153" s="192">
        <v>1972</v>
      </c>
      <c r="K153" s="192">
        <v>0</v>
      </c>
      <c r="L153" s="192">
        <v>87491</v>
      </c>
      <c r="M153" s="192">
        <v>2431</v>
      </c>
      <c r="N153" s="192">
        <v>473686</v>
      </c>
    </row>
    <row r="154" spans="2:14">
      <c r="B154" s="192" t="s">
        <v>27</v>
      </c>
      <c r="C154" s="192">
        <v>1</v>
      </c>
      <c r="D154" s="192">
        <v>61</v>
      </c>
      <c r="E154" s="192">
        <v>0</v>
      </c>
      <c r="F154" s="192">
        <v>14</v>
      </c>
      <c r="G154" s="192">
        <v>60213</v>
      </c>
      <c r="H154" s="192">
        <v>960480</v>
      </c>
      <c r="I154" s="192">
        <v>7280145</v>
      </c>
      <c r="J154" s="192">
        <v>3768</v>
      </c>
      <c r="K154" s="192">
        <v>0</v>
      </c>
      <c r="L154" s="192">
        <v>70507</v>
      </c>
      <c r="M154" s="192">
        <v>2847</v>
      </c>
      <c r="N154" s="192">
        <v>377210</v>
      </c>
    </row>
    <row r="155" spans="1:14">
      <c r="A155">
        <v>7078</v>
      </c>
      <c r="B155" s="192" t="s">
        <v>25</v>
      </c>
      <c r="C155" s="192">
        <v>5</v>
      </c>
      <c r="D155" s="192">
        <v>224</v>
      </c>
      <c r="E155" s="192">
        <v>5</v>
      </c>
      <c r="F155" s="192">
        <v>14</v>
      </c>
      <c r="G155" s="192">
        <v>107439</v>
      </c>
      <c r="H155" s="192">
        <v>2226764</v>
      </c>
      <c r="I155" s="192">
        <v>13633755</v>
      </c>
      <c r="J155" s="192">
        <v>24522</v>
      </c>
      <c r="K155" s="192">
        <v>0</v>
      </c>
      <c r="L155" s="192">
        <v>198932</v>
      </c>
      <c r="M155" s="192">
        <v>7702</v>
      </c>
      <c r="N155" s="192">
        <v>724990</v>
      </c>
    </row>
    <row r="156" spans="2:14">
      <c r="B156" s="192" t="s">
        <v>26</v>
      </c>
      <c r="C156" s="192">
        <v>1</v>
      </c>
      <c r="D156" s="192">
        <v>46</v>
      </c>
      <c r="E156" s="192">
        <v>0</v>
      </c>
      <c r="F156" s="192">
        <v>15</v>
      </c>
      <c r="G156" s="192">
        <v>60297</v>
      </c>
      <c r="H156" s="192">
        <v>1132133</v>
      </c>
      <c r="I156" s="192">
        <v>6212136</v>
      </c>
      <c r="J156" s="192">
        <v>3314</v>
      </c>
      <c r="K156" s="192">
        <v>0</v>
      </c>
      <c r="L156" s="192">
        <v>78738</v>
      </c>
      <c r="M156" s="192">
        <v>2753</v>
      </c>
      <c r="N156" s="192">
        <v>294308</v>
      </c>
    </row>
    <row r="157" spans="2:14">
      <c r="B157" s="192" t="s">
        <v>27</v>
      </c>
      <c r="C157" s="192">
        <v>3</v>
      </c>
      <c r="D157" s="192">
        <v>125</v>
      </c>
      <c r="E157" s="192">
        <v>3</v>
      </c>
      <c r="F157" s="192">
        <v>14</v>
      </c>
      <c r="G157" s="192">
        <v>91982</v>
      </c>
      <c r="H157" s="192">
        <v>1809970</v>
      </c>
      <c r="I157" s="192">
        <v>10038865</v>
      </c>
      <c r="J157" s="192">
        <v>18354</v>
      </c>
      <c r="K157" s="192">
        <v>0</v>
      </c>
      <c r="L157" s="192">
        <v>112388</v>
      </c>
      <c r="M157" s="192">
        <v>5430</v>
      </c>
      <c r="N157" s="192">
        <v>715453</v>
      </c>
    </row>
    <row r="158" spans="1:14">
      <c r="A158">
        <v>7079</v>
      </c>
      <c r="B158" s="192" t="s">
        <v>25</v>
      </c>
      <c r="C158" s="192">
        <v>3</v>
      </c>
      <c r="D158" s="192">
        <v>113</v>
      </c>
      <c r="E158" s="192">
        <v>5</v>
      </c>
      <c r="F158" s="192">
        <v>12</v>
      </c>
      <c r="G158" s="192">
        <v>106509</v>
      </c>
      <c r="H158" s="192">
        <v>2151531</v>
      </c>
      <c r="I158" s="192">
        <v>14496900</v>
      </c>
      <c r="J158" s="192">
        <v>73232</v>
      </c>
      <c r="K158" s="192">
        <v>0</v>
      </c>
      <c r="L158" s="192">
        <v>276317</v>
      </c>
      <c r="M158" s="192">
        <v>7898</v>
      </c>
      <c r="N158" s="192">
        <v>588152</v>
      </c>
    </row>
    <row r="159" spans="2:14">
      <c r="B159" s="192" t="s">
        <v>26</v>
      </c>
      <c r="C159" s="192">
        <v>1</v>
      </c>
      <c r="D159" s="192">
        <v>74</v>
      </c>
      <c r="E159" s="192">
        <v>1</v>
      </c>
      <c r="F159" s="192">
        <v>12</v>
      </c>
      <c r="G159" s="192">
        <v>50631</v>
      </c>
      <c r="H159" s="192">
        <v>901193</v>
      </c>
      <c r="I159" s="192">
        <v>5723201</v>
      </c>
      <c r="J159" s="192">
        <v>854</v>
      </c>
      <c r="K159" s="192">
        <v>0</v>
      </c>
      <c r="L159" s="192">
        <v>130313</v>
      </c>
      <c r="M159" s="192">
        <v>2657</v>
      </c>
      <c r="N159" s="192">
        <v>329724</v>
      </c>
    </row>
    <row r="160" spans="2:14">
      <c r="B160" s="192" t="s">
        <v>27</v>
      </c>
      <c r="C160" s="192">
        <v>5</v>
      </c>
      <c r="D160" s="192">
        <v>208</v>
      </c>
      <c r="E160" s="192">
        <v>4</v>
      </c>
      <c r="F160" s="192">
        <v>13</v>
      </c>
      <c r="G160" s="192">
        <v>85553</v>
      </c>
      <c r="H160" s="192">
        <v>1970710</v>
      </c>
      <c r="I160" s="192">
        <v>11275621</v>
      </c>
      <c r="J160" s="192">
        <v>15242</v>
      </c>
      <c r="K160" s="192">
        <v>0</v>
      </c>
      <c r="L160" s="192">
        <v>223006</v>
      </c>
      <c r="M160" s="192">
        <v>6674</v>
      </c>
      <c r="N160" s="192">
        <v>489513</v>
      </c>
    </row>
    <row r="161" spans="1:14">
      <c r="A161">
        <v>7080</v>
      </c>
      <c r="B161" s="192" t="s">
        <v>25</v>
      </c>
      <c r="C161" s="192">
        <v>3</v>
      </c>
      <c r="D161" s="192">
        <v>112</v>
      </c>
      <c r="E161" s="192">
        <v>4</v>
      </c>
      <c r="F161" s="192">
        <v>16</v>
      </c>
      <c r="G161" s="192">
        <v>108888</v>
      </c>
      <c r="H161" s="192">
        <v>2240978</v>
      </c>
      <c r="I161" s="192">
        <v>14470324</v>
      </c>
      <c r="J161" s="192">
        <v>44218</v>
      </c>
      <c r="K161" s="192">
        <v>0</v>
      </c>
      <c r="L161" s="192">
        <v>235078</v>
      </c>
      <c r="M161" s="192">
        <v>7096</v>
      </c>
      <c r="N161" s="192">
        <v>750636</v>
      </c>
    </row>
    <row r="162" spans="2:14">
      <c r="B162" s="192" t="s">
        <v>26</v>
      </c>
      <c r="C162" s="192">
        <v>2</v>
      </c>
      <c r="D162" s="192">
        <v>68</v>
      </c>
      <c r="E162" s="192">
        <v>2</v>
      </c>
      <c r="F162" s="192">
        <v>10</v>
      </c>
      <c r="G162" s="192">
        <v>70237</v>
      </c>
      <c r="H162" s="192">
        <v>1263927</v>
      </c>
      <c r="I162" s="192">
        <v>8386970</v>
      </c>
      <c r="J162" s="192">
        <v>25966</v>
      </c>
      <c r="K162" s="192">
        <v>0</v>
      </c>
      <c r="L162" s="192">
        <v>137283</v>
      </c>
      <c r="M162" s="192">
        <v>4181</v>
      </c>
      <c r="N162" s="192">
        <v>322208</v>
      </c>
    </row>
    <row r="163" spans="2:14">
      <c r="B163" s="192" t="s">
        <v>27</v>
      </c>
      <c r="C163" s="192">
        <v>4</v>
      </c>
      <c r="D163" s="192">
        <v>215</v>
      </c>
      <c r="E163" s="192">
        <v>4</v>
      </c>
      <c r="F163" s="192">
        <v>10</v>
      </c>
      <c r="G163" s="192">
        <v>81931</v>
      </c>
      <c r="H163" s="192">
        <v>2900486</v>
      </c>
      <c r="I163" s="192">
        <v>13134196</v>
      </c>
      <c r="J163" s="192">
        <v>47822</v>
      </c>
      <c r="K163" s="192">
        <v>46188</v>
      </c>
      <c r="L163" s="192">
        <v>210748</v>
      </c>
      <c r="M163" s="192">
        <v>9175</v>
      </c>
      <c r="N163" s="192">
        <v>801020</v>
      </c>
    </row>
    <row r="164" spans="1:14">
      <c r="A164">
        <v>7081</v>
      </c>
      <c r="B164" s="192" t="s">
        <v>25</v>
      </c>
      <c r="C164" s="192">
        <v>1</v>
      </c>
      <c r="D164" s="192">
        <v>87</v>
      </c>
      <c r="E164" s="192">
        <v>2</v>
      </c>
      <c r="F164" s="192">
        <v>16</v>
      </c>
      <c r="G164" s="192">
        <v>77107</v>
      </c>
      <c r="H164" s="192">
        <v>1387586</v>
      </c>
      <c r="I164" s="192">
        <v>12047661</v>
      </c>
      <c r="J164" s="192">
        <v>22304</v>
      </c>
      <c r="K164" s="192">
        <v>0</v>
      </c>
      <c r="L164" s="192">
        <v>102004</v>
      </c>
      <c r="M164" s="192">
        <v>4668</v>
      </c>
      <c r="N164" s="192">
        <v>389203</v>
      </c>
    </row>
    <row r="165" spans="2:14">
      <c r="B165" s="192" t="s">
        <v>26</v>
      </c>
      <c r="C165" s="192">
        <v>5</v>
      </c>
      <c r="D165" s="192">
        <v>208</v>
      </c>
      <c r="E165" s="192">
        <v>7</v>
      </c>
      <c r="F165" s="192">
        <v>32</v>
      </c>
      <c r="G165" s="192">
        <v>164121</v>
      </c>
      <c r="H165" s="192">
        <v>2191150</v>
      </c>
      <c r="I165" s="192">
        <v>27105172</v>
      </c>
      <c r="J165" s="192">
        <v>69824</v>
      </c>
      <c r="K165" s="192">
        <v>0</v>
      </c>
      <c r="L165" s="192">
        <v>655603</v>
      </c>
      <c r="M165" s="192">
        <v>10724</v>
      </c>
      <c r="N165" s="192">
        <v>648926</v>
      </c>
    </row>
    <row r="166" spans="2:14">
      <c r="B166" s="192" t="s">
        <v>27</v>
      </c>
      <c r="C166" s="192">
        <v>3</v>
      </c>
      <c r="D166" s="192">
        <v>100</v>
      </c>
      <c r="E166" s="192">
        <v>1</v>
      </c>
      <c r="F166" s="192">
        <v>20</v>
      </c>
      <c r="G166" s="192">
        <v>76273</v>
      </c>
      <c r="H166" s="192">
        <v>1225683</v>
      </c>
      <c r="I166" s="192">
        <v>12353861</v>
      </c>
      <c r="J166" s="192">
        <v>10662</v>
      </c>
      <c r="K166" s="192">
        <v>0</v>
      </c>
      <c r="L166" s="192">
        <v>238141</v>
      </c>
      <c r="M166" s="192">
        <v>4581</v>
      </c>
      <c r="N166" s="192">
        <v>333029</v>
      </c>
    </row>
    <row r="167" spans="1:14">
      <c r="A167">
        <v>7082</v>
      </c>
      <c r="B167" s="192" t="s">
        <v>25</v>
      </c>
      <c r="C167" s="192">
        <v>5</v>
      </c>
      <c r="D167" s="192">
        <v>207</v>
      </c>
      <c r="E167" s="192">
        <v>8</v>
      </c>
      <c r="F167" s="192">
        <v>11</v>
      </c>
      <c r="G167" s="192">
        <v>126762</v>
      </c>
      <c r="H167" s="192">
        <v>1912282</v>
      </c>
      <c r="I167" s="192">
        <v>16788484</v>
      </c>
      <c r="J167" s="192">
        <v>12936</v>
      </c>
      <c r="K167" s="192">
        <v>0</v>
      </c>
      <c r="L167" s="192">
        <v>389931</v>
      </c>
      <c r="M167" s="192">
        <v>7377</v>
      </c>
      <c r="N167" s="192">
        <v>551905</v>
      </c>
    </row>
    <row r="168" spans="2:14">
      <c r="B168" s="192" t="s">
        <v>26</v>
      </c>
      <c r="C168" s="192">
        <v>1</v>
      </c>
      <c r="D168" s="192">
        <v>61</v>
      </c>
      <c r="E168" s="192">
        <v>0</v>
      </c>
      <c r="F168" s="192">
        <v>21</v>
      </c>
      <c r="G168" s="192">
        <v>77630</v>
      </c>
      <c r="H168" s="192">
        <v>960484</v>
      </c>
      <c r="I168" s="192">
        <v>9918582</v>
      </c>
      <c r="J168" s="192">
        <v>1160</v>
      </c>
      <c r="K168" s="192">
        <v>0</v>
      </c>
      <c r="L168" s="192">
        <v>124374</v>
      </c>
      <c r="M168" s="192">
        <v>3147</v>
      </c>
      <c r="N168" s="192">
        <v>243478</v>
      </c>
    </row>
    <row r="169" spans="2:14">
      <c r="B169" s="192" t="s">
        <v>27</v>
      </c>
      <c r="C169" s="192">
        <v>3</v>
      </c>
      <c r="D169" s="192">
        <v>127</v>
      </c>
      <c r="E169" s="192">
        <v>2</v>
      </c>
      <c r="F169" s="192">
        <v>15</v>
      </c>
      <c r="G169" s="192">
        <v>87923</v>
      </c>
      <c r="H169" s="192">
        <v>1984084</v>
      </c>
      <c r="I169" s="192">
        <v>12453577</v>
      </c>
      <c r="J169" s="192">
        <v>57162</v>
      </c>
      <c r="K169" s="192">
        <v>0</v>
      </c>
      <c r="L169" s="192">
        <v>178667</v>
      </c>
      <c r="M169" s="192">
        <v>7043</v>
      </c>
      <c r="N169" s="192">
        <v>829015</v>
      </c>
    </row>
    <row r="170" spans="1:14">
      <c r="A170">
        <v>7083</v>
      </c>
      <c r="B170" s="192" t="s">
        <v>25</v>
      </c>
      <c r="C170" s="192">
        <v>4</v>
      </c>
      <c r="D170" s="192">
        <v>163</v>
      </c>
      <c r="E170" s="192">
        <v>4</v>
      </c>
      <c r="F170" s="192">
        <v>19</v>
      </c>
      <c r="G170" s="192">
        <v>121802</v>
      </c>
      <c r="H170" s="192">
        <v>2229832</v>
      </c>
      <c r="I170" s="192">
        <v>16615569</v>
      </c>
      <c r="J170" s="192">
        <v>47104</v>
      </c>
      <c r="K170" s="192">
        <v>0</v>
      </c>
      <c r="L170" s="192">
        <v>608905</v>
      </c>
      <c r="M170" s="192">
        <v>8247</v>
      </c>
      <c r="N170" s="192">
        <v>628643</v>
      </c>
    </row>
    <row r="171" spans="2:14">
      <c r="B171" s="192" t="s">
        <v>26</v>
      </c>
      <c r="C171" s="192">
        <v>2</v>
      </c>
      <c r="D171" s="192">
        <v>104</v>
      </c>
      <c r="E171" s="192">
        <v>2</v>
      </c>
      <c r="F171" s="192">
        <v>10</v>
      </c>
      <c r="G171" s="192">
        <v>45675</v>
      </c>
      <c r="H171" s="192">
        <v>1199149</v>
      </c>
      <c r="I171" s="192">
        <v>5882635</v>
      </c>
      <c r="J171" s="192">
        <v>5744</v>
      </c>
      <c r="K171" s="192">
        <v>0</v>
      </c>
      <c r="L171" s="192">
        <v>143582</v>
      </c>
      <c r="M171" s="192">
        <v>3499</v>
      </c>
      <c r="N171" s="192">
        <v>375935</v>
      </c>
    </row>
    <row r="172" spans="2:14">
      <c r="B172" s="192" t="s">
        <v>27</v>
      </c>
      <c r="C172" s="192">
        <v>3</v>
      </c>
      <c r="D172" s="192">
        <v>128</v>
      </c>
      <c r="E172" s="192">
        <v>4</v>
      </c>
      <c r="F172" s="192">
        <v>18</v>
      </c>
      <c r="G172" s="192">
        <v>121064</v>
      </c>
      <c r="H172" s="192">
        <v>1897200</v>
      </c>
      <c r="I172" s="192">
        <v>15675506</v>
      </c>
      <c r="J172" s="192">
        <v>21146</v>
      </c>
      <c r="K172" s="192">
        <v>0</v>
      </c>
      <c r="L172" s="192">
        <v>140582</v>
      </c>
      <c r="M172" s="192">
        <v>6354</v>
      </c>
      <c r="N172" s="192">
        <v>518176</v>
      </c>
    </row>
    <row r="173" spans="1:14">
      <c r="A173">
        <v>7084</v>
      </c>
      <c r="B173" s="192" t="s">
        <v>25</v>
      </c>
      <c r="C173" s="192">
        <v>2</v>
      </c>
      <c r="D173" s="192">
        <v>79</v>
      </c>
      <c r="E173" s="192">
        <v>1</v>
      </c>
      <c r="F173" s="192">
        <v>15</v>
      </c>
      <c r="G173" s="192">
        <v>57950</v>
      </c>
      <c r="H173" s="192">
        <v>1151563</v>
      </c>
      <c r="I173" s="192">
        <v>8880093</v>
      </c>
      <c r="J173" s="192">
        <v>24294</v>
      </c>
      <c r="K173" s="192">
        <v>0</v>
      </c>
      <c r="L173" s="192">
        <v>137953</v>
      </c>
      <c r="M173" s="192">
        <v>4117</v>
      </c>
      <c r="N173" s="192">
        <v>357662</v>
      </c>
    </row>
    <row r="174" spans="2:14">
      <c r="B174" s="192" t="s">
        <v>26</v>
      </c>
      <c r="C174" s="192">
        <v>4</v>
      </c>
      <c r="D174" s="192">
        <v>218</v>
      </c>
      <c r="E174" s="192">
        <v>6</v>
      </c>
      <c r="F174" s="192">
        <v>23</v>
      </c>
      <c r="G174" s="192">
        <v>140509</v>
      </c>
      <c r="H174" s="192">
        <v>1868057</v>
      </c>
      <c r="I174" s="192">
        <v>20575397</v>
      </c>
      <c r="J174" s="192">
        <v>45632</v>
      </c>
      <c r="K174" s="192">
        <v>0</v>
      </c>
      <c r="L174" s="192">
        <v>216167</v>
      </c>
      <c r="M174" s="192">
        <v>8685</v>
      </c>
      <c r="N174" s="192">
        <v>662300</v>
      </c>
    </row>
    <row r="175" spans="2:14">
      <c r="B175" s="192" t="s">
        <v>27</v>
      </c>
      <c r="C175" s="192">
        <v>3</v>
      </c>
      <c r="D175" s="192">
        <v>98</v>
      </c>
      <c r="E175" s="192">
        <v>3</v>
      </c>
      <c r="F175" s="192">
        <v>18</v>
      </c>
      <c r="G175" s="192">
        <v>94863</v>
      </c>
      <c r="H175" s="192">
        <v>1628654</v>
      </c>
      <c r="I175" s="192">
        <v>14251931</v>
      </c>
      <c r="J175" s="192">
        <v>33762</v>
      </c>
      <c r="K175" s="192">
        <v>0</v>
      </c>
      <c r="L175" s="192">
        <v>285090</v>
      </c>
      <c r="M175" s="192">
        <v>5963</v>
      </c>
      <c r="N175" s="192">
        <v>451914</v>
      </c>
    </row>
    <row r="176" spans="1:14">
      <c r="A176">
        <v>7085</v>
      </c>
      <c r="B176" s="192" t="s">
        <v>25</v>
      </c>
      <c r="C176" s="192">
        <v>5</v>
      </c>
      <c r="D176" s="192">
        <v>197</v>
      </c>
      <c r="E176" s="192">
        <v>6</v>
      </c>
      <c r="F176" s="192">
        <v>14</v>
      </c>
      <c r="G176" s="192">
        <v>122298</v>
      </c>
      <c r="H176" s="192">
        <v>1829167</v>
      </c>
      <c r="I176" s="192">
        <v>15341205</v>
      </c>
      <c r="J176" s="192">
        <v>25402</v>
      </c>
      <c r="K176" s="192">
        <v>0</v>
      </c>
      <c r="L176" s="192">
        <v>378103</v>
      </c>
      <c r="M176" s="192">
        <v>7395</v>
      </c>
      <c r="N176" s="192">
        <v>535966</v>
      </c>
    </row>
    <row r="177" spans="2:14">
      <c r="B177" s="192" t="s">
        <v>26</v>
      </c>
      <c r="C177" s="192">
        <v>0</v>
      </c>
      <c r="D177" s="192">
        <v>28</v>
      </c>
      <c r="E177" s="192">
        <v>0</v>
      </c>
      <c r="F177" s="192">
        <v>11</v>
      </c>
      <c r="G177" s="192">
        <v>38762</v>
      </c>
      <c r="H177" s="192">
        <v>638303</v>
      </c>
      <c r="I177" s="192">
        <v>3834873</v>
      </c>
      <c r="J177" s="192">
        <v>2486</v>
      </c>
      <c r="K177" s="192">
        <v>0</v>
      </c>
      <c r="L177" s="192">
        <v>88125</v>
      </c>
      <c r="M177" s="192">
        <v>1614</v>
      </c>
      <c r="N177" s="192">
        <v>184447</v>
      </c>
    </row>
    <row r="178" spans="2:14">
      <c r="B178" s="192" t="s">
        <v>27</v>
      </c>
      <c r="C178" s="192">
        <v>4</v>
      </c>
      <c r="D178" s="192">
        <v>170</v>
      </c>
      <c r="E178" s="192">
        <v>4</v>
      </c>
      <c r="F178" s="192">
        <v>14</v>
      </c>
      <c r="G178" s="192">
        <v>115757</v>
      </c>
      <c r="H178" s="192">
        <v>1981546</v>
      </c>
      <c r="I178" s="192">
        <v>13867562</v>
      </c>
      <c r="J178" s="192">
        <v>16824</v>
      </c>
      <c r="K178" s="192">
        <v>0</v>
      </c>
      <c r="L178" s="192">
        <v>250203</v>
      </c>
      <c r="M178" s="192">
        <v>6676</v>
      </c>
      <c r="N178" s="192">
        <v>520862</v>
      </c>
    </row>
    <row r="179" spans="1:14">
      <c r="A179">
        <v>7086</v>
      </c>
      <c r="B179" s="192" t="s">
        <v>25</v>
      </c>
      <c r="C179" s="192">
        <v>3</v>
      </c>
      <c r="D179" s="192">
        <v>115</v>
      </c>
      <c r="E179" s="192">
        <v>3</v>
      </c>
      <c r="F179" s="192">
        <v>22</v>
      </c>
      <c r="G179" s="192">
        <v>111882</v>
      </c>
      <c r="H179" s="192">
        <v>1740183</v>
      </c>
      <c r="I179" s="192">
        <v>17221867</v>
      </c>
      <c r="J179" s="192">
        <v>22470</v>
      </c>
      <c r="K179" s="192">
        <v>0</v>
      </c>
      <c r="L179" s="192">
        <v>323033</v>
      </c>
      <c r="M179" s="192">
        <v>6307</v>
      </c>
      <c r="N179" s="192">
        <v>557311</v>
      </c>
    </row>
    <row r="180" spans="2:14">
      <c r="B180" s="192" t="s">
        <v>26</v>
      </c>
      <c r="C180" s="192">
        <v>4</v>
      </c>
      <c r="D180" s="192">
        <v>202</v>
      </c>
      <c r="E180" s="192">
        <v>3</v>
      </c>
      <c r="F180" s="192">
        <v>23</v>
      </c>
      <c r="G180" s="192">
        <v>109994</v>
      </c>
      <c r="H180" s="192">
        <v>1885062</v>
      </c>
      <c r="I180" s="192">
        <v>17526104</v>
      </c>
      <c r="J180" s="192">
        <v>26054</v>
      </c>
      <c r="K180" s="192">
        <v>0</v>
      </c>
      <c r="L180" s="192">
        <v>337722</v>
      </c>
      <c r="M180" s="192">
        <v>7558</v>
      </c>
      <c r="N180" s="192">
        <v>589725</v>
      </c>
    </row>
    <row r="181" spans="2:14">
      <c r="B181" s="192" t="s">
        <v>27</v>
      </c>
      <c r="C181" s="192">
        <v>2</v>
      </c>
      <c r="D181" s="192">
        <v>78</v>
      </c>
      <c r="E181" s="192">
        <v>4</v>
      </c>
      <c r="F181" s="192">
        <v>13</v>
      </c>
      <c r="G181" s="192">
        <v>77734</v>
      </c>
      <c r="H181" s="192">
        <v>1804954</v>
      </c>
      <c r="I181" s="192">
        <v>12601767</v>
      </c>
      <c r="J181" s="192">
        <v>30296</v>
      </c>
      <c r="K181" s="192">
        <v>0</v>
      </c>
      <c r="L181" s="192">
        <v>178945</v>
      </c>
      <c r="M181" s="192">
        <v>5432</v>
      </c>
      <c r="N181" s="192">
        <v>616348</v>
      </c>
    </row>
    <row r="182" spans="1:14">
      <c r="A182">
        <v>7087</v>
      </c>
      <c r="B182" s="192" t="s">
        <v>25</v>
      </c>
      <c r="C182" s="192">
        <v>4</v>
      </c>
      <c r="D182" s="192">
        <v>120</v>
      </c>
      <c r="E182" s="192">
        <v>5</v>
      </c>
      <c r="F182" s="192">
        <v>21</v>
      </c>
      <c r="G182" s="192">
        <v>108932</v>
      </c>
      <c r="H182" s="192">
        <v>2639464</v>
      </c>
      <c r="I182" s="192">
        <v>20425471</v>
      </c>
      <c r="J182" s="192">
        <v>86686</v>
      </c>
      <c r="K182" s="192">
        <v>0</v>
      </c>
      <c r="L182" s="192">
        <v>785344</v>
      </c>
      <c r="M182" s="192">
        <v>9819</v>
      </c>
      <c r="N182" s="192">
        <v>852545</v>
      </c>
    </row>
    <row r="183" spans="2:14">
      <c r="B183" s="192" t="s">
        <v>26</v>
      </c>
      <c r="C183" s="192">
        <v>3</v>
      </c>
      <c r="D183" s="192">
        <v>186</v>
      </c>
      <c r="E183" s="192">
        <v>2</v>
      </c>
      <c r="F183" s="192">
        <v>25</v>
      </c>
      <c r="G183" s="192">
        <v>105546</v>
      </c>
      <c r="H183" s="192">
        <v>1618503</v>
      </c>
      <c r="I183" s="192">
        <v>17882464</v>
      </c>
      <c r="J183" s="192">
        <v>24376</v>
      </c>
      <c r="K183" s="192">
        <v>0</v>
      </c>
      <c r="L183" s="192">
        <v>98200</v>
      </c>
      <c r="M183" s="192">
        <v>6874</v>
      </c>
      <c r="N183" s="192">
        <v>556607</v>
      </c>
    </row>
    <row r="184" spans="2:14">
      <c r="B184" s="192" t="s">
        <v>27</v>
      </c>
      <c r="C184" s="192">
        <v>2</v>
      </c>
      <c r="D184" s="192">
        <v>89</v>
      </c>
      <c r="E184" s="192">
        <v>3</v>
      </c>
      <c r="F184" s="192">
        <v>23</v>
      </c>
      <c r="G184" s="192">
        <v>95792</v>
      </c>
      <c r="H184" s="192">
        <v>1891164</v>
      </c>
      <c r="I184" s="192">
        <v>17434013</v>
      </c>
      <c r="J184" s="192">
        <v>26500</v>
      </c>
      <c r="K184" s="192">
        <v>0</v>
      </c>
      <c r="L184" s="192">
        <v>185504</v>
      </c>
      <c r="M184" s="192">
        <v>6091</v>
      </c>
      <c r="N184" s="192">
        <v>525609</v>
      </c>
    </row>
    <row r="185" spans="1:14">
      <c r="A185">
        <v>7088</v>
      </c>
      <c r="B185" s="192" t="s">
        <v>25</v>
      </c>
      <c r="C185" s="192">
        <v>5</v>
      </c>
      <c r="D185" s="192">
        <v>205</v>
      </c>
      <c r="E185" s="192">
        <v>6</v>
      </c>
      <c r="F185" s="192">
        <v>22</v>
      </c>
      <c r="G185" s="192">
        <v>143568</v>
      </c>
      <c r="H185" s="192">
        <v>2180323</v>
      </c>
      <c r="I185" s="192">
        <v>20796295</v>
      </c>
      <c r="J185" s="192">
        <v>32344</v>
      </c>
      <c r="K185" s="192">
        <v>0</v>
      </c>
      <c r="L185" s="192">
        <v>151757</v>
      </c>
      <c r="M185" s="192">
        <v>8573</v>
      </c>
      <c r="N185" s="192">
        <v>654635</v>
      </c>
    </row>
    <row r="186" spans="2:14">
      <c r="B186" s="192" t="s">
        <v>26</v>
      </c>
      <c r="C186" s="192">
        <v>1</v>
      </c>
      <c r="D186" s="192">
        <v>81</v>
      </c>
      <c r="E186" s="192">
        <v>1</v>
      </c>
      <c r="F186" s="192">
        <v>20</v>
      </c>
      <c r="G186" s="192">
        <v>79727</v>
      </c>
      <c r="H186" s="192">
        <v>1044307</v>
      </c>
      <c r="I186" s="192">
        <v>11359544</v>
      </c>
      <c r="J186" s="192">
        <v>7868</v>
      </c>
      <c r="K186" s="192">
        <v>0</v>
      </c>
      <c r="L186" s="192">
        <v>157857</v>
      </c>
      <c r="M186" s="192">
        <v>3803</v>
      </c>
      <c r="N186" s="192">
        <v>297462</v>
      </c>
    </row>
    <row r="187" spans="2:14">
      <c r="B187" s="192" t="s">
        <v>27</v>
      </c>
      <c r="C187" s="192">
        <v>3</v>
      </c>
      <c r="D187" s="192">
        <v>109</v>
      </c>
      <c r="E187" s="192">
        <v>2</v>
      </c>
      <c r="F187" s="192">
        <v>16</v>
      </c>
      <c r="G187" s="192">
        <v>76287</v>
      </c>
      <c r="H187" s="192">
        <v>1570456</v>
      </c>
      <c r="I187" s="192">
        <v>10915113</v>
      </c>
      <c r="J187" s="192">
        <v>7362</v>
      </c>
      <c r="K187" s="192">
        <v>0</v>
      </c>
      <c r="L187" s="192">
        <v>105214</v>
      </c>
      <c r="M187" s="192">
        <v>4706</v>
      </c>
      <c r="N187" s="192">
        <v>480778</v>
      </c>
    </row>
  </sheetData>
  <conditionalFormatting sqref="F80:F82">
    <cfRule type="dataBar" priority="1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{42e9881f-66a1-4ebd-9b69-31daaf675fbf}</x14:id>
        </ext>
      </extLst>
    </cfRule>
  </conditionalFormatting>
  <conditionalFormatting sqref="F83:F85">
    <cfRule type="dataBar" priority="16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{134b5d59-e3b0-4e23-adc6-a0e0ab9c8fb1}</x14:id>
        </ext>
      </extLst>
    </cfRule>
  </conditionalFormatting>
  <conditionalFormatting sqref="F86:F88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{c6b93708-9e79-45f2-a06e-015fdebadd60}</x14:id>
        </ext>
      </extLst>
    </cfRule>
  </conditionalFormatting>
  <conditionalFormatting sqref="F89:F9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{a1cf7996-f5ba-4ff2-99a2-1487a6be6b00}</x14:id>
        </ext>
      </extLst>
    </cfRule>
  </conditionalFormatting>
  <conditionalFormatting sqref="F92:F94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{0f863504-0412-422d-b8de-1e2fefcc25f2}</x14:id>
        </ext>
      </extLst>
    </cfRule>
  </conditionalFormatting>
  <conditionalFormatting sqref="F95:F97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{aafd9abc-6e4e-494d-9f3e-23b8edae0c80}</x14:id>
        </ext>
      </extLst>
    </cfRule>
  </conditionalFormatting>
  <conditionalFormatting sqref="F98:F100">
    <cfRule type="dataBar" priority="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{9e70e69a-42d3-4f7b-bc95-eb2bf3bef9cb}</x14:id>
        </ext>
      </extLst>
    </cfRule>
  </conditionalFormatting>
  <conditionalFormatting sqref="F101:F103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{b42ad853-97a8-4e60-b0ea-7a55e23cc488}</x14:id>
        </ext>
      </extLst>
    </cfRule>
  </conditionalFormatting>
  <conditionalFormatting sqref="F104:F106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{187991c7-4c22-4571-8974-cee6ca52e593}</x14:id>
        </ext>
      </extLst>
    </cfRule>
  </conditionalFormatting>
  <conditionalFormatting sqref="G80:G82">
    <cfRule type="dataBar" priority="1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{714fb927-9926-4fb1-baba-d4dbabfa236c}</x14:id>
        </ext>
      </extLst>
    </cfRule>
  </conditionalFormatting>
  <conditionalFormatting sqref="G83:G85">
    <cfRule type="dataBar" priority="16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{52fd5e27-16e7-43a2-93f7-199c157c16e1}</x14:id>
        </ext>
      </extLst>
    </cfRule>
  </conditionalFormatting>
  <conditionalFormatting sqref="G86:G88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{1692cb54-d946-4d1f-a881-72a130f4baec}</x14:id>
        </ext>
      </extLst>
    </cfRule>
  </conditionalFormatting>
  <conditionalFormatting sqref="G89:G91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{855028bf-ba0e-4f10-ba66-5eefa969c920}</x14:id>
        </ext>
      </extLst>
    </cfRule>
  </conditionalFormatting>
  <conditionalFormatting sqref="G92:G94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{344127b0-12c5-4899-b4a2-03b8a64d946c}</x14:id>
        </ext>
      </extLst>
    </cfRule>
  </conditionalFormatting>
  <conditionalFormatting sqref="G95:G97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{705d700c-3bc2-43f5-9edf-426449b642bc}</x14:id>
        </ext>
      </extLst>
    </cfRule>
  </conditionalFormatting>
  <conditionalFormatting sqref="G98:G100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{a15d45c2-29e9-4e1e-afc2-a5a5e42ca329}</x14:id>
        </ext>
      </extLst>
    </cfRule>
  </conditionalFormatting>
  <conditionalFormatting sqref="G101:G103">
    <cfRule type="dataBar" priority="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{c2e84399-ecd9-492f-bfeb-0f904ba2fe71}</x14:id>
        </ext>
      </extLst>
    </cfRule>
  </conditionalFormatting>
  <conditionalFormatting sqref="G104:G106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{383687b2-8e7c-4346-8a2d-be0e0452ae84}</x14:id>
        </ext>
      </extLst>
    </cfRule>
  </conditionalFormatting>
  <conditionalFormatting sqref="N80:N85">
    <cfRule type="dataBar" priority="1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{4cd78393-6f04-4b34-9533-a8ccc592065a}</x14:id>
        </ext>
      </extLst>
    </cfRule>
  </conditionalFormatting>
  <conditionalFormatting sqref="N86:N88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{81789e01-dff7-4397-bbb9-8d517816aa60}</x14:id>
        </ext>
      </extLst>
    </cfRule>
  </conditionalFormatting>
  <conditionalFormatting sqref="N89:N91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{6f58674b-71dd-40cb-8b21-3805b0ab2dde}</x14:id>
        </ext>
      </extLst>
    </cfRule>
  </conditionalFormatting>
  <conditionalFormatting sqref="N92:N94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{ffc045ec-5450-41f8-b61f-e27854104d1b}</x14:id>
        </ext>
      </extLst>
    </cfRule>
  </conditionalFormatting>
  <conditionalFormatting sqref="N95:N97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{a812367b-e780-46b5-976a-7745b2905bdb}</x14:id>
        </ext>
      </extLst>
    </cfRule>
  </conditionalFormatting>
  <conditionalFormatting sqref="N98:N100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{94be0ea9-afed-4f8c-bec3-bb566c5098ab}</x14:id>
        </ext>
      </extLst>
    </cfRule>
  </conditionalFormatting>
  <conditionalFormatting sqref="N101:N103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{526cb7b0-f06c-4794-8c30-6bbe52076bad}</x14:id>
        </ext>
      </extLst>
    </cfRule>
  </conditionalFormatting>
  <conditionalFormatting sqref="N104:N106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{44d35f12-8c25-4826-ad48-4544ffa6c7b0}</x14:id>
        </ext>
      </extLst>
    </cfRule>
  </conditionalFormatting>
  <conditionalFormatting sqref="P80:P106">
    <cfRule type="cellIs" dxfId="37" priority="156" operator="equal">
      <formula>$S$80</formula>
    </cfRule>
  </conditionalFormatting>
  <conditionalFormatting sqref="Q14:Q16">
    <cfRule type="cellIs" dxfId="38" priority="149" operator="equal">
      <formula>配置!$D$4</formula>
    </cfRule>
    <cfRule type="cellIs" dxfId="39" priority="150" operator="equal">
      <formula>配置!$D$3</formula>
    </cfRule>
    <cfRule type="cellIs" dxfId="37" priority="151" operator="equal">
      <formula>配置!$D$2</formula>
    </cfRule>
  </conditionalFormatting>
  <conditionalFormatting sqref="Q17:Q19">
    <cfRule type="cellIs" dxfId="38" priority="142" operator="equal">
      <formula>配置!$D$4</formula>
    </cfRule>
    <cfRule type="cellIs" dxfId="39" priority="143" operator="equal">
      <formula>配置!$D$3</formula>
    </cfRule>
    <cfRule type="cellIs" dxfId="37" priority="144" operator="equal">
      <formula>配置!$D$2</formula>
    </cfRule>
  </conditionalFormatting>
  <conditionalFormatting sqref="Q20:Q22">
    <cfRule type="cellIs" dxfId="38" priority="135" operator="equal">
      <formula>配置!$D$4</formula>
    </cfRule>
    <cfRule type="cellIs" dxfId="39" priority="136" operator="equal">
      <formula>配置!$D$3</formula>
    </cfRule>
    <cfRule type="cellIs" dxfId="37" priority="137" operator="equal">
      <formula>配置!$D$2</formula>
    </cfRule>
  </conditionalFormatting>
  <conditionalFormatting sqref="Q23:Q25">
    <cfRule type="cellIs" dxfId="38" priority="128" operator="equal">
      <formula>配置!$D$4</formula>
    </cfRule>
    <cfRule type="cellIs" dxfId="39" priority="129" operator="equal">
      <formula>配置!$D$3</formula>
    </cfRule>
    <cfRule type="cellIs" dxfId="37" priority="130" operator="equal">
      <formula>配置!$D$2</formula>
    </cfRule>
  </conditionalFormatting>
  <conditionalFormatting sqref="Q26:Q28">
    <cfRule type="cellIs" dxfId="38" priority="121" operator="equal">
      <formula>配置!$D$4</formula>
    </cfRule>
    <cfRule type="cellIs" dxfId="39" priority="122" operator="equal">
      <formula>配置!$D$3</formula>
    </cfRule>
    <cfRule type="cellIs" dxfId="37" priority="123" operator="equal">
      <formula>配置!$D$2</formula>
    </cfRule>
  </conditionalFormatting>
  <conditionalFormatting sqref="Q29:Q31">
    <cfRule type="cellIs" dxfId="38" priority="114" operator="equal">
      <formula>配置!$D$4</formula>
    </cfRule>
    <cfRule type="cellIs" dxfId="39" priority="115" operator="equal">
      <formula>配置!$D$3</formula>
    </cfRule>
    <cfRule type="cellIs" dxfId="37" priority="116" operator="equal">
      <formula>配置!$D$2</formula>
    </cfRule>
  </conditionalFormatting>
  <conditionalFormatting sqref="Q32:Q34">
    <cfRule type="cellIs" dxfId="38" priority="107" operator="equal">
      <formula>配置!$D$4</formula>
    </cfRule>
    <cfRule type="cellIs" dxfId="39" priority="108" operator="equal">
      <formula>配置!$D$3</formula>
    </cfRule>
    <cfRule type="cellIs" dxfId="37" priority="109" operator="equal">
      <formula>配置!$D$2</formula>
    </cfRule>
  </conditionalFormatting>
  <conditionalFormatting sqref="Q35:Q37">
    <cfRule type="cellIs" dxfId="38" priority="100" operator="equal">
      <formula>配置!$D$4</formula>
    </cfRule>
    <cfRule type="cellIs" dxfId="39" priority="101" operator="equal">
      <formula>配置!$D$3</formula>
    </cfRule>
    <cfRule type="cellIs" dxfId="37" priority="102" operator="equal">
      <formula>配置!$D$2</formula>
    </cfRule>
  </conditionalFormatting>
  <conditionalFormatting sqref="Q38:Q40">
    <cfRule type="cellIs" dxfId="38" priority="93" operator="equal">
      <formula>配置!$D$4</formula>
    </cfRule>
    <cfRule type="cellIs" dxfId="39" priority="94" operator="equal">
      <formula>配置!$D$3</formula>
    </cfRule>
    <cfRule type="cellIs" dxfId="37" priority="95" operator="equal">
      <formula>配置!$D$2</formula>
    </cfRule>
  </conditionalFormatting>
  <conditionalFormatting sqref="Q41:Q43">
    <cfRule type="cellIs" dxfId="38" priority="86" operator="equal">
      <formula>配置!$D$4</formula>
    </cfRule>
    <cfRule type="cellIs" dxfId="39" priority="87" operator="equal">
      <formula>配置!$D$3</formula>
    </cfRule>
    <cfRule type="cellIs" dxfId="37" priority="88" operator="equal">
      <formula>配置!$D$2</formula>
    </cfRule>
  </conditionalFormatting>
  <conditionalFormatting sqref="Q46:Q47">
    <cfRule type="cellIs" dxfId="38" priority="84" operator="equal">
      <formula>配置!$D$4</formula>
    </cfRule>
    <cfRule type="cellIs" dxfId="37" priority="85" operator="equal">
      <formula>配置!$D$2</formula>
    </cfRule>
  </conditionalFormatting>
  <conditionalFormatting sqref="Q46:Q48">
    <cfRule type="cellIs" dxfId="38" priority="79" operator="equal">
      <formula>配置!$D$4</formula>
    </cfRule>
    <cfRule type="cellIs" dxfId="39" priority="80" operator="equal">
      <formula>配置!$D$3</formula>
    </cfRule>
    <cfRule type="cellIs" dxfId="37" priority="81" operator="equal">
      <formula>配置!$D$2</formula>
    </cfRule>
  </conditionalFormatting>
  <conditionalFormatting sqref="Q49:Q50">
    <cfRule type="cellIs" dxfId="38" priority="77" operator="equal">
      <formula>配置!$D$4</formula>
    </cfRule>
    <cfRule type="cellIs" dxfId="37" priority="78" operator="equal">
      <formula>配置!$D$2</formula>
    </cfRule>
  </conditionalFormatting>
  <conditionalFormatting sqref="Q49:Q51">
    <cfRule type="cellIs" dxfId="38" priority="72" operator="equal">
      <formula>配置!$D$4</formula>
    </cfRule>
    <cfRule type="cellIs" dxfId="39" priority="73" operator="equal">
      <formula>配置!$D$3</formula>
    </cfRule>
    <cfRule type="cellIs" dxfId="37" priority="74" operator="equal">
      <formula>配置!$D$2</formula>
    </cfRule>
  </conditionalFormatting>
  <conditionalFormatting sqref="Q52:Q53">
    <cfRule type="cellIs" dxfId="38" priority="70" operator="equal">
      <formula>配置!$D$4</formula>
    </cfRule>
    <cfRule type="cellIs" dxfId="37" priority="71" operator="equal">
      <formula>配置!$D$2</formula>
    </cfRule>
  </conditionalFormatting>
  <conditionalFormatting sqref="Q52:Q54">
    <cfRule type="cellIs" dxfId="38" priority="65" operator="equal">
      <formula>配置!$D$4</formula>
    </cfRule>
    <cfRule type="cellIs" dxfId="39" priority="66" operator="equal">
      <formula>配置!$D$3</formula>
    </cfRule>
    <cfRule type="cellIs" dxfId="37" priority="67" operator="equal">
      <formula>配置!$D$2</formula>
    </cfRule>
  </conditionalFormatting>
  <conditionalFormatting sqref="Q55:Q56">
    <cfRule type="cellIs" dxfId="38" priority="63" operator="equal">
      <formula>配置!$D$4</formula>
    </cfRule>
    <cfRule type="cellIs" dxfId="37" priority="64" operator="equal">
      <formula>配置!$D$2</formula>
    </cfRule>
  </conditionalFormatting>
  <conditionalFormatting sqref="Q55:Q57">
    <cfRule type="cellIs" dxfId="38" priority="58" operator="equal">
      <formula>配置!$D$4</formula>
    </cfRule>
    <cfRule type="cellIs" dxfId="39" priority="59" operator="equal">
      <formula>配置!$D$3</formula>
    </cfRule>
    <cfRule type="cellIs" dxfId="37" priority="60" operator="equal">
      <formula>配置!$D$2</formula>
    </cfRule>
  </conditionalFormatting>
  <conditionalFormatting sqref="Q58:Q59">
    <cfRule type="cellIs" dxfId="38" priority="56" operator="equal">
      <formula>配置!$D$4</formula>
    </cfRule>
    <cfRule type="cellIs" dxfId="37" priority="57" operator="equal">
      <formula>配置!$D$2</formula>
    </cfRule>
  </conditionalFormatting>
  <conditionalFormatting sqref="Q58:Q60">
    <cfRule type="cellIs" dxfId="38" priority="51" operator="equal">
      <formula>配置!$D$4</formula>
    </cfRule>
    <cfRule type="cellIs" dxfId="39" priority="52" operator="equal">
      <formula>配置!$D$3</formula>
    </cfRule>
    <cfRule type="cellIs" dxfId="37" priority="53" operator="equal">
      <formula>配置!$D$2</formula>
    </cfRule>
  </conditionalFormatting>
  <conditionalFormatting sqref="Q61:Q62">
    <cfRule type="cellIs" dxfId="38" priority="49" operator="equal">
      <formula>配置!$D$4</formula>
    </cfRule>
    <cfRule type="cellIs" dxfId="37" priority="50" operator="equal">
      <formula>配置!$D$2</formula>
    </cfRule>
  </conditionalFormatting>
  <conditionalFormatting sqref="Q61:Q63">
    <cfRule type="cellIs" dxfId="38" priority="44" operator="equal">
      <formula>配置!$D$4</formula>
    </cfRule>
    <cfRule type="cellIs" dxfId="39" priority="45" operator="equal">
      <formula>配置!$D$3</formula>
    </cfRule>
    <cfRule type="cellIs" dxfId="37" priority="46" operator="equal">
      <formula>配置!$D$2</formula>
    </cfRule>
  </conditionalFormatting>
  <conditionalFormatting sqref="Q64:Q65">
    <cfRule type="cellIs" dxfId="38" priority="42" operator="equal">
      <formula>配置!$D$4</formula>
    </cfRule>
    <cfRule type="cellIs" dxfId="37" priority="43" operator="equal">
      <formula>配置!$D$2</formula>
    </cfRule>
  </conditionalFormatting>
  <conditionalFormatting sqref="Q64:Q66">
    <cfRule type="cellIs" dxfId="38" priority="37" operator="equal">
      <formula>配置!$D$4</formula>
    </cfRule>
    <cfRule type="cellIs" dxfId="39" priority="38" operator="equal">
      <formula>配置!$D$3</formula>
    </cfRule>
    <cfRule type="cellIs" dxfId="37" priority="39" operator="equal">
      <formula>配置!$D$2</formula>
    </cfRule>
  </conditionalFormatting>
  <conditionalFormatting sqref="Q67:Q68">
    <cfRule type="cellIs" dxfId="38" priority="35" operator="equal">
      <formula>配置!$D$4</formula>
    </cfRule>
    <cfRule type="cellIs" dxfId="37" priority="36" operator="equal">
      <formula>配置!$D$2</formula>
    </cfRule>
  </conditionalFormatting>
  <conditionalFormatting sqref="Q67:Q69">
    <cfRule type="cellIs" dxfId="38" priority="30" operator="equal">
      <formula>配置!$D$4</formula>
    </cfRule>
    <cfRule type="cellIs" dxfId="39" priority="31" operator="equal">
      <formula>配置!$D$3</formula>
    </cfRule>
    <cfRule type="cellIs" dxfId="37" priority="32" operator="equal">
      <formula>配置!$D$2</formula>
    </cfRule>
  </conditionalFormatting>
  <conditionalFormatting sqref="R80:R93">
    <cfRule type="cellIs" dxfId="37" priority="157" operator="equal">
      <formula>$S$80</formula>
    </cfRule>
  </conditionalFormatting>
  <conditionalFormatting sqref="O77:O78 Q1:R1 Q2 Q4:Q5 Q7:Q8 Q10:Q11 Q13 Q44 Q70:Q71 Q73:Q74 Q76">
    <cfRule type="cellIs" dxfId="37" priority="173" operator="equal">
      <formula>配置!$D$2</formula>
    </cfRule>
  </conditionalFormatting>
  <conditionalFormatting sqref="Q2 Q4:Q5 Q7:Q8 Q10:Q11 Q13 Q44 Q70:Q71 Q73:Q74 Q76">
    <cfRule type="cellIs" dxfId="38" priority="172" operator="equal">
      <formula>配置!$D$4</formula>
    </cfRule>
  </conditionalFormatting>
  <conditionalFormatting sqref="Q2:Q13 Q44:Q45 Q70:Q76">
    <cfRule type="cellIs" dxfId="38" priority="163" operator="equal">
      <formula>配置!$D$4</formula>
    </cfRule>
    <cfRule type="cellIs" dxfId="39" priority="164" operator="equal">
      <formula>配置!$D$3</formula>
    </cfRule>
    <cfRule type="cellIs" dxfId="37" priority="165" operator="equal">
      <formula>配置!$D$2</formula>
    </cfRule>
  </conditionalFormatting>
  <conditionalFormatting sqref="Q14 Q16">
    <cfRule type="cellIs" dxfId="38" priority="154" operator="equal">
      <formula>配置!$D$4</formula>
    </cfRule>
    <cfRule type="cellIs" dxfId="37" priority="155" operator="equal">
      <formula>配置!$D$2</formula>
    </cfRule>
  </conditionalFormatting>
  <conditionalFormatting sqref="Q17 Q19">
    <cfRule type="cellIs" dxfId="38" priority="147" operator="equal">
      <formula>配置!$D$4</formula>
    </cfRule>
    <cfRule type="cellIs" dxfId="37" priority="148" operator="equal">
      <formula>配置!$D$2</formula>
    </cfRule>
  </conditionalFormatting>
  <conditionalFormatting sqref="Q20 Q22">
    <cfRule type="cellIs" dxfId="38" priority="140" operator="equal">
      <formula>配置!$D$4</formula>
    </cfRule>
    <cfRule type="cellIs" dxfId="37" priority="141" operator="equal">
      <formula>配置!$D$2</formula>
    </cfRule>
  </conditionalFormatting>
  <conditionalFormatting sqref="Q23 Q25">
    <cfRule type="cellIs" dxfId="38" priority="133" operator="equal">
      <formula>配置!$D$4</formula>
    </cfRule>
    <cfRule type="cellIs" dxfId="37" priority="134" operator="equal">
      <formula>配置!$D$2</formula>
    </cfRule>
  </conditionalFormatting>
  <conditionalFormatting sqref="Q26 Q28">
    <cfRule type="cellIs" dxfId="38" priority="126" operator="equal">
      <formula>配置!$D$4</formula>
    </cfRule>
    <cfRule type="cellIs" dxfId="37" priority="127" operator="equal">
      <formula>配置!$D$2</formula>
    </cfRule>
  </conditionalFormatting>
  <conditionalFormatting sqref="Q29 Q31">
    <cfRule type="cellIs" dxfId="38" priority="119" operator="equal">
      <formula>配置!$D$4</formula>
    </cfRule>
    <cfRule type="cellIs" dxfId="37" priority="120" operator="equal">
      <formula>配置!$D$2</formula>
    </cfRule>
  </conditionalFormatting>
  <conditionalFormatting sqref="Q32 Q34">
    <cfRule type="cellIs" dxfId="38" priority="112" operator="equal">
      <formula>配置!$D$4</formula>
    </cfRule>
    <cfRule type="cellIs" dxfId="37" priority="113" operator="equal">
      <formula>配置!$D$2</formula>
    </cfRule>
  </conditionalFormatting>
  <conditionalFormatting sqref="Q35 Q37">
    <cfRule type="cellIs" dxfId="38" priority="105" operator="equal">
      <formula>配置!$D$4</formula>
    </cfRule>
    <cfRule type="cellIs" dxfId="37" priority="106" operator="equal">
      <formula>配置!$D$2</formula>
    </cfRule>
  </conditionalFormatting>
  <conditionalFormatting sqref="Q38 Q40">
    <cfRule type="cellIs" dxfId="38" priority="98" operator="equal">
      <formula>配置!$D$4</formula>
    </cfRule>
    <cfRule type="cellIs" dxfId="37" priority="99" operator="equal">
      <formula>配置!$D$2</formula>
    </cfRule>
  </conditionalFormatting>
  <conditionalFormatting sqref="Q41 Q43">
    <cfRule type="cellIs" dxfId="38" priority="91" operator="equal">
      <formula>配置!$D$4</formula>
    </cfRule>
    <cfRule type="cellIs" dxfId="37" priority="92" operator="equal">
      <formula>配置!$D$2</formula>
    </cfRule>
  </conditionalFormatting>
  <dataValidations count="1">
    <dataValidation type="list" allowBlank="1" showInputMessage="1" showErrorMessage="1" sqref="Q2:Q13 Q14:Q16 Q17:Q19 Q20:Q22 Q23:Q25 Q26:Q28 Q29:Q31 Q32:Q34 Q35:Q37 Q38:Q40 Q41:Q43 Q44:Q45 Q46:Q48 Q49:Q51 Q52:Q54 Q55:Q57 Q58:Q60 Q61:Q63 Q64:Q66 Q67:Q69 Q70:Q76">
      <formula1>配置!$D$2:$D$4</formula1>
    </dataValidation>
  </dataValidations>
  <pageMargins left="0.75" right="0.75" top="1" bottom="1" header="0.5" footer="0.5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2e9881f-66a1-4ebd-9b69-31daaf675f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F80:F82</xm:sqref>
        </x14:conditionalFormatting>
        <x14:conditionalFormatting xmlns:xm="http://schemas.microsoft.com/office/excel/2006/main">
          <x14:cfRule type="dataBar" id="{134b5d59-e3b0-4e23-adc6-a0e0ab9c8f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F83:F85</xm:sqref>
        </x14:conditionalFormatting>
        <x14:conditionalFormatting xmlns:xm="http://schemas.microsoft.com/office/excel/2006/main">
          <x14:cfRule type="dataBar" id="{c6b93708-9e79-45f2-a06e-015fdebadd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F86:F88</xm:sqref>
        </x14:conditionalFormatting>
        <x14:conditionalFormatting xmlns:xm="http://schemas.microsoft.com/office/excel/2006/main">
          <x14:cfRule type="dataBar" id="{a1cf7996-f5ba-4ff2-99a2-1487a6be6b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F89:F91</xm:sqref>
        </x14:conditionalFormatting>
        <x14:conditionalFormatting xmlns:xm="http://schemas.microsoft.com/office/excel/2006/main">
          <x14:cfRule type="dataBar" id="{0f863504-0412-422d-b8de-1e2fefcc25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F92:F94</xm:sqref>
        </x14:conditionalFormatting>
        <x14:conditionalFormatting xmlns:xm="http://schemas.microsoft.com/office/excel/2006/main">
          <x14:cfRule type="dataBar" id="{aafd9abc-6e4e-494d-9f3e-23b8edae0c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F95:F97</xm:sqref>
        </x14:conditionalFormatting>
        <x14:conditionalFormatting xmlns:xm="http://schemas.microsoft.com/office/excel/2006/main">
          <x14:cfRule type="dataBar" id="{9e70e69a-42d3-4f7b-bc95-eb2bf3bef9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F98:F100</xm:sqref>
        </x14:conditionalFormatting>
        <x14:conditionalFormatting xmlns:xm="http://schemas.microsoft.com/office/excel/2006/main">
          <x14:cfRule type="dataBar" id="{b42ad853-97a8-4e60-b0ea-7a55e23cc4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F101:F103</xm:sqref>
        </x14:conditionalFormatting>
        <x14:conditionalFormatting xmlns:xm="http://schemas.microsoft.com/office/excel/2006/main">
          <x14:cfRule type="dataBar" id="{187991c7-4c22-4571-8974-cee6ca52e5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F104:F106</xm:sqref>
        </x14:conditionalFormatting>
        <x14:conditionalFormatting xmlns:xm="http://schemas.microsoft.com/office/excel/2006/main">
          <x14:cfRule type="dataBar" id="{714fb927-9926-4fb1-baba-d4dbabfa23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G80:G82</xm:sqref>
        </x14:conditionalFormatting>
        <x14:conditionalFormatting xmlns:xm="http://schemas.microsoft.com/office/excel/2006/main">
          <x14:cfRule type="dataBar" id="{52fd5e27-16e7-43a2-93f7-199c157c16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G83:G85</xm:sqref>
        </x14:conditionalFormatting>
        <x14:conditionalFormatting xmlns:xm="http://schemas.microsoft.com/office/excel/2006/main">
          <x14:cfRule type="dataBar" id="{1692cb54-d946-4d1f-a881-72a130f4bae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G86:G88</xm:sqref>
        </x14:conditionalFormatting>
        <x14:conditionalFormatting xmlns:xm="http://schemas.microsoft.com/office/excel/2006/main">
          <x14:cfRule type="dataBar" id="{855028bf-ba0e-4f10-ba66-5eefa969c9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G89:G91</xm:sqref>
        </x14:conditionalFormatting>
        <x14:conditionalFormatting xmlns:xm="http://schemas.microsoft.com/office/excel/2006/main">
          <x14:cfRule type="dataBar" id="{344127b0-12c5-4899-b4a2-03b8a64d94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G92:G94</xm:sqref>
        </x14:conditionalFormatting>
        <x14:conditionalFormatting xmlns:xm="http://schemas.microsoft.com/office/excel/2006/main">
          <x14:cfRule type="dataBar" id="{705d700c-3bc2-43f5-9edf-426449b642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G95:G97</xm:sqref>
        </x14:conditionalFormatting>
        <x14:conditionalFormatting xmlns:xm="http://schemas.microsoft.com/office/excel/2006/main">
          <x14:cfRule type="dataBar" id="{a15d45c2-29e9-4e1e-afc2-a5a5e42ca3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G98:G100</xm:sqref>
        </x14:conditionalFormatting>
        <x14:conditionalFormatting xmlns:xm="http://schemas.microsoft.com/office/excel/2006/main">
          <x14:cfRule type="dataBar" id="{c2e84399-ecd9-492f-bfeb-0f904ba2fe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G101:G103</xm:sqref>
        </x14:conditionalFormatting>
        <x14:conditionalFormatting xmlns:xm="http://schemas.microsoft.com/office/excel/2006/main">
          <x14:cfRule type="dataBar" id="{383687b2-8e7c-4346-8a2d-be0e0452ae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G104:G106</xm:sqref>
        </x14:conditionalFormatting>
        <x14:conditionalFormatting xmlns:xm="http://schemas.microsoft.com/office/excel/2006/main">
          <x14:cfRule type="dataBar" id="{4cd78393-6f04-4b34-9533-a8ccc59206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N80:N85</xm:sqref>
        </x14:conditionalFormatting>
        <x14:conditionalFormatting xmlns:xm="http://schemas.microsoft.com/office/excel/2006/main">
          <x14:cfRule type="dataBar" id="{81789e01-dff7-4397-bbb9-8d517816aa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N86:N88</xm:sqref>
        </x14:conditionalFormatting>
        <x14:conditionalFormatting xmlns:xm="http://schemas.microsoft.com/office/excel/2006/main">
          <x14:cfRule type="dataBar" id="{6f58674b-71dd-40cb-8b21-3805b0ab2d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N89:N91</xm:sqref>
        </x14:conditionalFormatting>
        <x14:conditionalFormatting xmlns:xm="http://schemas.microsoft.com/office/excel/2006/main">
          <x14:cfRule type="dataBar" id="{ffc045ec-5450-41f8-b61f-e27854104d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N92:N94</xm:sqref>
        </x14:conditionalFormatting>
        <x14:conditionalFormatting xmlns:xm="http://schemas.microsoft.com/office/excel/2006/main">
          <x14:cfRule type="dataBar" id="{a812367b-e780-46b5-976a-7745b2905b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N95:N97</xm:sqref>
        </x14:conditionalFormatting>
        <x14:conditionalFormatting xmlns:xm="http://schemas.microsoft.com/office/excel/2006/main">
          <x14:cfRule type="dataBar" id="{94be0ea9-afed-4f8c-bec3-bb566c5098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N98:N100</xm:sqref>
        </x14:conditionalFormatting>
        <x14:conditionalFormatting xmlns:xm="http://schemas.microsoft.com/office/excel/2006/main">
          <x14:cfRule type="dataBar" id="{526cb7b0-f06c-4794-8c30-6bbe52076b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N101:N103</xm:sqref>
        </x14:conditionalFormatting>
        <x14:conditionalFormatting xmlns:xm="http://schemas.microsoft.com/office/excel/2006/main">
          <x14:cfRule type="dataBar" id="{44d35f12-8c25-4826-ad48-4544ffa6c7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N104:N106</xm:sqref>
        </x14:conditionalFormatting>
      </x14:conditionalFormatting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"/>
  <sheetViews>
    <sheetView workbookViewId="0">
      <selection activeCell="E14" sqref="E14"/>
    </sheetView>
  </sheetViews>
  <sheetFormatPr defaultColWidth="9" defaultRowHeight="13.5" outlineLevelRow="7" outlineLevelCol="7"/>
  <cols>
    <col min="1" max="1" width="15.125" customWidth="1"/>
    <col min="2" max="2" width="14" customWidth="1"/>
  </cols>
  <sheetData>
    <row r="1" spans="1:8">
      <c r="A1" s="51" t="s">
        <v>312</v>
      </c>
      <c r="B1" s="51">
        <v>500</v>
      </c>
      <c r="G1" s="52" t="s">
        <v>313</v>
      </c>
      <c r="H1" s="52" t="s">
        <v>314</v>
      </c>
    </row>
    <row r="2" spans="1:8">
      <c r="A2" s="51" t="s">
        <v>315</v>
      </c>
      <c r="B2" s="51">
        <v>5</v>
      </c>
      <c r="D2" s="53" t="s">
        <v>25</v>
      </c>
      <c r="E2" s="52">
        <v>0</v>
      </c>
      <c r="G2" s="52" t="s">
        <v>316</v>
      </c>
      <c r="H2" s="54">
        <v>1</v>
      </c>
    </row>
    <row r="3" spans="4:8">
      <c r="D3" s="53" t="s">
        <v>26</v>
      </c>
      <c r="E3" s="52">
        <v>1</v>
      </c>
      <c r="G3" s="52" t="s">
        <v>317</v>
      </c>
      <c r="H3" s="54">
        <v>0.6</v>
      </c>
    </row>
    <row r="4" spans="4:8">
      <c r="D4" s="53" t="s">
        <v>27</v>
      </c>
      <c r="E4" s="52">
        <v>2</v>
      </c>
      <c r="G4" s="52" t="s">
        <v>318</v>
      </c>
      <c r="H4" s="54">
        <v>0.2</v>
      </c>
    </row>
    <row r="5" spans="1:8">
      <c r="A5" t="s">
        <v>319</v>
      </c>
      <c r="G5" s="52" t="s">
        <v>320</v>
      </c>
      <c r="H5" s="54">
        <v>0</v>
      </c>
    </row>
    <row r="6" spans="1:1">
      <c r="A6" s="55" t="s">
        <v>321</v>
      </c>
    </row>
    <row r="7" spans="1:1">
      <c r="A7" s="55" t="s">
        <v>322</v>
      </c>
    </row>
    <row r="8" spans="1:1">
      <c r="A8" s="55" t="s">
        <v>323</v>
      </c>
    </row>
  </sheetData>
  <conditionalFormatting sqref="A2">
    <cfRule type="cellIs" dxfId="37" priority="1" operator="equal">
      <formula>$S$29</formula>
    </cfRule>
  </conditionalFormatting>
  <conditionalFormatting sqref="A6:A8 A1">
    <cfRule type="cellIs" dxfId="37" priority="2" operator="equal">
      <formula>$S$29</formula>
    </cfRule>
  </conditionalFormatting>
  <pageMargins left="0.7" right="0.7" top="0.75" bottom="0.75" header="0.3" footer="0.3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42"/>
  <sheetViews>
    <sheetView topLeftCell="A64" workbookViewId="0">
      <selection activeCell="Y87" sqref="Y87"/>
    </sheetView>
  </sheetViews>
  <sheetFormatPr defaultColWidth="9" defaultRowHeight="13.5"/>
  <sheetData>
    <row r="1" s="1" customFormat="1" ht="27.75" spans="1:2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8" t="s">
        <v>7</v>
      </c>
      <c r="I1" s="8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7" t="s">
        <v>16</v>
      </c>
      <c r="R1" s="27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8" t="s">
        <v>82</v>
      </c>
      <c r="X1" s="8" t="s">
        <v>22</v>
      </c>
      <c r="Y1" s="22" t="s">
        <v>23</v>
      </c>
    </row>
    <row r="2" s="2" customFormat="1" ht="14.25" customHeight="1" spans="1:25">
      <c r="A2" s="9"/>
      <c r="B2" s="9" t="e">
        <f>VLOOKUP(表1_86121822242672[[#This Row],[区服]],$P$80:$Q$87,2,FALSE)</f>
        <v>#N/A</v>
      </c>
      <c r="C2" s="10"/>
      <c r="D2" s="11" t="str">
        <f>表1_86121822242672[[#This Row],[目标国家]]</f>
        <v>魏</v>
      </c>
      <c r="E2" s="12" t="e">
        <f>(VLOOKUP(表1_86121822242672[[#This Row],[目标区服]],$R$80:$S$91,2,FALSE)-表1_86121822242672[[#This Row],[开服天数]])*配置!$B$1</f>
        <v>#N/A</v>
      </c>
      <c r="F2" s="12" t="e">
        <f>表1_86121822242672[[#This Row],[补偿Coin]]*(表1_86121822242672[[#This Row],[活跃高战玩家数]]+表1_86121822242672[[#This Row],[活跃中坚玩家数]])</f>
        <v>#N/A</v>
      </c>
      <c r="G2" s="12" t="e">
        <f>(VLOOKUP(表1_86121822242672[[#This Row],[目标区服]],$R$80:$S$83,2,FALSE)-表1_86121822242672[[#This Row],[开服天数]])*配置!$B$2</f>
        <v>#N/A</v>
      </c>
      <c r="H2" s="13" t="s">
        <v>25</v>
      </c>
      <c r="I2" s="13">
        <f>IF(表1_86121822242672[[#This Row],[原国家]]="魏",0,IF(表1_86121822242672[[#This Row],[原国家]]="蜀",1,2))</f>
        <v>0</v>
      </c>
      <c r="J2" s="15"/>
      <c r="K2" s="15"/>
      <c r="L2" s="15"/>
      <c r="M2" s="15"/>
      <c r="N2" s="15"/>
      <c r="O2" s="15"/>
      <c r="P2" s="23"/>
      <c r="Q2" s="28" t="s">
        <v>25</v>
      </c>
      <c r="R2" s="13">
        <f>IF(表1_86121822242672[[#This Row],[目标国家]]="魏",0,IF(表1_86121822242672[[#This Row],[目标国家]]="蜀",1,2))</f>
        <v>0</v>
      </c>
      <c r="S2" s="15"/>
      <c r="T2" s="15"/>
      <c r="U2" s="15"/>
      <c r="V2" s="15"/>
      <c r="W2" s="12"/>
      <c r="X2" s="29" t="e">
        <f>"{"&amp;"'coin':"&amp;表1_86121822242672[[#This Row],[补偿Coin]]&amp;",'"&amp;配置!$A$2&amp;"':"&amp;表1_86121822242672[[#This Row],[补偿辎重]]&amp;"},"</f>
        <v>#N/A</v>
      </c>
      <c r="Y2" s="35" t="str">
        <f>"      '"&amp;表1_86121822242672[[#This Row],[区服]]&amp;"':{"</f>
        <v>      '':{</v>
      </c>
    </row>
    <row r="3" s="2" customFormat="1" ht="14.25" customHeight="1" spans="1:25">
      <c r="A3" s="14"/>
      <c r="B3" s="9" t="e">
        <f>VLOOKUP(表1_86121822242672[[#This Row],[区服]],$P$80:$Q$87,2,FALSE)</f>
        <v>#N/A</v>
      </c>
      <c r="C3" s="10"/>
      <c r="D3" s="13" t="str">
        <f>表1_86121822242672[[#This Row],[目标国家]]</f>
        <v>蜀</v>
      </c>
      <c r="E3" s="12" t="e">
        <f>(VLOOKUP(表1_86121822242672[[#This Row],[目标区服]],$R$80:$S$91,2,FALSE)-表1_86121822242672[[#This Row],[开服天数]])*配置!$B$1</f>
        <v>#N/A</v>
      </c>
      <c r="F3" s="15" t="e">
        <f>表1_86121822242672[[#This Row],[补偿Coin]]*(表1_86121822242672[[#This Row],[活跃高战玩家数]]+表1_86121822242672[[#This Row],[活跃中坚玩家数]])</f>
        <v>#N/A</v>
      </c>
      <c r="G3" s="15" t="e">
        <f>(VLOOKUP(表1_86121822242672[[#This Row],[目标区服]],$R$80:$S$83,2,FALSE)-表1_86121822242672[[#This Row],[开服天数]])*配置!$B$2</f>
        <v>#N/A</v>
      </c>
      <c r="H3" s="13" t="s">
        <v>26</v>
      </c>
      <c r="I3" s="13">
        <f>IF(表1_86121822242672[[#This Row],[原国家]]="魏",0,IF(表1_86121822242672[[#This Row],[原国家]]="蜀",1,2))</f>
        <v>1</v>
      </c>
      <c r="J3" s="15"/>
      <c r="K3" s="15"/>
      <c r="L3" s="15"/>
      <c r="M3" s="15"/>
      <c r="N3" s="15"/>
      <c r="O3" s="15"/>
      <c r="P3" s="23"/>
      <c r="Q3" s="28" t="s">
        <v>26</v>
      </c>
      <c r="R3" s="13">
        <f>IF(表1_86121822242672[[#This Row],[目标国家]]="魏",0,IF(表1_86121822242672[[#This Row],[目标国家]]="蜀",1,2))</f>
        <v>1</v>
      </c>
      <c r="S3" s="15"/>
      <c r="T3" s="15"/>
      <c r="U3" s="15"/>
      <c r="V3" s="15"/>
      <c r="W3" s="12"/>
      <c r="X3" s="29" t="e">
        <f>"{"&amp;"'coin':"&amp;表1_86121822242672[[#This Row],[补偿Coin]]&amp;",'"&amp;配置!$A$2&amp;"':"&amp;表1_86121822242672[[#This Row],[补偿辎重]]&amp;"},"</f>
        <v>#N/A</v>
      </c>
      <c r="Y3" s="35" t="e">
        <f>"            'to_zone':'"&amp;表1_86121822242672[[#This Row],[目标区服]]&amp;"',
            'reward':"&amp;表1_86121822242672[[#This Row],[辅助导出]]&amp;"
            'country':["&amp;R2&amp;","&amp;R3&amp;","&amp;R4&amp;"],"</f>
        <v>#N/A</v>
      </c>
    </row>
    <row r="4" s="2" customFormat="1" ht="14.25" customHeight="1" spans="1:25">
      <c r="A4" s="14"/>
      <c r="B4" s="9" t="e">
        <f>VLOOKUP(表1_86121822242672[[#This Row],[区服]],$P$80:$Q$87,2,FALSE)</f>
        <v>#N/A</v>
      </c>
      <c r="C4" s="10"/>
      <c r="D4" s="13" t="str">
        <f>表1_86121822242672[[#This Row],[目标国家]]</f>
        <v>吴</v>
      </c>
      <c r="E4" s="12" t="e">
        <f>(VLOOKUP(表1_86121822242672[[#This Row],[目标区服]],$R$80:$S$91,2,FALSE)-表1_86121822242672[[#This Row],[开服天数]])*配置!$B$1</f>
        <v>#N/A</v>
      </c>
      <c r="F4" s="15" t="e">
        <f>表1_86121822242672[[#This Row],[补偿Coin]]*(表1_86121822242672[[#This Row],[活跃高战玩家数]]+表1_86121822242672[[#This Row],[活跃中坚玩家数]])</f>
        <v>#N/A</v>
      </c>
      <c r="G4" s="15" t="e">
        <f>(VLOOKUP(表1_86121822242672[[#This Row],[目标区服]],$R$80:$S$83,2,FALSE)-表1_86121822242672[[#This Row],[开服天数]])*配置!$B$2</f>
        <v>#N/A</v>
      </c>
      <c r="H4" s="13" t="s">
        <v>27</v>
      </c>
      <c r="I4" s="13">
        <f>IF(表1_86121822242672[[#This Row],[原国家]]="魏",0,IF(表1_86121822242672[[#This Row],[原国家]]="蜀",1,2))</f>
        <v>2</v>
      </c>
      <c r="J4" s="15"/>
      <c r="K4" s="15"/>
      <c r="L4" s="15"/>
      <c r="M4" s="15"/>
      <c r="N4" s="15"/>
      <c r="O4" s="15"/>
      <c r="P4" s="23"/>
      <c r="Q4" s="28" t="s">
        <v>27</v>
      </c>
      <c r="R4" s="13">
        <f>IF(表1_86121822242672[[#This Row],[目标国家]]="魏",0,IF(表1_86121822242672[[#This Row],[目标国家]]="蜀",1,2))</f>
        <v>2</v>
      </c>
      <c r="S4" s="15"/>
      <c r="T4" s="15"/>
      <c r="U4" s="15"/>
      <c r="V4" s="15"/>
      <c r="W4" s="12"/>
      <c r="X4" s="29" t="e">
        <f>"{"&amp;"'coin':"&amp;表1_86121822242672[[#This Row],[补偿Coin]]&amp;",'"&amp;配置!$A$2&amp;"':"&amp;表1_86121822242672[[#This Row],[补偿辎重]]&amp;"},"</f>
        <v>#N/A</v>
      </c>
      <c r="Y4" s="35" t="str">
        <f>"      },"</f>
        <v>      },</v>
      </c>
    </row>
    <row r="5" s="2" customFormat="1" ht="14.25" customHeight="1" spans="1:25">
      <c r="A5" s="14"/>
      <c r="B5" s="9" t="e">
        <f>VLOOKUP(表1_86121822242672[[#This Row],[区服]],$P$80:$Q$87,2,FALSE)</f>
        <v>#N/A</v>
      </c>
      <c r="C5" s="10"/>
      <c r="D5" s="13" t="str">
        <f>表1_86121822242672[[#This Row],[目标国家]]</f>
        <v>魏</v>
      </c>
      <c r="E5" s="12" t="e">
        <f>(VLOOKUP(表1_86121822242672[[#This Row],[目标区服]],$R$80:$S$91,2,FALSE)-表1_86121822242672[[#This Row],[开服天数]])*配置!$B$1</f>
        <v>#N/A</v>
      </c>
      <c r="F5" s="15" t="e">
        <f>表1_86121822242672[[#This Row],[补偿Coin]]*(表1_86121822242672[[#This Row],[活跃高战玩家数]]+表1_86121822242672[[#This Row],[活跃中坚玩家数]])</f>
        <v>#N/A</v>
      </c>
      <c r="G5" s="15" t="e">
        <f>(VLOOKUP(表1_86121822242672[[#This Row],[目标区服]],$R$80:$S$83,2,FALSE)-表1_86121822242672[[#This Row],[开服天数]])*配置!$B$2</f>
        <v>#N/A</v>
      </c>
      <c r="H5" s="13" t="s">
        <v>25</v>
      </c>
      <c r="I5" s="13">
        <f>IF(表1_86121822242672[[#This Row],[原国家]]="魏",0,IF(表1_86121822242672[[#This Row],[原国家]]="蜀",1,2))</f>
        <v>0</v>
      </c>
      <c r="J5" s="15"/>
      <c r="K5" s="15"/>
      <c r="L5" s="15"/>
      <c r="M5" s="15"/>
      <c r="N5" s="15"/>
      <c r="O5" s="15"/>
      <c r="P5" s="23"/>
      <c r="Q5" s="28" t="s">
        <v>25</v>
      </c>
      <c r="R5" s="13">
        <f>IF(表1_86121822242672[[#This Row],[目标国家]]="魏",0,IF(表1_86121822242672[[#This Row],[目标国家]]="蜀",1,2))</f>
        <v>0</v>
      </c>
      <c r="S5" s="15"/>
      <c r="T5" s="15"/>
      <c r="U5" s="15"/>
      <c r="V5" s="15"/>
      <c r="W5" s="12"/>
      <c r="X5" s="29" t="e">
        <f>"{"&amp;"'coin':"&amp;表1_86121822242672[[#This Row],[补偿Coin]]&amp;",'"&amp;配置!$A$2&amp;"':"&amp;表1_86121822242672[[#This Row],[补偿辎重]]&amp;"},"</f>
        <v>#N/A</v>
      </c>
      <c r="Y5" s="35" t="str">
        <f>"      '"&amp;表1_86121822242672[[#This Row],[区服]]&amp;"':{"</f>
        <v>      '':{</v>
      </c>
    </row>
    <row r="6" s="2" customFormat="1" ht="14.25" customHeight="1" spans="1:25">
      <c r="A6" s="9"/>
      <c r="B6" s="9" t="e">
        <f>VLOOKUP(表1_86121822242672[[#This Row],[区服]],$P$80:$Q$87,2,FALSE)</f>
        <v>#N/A</v>
      </c>
      <c r="C6" s="10"/>
      <c r="D6" s="13" t="str">
        <f>表1_86121822242672[[#This Row],[目标国家]]</f>
        <v>蜀</v>
      </c>
      <c r="E6" s="12" t="e">
        <f>(VLOOKUP(表1_86121822242672[[#This Row],[目标区服]],$R$80:$S$91,2,FALSE)-表1_86121822242672[[#This Row],[开服天数]])*配置!$B$1</f>
        <v>#N/A</v>
      </c>
      <c r="F6" s="15" t="e">
        <f>表1_86121822242672[[#This Row],[补偿Coin]]*(表1_86121822242672[[#This Row],[活跃高战玩家数]]+表1_86121822242672[[#This Row],[活跃中坚玩家数]])</f>
        <v>#N/A</v>
      </c>
      <c r="G6" s="15" t="e">
        <f>(VLOOKUP(表1_86121822242672[[#This Row],[目标区服]],$R$80:$S$83,2,FALSE)-表1_86121822242672[[#This Row],[开服天数]])*配置!$B$2</f>
        <v>#N/A</v>
      </c>
      <c r="H6" s="13" t="s">
        <v>26</v>
      </c>
      <c r="I6" s="13">
        <f>IF(表1_86121822242672[[#This Row],[原国家]]="魏",0,IF(表1_86121822242672[[#This Row],[原国家]]="蜀",1,2))</f>
        <v>1</v>
      </c>
      <c r="J6" s="15"/>
      <c r="K6" s="15"/>
      <c r="L6" s="15"/>
      <c r="M6" s="15"/>
      <c r="N6" s="15"/>
      <c r="O6" s="15"/>
      <c r="P6" s="23"/>
      <c r="Q6" s="28" t="s">
        <v>26</v>
      </c>
      <c r="R6" s="13">
        <f>IF(表1_86121822242672[[#This Row],[目标国家]]="魏",0,IF(表1_86121822242672[[#This Row],[目标国家]]="蜀",1,2))</f>
        <v>1</v>
      </c>
      <c r="S6" s="15"/>
      <c r="T6" s="15"/>
      <c r="U6" s="15"/>
      <c r="V6" s="15"/>
      <c r="W6" s="12"/>
      <c r="X6" s="29" t="e">
        <f>"{"&amp;"'coin':"&amp;表1_86121822242672[[#This Row],[补偿Coin]]&amp;",'"&amp;配置!$A$2&amp;"':"&amp;表1_86121822242672[[#This Row],[补偿辎重]]&amp;"},"</f>
        <v>#N/A</v>
      </c>
      <c r="Y6" s="35" t="e">
        <f>"            'to_zone':'"&amp;表1_86121822242672[[#This Row],[目标区服]]&amp;"',
            'reward':"&amp;表1_86121822242672[[#This Row],[辅助导出]]&amp;"
            'country':["&amp;R5&amp;","&amp;R6&amp;","&amp;R7&amp;"],"</f>
        <v>#N/A</v>
      </c>
    </row>
    <row r="7" s="2" customFormat="1" ht="14.25" customHeight="1" spans="1:25">
      <c r="A7" s="9"/>
      <c r="B7" s="9" t="e">
        <f>VLOOKUP(表1_86121822242672[[#This Row],[区服]],$P$80:$Q$87,2,FALSE)</f>
        <v>#N/A</v>
      </c>
      <c r="C7" s="10"/>
      <c r="D7" s="13" t="str">
        <f>表1_86121822242672[[#This Row],[目标国家]]</f>
        <v>吴</v>
      </c>
      <c r="E7" s="12" t="e">
        <f>(VLOOKUP(表1_86121822242672[[#This Row],[目标区服]],$R$80:$S$91,2,FALSE)-表1_86121822242672[[#This Row],[开服天数]])*配置!$B$1</f>
        <v>#N/A</v>
      </c>
      <c r="F7" s="15" t="e">
        <f>表1_86121822242672[[#This Row],[补偿Coin]]*(表1_86121822242672[[#This Row],[活跃高战玩家数]]+表1_86121822242672[[#This Row],[活跃中坚玩家数]])</f>
        <v>#N/A</v>
      </c>
      <c r="G7" s="15" t="e">
        <f>(VLOOKUP(表1_86121822242672[[#This Row],[目标区服]],$R$80:$S$83,2,FALSE)-表1_86121822242672[[#This Row],[开服天数]])*配置!$B$2</f>
        <v>#N/A</v>
      </c>
      <c r="H7" s="13" t="s">
        <v>27</v>
      </c>
      <c r="I7" s="13">
        <f>IF(表1_86121822242672[[#This Row],[原国家]]="魏",0,IF(表1_86121822242672[[#This Row],[原国家]]="蜀",1,2))</f>
        <v>2</v>
      </c>
      <c r="J7" s="15"/>
      <c r="K7" s="15"/>
      <c r="L7" s="15"/>
      <c r="M7" s="15"/>
      <c r="N7" s="15"/>
      <c r="O7" s="15"/>
      <c r="P7" s="23"/>
      <c r="Q7" s="28" t="s">
        <v>27</v>
      </c>
      <c r="R7" s="13">
        <f>IF(表1_86121822242672[[#This Row],[目标国家]]="魏",0,IF(表1_86121822242672[[#This Row],[目标国家]]="蜀",1,2))</f>
        <v>2</v>
      </c>
      <c r="S7" s="15"/>
      <c r="T7" s="15"/>
      <c r="U7" s="15"/>
      <c r="V7" s="15"/>
      <c r="W7" s="12"/>
      <c r="X7" s="29" t="e">
        <f>"{"&amp;"'coin':"&amp;表1_86121822242672[[#This Row],[补偿Coin]]&amp;",'"&amp;配置!$A$2&amp;"':"&amp;表1_86121822242672[[#This Row],[补偿辎重]]&amp;"},"</f>
        <v>#N/A</v>
      </c>
      <c r="Y7" s="35" t="str">
        <f t="shared" ref="Y7" si="0">"      },"</f>
        <v>      },</v>
      </c>
    </row>
    <row r="8" s="2" customFormat="1" ht="14.25" customHeight="1" spans="1:25">
      <c r="A8" s="14"/>
      <c r="B8" s="9" t="e">
        <f>VLOOKUP(表1_86121822242672[[#This Row],[区服]],$P$80:$Q$87,2,FALSE)</f>
        <v>#N/A</v>
      </c>
      <c r="C8" s="10"/>
      <c r="D8" s="13" t="str">
        <f>表1_86121822242672[[#This Row],[目标国家]]</f>
        <v>魏</v>
      </c>
      <c r="E8" s="12" t="e">
        <f>(VLOOKUP(表1_86121822242672[[#This Row],[目标区服]],$R$80:$S$91,2,FALSE)-表1_86121822242672[[#This Row],[开服天数]])*配置!$B$1</f>
        <v>#N/A</v>
      </c>
      <c r="F8" s="15" t="e">
        <f>表1_86121822242672[[#This Row],[补偿Coin]]*(表1_86121822242672[[#This Row],[活跃高战玩家数]]+表1_86121822242672[[#This Row],[活跃中坚玩家数]])</f>
        <v>#N/A</v>
      </c>
      <c r="G8" s="16" t="e">
        <f>(VLOOKUP(表1_86121822242672[[#This Row],[目标区服]],$R$80:$S$83,2,FALSE)-表1_86121822242672[[#This Row],[开服天数]])*配置!$B$2</f>
        <v>#N/A</v>
      </c>
      <c r="H8" s="13" t="s">
        <v>25</v>
      </c>
      <c r="I8" s="24">
        <f>IF(表1_86121822242672[[#This Row],[原国家]]="魏",0,IF(表1_86121822242672[[#This Row],[原国家]]="蜀",1,2))</f>
        <v>0</v>
      </c>
      <c r="J8" s="15"/>
      <c r="K8" s="15"/>
      <c r="L8" s="15"/>
      <c r="M8" s="15"/>
      <c r="N8" s="15"/>
      <c r="O8" s="25"/>
      <c r="P8" s="23"/>
      <c r="Q8" s="28" t="s">
        <v>25</v>
      </c>
      <c r="R8" s="13">
        <f>IF(表1_86121822242672[[#This Row],[目标国家]]="魏",0,IF(表1_86121822242672[[#This Row],[目标国家]]="蜀",1,2))</f>
        <v>0</v>
      </c>
      <c r="S8" s="15"/>
      <c r="T8" s="15"/>
      <c r="U8" s="15"/>
      <c r="V8" s="15"/>
      <c r="W8" s="15"/>
      <c r="X8" s="30" t="e">
        <f>"{"&amp;"'coin':"&amp;表1_86121822242672[[#This Row],[补偿Coin]]&amp;",'"&amp;配置!$A$2&amp;"':"&amp;表1_86121822242672[[#This Row],[补偿辎重]]&amp;"},"</f>
        <v>#N/A</v>
      </c>
      <c r="Y8" s="30" t="str">
        <f>"      '"&amp;表1_86121822242672[[#This Row],[区服]]&amp;"':{"</f>
        <v>      '':{</v>
      </c>
    </row>
    <row r="9" s="2" customFormat="1" ht="14.25" customHeight="1" spans="1:25">
      <c r="A9" s="14"/>
      <c r="B9" s="9" t="e">
        <f>VLOOKUP(表1_86121822242672[[#This Row],[区服]],$P$80:$Q$87,2,FALSE)</f>
        <v>#N/A</v>
      </c>
      <c r="C9" s="10"/>
      <c r="D9" s="13" t="str">
        <f>表1_86121822242672[[#This Row],[目标国家]]</f>
        <v>蜀</v>
      </c>
      <c r="E9" s="12" t="e">
        <f>(VLOOKUP(表1_86121822242672[[#This Row],[目标区服]],$R$80:$S$91,2,FALSE)-表1_86121822242672[[#This Row],[开服天数]])*配置!$B$1</f>
        <v>#N/A</v>
      </c>
      <c r="F9" s="15" t="e">
        <f>表1_86121822242672[[#This Row],[补偿Coin]]*(表1_86121822242672[[#This Row],[活跃高战玩家数]]+表1_86121822242672[[#This Row],[活跃中坚玩家数]])</f>
        <v>#N/A</v>
      </c>
      <c r="G9" s="16" t="e">
        <f>(VLOOKUP(表1_86121822242672[[#This Row],[目标区服]],$R$80:$S$83,2,FALSE)-表1_86121822242672[[#This Row],[开服天数]])*配置!$B$2</f>
        <v>#N/A</v>
      </c>
      <c r="H9" s="13" t="s">
        <v>26</v>
      </c>
      <c r="I9" s="24">
        <f>IF(表1_86121822242672[[#This Row],[原国家]]="魏",0,IF(表1_86121822242672[[#This Row],[原国家]]="蜀",1,2))</f>
        <v>1</v>
      </c>
      <c r="J9" s="15"/>
      <c r="K9" s="15"/>
      <c r="L9" s="15"/>
      <c r="M9" s="15"/>
      <c r="N9" s="15"/>
      <c r="O9" s="25"/>
      <c r="P9" s="23"/>
      <c r="Q9" s="28" t="s">
        <v>26</v>
      </c>
      <c r="R9" s="13">
        <f>IF(表1_86121822242672[[#This Row],[目标国家]]="魏",0,IF(表1_86121822242672[[#This Row],[目标国家]]="蜀",1,2))</f>
        <v>1</v>
      </c>
      <c r="S9" s="15"/>
      <c r="T9" s="15"/>
      <c r="U9" s="15"/>
      <c r="V9" s="15"/>
      <c r="W9" s="15"/>
      <c r="X9" s="30" t="e">
        <f>"{"&amp;"'coin':"&amp;表1_86121822242672[[#This Row],[补偿Coin]]&amp;",'"&amp;配置!$A$2&amp;"':"&amp;表1_86121822242672[[#This Row],[补偿辎重]]&amp;"},"</f>
        <v>#N/A</v>
      </c>
      <c r="Y9" s="30" t="e">
        <f>"            'to_zone':'"&amp;表1_86121822242672[[#This Row],[目标区服]]&amp;"',
            'reward':"&amp;表1_86121822242672[[#This Row],[辅助导出]]&amp;"
            'country':["&amp;R8&amp;","&amp;R9&amp;","&amp;R10&amp;"],"</f>
        <v>#N/A</v>
      </c>
    </row>
    <row r="10" s="2" customFormat="1" ht="14.25" customHeight="1" spans="1:25">
      <c r="A10" s="14"/>
      <c r="B10" s="9" t="e">
        <f>VLOOKUP(表1_86121822242672[[#This Row],[区服]],$P$80:$Q$87,2,FALSE)</f>
        <v>#N/A</v>
      </c>
      <c r="C10" s="10"/>
      <c r="D10" s="13" t="str">
        <f>表1_86121822242672[[#This Row],[目标国家]]</f>
        <v>吴</v>
      </c>
      <c r="E10" s="12" t="e">
        <f>(VLOOKUP(表1_86121822242672[[#This Row],[目标区服]],$R$80:$S$91,2,FALSE)-表1_86121822242672[[#This Row],[开服天数]])*配置!$B$1</f>
        <v>#N/A</v>
      </c>
      <c r="F10" s="15" t="e">
        <f>表1_86121822242672[[#This Row],[补偿Coin]]*(表1_86121822242672[[#This Row],[活跃高战玩家数]]+表1_86121822242672[[#This Row],[活跃中坚玩家数]])</f>
        <v>#N/A</v>
      </c>
      <c r="G10" s="16" t="e">
        <f>(VLOOKUP(表1_86121822242672[[#This Row],[目标区服]],$R$80:$S$83,2,FALSE)-表1_86121822242672[[#This Row],[开服天数]])*配置!$B$2</f>
        <v>#N/A</v>
      </c>
      <c r="H10" s="13" t="s">
        <v>27</v>
      </c>
      <c r="I10" s="24">
        <f>IF(表1_86121822242672[[#This Row],[原国家]]="魏",0,IF(表1_86121822242672[[#This Row],[原国家]]="蜀",1,2))</f>
        <v>2</v>
      </c>
      <c r="J10" s="15"/>
      <c r="K10" s="15"/>
      <c r="L10" s="15"/>
      <c r="M10" s="15"/>
      <c r="N10" s="15"/>
      <c r="O10" s="25"/>
      <c r="P10" s="23"/>
      <c r="Q10" s="28" t="s">
        <v>27</v>
      </c>
      <c r="R10" s="13">
        <f>IF(表1_86121822242672[[#This Row],[目标国家]]="魏",0,IF(表1_86121822242672[[#This Row],[目标国家]]="蜀",1,2))</f>
        <v>2</v>
      </c>
      <c r="S10" s="15"/>
      <c r="T10" s="15"/>
      <c r="U10" s="15"/>
      <c r="V10" s="15"/>
      <c r="W10" s="15"/>
      <c r="X10" s="30" t="e">
        <f>"{"&amp;"'coin':"&amp;表1_86121822242672[[#This Row],[补偿Coin]]&amp;",'"&amp;配置!$A$2&amp;"':"&amp;表1_86121822242672[[#This Row],[补偿辎重]]&amp;"},"</f>
        <v>#N/A</v>
      </c>
      <c r="Y10" s="30" t="str">
        <f>"      },"</f>
        <v>      },</v>
      </c>
    </row>
    <row r="11" s="2" customFormat="1" ht="14.25" customHeight="1" spans="1:25">
      <c r="A11" s="14"/>
      <c r="B11" s="9" t="e">
        <f>VLOOKUP(表1_86121822242672[[#This Row],[区服]],$P$80:$Q$87,2,FALSE)</f>
        <v>#N/A</v>
      </c>
      <c r="C11" s="10"/>
      <c r="D11" s="13" t="str">
        <f>表1_86121822242672[[#This Row],[目标国家]]</f>
        <v>魏</v>
      </c>
      <c r="E11" s="12" t="e">
        <f>(VLOOKUP(表1_86121822242672[[#This Row],[目标区服]],$R$80:$S$91,2,FALSE)-表1_86121822242672[[#This Row],[开服天数]])*配置!$B$1</f>
        <v>#N/A</v>
      </c>
      <c r="F11" s="15" t="e">
        <f>表1_86121822242672[[#This Row],[补偿Coin]]*(表1_86121822242672[[#This Row],[活跃高战玩家数]]+表1_86121822242672[[#This Row],[活跃中坚玩家数]])</f>
        <v>#N/A</v>
      </c>
      <c r="G11" s="16" t="e">
        <f>(VLOOKUP(表1_86121822242672[[#This Row],[目标区服]],$R$80:$S$83,2,FALSE)-表1_86121822242672[[#This Row],[开服天数]])*配置!$B$2</f>
        <v>#N/A</v>
      </c>
      <c r="H11" s="13" t="s">
        <v>25</v>
      </c>
      <c r="I11" s="24">
        <f>IF(表1_86121822242672[[#This Row],[原国家]]="魏",0,IF(表1_86121822242672[[#This Row],[原国家]]="蜀",1,2))</f>
        <v>0</v>
      </c>
      <c r="J11" s="15"/>
      <c r="K11" s="15"/>
      <c r="L11" s="15"/>
      <c r="M11" s="15"/>
      <c r="N11" s="15"/>
      <c r="O11" s="25"/>
      <c r="P11" s="23"/>
      <c r="Q11" s="28" t="s">
        <v>25</v>
      </c>
      <c r="R11" s="13">
        <f>IF(表1_86121822242672[[#This Row],[目标国家]]="魏",0,IF(表1_86121822242672[[#This Row],[目标国家]]="蜀",1,2))</f>
        <v>0</v>
      </c>
      <c r="S11" s="15"/>
      <c r="T11" s="15"/>
      <c r="U11" s="15"/>
      <c r="V11" s="15"/>
      <c r="W11" s="15"/>
      <c r="X11" s="30" t="e">
        <f>"{"&amp;"'coin':"&amp;表1_86121822242672[[#This Row],[补偿Coin]]&amp;",'"&amp;配置!$A$2&amp;"':"&amp;表1_86121822242672[[#This Row],[补偿辎重]]&amp;"},"</f>
        <v>#N/A</v>
      </c>
      <c r="Y11" s="30" t="str">
        <f>"      '"&amp;表1_86121822242672[[#This Row],[区服]]&amp;"':{"</f>
        <v>      '':{</v>
      </c>
    </row>
    <row r="12" s="2" customFormat="1" ht="14.25" customHeight="1" spans="1:25">
      <c r="A12" s="14"/>
      <c r="B12" s="9" t="e">
        <f>VLOOKUP(表1_86121822242672[[#This Row],[区服]],$P$80:$Q$87,2,FALSE)</f>
        <v>#N/A</v>
      </c>
      <c r="C12" s="10"/>
      <c r="D12" s="13" t="str">
        <f>表1_86121822242672[[#This Row],[目标国家]]</f>
        <v>蜀</v>
      </c>
      <c r="E12" s="12" t="e">
        <f>(VLOOKUP(表1_86121822242672[[#This Row],[目标区服]],$R$80:$S$91,2,FALSE)-表1_86121822242672[[#This Row],[开服天数]])*配置!$B$1</f>
        <v>#N/A</v>
      </c>
      <c r="F12" s="15" t="e">
        <f>表1_86121822242672[[#This Row],[补偿Coin]]*(表1_86121822242672[[#This Row],[活跃高战玩家数]]+表1_86121822242672[[#This Row],[活跃中坚玩家数]])</f>
        <v>#N/A</v>
      </c>
      <c r="G12" s="16" t="e">
        <f>(VLOOKUP(表1_86121822242672[[#This Row],[目标区服]],$R$80:$S$83,2,FALSE)-表1_86121822242672[[#This Row],[开服天数]])*配置!$B$2</f>
        <v>#N/A</v>
      </c>
      <c r="H12" s="13" t="s">
        <v>26</v>
      </c>
      <c r="I12" s="24">
        <f>IF(表1_86121822242672[[#This Row],[原国家]]="魏",0,IF(表1_86121822242672[[#This Row],[原国家]]="蜀",1,2))</f>
        <v>1</v>
      </c>
      <c r="J12" s="15"/>
      <c r="K12" s="15"/>
      <c r="L12" s="15"/>
      <c r="M12" s="15"/>
      <c r="N12" s="15"/>
      <c r="O12" s="25"/>
      <c r="P12" s="23"/>
      <c r="Q12" s="28" t="s">
        <v>26</v>
      </c>
      <c r="R12" s="13">
        <f>IF(表1_86121822242672[[#This Row],[目标国家]]="魏",0,IF(表1_86121822242672[[#This Row],[目标国家]]="蜀",1,2))</f>
        <v>1</v>
      </c>
      <c r="S12" s="15"/>
      <c r="T12" s="15"/>
      <c r="U12" s="15"/>
      <c r="V12" s="15"/>
      <c r="W12" s="15"/>
      <c r="X12" s="30" t="e">
        <f>"{"&amp;"'coin':"&amp;表1_86121822242672[[#This Row],[补偿Coin]]&amp;",'"&amp;配置!$A$2&amp;"':"&amp;表1_86121822242672[[#This Row],[补偿辎重]]&amp;"},"</f>
        <v>#N/A</v>
      </c>
      <c r="Y12" s="30" t="e">
        <f>"            'to_zone':'"&amp;表1_86121822242672[[#This Row],[目标区服]]&amp;"',
            'reward':"&amp;表1_86121822242672[[#This Row],[辅助导出]]&amp;"
            'country':["&amp;R11&amp;","&amp;R12&amp;","&amp;R13&amp;"],"</f>
        <v>#N/A</v>
      </c>
    </row>
    <row r="13" s="2" customFormat="1" ht="14.25" customHeight="1" spans="1:25">
      <c r="A13" s="14"/>
      <c r="B13" s="9" t="e">
        <f>VLOOKUP(表1_86121822242672[[#This Row],[区服]],$P$80:$Q$87,2,FALSE)</f>
        <v>#N/A</v>
      </c>
      <c r="C13" s="10"/>
      <c r="D13" s="13" t="str">
        <f>表1_86121822242672[[#This Row],[目标国家]]</f>
        <v>吴</v>
      </c>
      <c r="E13" s="12" t="e">
        <f>(VLOOKUP(表1_86121822242672[[#This Row],[目标区服]],$R$80:$S$91,2,FALSE)-表1_86121822242672[[#This Row],[开服天数]])*配置!$B$1</f>
        <v>#N/A</v>
      </c>
      <c r="F13" s="15" t="e">
        <f>表1_86121822242672[[#This Row],[补偿Coin]]*(表1_86121822242672[[#This Row],[活跃高战玩家数]]+表1_86121822242672[[#This Row],[活跃中坚玩家数]])</f>
        <v>#N/A</v>
      </c>
      <c r="G13" s="16" t="e">
        <f>(VLOOKUP(表1_86121822242672[[#This Row],[目标区服]],$R$80:$S$83,2,FALSE)-表1_86121822242672[[#This Row],[开服天数]])*配置!$B$2</f>
        <v>#N/A</v>
      </c>
      <c r="H13" s="13" t="s">
        <v>27</v>
      </c>
      <c r="I13" s="24">
        <f>IF(表1_86121822242672[[#This Row],[原国家]]="魏",0,IF(表1_86121822242672[[#This Row],[原国家]]="蜀",1,2))</f>
        <v>2</v>
      </c>
      <c r="J13" s="15"/>
      <c r="K13" s="15"/>
      <c r="L13" s="15"/>
      <c r="M13" s="15"/>
      <c r="N13" s="15"/>
      <c r="O13" s="25"/>
      <c r="P13" s="23"/>
      <c r="Q13" s="28" t="s">
        <v>27</v>
      </c>
      <c r="R13" s="13">
        <f>IF(表1_86121822242672[[#This Row],[目标国家]]="魏",0,IF(表1_86121822242672[[#This Row],[目标国家]]="蜀",1,2))</f>
        <v>2</v>
      </c>
      <c r="S13" s="15"/>
      <c r="T13" s="15"/>
      <c r="U13" s="15"/>
      <c r="V13" s="15"/>
      <c r="W13" s="15"/>
      <c r="X13" s="30" t="e">
        <f>"{"&amp;"'coin':"&amp;表1_86121822242672[[#This Row],[补偿Coin]]&amp;",'"&amp;配置!$A$2&amp;"':"&amp;表1_86121822242672[[#This Row],[补偿辎重]]&amp;"},"</f>
        <v>#N/A</v>
      </c>
      <c r="Y13" s="30" t="str">
        <f t="shared" ref="Y13" si="1">"      },"</f>
        <v>      },</v>
      </c>
    </row>
    <row r="14" s="2" customFormat="1" ht="14.25" customHeight="1" spans="1:25">
      <c r="A14" s="17"/>
      <c r="B14" s="17" t="e">
        <f>VLOOKUP(表1_86121822242672[[#This Row],[区服]],$P$80:$Q$87,2,FALSE)</f>
        <v>#N/A</v>
      </c>
      <c r="C14" s="18"/>
      <c r="D14" s="19" t="str">
        <f>表1_86121822242672[[#This Row],[目标国家]]</f>
        <v>魏</v>
      </c>
      <c r="E14" s="12" t="e">
        <f>(VLOOKUP(表1_86121822242672[[#This Row],[目标区服]],$R$80:$S$91,2,FALSE)-表1_86121822242672[[#This Row],[开服天数]])*配置!$B$1</f>
        <v>#N/A</v>
      </c>
      <c r="F14" s="20" t="e">
        <f>表1_86121822242672[[#This Row],[补偿Coin]]*(表1_86121822242672[[#This Row],[活跃高战玩家数]]+表1_86121822242672[[#This Row],[活跃中坚玩家数]])</f>
        <v>#N/A</v>
      </c>
      <c r="G14" s="20" t="e">
        <f>(VLOOKUP(表1_86121822242672[[#This Row],[目标区服]],$R$80:$S$83,2,FALSE)-表1_86121822242672[[#This Row],[开服天数]])*配置!$B$2</f>
        <v>#N/A</v>
      </c>
      <c r="H14" s="19" t="s">
        <v>25</v>
      </c>
      <c r="I14" s="19">
        <f>IF(表1_86121822242672[[#This Row],[原国家]]="魏",0,IF(表1_86121822242672[[#This Row],[原国家]]="蜀",1,2))</f>
        <v>0</v>
      </c>
      <c r="J14" s="20"/>
      <c r="K14" s="20"/>
      <c r="L14" s="20"/>
      <c r="M14" s="20"/>
      <c r="N14" s="20"/>
      <c r="O14" s="20"/>
      <c r="P14" s="26"/>
      <c r="Q14" s="31" t="s">
        <v>25</v>
      </c>
      <c r="R14" s="19">
        <f>IF(表1_86121822242672[[#This Row],[目标国家]]="魏",0,IF(表1_86121822242672[[#This Row],[目标国家]]="蜀",1,2))</f>
        <v>0</v>
      </c>
      <c r="S14" s="20"/>
      <c r="T14" s="20"/>
      <c r="U14" s="20"/>
      <c r="V14" s="20"/>
      <c r="W14" s="32"/>
      <c r="X14" s="33" t="e">
        <f>"{"&amp;"'coin':"&amp;表1_86121822242672[[#This Row],[补偿Coin]]&amp;",'"&amp;配置!$A$2&amp;"':"&amp;表1_86121822242672[[#This Row],[补偿辎重]]&amp;"},"</f>
        <v>#N/A</v>
      </c>
      <c r="Y14" s="34" t="str">
        <f>"      '"&amp;表1_86121822242672[[#This Row],[区服]]&amp;"':{"</f>
        <v>      '':{</v>
      </c>
    </row>
    <row r="15" s="2" customFormat="1" ht="14.25" customHeight="1" spans="1:25">
      <c r="A15" s="17"/>
      <c r="B15" s="17" t="e">
        <f>VLOOKUP(表1_86121822242672[[#This Row],[区服]],$P$80:$Q$87,2,FALSE)</f>
        <v>#N/A</v>
      </c>
      <c r="C15" s="18"/>
      <c r="D15" s="19" t="str">
        <f>表1_86121822242672[[#This Row],[目标国家]]</f>
        <v>蜀</v>
      </c>
      <c r="E15" s="12" t="e">
        <f>(VLOOKUP(表1_86121822242672[[#This Row],[目标区服]],$R$80:$S$91,2,FALSE)-表1_86121822242672[[#This Row],[开服天数]])*配置!$B$1</f>
        <v>#N/A</v>
      </c>
      <c r="F15" s="20" t="e">
        <f>表1_86121822242672[[#This Row],[补偿Coin]]*(表1_86121822242672[[#This Row],[活跃高战玩家数]]+表1_86121822242672[[#This Row],[活跃中坚玩家数]])</f>
        <v>#N/A</v>
      </c>
      <c r="G15" s="20" t="e">
        <f>(VLOOKUP(表1_86121822242672[[#This Row],[目标区服]],$R$80:$S$83,2,FALSE)-表1_86121822242672[[#This Row],[开服天数]])*配置!$B$2</f>
        <v>#N/A</v>
      </c>
      <c r="H15" s="19" t="s">
        <v>26</v>
      </c>
      <c r="I15" s="19">
        <f>IF(表1_86121822242672[[#This Row],[原国家]]="魏",0,IF(表1_86121822242672[[#This Row],[原国家]]="蜀",1,2))</f>
        <v>1</v>
      </c>
      <c r="J15" s="20"/>
      <c r="K15" s="20"/>
      <c r="L15" s="20"/>
      <c r="M15" s="20"/>
      <c r="N15" s="20"/>
      <c r="O15" s="20"/>
      <c r="P15" s="26"/>
      <c r="Q15" s="31" t="s">
        <v>26</v>
      </c>
      <c r="R15" s="19">
        <f>IF(表1_86121822242672[[#This Row],[目标国家]]="魏",0,IF(表1_86121822242672[[#This Row],[目标国家]]="蜀",1,2))</f>
        <v>1</v>
      </c>
      <c r="S15" s="20"/>
      <c r="T15" s="20"/>
      <c r="U15" s="20"/>
      <c r="V15" s="20"/>
      <c r="W15" s="32"/>
      <c r="X15" s="33" t="e">
        <f>"{"&amp;"'coin':"&amp;表1_86121822242672[[#This Row],[补偿Coin]]&amp;",'"&amp;配置!$A$2&amp;"':"&amp;表1_86121822242672[[#This Row],[补偿辎重]]&amp;"},"</f>
        <v>#N/A</v>
      </c>
      <c r="Y15" s="34" t="e">
        <f>"            'to_zone':'"&amp;表1_86121822242672[[#This Row],[目标区服]]&amp;"',
            'reward':"&amp;表1_86121822242672[[#This Row],[辅助导出]]&amp;"
            'country':["&amp;R14&amp;","&amp;R15&amp;","&amp;R16&amp;"],"</f>
        <v>#N/A</v>
      </c>
    </row>
    <row r="16" s="2" customFormat="1" ht="14.25" customHeight="1" spans="1:25">
      <c r="A16" s="17"/>
      <c r="B16" s="17" t="e">
        <f>VLOOKUP(表1_86121822242672[[#This Row],[区服]],$P$80:$Q$87,2,FALSE)</f>
        <v>#N/A</v>
      </c>
      <c r="C16" s="18"/>
      <c r="D16" s="19" t="str">
        <f>表1_86121822242672[[#This Row],[目标国家]]</f>
        <v>吴</v>
      </c>
      <c r="E16" s="12" t="e">
        <f>(VLOOKUP(表1_86121822242672[[#This Row],[目标区服]],$R$80:$S$91,2,FALSE)-表1_86121822242672[[#This Row],[开服天数]])*配置!$B$1</f>
        <v>#N/A</v>
      </c>
      <c r="F16" s="20" t="e">
        <f>表1_86121822242672[[#This Row],[补偿Coin]]*(表1_86121822242672[[#This Row],[活跃高战玩家数]]+表1_86121822242672[[#This Row],[活跃中坚玩家数]])</f>
        <v>#N/A</v>
      </c>
      <c r="G16" s="20" t="e">
        <f>(VLOOKUP(表1_86121822242672[[#This Row],[目标区服]],$R$80:$S$83,2,FALSE)-表1_86121822242672[[#This Row],[开服天数]])*配置!$B$2</f>
        <v>#N/A</v>
      </c>
      <c r="H16" s="19" t="s">
        <v>27</v>
      </c>
      <c r="I16" s="19">
        <f>IF(表1_86121822242672[[#This Row],[原国家]]="魏",0,IF(表1_86121822242672[[#This Row],[原国家]]="蜀",1,2))</f>
        <v>2</v>
      </c>
      <c r="J16" s="20"/>
      <c r="K16" s="20"/>
      <c r="L16" s="20"/>
      <c r="M16" s="20"/>
      <c r="N16" s="20"/>
      <c r="O16" s="20"/>
      <c r="P16" s="26"/>
      <c r="Q16" s="31" t="s">
        <v>27</v>
      </c>
      <c r="R16" s="19">
        <f>IF(表1_86121822242672[[#This Row],[目标国家]]="魏",0,IF(表1_86121822242672[[#This Row],[目标国家]]="蜀",1,2))</f>
        <v>2</v>
      </c>
      <c r="S16" s="20"/>
      <c r="T16" s="20"/>
      <c r="U16" s="20"/>
      <c r="V16" s="20"/>
      <c r="W16" s="32"/>
      <c r="X16" s="33" t="e">
        <f>"{"&amp;"'coin':"&amp;表1_86121822242672[[#This Row],[补偿Coin]]&amp;",'"&amp;配置!$A$2&amp;"':"&amp;表1_86121822242672[[#This Row],[补偿辎重]]&amp;"},"</f>
        <v>#N/A</v>
      </c>
      <c r="Y16" s="34" t="str">
        <f>"      },"</f>
        <v>      },</v>
      </c>
    </row>
    <row r="17" s="2" customFormat="1" ht="14.25" customHeight="1" spans="1:25">
      <c r="A17" s="17"/>
      <c r="B17" s="17" t="e">
        <f>VLOOKUP(表1_86121822242672[[#This Row],[区服]],$P$80:$Q$87,2,FALSE)</f>
        <v>#N/A</v>
      </c>
      <c r="C17" s="18"/>
      <c r="D17" s="19" t="str">
        <f>表1_86121822242672[[#This Row],[目标国家]]</f>
        <v>魏</v>
      </c>
      <c r="E17" s="12" t="e">
        <f>(VLOOKUP(表1_86121822242672[[#This Row],[目标区服]],$R$80:$S$91,2,FALSE)-表1_86121822242672[[#This Row],[开服天数]])*配置!$B$1</f>
        <v>#N/A</v>
      </c>
      <c r="F17" s="20" t="e">
        <f>表1_86121822242672[[#This Row],[补偿Coin]]*(表1_86121822242672[[#This Row],[活跃高战玩家数]]+表1_86121822242672[[#This Row],[活跃中坚玩家数]])</f>
        <v>#N/A</v>
      </c>
      <c r="G17" s="20" t="e">
        <f>(VLOOKUP(表1_86121822242672[[#This Row],[目标区服]],$R$80:$S$83,2,FALSE)-表1_86121822242672[[#This Row],[开服天数]])*配置!$B$2</f>
        <v>#N/A</v>
      </c>
      <c r="H17" s="19" t="s">
        <v>25</v>
      </c>
      <c r="I17" s="19">
        <f>IF(表1_86121822242672[[#This Row],[原国家]]="魏",0,IF(表1_86121822242672[[#This Row],[原国家]]="蜀",1,2))</f>
        <v>0</v>
      </c>
      <c r="J17" s="20"/>
      <c r="K17" s="20"/>
      <c r="L17" s="20"/>
      <c r="M17" s="20"/>
      <c r="N17" s="20"/>
      <c r="O17" s="20"/>
      <c r="P17" s="26"/>
      <c r="Q17" s="31" t="s">
        <v>25</v>
      </c>
      <c r="R17" s="19">
        <f>IF(表1_86121822242672[[#This Row],[目标国家]]="魏",0,IF(表1_86121822242672[[#This Row],[目标国家]]="蜀",1,2))</f>
        <v>0</v>
      </c>
      <c r="S17" s="20"/>
      <c r="T17" s="20"/>
      <c r="U17" s="20"/>
      <c r="V17" s="20"/>
      <c r="W17" s="32"/>
      <c r="X17" s="33" t="e">
        <f>"{"&amp;"'coin':"&amp;表1_86121822242672[[#This Row],[补偿Coin]]&amp;",'"&amp;配置!$A$2&amp;"':"&amp;表1_86121822242672[[#This Row],[补偿辎重]]&amp;"},"</f>
        <v>#N/A</v>
      </c>
      <c r="Y17" s="34" t="str">
        <f>"      '"&amp;表1_86121822242672[[#This Row],[区服]]&amp;"':{"</f>
        <v>      '':{</v>
      </c>
    </row>
    <row r="18" s="2" customFormat="1" ht="14.25" customHeight="1" spans="1:25">
      <c r="A18" s="17"/>
      <c r="B18" s="17" t="e">
        <f>VLOOKUP(表1_86121822242672[[#This Row],[区服]],$P$80:$Q$87,2,FALSE)</f>
        <v>#N/A</v>
      </c>
      <c r="C18" s="18"/>
      <c r="D18" s="19" t="str">
        <f>表1_86121822242672[[#This Row],[目标国家]]</f>
        <v>蜀</v>
      </c>
      <c r="E18" s="12" t="e">
        <f>(VLOOKUP(表1_86121822242672[[#This Row],[目标区服]],$R$80:$S$91,2,FALSE)-表1_86121822242672[[#This Row],[开服天数]])*配置!$B$1</f>
        <v>#N/A</v>
      </c>
      <c r="F18" s="20" t="e">
        <f>表1_86121822242672[[#This Row],[补偿Coin]]*(表1_86121822242672[[#This Row],[活跃高战玩家数]]+表1_86121822242672[[#This Row],[活跃中坚玩家数]])</f>
        <v>#N/A</v>
      </c>
      <c r="G18" s="20" t="e">
        <f>(VLOOKUP(表1_86121822242672[[#This Row],[目标区服]],$R$80:$S$83,2,FALSE)-表1_86121822242672[[#This Row],[开服天数]])*配置!$B$2</f>
        <v>#N/A</v>
      </c>
      <c r="H18" s="19" t="s">
        <v>26</v>
      </c>
      <c r="I18" s="19">
        <f>IF(表1_86121822242672[[#This Row],[原国家]]="魏",0,IF(表1_86121822242672[[#This Row],[原国家]]="蜀",1,2))</f>
        <v>1</v>
      </c>
      <c r="J18" s="20"/>
      <c r="K18" s="20"/>
      <c r="L18" s="20"/>
      <c r="M18" s="20"/>
      <c r="N18" s="20"/>
      <c r="O18" s="20"/>
      <c r="P18" s="26"/>
      <c r="Q18" s="31" t="s">
        <v>26</v>
      </c>
      <c r="R18" s="19">
        <f>IF(表1_86121822242672[[#This Row],[目标国家]]="魏",0,IF(表1_86121822242672[[#This Row],[目标国家]]="蜀",1,2))</f>
        <v>1</v>
      </c>
      <c r="S18" s="20"/>
      <c r="T18" s="20"/>
      <c r="U18" s="20"/>
      <c r="V18" s="20"/>
      <c r="W18" s="32"/>
      <c r="X18" s="33" t="e">
        <f>"{"&amp;"'coin':"&amp;表1_86121822242672[[#This Row],[补偿Coin]]&amp;",'"&amp;配置!$A$2&amp;"':"&amp;表1_86121822242672[[#This Row],[补偿辎重]]&amp;"},"</f>
        <v>#N/A</v>
      </c>
      <c r="Y18" s="34" t="e">
        <f>"            'to_zone':'"&amp;表1_86121822242672[[#This Row],[目标区服]]&amp;"',
            'reward':"&amp;表1_86121822242672[[#This Row],[辅助导出]]&amp;"
            'country':["&amp;R17&amp;","&amp;R18&amp;","&amp;R19&amp;"],"</f>
        <v>#N/A</v>
      </c>
    </row>
    <row r="19" s="2" customFormat="1" ht="14.25" customHeight="1" spans="1:25">
      <c r="A19" s="17"/>
      <c r="B19" s="17" t="e">
        <f>VLOOKUP(表1_86121822242672[[#This Row],[区服]],$P$80:$Q$87,2,FALSE)</f>
        <v>#N/A</v>
      </c>
      <c r="C19" s="18"/>
      <c r="D19" s="19" t="str">
        <f>表1_86121822242672[[#This Row],[目标国家]]</f>
        <v>吴</v>
      </c>
      <c r="E19" s="12" t="e">
        <f>(VLOOKUP(表1_86121822242672[[#This Row],[目标区服]],$R$80:$S$91,2,FALSE)-表1_86121822242672[[#This Row],[开服天数]])*配置!$B$1</f>
        <v>#N/A</v>
      </c>
      <c r="F19" s="20" t="e">
        <f>表1_86121822242672[[#This Row],[补偿Coin]]*(表1_86121822242672[[#This Row],[活跃高战玩家数]]+表1_86121822242672[[#This Row],[活跃中坚玩家数]])</f>
        <v>#N/A</v>
      </c>
      <c r="G19" s="20" t="e">
        <f>(VLOOKUP(表1_86121822242672[[#This Row],[目标区服]],$R$80:$S$83,2,FALSE)-表1_86121822242672[[#This Row],[开服天数]])*配置!$B$2</f>
        <v>#N/A</v>
      </c>
      <c r="H19" s="19" t="s">
        <v>27</v>
      </c>
      <c r="I19" s="19">
        <f>IF(表1_86121822242672[[#This Row],[原国家]]="魏",0,IF(表1_86121822242672[[#This Row],[原国家]]="蜀",1,2))</f>
        <v>2</v>
      </c>
      <c r="J19" s="20"/>
      <c r="K19" s="20"/>
      <c r="L19" s="20"/>
      <c r="M19" s="20"/>
      <c r="N19" s="20"/>
      <c r="O19" s="20"/>
      <c r="P19" s="26"/>
      <c r="Q19" s="31" t="s">
        <v>27</v>
      </c>
      <c r="R19" s="19">
        <f>IF(表1_86121822242672[[#This Row],[目标国家]]="魏",0,IF(表1_86121822242672[[#This Row],[目标国家]]="蜀",1,2))</f>
        <v>2</v>
      </c>
      <c r="S19" s="20"/>
      <c r="T19" s="20"/>
      <c r="U19" s="20"/>
      <c r="V19" s="20"/>
      <c r="W19" s="32"/>
      <c r="X19" s="33" t="e">
        <f>"{"&amp;"'coin':"&amp;表1_86121822242672[[#This Row],[补偿Coin]]&amp;",'"&amp;配置!$A$2&amp;"':"&amp;表1_86121822242672[[#This Row],[补偿辎重]]&amp;"},"</f>
        <v>#N/A</v>
      </c>
      <c r="Y19" s="34" t="str">
        <f>"      },"</f>
        <v>      },</v>
      </c>
    </row>
    <row r="20" s="2" customFormat="1" ht="14.25" customHeight="1" spans="1:25">
      <c r="A20" s="17"/>
      <c r="B20" s="17" t="e">
        <f>VLOOKUP(表1_86121822242672[[#This Row],[区服]],$P$80:$Q$87,2,FALSE)</f>
        <v>#N/A</v>
      </c>
      <c r="C20" s="18"/>
      <c r="D20" s="19" t="str">
        <f>表1_86121822242672[[#This Row],[目标国家]]</f>
        <v>魏</v>
      </c>
      <c r="E20" s="12" t="e">
        <f>(VLOOKUP(表1_86121822242672[[#This Row],[目标区服]],$R$80:$S$91,2,FALSE)-表1_86121822242672[[#This Row],[开服天数]])*配置!$B$1</f>
        <v>#N/A</v>
      </c>
      <c r="F20" s="20" t="e">
        <f>表1_86121822242672[[#This Row],[补偿Coin]]*(表1_86121822242672[[#This Row],[活跃高战玩家数]]+表1_86121822242672[[#This Row],[活跃中坚玩家数]])</f>
        <v>#N/A</v>
      </c>
      <c r="G20" s="20" t="e">
        <f>(VLOOKUP(表1_86121822242672[[#This Row],[目标区服]],$R$80:$S$83,2,FALSE)-表1_86121822242672[[#This Row],[开服天数]])*配置!$B$2</f>
        <v>#N/A</v>
      </c>
      <c r="H20" s="19" t="s">
        <v>25</v>
      </c>
      <c r="I20" s="19">
        <f>IF(表1_86121822242672[[#This Row],[原国家]]="魏",0,IF(表1_86121822242672[[#This Row],[原国家]]="蜀",1,2))</f>
        <v>0</v>
      </c>
      <c r="J20" s="20"/>
      <c r="K20" s="20"/>
      <c r="L20" s="20"/>
      <c r="M20" s="20"/>
      <c r="N20" s="20"/>
      <c r="O20" s="20"/>
      <c r="P20" s="26"/>
      <c r="Q20" s="31" t="s">
        <v>25</v>
      </c>
      <c r="R20" s="19">
        <f>IF(表1_86121822242672[[#This Row],[目标国家]]="魏",0,IF(表1_86121822242672[[#This Row],[目标国家]]="蜀",1,2))</f>
        <v>0</v>
      </c>
      <c r="S20" s="20"/>
      <c r="T20" s="20"/>
      <c r="U20" s="20"/>
      <c r="V20" s="20"/>
      <c r="W20" s="32"/>
      <c r="X20" s="33" t="e">
        <f>"{"&amp;"'coin':"&amp;表1_86121822242672[[#This Row],[补偿Coin]]&amp;",'"&amp;配置!$A$2&amp;"':"&amp;表1_86121822242672[[#This Row],[补偿辎重]]&amp;"},"</f>
        <v>#N/A</v>
      </c>
      <c r="Y20" s="34" t="str">
        <f>"      '"&amp;表1_86121822242672[[#This Row],[区服]]&amp;"':{"</f>
        <v>      '':{</v>
      </c>
    </row>
    <row r="21" s="2" customFormat="1" ht="14.25" customHeight="1" spans="1:25">
      <c r="A21" s="17"/>
      <c r="B21" s="17" t="e">
        <f>VLOOKUP(表1_86121822242672[[#This Row],[区服]],$P$80:$Q$87,2,FALSE)</f>
        <v>#N/A</v>
      </c>
      <c r="C21" s="18"/>
      <c r="D21" s="19" t="str">
        <f>表1_86121822242672[[#This Row],[目标国家]]</f>
        <v>蜀</v>
      </c>
      <c r="E21" s="12" t="e">
        <f>(VLOOKUP(表1_86121822242672[[#This Row],[目标区服]],$R$80:$S$91,2,FALSE)-表1_86121822242672[[#This Row],[开服天数]])*配置!$B$1</f>
        <v>#N/A</v>
      </c>
      <c r="F21" s="20" t="e">
        <f>表1_86121822242672[[#This Row],[补偿Coin]]*(表1_86121822242672[[#This Row],[活跃高战玩家数]]+表1_86121822242672[[#This Row],[活跃中坚玩家数]])</f>
        <v>#N/A</v>
      </c>
      <c r="G21" s="20" t="e">
        <f>(VLOOKUP(表1_86121822242672[[#This Row],[目标区服]],$R$80:$S$83,2,FALSE)-表1_86121822242672[[#This Row],[开服天数]])*配置!$B$2</f>
        <v>#N/A</v>
      </c>
      <c r="H21" s="19" t="s">
        <v>26</v>
      </c>
      <c r="I21" s="19">
        <f>IF(表1_86121822242672[[#This Row],[原国家]]="魏",0,IF(表1_86121822242672[[#This Row],[原国家]]="蜀",1,2))</f>
        <v>1</v>
      </c>
      <c r="J21" s="20"/>
      <c r="K21" s="20"/>
      <c r="L21" s="20"/>
      <c r="M21" s="20"/>
      <c r="N21" s="20"/>
      <c r="O21" s="20"/>
      <c r="P21" s="26"/>
      <c r="Q21" s="31" t="s">
        <v>26</v>
      </c>
      <c r="R21" s="19">
        <f>IF(表1_86121822242672[[#This Row],[目标国家]]="魏",0,IF(表1_86121822242672[[#This Row],[目标国家]]="蜀",1,2))</f>
        <v>1</v>
      </c>
      <c r="S21" s="20"/>
      <c r="T21" s="20"/>
      <c r="U21" s="20"/>
      <c r="V21" s="20"/>
      <c r="W21" s="32"/>
      <c r="X21" s="33" t="e">
        <f>"{"&amp;"'coin':"&amp;表1_86121822242672[[#This Row],[补偿Coin]]&amp;",'"&amp;配置!$A$2&amp;"':"&amp;表1_86121822242672[[#This Row],[补偿辎重]]&amp;"},"</f>
        <v>#N/A</v>
      </c>
      <c r="Y21" s="34" t="e">
        <f>"            'to_zone':'"&amp;表1_86121822242672[[#This Row],[目标区服]]&amp;"',
            'reward':"&amp;表1_86121822242672[[#This Row],[辅助导出]]&amp;"
            'country':["&amp;R20&amp;","&amp;R21&amp;","&amp;R22&amp;"],"</f>
        <v>#N/A</v>
      </c>
    </row>
    <row r="22" s="2" customFormat="1" ht="14.25" customHeight="1" spans="1:25">
      <c r="A22" s="17"/>
      <c r="B22" s="17" t="e">
        <f>VLOOKUP(表1_86121822242672[[#This Row],[区服]],$P$80:$Q$87,2,FALSE)</f>
        <v>#N/A</v>
      </c>
      <c r="C22" s="18"/>
      <c r="D22" s="19" t="str">
        <f>表1_86121822242672[[#This Row],[目标国家]]</f>
        <v>吴</v>
      </c>
      <c r="E22" s="12" t="e">
        <f>(VLOOKUP(表1_86121822242672[[#This Row],[目标区服]],$R$80:$S$91,2,FALSE)-表1_86121822242672[[#This Row],[开服天数]])*配置!$B$1</f>
        <v>#N/A</v>
      </c>
      <c r="F22" s="20" t="e">
        <f>表1_86121822242672[[#This Row],[补偿Coin]]*(表1_86121822242672[[#This Row],[活跃高战玩家数]]+表1_86121822242672[[#This Row],[活跃中坚玩家数]])</f>
        <v>#N/A</v>
      </c>
      <c r="G22" s="20" t="e">
        <f>(VLOOKUP(表1_86121822242672[[#This Row],[目标区服]],$R$80:$S$83,2,FALSE)-表1_86121822242672[[#This Row],[开服天数]])*配置!$B$2</f>
        <v>#N/A</v>
      </c>
      <c r="H22" s="19" t="s">
        <v>27</v>
      </c>
      <c r="I22" s="19">
        <f>IF(表1_86121822242672[[#This Row],[原国家]]="魏",0,IF(表1_86121822242672[[#This Row],[原国家]]="蜀",1,2))</f>
        <v>2</v>
      </c>
      <c r="J22" s="20"/>
      <c r="K22" s="20"/>
      <c r="L22" s="20"/>
      <c r="M22" s="20"/>
      <c r="N22" s="20"/>
      <c r="O22" s="20"/>
      <c r="P22" s="26"/>
      <c r="Q22" s="31" t="s">
        <v>27</v>
      </c>
      <c r="R22" s="19">
        <f>IF(表1_86121822242672[[#This Row],[目标国家]]="魏",0,IF(表1_86121822242672[[#This Row],[目标国家]]="蜀",1,2))</f>
        <v>2</v>
      </c>
      <c r="S22" s="20"/>
      <c r="T22" s="20"/>
      <c r="U22" s="20"/>
      <c r="V22" s="20"/>
      <c r="W22" s="32"/>
      <c r="X22" s="33" t="e">
        <f>"{"&amp;"'coin':"&amp;表1_86121822242672[[#This Row],[补偿Coin]]&amp;",'"&amp;配置!$A$2&amp;"':"&amp;表1_86121822242672[[#This Row],[补偿辎重]]&amp;"},"</f>
        <v>#N/A</v>
      </c>
      <c r="Y22" s="34" t="str">
        <f>"      },"</f>
        <v>      },</v>
      </c>
    </row>
    <row r="23" s="2" customFormat="1" ht="14.25" customHeight="1" spans="1:25">
      <c r="A23" s="17"/>
      <c r="B23" s="17" t="e">
        <f>VLOOKUP(表1_86121822242672[[#This Row],[区服]],$P$80:$Q$87,2,FALSE)</f>
        <v>#N/A</v>
      </c>
      <c r="C23" s="18"/>
      <c r="D23" s="19" t="str">
        <f>表1_86121822242672[[#This Row],[目标国家]]</f>
        <v>魏</v>
      </c>
      <c r="E23" s="12" t="e">
        <f>(VLOOKUP(表1_86121822242672[[#This Row],[目标区服]],$R$80:$S$91,2,FALSE)-表1_86121822242672[[#This Row],[开服天数]])*配置!$B$1</f>
        <v>#N/A</v>
      </c>
      <c r="F23" s="20" t="e">
        <f>表1_86121822242672[[#This Row],[补偿Coin]]*(表1_86121822242672[[#This Row],[活跃高战玩家数]]+表1_86121822242672[[#This Row],[活跃中坚玩家数]])</f>
        <v>#N/A</v>
      </c>
      <c r="G23" s="20" t="e">
        <f>(VLOOKUP(表1_86121822242672[[#This Row],[目标区服]],$R$80:$S$83,2,FALSE)-表1_86121822242672[[#This Row],[开服天数]])*配置!$B$2</f>
        <v>#N/A</v>
      </c>
      <c r="H23" s="19" t="s">
        <v>25</v>
      </c>
      <c r="I23" s="19">
        <f>IF(表1_86121822242672[[#This Row],[原国家]]="魏",0,IF(表1_86121822242672[[#This Row],[原国家]]="蜀",1,2))</f>
        <v>0</v>
      </c>
      <c r="J23" s="20"/>
      <c r="K23" s="20"/>
      <c r="L23" s="20"/>
      <c r="M23" s="20"/>
      <c r="N23" s="20"/>
      <c r="O23" s="20"/>
      <c r="P23" s="26"/>
      <c r="Q23" s="31" t="s">
        <v>25</v>
      </c>
      <c r="R23" s="19">
        <f>IF(表1_86121822242672[[#This Row],[目标国家]]="魏",0,IF(表1_86121822242672[[#This Row],[目标国家]]="蜀",1,2))</f>
        <v>0</v>
      </c>
      <c r="S23" s="20"/>
      <c r="T23" s="20"/>
      <c r="U23" s="20"/>
      <c r="V23" s="20"/>
      <c r="W23" s="32"/>
      <c r="X23" s="33" t="e">
        <f>"{"&amp;"'coin':"&amp;表1_86121822242672[[#This Row],[补偿Coin]]&amp;",'"&amp;配置!$A$2&amp;"':"&amp;表1_86121822242672[[#This Row],[补偿辎重]]&amp;"},"</f>
        <v>#N/A</v>
      </c>
      <c r="Y23" s="34" t="str">
        <f>"      '"&amp;表1_86121822242672[[#This Row],[区服]]&amp;"':{"</f>
        <v>      '':{</v>
      </c>
    </row>
    <row r="24" s="2" customFormat="1" ht="14.25" customHeight="1" spans="1:25">
      <c r="A24" s="17"/>
      <c r="B24" s="17" t="e">
        <f>VLOOKUP(表1_86121822242672[[#This Row],[区服]],$P$80:$Q$87,2,FALSE)</f>
        <v>#N/A</v>
      </c>
      <c r="C24" s="18"/>
      <c r="D24" s="19" t="str">
        <f>表1_86121822242672[[#This Row],[目标国家]]</f>
        <v>蜀</v>
      </c>
      <c r="E24" s="12" t="e">
        <f>(VLOOKUP(表1_86121822242672[[#This Row],[目标区服]],$R$80:$S$91,2,FALSE)-表1_86121822242672[[#This Row],[开服天数]])*配置!$B$1</f>
        <v>#N/A</v>
      </c>
      <c r="F24" s="20" t="e">
        <f>表1_86121822242672[[#This Row],[补偿Coin]]*(表1_86121822242672[[#This Row],[活跃高战玩家数]]+表1_86121822242672[[#This Row],[活跃中坚玩家数]])</f>
        <v>#N/A</v>
      </c>
      <c r="G24" s="20" t="e">
        <f>(VLOOKUP(表1_86121822242672[[#This Row],[目标区服]],$R$80:$S$83,2,FALSE)-表1_86121822242672[[#This Row],[开服天数]])*配置!$B$2</f>
        <v>#N/A</v>
      </c>
      <c r="H24" s="19" t="s">
        <v>26</v>
      </c>
      <c r="I24" s="19">
        <f>IF(表1_86121822242672[[#This Row],[原国家]]="魏",0,IF(表1_86121822242672[[#This Row],[原国家]]="蜀",1,2))</f>
        <v>1</v>
      </c>
      <c r="J24" s="20"/>
      <c r="K24" s="20"/>
      <c r="L24" s="20"/>
      <c r="M24" s="20"/>
      <c r="N24" s="20"/>
      <c r="O24" s="20"/>
      <c r="P24" s="26"/>
      <c r="Q24" s="31" t="s">
        <v>26</v>
      </c>
      <c r="R24" s="19">
        <f>IF(表1_86121822242672[[#This Row],[目标国家]]="魏",0,IF(表1_86121822242672[[#This Row],[目标国家]]="蜀",1,2))</f>
        <v>1</v>
      </c>
      <c r="S24" s="20"/>
      <c r="T24" s="20"/>
      <c r="U24" s="20"/>
      <c r="V24" s="20"/>
      <c r="W24" s="32"/>
      <c r="X24" s="33" t="e">
        <f>"{"&amp;"'coin':"&amp;表1_86121822242672[[#This Row],[补偿Coin]]&amp;",'"&amp;配置!$A$2&amp;"':"&amp;表1_86121822242672[[#This Row],[补偿辎重]]&amp;"},"</f>
        <v>#N/A</v>
      </c>
      <c r="Y24" s="34" t="e">
        <f>"            'to_zone':'"&amp;表1_86121822242672[[#This Row],[目标区服]]&amp;"',
            'reward':"&amp;表1_86121822242672[[#This Row],[辅助导出]]&amp;"
            'country':["&amp;R23&amp;","&amp;R24&amp;","&amp;R25&amp;"],"</f>
        <v>#N/A</v>
      </c>
    </row>
    <row r="25" s="2" customFormat="1" ht="14.25" customHeight="1" spans="1:25">
      <c r="A25" s="17"/>
      <c r="B25" s="17" t="e">
        <f>VLOOKUP(表1_86121822242672[[#This Row],[区服]],$P$80:$Q$87,2,FALSE)</f>
        <v>#N/A</v>
      </c>
      <c r="C25" s="18"/>
      <c r="D25" s="19" t="str">
        <f>表1_86121822242672[[#This Row],[目标国家]]</f>
        <v>吴</v>
      </c>
      <c r="E25" s="12" t="e">
        <f>(VLOOKUP(表1_86121822242672[[#This Row],[目标区服]],$R$80:$S$91,2,FALSE)-表1_86121822242672[[#This Row],[开服天数]])*配置!$B$1</f>
        <v>#N/A</v>
      </c>
      <c r="F25" s="20" t="e">
        <f>表1_86121822242672[[#This Row],[补偿Coin]]*(表1_86121822242672[[#This Row],[活跃高战玩家数]]+表1_86121822242672[[#This Row],[活跃中坚玩家数]])</f>
        <v>#N/A</v>
      </c>
      <c r="G25" s="20" t="e">
        <f>(VLOOKUP(表1_86121822242672[[#This Row],[目标区服]],$R$80:$S$83,2,FALSE)-表1_86121822242672[[#This Row],[开服天数]])*配置!$B$2</f>
        <v>#N/A</v>
      </c>
      <c r="H25" s="19" t="s">
        <v>27</v>
      </c>
      <c r="I25" s="19">
        <f>IF(表1_86121822242672[[#This Row],[原国家]]="魏",0,IF(表1_86121822242672[[#This Row],[原国家]]="蜀",1,2))</f>
        <v>2</v>
      </c>
      <c r="J25" s="20"/>
      <c r="K25" s="20"/>
      <c r="L25" s="20"/>
      <c r="M25" s="20"/>
      <c r="N25" s="20"/>
      <c r="O25" s="20"/>
      <c r="P25" s="26"/>
      <c r="Q25" s="31" t="s">
        <v>27</v>
      </c>
      <c r="R25" s="19">
        <f>IF(表1_86121822242672[[#This Row],[目标国家]]="魏",0,IF(表1_86121822242672[[#This Row],[目标国家]]="蜀",1,2))</f>
        <v>2</v>
      </c>
      <c r="S25" s="20"/>
      <c r="T25" s="20"/>
      <c r="U25" s="20"/>
      <c r="V25" s="20"/>
      <c r="W25" s="32"/>
      <c r="X25" s="33" t="e">
        <f>"{"&amp;"'coin':"&amp;表1_86121822242672[[#This Row],[补偿Coin]]&amp;",'"&amp;配置!$A$2&amp;"':"&amp;表1_86121822242672[[#This Row],[补偿辎重]]&amp;"},"</f>
        <v>#N/A</v>
      </c>
      <c r="Y25" s="34" t="str">
        <f>"      },"</f>
        <v>      },</v>
      </c>
    </row>
    <row r="26" s="2" customFormat="1" ht="14.25" customHeight="1" spans="1:25">
      <c r="A26" s="17"/>
      <c r="B26" s="17" t="e">
        <f>VLOOKUP(表1_86121822242672[[#This Row],[区服]],$P$80:$Q$87,2,FALSE)</f>
        <v>#N/A</v>
      </c>
      <c r="C26" s="18"/>
      <c r="D26" s="19" t="str">
        <f>表1_86121822242672[[#This Row],[目标国家]]</f>
        <v>魏</v>
      </c>
      <c r="E26" s="12" t="e">
        <f>(VLOOKUP(表1_86121822242672[[#This Row],[目标区服]],$R$80:$S$91,2,FALSE)-表1_86121822242672[[#This Row],[开服天数]])*配置!$B$1</f>
        <v>#N/A</v>
      </c>
      <c r="F26" s="20" t="e">
        <f>表1_86121822242672[[#This Row],[补偿Coin]]*(表1_86121822242672[[#This Row],[活跃高战玩家数]]+表1_86121822242672[[#This Row],[活跃中坚玩家数]])</f>
        <v>#N/A</v>
      </c>
      <c r="G26" s="20" t="e">
        <f>(VLOOKUP(表1_86121822242672[[#This Row],[目标区服]],$R$80:$S$83,2,FALSE)-表1_86121822242672[[#This Row],[开服天数]])*配置!$B$2</f>
        <v>#N/A</v>
      </c>
      <c r="H26" s="19" t="s">
        <v>25</v>
      </c>
      <c r="I26" s="19">
        <f>IF(表1_86121822242672[[#This Row],[原国家]]="魏",0,IF(表1_86121822242672[[#This Row],[原国家]]="蜀",1,2))</f>
        <v>0</v>
      </c>
      <c r="J26" s="20"/>
      <c r="K26" s="20"/>
      <c r="L26" s="20"/>
      <c r="M26" s="20"/>
      <c r="N26" s="20"/>
      <c r="O26" s="20"/>
      <c r="P26" s="26"/>
      <c r="Q26" s="31" t="s">
        <v>25</v>
      </c>
      <c r="R26" s="19">
        <f>IF(表1_86121822242672[[#This Row],[目标国家]]="魏",0,IF(表1_86121822242672[[#This Row],[目标国家]]="蜀",1,2))</f>
        <v>0</v>
      </c>
      <c r="S26" s="20"/>
      <c r="T26" s="20"/>
      <c r="U26" s="20"/>
      <c r="V26" s="20"/>
      <c r="W26" s="32"/>
      <c r="X26" s="33" t="e">
        <f>"{"&amp;"'coin':"&amp;表1_86121822242672[[#This Row],[补偿Coin]]&amp;",'"&amp;配置!$A$2&amp;"':"&amp;表1_86121822242672[[#This Row],[补偿辎重]]&amp;"},"</f>
        <v>#N/A</v>
      </c>
      <c r="Y26" s="34" t="str">
        <f>"      '"&amp;表1_86121822242672[[#This Row],[区服]]&amp;"':{"</f>
        <v>      '':{</v>
      </c>
    </row>
    <row r="27" s="2" customFormat="1" ht="14.25" customHeight="1" spans="1:25">
      <c r="A27" s="17"/>
      <c r="B27" s="17" t="e">
        <f>VLOOKUP(表1_86121822242672[[#This Row],[区服]],$P$80:$Q$87,2,FALSE)</f>
        <v>#N/A</v>
      </c>
      <c r="C27" s="18"/>
      <c r="D27" s="19" t="str">
        <f>表1_86121822242672[[#This Row],[目标国家]]</f>
        <v>蜀</v>
      </c>
      <c r="E27" s="12" t="e">
        <f>(VLOOKUP(表1_86121822242672[[#This Row],[目标区服]],$R$80:$S$91,2,FALSE)-表1_86121822242672[[#This Row],[开服天数]])*配置!$B$1</f>
        <v>#N/A</v>
      </c>
      <c r="F27" s="20" t="e">
        <f>表1_86121822242672[[#This Row],[补偿Coin]]*(表1_86121822242672[[#This Row],[活跃高战玩家数]]+表1_86121822242672[[#This Row],[活跃中坚玩家数]])</f>
        <v>#N/A</v>
      </c>
      <c r="G27" s="20" t="e">
        <f>(VLOOKUP(表1_86121822242672[[#This Row],[目标区服]],$R$80:$S$83,2,FALSE)-表1_86121822242672[[#This Row],[开服天数]])*配置!$B$2</f>
        <v>#N/A</v>
      </c>
      <c r="H27" s="19" t="s">
        <v>26</v>
      </c>
      <c r="I27" s="19">
        <f>IF(表1_86121822242672[[#This Row],[原国家]]="魏",0,IF(表1_86121822242672[[#This Row],[原国家]]="蜀",1,2))</f>
        <v>1</v>
      </c>
      <c r="J27" s="20"/>
      <c r="K27" s="20"/>
      <c r="L27" s="20"/>
      <c r="M27" s="20"/>
      <c r="N27" s="20"/>
      <c r="O27" s="20"/>
      <c r="P27" s="26"/>
      <c r="Q27" s="31" t="s">
        <v>26</v>
      </c>
      <c r="R27" s="19">
        <f>IF(表1_86121822242672[[#This Row],[目标国家]]="魏",0,IF(表1_86121822242672[[#This Row],[目标国家]]="蜀",1,2))</f>
        <v>1</v>
      </c>
      <c r="S27" s="20"/>
      <c r="T27" s="20"/>
      <c r="U27" s="20"/>
      <c r="V27" s="20"/>
      <c r="W27" s="32"/>
      <c r="X27" s="33" t="e">
        <f>"{"&amp;"'coin':"&amp;表1_86121822242672[[#This Row],[补偿Coin]]&amp;",'"&amp;配置!$A$2&amp;"':"&amp;表1_86121822242672[[#This Row],[补偿辎重]]&amp;"},"</f>
        <v>#N/A</v>
      </c>
      <c r="Y27" s="34" t="e">
        <f>"            'to_zone':'"&amp;表1_86121822242672[[#This Row],[目标区服]]&amp;"',
            'reward':"&amp;表1_86121822242672[[#This Row],[辅助导出]]&amp;"
            'country':["&amp;R26&amp;","&amp;R27&amp;","&amp;R28&amp;"],"</f>
        <v>#N/A</v>
      </c>
    </row>
    <row r="28" s="2" customFormat="1" ht="14.25" customHeight="1" spans="1:25">
      <c r="A28" s="17"/>
      <c r="B28" s="17" t="e">
        <f>VLOOKUP(表1_86121822242672[[#This Row],[区服]],$P$80:$Q$87,2,FALSE)</f>
        <v>#N/A</v>
      </c>
      <c r="C28" s="18"/>
      <c r="D28" s="19" t="str">
        <f>表1_86121822242672[[#This Row],[目标国家]]</f>
        <v>吴</v>
      </c>
      <c r="E28" s="12" t="e">
        <f>(VLOOKUP(表1_86121822242672[[#This Row],[目标区服]],$R$80:$S$91,2,FALSE)-表1_86121822242672[[#This Row],[开服天数]])*配置!$B$1</f>
        <v>#N/A</v>
      </c>
      <c r="F28" s="20" t="e">
        <f>表1_86121822242672[[#This Row],[补偿Coin]]*(表1_86121822242672[[#This Row],[活跃高战玩家数]]+表1_86121822242672[[#This Row],[活跃中坚玩家数]])</f>
        <v>#N/A</v>
      </c>
      <c r="G28" s="20" t="e">
        <f>(VLOOKUP(表1_86121822242672[[#This Row],[目标区服]],$R$80:$S$83,2,FALSE)-表1_86121822242672[[#This Row],[开服天数]])*配置!$B$2</f>
        <v>#N/A</v>
      </c>
      <c r="H28" s="19" t="s">
        <v>27</v>
      </c>
      <c r="I28" s="19">
        <f>IF(表1_86121822242672[[#This Row],[原国家]]="魏",0,IF(表1_86121822242672[[#This Row],[原国家]]="蜀",1,2))</f>
        <v>2</v>
      </c>
      <c r="J28" s="20"/>
      <c r="K28" s="20"/>
      <c r="L28" s="20"/>
      <c r="M28" s="20"/>
      <c r="N28" s="20"/>
      <c r="O28" s="20"/>
      <c r="P28" s="26"/>
      <c r="Q28" s="31" t="s">
        <v>27</v>
      </c>
      <c r="R28" s="19">
        <f>IF(表1_86121822242672[[#This Row],[目标国家]]="魏",0,IF(表1_86121822242672[[#This Row],[目标国家]]="蜀",1,2))</f>
        <v>2</v>
      </c>
      <c r="S28" s="20"/>
      <c r="T28" s="20"/>
      <c r="U28" s="20"/>
      <c r="V28" s="20"/>
      <c r="W28" s="32"/>
      <c r="X28" s="33" t="e">
        <f>"{"&amp;"'coin':"&amp;表1_86121822242672[[#This Row],[补偿Coin]]&amp;",'"&amp;配置!$A$2&amp;"':"&amp;表1_86121822242672[[#This Row],[补偿辎重]]&amp;"},"</f>
        <v>#N/A</v>
      </c>
      <c r="Y28" s="34" t="str">
        <f>"      },"</f>
        <v>      },</v>
      </c>
    </row>
    <row r="29" s="2" customFormat="1" ht="14.25" customHeight="1" spans="1:25">
      <c r="A29" s="17"/>
      <c r="B29" s="17" t="e">
        <f>VLOOKUP(表1_86121822242672[[#This Row],[区服]],$P$80:$Q$87,2,FALSE)</f>
        <v>#N/A</v>
      </c>
      <c r="C29" s="18"/>
      <c r="D29" s="19" t="str">
        <f>表1_86121822242672[[#This Row],[目标国家]]</f>
        <v>魏</v>
      </c>
      <c r="E29" s="12" t="e">
        <f>(VLOOKUP(表1_86121822242672[[#This Row],[目标区服]],$R$80:$S$91,2,FALSE)-表1_86121822242672[[#This Row],[开服天数]])*配置!$B$1</f>
        <v>#N/A</v>
      </c>
      <c r="F29" s="20" t="e">
        <f>表1_86121822242672[[#This Row],[补偿Coin]]*(表1_86121822242672[[#This Row],[活跃高战玩家数]]+表1_86121822242672[[#This Row],[活跃中坚玩家数]])</f>
        <v>#N/A</v>
      </c>
      <c r="G29" s="20" t="e">
        <f>(VLOOKUP(表1_86121822242672[[#This Row],[目标区服]],$R$80:$S$83,2,FALSE)-表1_86121822242672[[#This Row],[开服天数]])*配置!$B$2</f>
        <v>#N/A</v>
      </c>
      <c r="H29" s="19" t="s">
        <v>25</v>
      </c>
      <c r="I29" s="19">
        <f>IF(表1_86121822242672[[#This Row],[原国家]]="魏",0,IF(表1_86121822242672[[#This Row],[原国家]]="蜀",1,2))</f>
        <v>0</v>
      </c>
      <c r="J29" s="20"/>
      <c r="K29" s="20"/>
      <c r="L29" s="20"/>
      <c r="M29" s="20"/>
      <c r="N29" s="20"/>
      <c r="O29" s="20"/>
      <c r="P29" s="26"/>
      <c r="Q29" s="31" t="s">
        <v>25</v>
      </c>
      <c r="R29" s="19">
        <f>IF(表1_86121822242672[[#This Row],[目标国家]]="魏",0,IF(表1_86121822242672[[#This Row],[目标国家]]="蜀",1,2))</f>
        <v>0</v>
      </c>
      <c r="S29" s="20"/>
      <c r="T29" s="20"/>
      <c r="U29" s="20"/>
      <c r="V29" s="20"/>
      <c r="W29" s="32"/>
      <c r="X29" s="33" t="e">
        <f>"{"&amp;"'coin':"&amp;表1_86121822242672[[#This Row],[补偿Coin]]&amp;",'"&amp;配置!$A$2&amp;"':"&amp;表1_86121822242672[[#This Row],[补偿辎重]]&amp;"},"</f>
        <v>#N/A</v>
      </c>
      <c r="Y29" s="34" t="str">
        <f>"      '"&amp;表1_86121822242672[[#This Row],[区服]]&amp;"':{"</f>
        <v>      '':{</v>
      </c>
    </row>
    <row r="30" s="2" customFormat="1" ht="14.25" customHeight="1" spans="1:25">
      <c r="A30" s="17"/>
      <c r="B30" s="17" t="e">
        <f>VLOOKUP(表1_86121822242672[[#This Row],[区服]],$P$80:$Q$87,2,FALSE)</f>
        <v>#N/A</v>
      </c>
      <c r="C30" s="18"/>
      <c r="D30" s="19" t="str">
        <f>表1_86121822242672[[#This Row],[目标国家]]</f>
        <v>蜀</v>
      </c>
      <c r="E30" s="12" t="e">
        <f>(VLOOKUP(表1_86121822242672[[#This Row],[目标区服]],$R$80:$S$91,2,FALSE)-表1_86121822242672[[#This Row],[开服天数]])*配置!$B$1</f>
        <v>#N/A</v>
      </c>
      <c r="F30" s="20" t="e">
        <f>表1_86121822242672[[#This Row],[补偿Coin]]*(表1_86121822242672[[#This Row],[活跃高战玩家数]]+表1_86121822242672[[#This Row],[活跃中坚玩家数]])</f>
        <v>#N/A</v>
      </c>
      <c r="G30" s="20" t="e">
        <f>(VLOOKUP(表1_86121822242672[[#This Row],[目标区服]],$R$80:$S$83,2,FALSE)-表1_86121822242672[[#This Row],[开服天数]])*配置!$B$2</f>
        <v>#N/A</v>
      </c>
      <c r="H30" s="19" t="s">
        <v>26</v>
      </c>
      <c r="I30" s="19">
        <f>IF(表1_86121822242672[[#This Row],[原国家]]="魏",0,IF(表1_86121822242672[[#This Row],[原国家]]="蜀",1,2))</f>
        <v>1</v>
      </c>
      <c r="J30" s="20"/>
      <c r="K30" s="20"/>
      <c r="L30" s="20"/>
      <c r="M30" s="20"/>
      <c r="N30" s="20"/>
      <c r="O30" s="20"/>
      <c r="P30" s="26"/>
      <c r="Q30" s="31" t="s">
        <v>26</v>
      </c>
      <c r="R30" s="19">
        <f>IF(表1_86121822242672[[#This Row],[目标国家]]="魏",0,IF(表1_86121822242672[[#This Row],[目标国家]]="蜀",1,2))</f>
        <v>1</v>
      </c>
      <c r="S30" s="20"/>
      <c r="T30" s="20"/>
      <c r="U30" s="20"/>
      <c r="V30" s="20"/>
      <c r="W30" s="32"/>
      <c r="X30" s="33" t="e">
        <f>"{"&amp;"'coin':"&amp;表1_86121822242672[[#This Row],[补偿Coin]]&amp;",'"&amp;配置!$A$2&amp;"':"&amp;表1_86121822242672[[#This Row],[补偿辎重]]&amp;"},"</f>
        <v>#N/A</v>
      </c>
      <c r="Y30" s="34" t="e">
        <f>"            'to_zone':'"&amp;表1_86121822242672[[#This Row],[目标区服]]&amp;"',
            'reward':"&amp;表1_86121822242672[[#This Row],[辅助导出]]&amp;"
            'country':["&amp;R29&amp;","&amp;R30&amp;","&amp;R31&amp;"],"</f>
        <v>#N/A</v>
      </c>
    </row>
    <row r="31" s="2" customFormat="1" ht="14.25" customHeight="1" spans="1:25">
      <c r="A31" s="17"/>
      <c r="B31" s="17" t="e">
        <f>VLOOKUP(表1_86121822242672[[#This Row],[区服]],$P$80:$Q$87,2,FALSE)</f>
        <v>#N/A</v>
      </c>
      <c r="C31" s="18"/>
      <c r="D31" s="19" t="str">
        <f>表1_86121822242672[[#This Row],[目标国家]]</f>
        <v>吴</v>
      </c>
      <c r="E31" s="12" t="e">
        <f>(VLOOKUP(表1_86121822242672[[#This Row],[目标区服]],$R$80:$S$91,2,FALSE)-表1_86121822242672[[#This Row],[开服天数]])*配置!$B$1</f>
        <v>#N/A</v>
      </c>
      <c r="F31" s="20" t="e">
        <f>表1_86121822242672[[#This Row],[补偿Coin]]*(表1_86121822242672[[#This Row],[活跃高战玩家数]]+表1_86121822242672[[#This Row],[活跃中坚玩家数]])</f>
        <v>#N/A</v>
      </c>
      <c r="G31" s="20" t="e">
        <f>(VLOOKUP(表1_86121822242672[[#This Row],[目标区服]],$R$80:$S$83,2,FALSE)-表1_86121822242672[[#This Row],[开服天数]])*配置!$B$2</f>
        <v>#N/A</v>
      </c>
      <c r="H31" s="19" t="s">
        <v>27</v>
      </c>
      <c r="I31" s="19">
        <f>IF(表1_86121822242672[[#This Row],[原国家]]="魏",0,IF(表1_86121822242672[[#This Row],[原国家]]="蜀",1,2))</f>
        <v>2</v>
      </c>
      <c r="J31" s="20"/>
      <c r="K31" s="20"/>
      <c r="L31" s="20"/>
      <c r="M31" s="20"/>
      <c r="N31" s="20"/>
      <c r="O31" s="20"/>
      <c r="P31" s="26"/>
      <c r="Q31" s="31" t="s">
        <v>27</v>
      </c>
      <c r="R31" s="19">
        <f>IF(表1_86121822242672[[#This Row],[目标国家]]="魏",0,IF(表1_86121822242672[[#This Row],[目标国家]]="蜀",1,2))</f>
        <v>2</v>
      </c>
      <c r="S31" s="20"/>
      <c r="T31" s="20"/>
      <c r="U31" s="20"/>
      <c r="V31" s="20"/>
      <c r="W31" s="32"/>
      <c r="X31" s="33" t="e">
        <f>"{"&amp;"'coin':"&amp;表1_86121822242672[[#This Row],[补偿Coin]]&amp;",'"&amp;配置!$A$2&amp;"':"&amp;表1_86121822242672[[#This Row],[补偿辎重]]&amp;"},"</f>
        <v>#N/A</v>
      </c>
      <c r="Y31" s="34" t="str">
        <f>"      },"</f>
        <v>      },</v>
      </c>
    </row>
    <row r="32" s="2" customFormat="1" ht="14.25" customHeight="1" spans="1:25">
      <c r="A32" s="17"/>
      <c r="B32" s="17" t="e">
        <f>VLOOKUP(表1_86121822242672[[#This Row],[区服]],$P$80:$Q$87,2,FALSE)</f>
        <v>#N/A</v>
      </c>
      <c r="C32" s="18"/>
      <c r="D32" s="19" t="str">
        <f>表1_86121822242672[[#This Row],[目标国家]]</f>
        <v>魏</v>
      </c>
      <c r="E32" s="12" t="e">
        <f>(VLOOKUP(表1_86121822242672[[#This Row],[目标区服]],$R$80:$S$91,2,FALSE)-表1_86121822242672[[#This Row],[开服天数]])*配置!$B$1</f>
        <v>#N/A</v>
      </c>
      <c r="F32" s="20" t="e">
        <f>表1_86121822242672[[#This Row],[补偿Coin]]*(表1_86121822242672[[#This Row],[活跃高战玩家数]]+表1_86121822242672[[#This Row],[活跃中坚玩家数]])</f>
        <v>#N/A</v>
      </c>
      <c r="G32" s="20" t="e">
        <f>(VLOOKUP(表1_86121822242672[[#This Row],[目标区服]],$R$80:$S$83,2,FALSE)-表1_86121822242672[[#This Row],[开服天数]])*配置!$B$2</f>
        <v>#N/A</v>
      </c>
      <c r="H32" s="19" t="s">
        <v>25</v>
      </c>
      <c r="I32" s="19">
        <f>IF(表1_86121822242672[[#This Row],[原国家]]="魏",0,IF(表1_86121822242672[[#This Row],[原国家]]="蜀",1,2))</f>
        <v>0</v>
      </c>
      <c r="J32" s="20"/>
      <c r="K32" s="20"/>
      <c r="L32" s="20"/>
      <c r="M32" s="20"/>
      <c r="N32" s="20"/>
      <c r="O32" s="20"/>
      <c r="P32" s="26"/>
      <c r="Q32" s="31" t="s">
        <v>25</v>
      </c>
      <c r="R32" s="19">
        <f>IF(表1_86121822242672[[#This Row],[目标国家]]="魏",0,IF(表1_86121822242672[[#This Row],[目标国家]]="蜀",1,2))</f>
        <v>0</v>
      </c>
      <c r="S32" s="20"/>
      <c r="T32" s="20"/>
      <c r="U32" s="20"/>
      <c r="V32" s="20"/>
      <c r="W32" s="32"/>
      <c r="X32" s="33" t="e">
        <f>"{"&amp;"'coin':"&amp;表1_86121822242672[[#This Row],[补偿Coin]]&amp;",'"&amp;配置!$A$2&amp;"':"&amp;表1_86121822242672[[#This Row],[补偿辎重]]&amp;"},"</f>
        <v>#N/A</v>
      </c>
      <c r="Y32" s="34" t="str">
        <f>"      '"&amp;表1_86121822242672[[#This Row],[区服]]&amp;"':{"</f>
        <v>      '':{</v>
      </c>
    </row>
    <row r="33" s="2" customFormat="1" ht="14.25" customHeight="1" spans="1:25">
      <c r="A33" s="17"/>
      <c r="B33" s="17" t="e">
        <f>VLOOKUP(表1_86121822242672[[#This Row],[区服]],$P$80:$Q$87,2,FALSE)</f>
        <v>#N/A</v>
      </c>
      <c r="C33" s="18"/>
      <c r="D33" s="19" t="str">
        <f>表1_86121822242672[[#This Row],[目标国家]]</f>
        <v>蜀</v>
      </c>
      <c r="E33" s="12" t="e">
        <f>(VLOOKUP(表1_86121822242672[[#This Row],[目标区服]],$R$80:$S$91,2,FALSE)-表1_86121822242672[[#This Row],[开服天数]])*配置!$B$1</f>
        <v>#N/A</v>
      </c>
      <c r="F33" s="20" t="e">
        <f>表1_86121822242672[[#This Row],[补偿Coin]]*(表1_86121822242672[[#This Row],[活跃高战玩家数]]+表1_86121822242672[[#This Row],[活跃中坚玩家数]])</f>
        <v>#N/A</v>
      </c>
      <c r="G33" s="20" t="e">
        <f>(VLOOKUP(表1_86121822242672[[#This Row],[目标区服]],$R$80:$S$83,2,FALSE)-表1_86121822242672[[#This Row],[开服天数]])*配置!$B$2</f>
        <v>#N/A</v>
      </c>
      <c r="H33" s="19" t="s">
        <v>26</v>
      </c>
      <c r="I33" s="19">
        <f>IF(表1_86121822242672[[#This Row],[原国家]]="魏",0,IF(表1_86121822242672[[#This Row],[原国家]]="蜀",1,2))</f>
        <v>1</v>
      </c>
      <c r="J33" s="20"/>
      <c r="K33" s="20"/>
      <c r="L33" s="20"/>
      <c r="M33" s="20"/>
      <c r="N33" s="20"/>
      <c r="O33" s="20"/>
      <c r="P33" s="26"/>
      <c r="Q33" s="31" t="s">
        <v>26</v>
      </c>
      <c r="R33" s="19">
        <f>IF(表1_86121822242672[[#This Row],[目标国家]]="魏",0,IF(表1_86121822242672[[#This Row],[目标国家]]="蜀",1,2))</f>
        <v>1</v>
      </c>
      <c r="S33" s="20"/>
      <c r="T33" s="20"/>
      <c r="U33" s="20"/>
      <c r="V33" s="20"/>
      <c r="W33" s="32"/>
      <c r="X33" s="33" t="e">
        <f>"{"&amp;"'coin':"&amp;表1_86121822242672[[#This Row],[补偿Coin]]&amp;",'"&amp;配置!$A$2&amp;"':"&amp;表1_86121822242672[[#This Row],[补偿辎重]]&amp;"},"</f>
        <v>#N/A</v>
      </c>
      <c r="Y33" s="34" t="e">
        <f>"            'to_zone':'"&amp;表1_86121822242672[[#This Row],[目标区服]]&amp;"',
            'reward':"&amp;表1_86121822242672[[#This Row],[辅助导出]]&amp;"
            'country':["&amp;R32&amp;","&amp;R33&amp;","&amp;R34&amp;"],"</f>
        <v>#N/A</v>
      </c>
    </row>
    <row r="34" s="2" customFormat="1" ht="14.25" customHeight="1" spans="1:25">
      <c r="A34" s="17"/>
      <c r="B34" s="17" t="e">
        <f>VLOOKUP(表1_86121822242672[[#This Row],[区服]],$P$80:$Q$87,2,FALSE)</f>
        <v>#N/A</v>
      </c>
      <c r="C34" s="18"/>
      <c r="D34" s="19" t="str">
        <f>表1_86121822242672[[#This Row],[目标国家]]</f>
        <v>吴</v>
      </c>
      <c r="E34" s="12" t="e">
        <f>(VLOOKUP(表1_86121822242672[[#This Row],[目标区服]],$R$80:$S$91,2,FALSE)-表1_86121822242672[[#This Row],[开服天数]])*配置!$B$1</f>
        <v>#N/A</v>
      </c>
      <c r="F34" s="20" t="e">
        <f>表1_86121822242672[[#This Row],[补偿Coin]]*(表1_86121822242672[[#This Row],[活跃高战玩家数]]+表1_86121822242672[[#This Row],[活跃中坚玩家数]])</f>
        <v>#N/A</v>
      </c>
      <c r="G34" s="20" t="e">
        <f>(VLOOKUP(表1_86121822242672[[#This Row],[目标区服]],$R$80:$S$83,2,FALSE)-表1_86121822242672[[#This Row],[开服天数]])*配置!$B$2</f>
        <v>#N/A</v>
      </c>
      <c r="H34" s="19" t="s">
        <v>27</v>
      </c>
      <c r="I34" s="19">
        <f>IF(表1_86121822242672[[#This Row],[原国家]]="魏",0,IF(表1_86121822242672[[#This Row],[原国家]]="蜀",1,2))</f>
        <v>2</v>
      </c>
      <c r="J34" s="20"/>
      <c r="K34" s="20"/>
      <c r="L34" s="20"/>
      <c r="M34" s="20"/>
      <c r="N34" s="20"/>
      <c r="O34" s="20"/>
      <c r="P34" s="26"/>
      <c r="Q34" s="31" t="s">
        <v>27</v>
      </c>
      <c r="R34" s="19">
        <f>IF(表1_86121822242672[[#This Row],[目标国家]]="魏",0,IF(表1_86121822242672[[#This Row],[目标国家]]="蜀",1,2))</f>
        <v>2</v>
      </c>
      <c r="S34" s="20"/>
      <c r="T34" s="20"/>
      <c r="U34" s="20"/>
      <c r="V34" s="20"/>
      <c r="W34" s="32"/>
      <c r="X34" s="33" t="e">
        <f>"{"&amp;"'coin':"&amp;表1_86121822242672[[#This Row],[补偿Coin]]&amp;",'"&amp;配置!$A$2&amp;"':"&amp;表1_86121822242672[[#This Row],[补偿辎重]]&amp;"},"</f>
        <v>#N/A</v>
      </c>
      <c r="Y34" s="34" t="str">
        <f>"      },"</f>
        <v>      },</v>
      </c>
    </row>
    <row r="35" s="2" customFormat="1" ht="14.25" customHeight="1" spans="1:25">
      <c r="A35" s="17"/>
      <c r="B35" s="17" t="e">
        <f>VLOOKUP(表1_86121822242672[[#This Row],[区服]],$P$80:$Q$87,2,FALSE)</f>
        <v>#N/A</v>
      </c>
      <c r="C35" s="18"/>
      <c r="D35" s="19" t="str">
        <f>表1_86121822242672[[#This Row],[目标国家]]</f>
        <v>魏</v>
      </c>
      <c r="E35" s="12" t="e">
        <f>(VLOOKUP(表1_86121822242672[[#This Row],[目标区服]],$R$80:$S$91,2,FALSE)-表1_86121822242672[[#This Row],[开服天数]])*配置!$B$1</f>
        <v>#N/A</v>
      </c>
      <c r="F35" s="20" t="e">
        <f>表1_86121822242672[[#This Row],[补偿Coin]]*(表1_86121822242672[[#This Row],[活跃高战玩家数]]+表1_86121822242672[[#This Row],[活跃中坚玩家数]])</f>
        <v>#N/A</v>
      </c>
      <c r="G35" s="20" t="e">
        <f>(VLOOKUP(表1_86121822242672[[#This Row],[目标区服]],$R$80:$S$83,2,FALSE)-表1_86121822242672[[#This Row],[开服天数]])*配置!$B$2</f>
        <v>#N/A</v>
      </c>
      <c r="H35" s="19" t="s">
        <v>25</v>
      </c>
      <c r="I35" s="19">
        <f>IF(表1_86121822242672[[#This Row],[原国家]]="魏",0,IF(表1_86121822242672[[#This Row],[原国家]]="蜀",1,2))</f>
        <v>0</v>
      </c>
      <c r="J35" s="20"/>
      <c r="K35" s="20"/>
      <c r="L35" s="20"/>
      <c r="M35" s="20"/>
      <c r="N35" s="20"/>
      <c r="O35" s="20"/>
      <c r="P35" s="26"/>
      <c r="Q35" s="31" t="s">
        <v>25</v>
      </c>
      <c r="R35" s="19">
        <f>IF(表1_86121822242672[[#This Row],[目标国家]]="魏",0,IF(表1_86121822242672[[#This Row],[目标国家]]="蜀",1,2))</f>
        <v>0</v>
      </c>
      <c r="S35" s="20"/>
      <c r="T35" s="20"/>
      <c r="U35" s="20"/>
      <c r="V35" s="20"/>
      <c r="W35" s="32"/>
      <c r="X35" s="33" t="e">
        <f>"{"&amp;"'coin':"&amp;表1_86121822242672[[#This Row],[补偿Coin]]&amp;",'"&amp;配置!$A$2&amp;"':"&amp;表1_86121822242672[[#This Row],[补偿辎重]]&amp;"},"</f>
        <v>#N/A</v>
      </c>
      <c r="Y35" s="34" t="str">
        <f>"      '"&amp;表1_86121822242672[[#This Row],[区服]]&amp;"':{"</f>
        <v>      '':{</v>
      </c>
    </row>
    <row r="36" s="2" customFormat="1" ht="14.25" customHeight="1" spans="1:25">
      <c r="A36" s="17"/>
      <c r="B36" s="17" t="e">
        <f>VLOOKUP(表1_86121822242672[[#This Row],[区服]],$P$80:$Q$87,2,FALSE)</f>
        <v>#N/A</v>
      </c>
      <c r="C36" s="18"/>
      <c r="D36" s="19" t="str">
        <f>表1_86121822242672[[#This Row],[目标国家]]</f>
        <v>蜀</v>
      </c>
      <c r="E36" s="12" t="e">
        <f>(VLOOKUP(表1_86121822242672[[#This Row],[目标区服]],$R$80:$S$91,2,FALSE)-表1_86121822242672[[#This Row],[开服天数]])*配置!$B$1</f>
        <v>#N/A</v>
      </c>
      <c r="F36" s="20" t="e">
        <f>表1_86121822242672[[#This Row],[补偿Coin]]*(表1_86121822242672[[#This Row],[活跃高战玩家数]]+表1_86121822242672[[#This Row],[活跃中坚玩家数]])</f>
        <v>#N/A</v>
      </c>
      <c r="G36" s="20" t="e">
        <f>(VLOOKUP(表1_86121822242672[[#This Row],[目标区服]],$R$80:$S$83,2,FALSE)-表1_86121822242672[[#This Row],[开服天数]])*配置!$B$2</f>
        <v>#N/A</v>
      </c>
      <c r="H36" s="19" t="s">
        <v>26</v>
      </c>
      <c r="I36" s="19">
        <f>IF(表1_86121822242672[[#This Row],[原国家]]="魏",0,IF(表1_86121822242672[[#This Row],[原国家]]="蜀",1,2))</f>
        <v>1</v>
      </c>
      <c r="J36" s="20"/>
      <c r="K36" s="20"/>
      <c r="L36" s="20"/>
      <c r="M36" s="20"/>
      <c r="N36" s="20"/>
      <c r="O36" s="20"/>
      <c r="P36" s="26"/>
      <c r="Q36" s="31" t="s">
        <v>26</v>
      </c>
      <c r="R36" s="19">
        <f>IF(表1_86121822242672[[#This Row],[目标国家]]="魏",0,IF(表1_86121822242672[[#This Row],[目标国家]]="蜀",1,2))</f>
        <v>1</v>
      </c>
      <c r="S36" s="20"/>
      <c r="T36" s="20"/>
      <c r="U36" s="20"/>
      <c r="V36" s="20"/>
      <c r="W36" s="32"/>
      <c r="X36" s="33" t="e">
        <f>"{"&amp;"'coin':"&amp;表1_86121822242672[[#This Row],[补偿Coin]]&amp;",'"&amp;配置!$A$2&amp;"':"&amp;表1_86121822242672[[#This Row],[补偿辎重]]&amp;"},"</f>
        <v>#N/A</v>
      </c>
      <c r="Y36" s="34" t="e">
        <f>"            'to_zone':'"&amp;表1_86121822242672[[#This Row],[目标区服]]&amp;"',
            'reward':"&amp;表1_86121822242672[[#This Row],[辅助导出]]&amp;"
            'country':["&amp;R35&amp;","&amp;R36&amp;","&amp;R37&amp;"],"</f>
        <v>#N/A</v>
      </c>
    </row>
    <row r="37" s="2" customFormat="1" ht="14.25" customHeight="1" spans="1:25">
      <c r="A37" s="17"/>
      <c r="B37" s="17" t="e">
        <f>VLOOKUP(表1_86121822242672[[#This Row],[区服]],$P$80:$Q$87,2,FALSE)</f>
        <v>#N/A</v>
      </c>
      <c r="C37" s="18"/>
      <c r="D37" s="19" t="str">
        <f>表1_86121822242672[[#This Row],[目标国家]]</f>
        <v>吴</v>
      </c>
      <c r="E37" s="12" t="e">
        <f>(VLOOKUP(表1_86121822242672[[#This Row],[目标区服]],$R$80:$S$91,2,FALSE)-表1_86121822242672[[#This Row],[开服天数]])*配置!$B$1</f>
        <v>#N/A</v>
      </c>
      <c r="F37" s="20" t="e">
        <f>表1_86121822242672[[#This Row],[补偿Coin]]*(表1_86121822242672[[#This Row],[活跃高战玩家数]]+表1_86121822242672[[#This Row],[活跃中坚玩家数]])</f>
        <v>#N/A</v>
      </c>
      <c r="G37" s="20" t="e">
        <f>(VLOOKUP(表1_86121822242672[[#This Row],[目标区服]],$R$80:$S$83,2,FALSE)-表1_86121822242672[[#This Row],[开服天数]])*配置!$B$2</f>
        <v>#N/A</v>
      </c>
      <c r="H37" s="19" t="s">
        <v>27</v>
      </c>
      <c r="I37" s="19">
        <f>IF(表1_86121822242672[[#This Row],[原国家]]="魏",0,IF(表1_86121822242672[[#This Row],[原国家]]="蜀",1,2))</f>
        <v>2</v>
      </c>
      <c r="J37" s="20"/>
      <c r="K37" s="20"/>
      <c r="L37" s="20"/>
      <c r="M37" s="20"/>
      <c r="N37" s="20"/>
      <c r="O37" s="20"/>
      <c r="P37" s="26"/>
      <c r="Q37" s="31" t="s">
        <v>27</v>
      </c>
      <c r="R37" s="19">
        <f>IF(表1_86121822242672[[#This Row],[目标国家]]="魏",0,IF(表1_86121822242672[[#This Row],[目标国家]]="蜀",1,2))</f>
        <v>2</v>
      </c>
      <c r="S37" s="20"/>
      <c r="T37" s="20"/>
      <c r="U37" s="20"/>
      <c r="V37" s="20"/>
      <c r="W37" s="32"/>
      <c r="X37" s="33" t="e">
        <f>"{"&amp;"'coin':"&amp;表1_86121822242672[[#This Row],[补偿Coin]]&amp;",'"&amp;配置!$A$2&amp;"':"&amp;表1_86121822242672[[#This Row],[补偿辎重]]&amp;"},"</f>
        <v>#N/A</v>
      </c>
      <c r="Y37" s="34" t="str">
        <f>"      },"</f>
        <v>      },</v>
      </c>
    </row>
    <row r="38" s="2" customFormat="1" ht="14.25" customHeight="1" spans="1:25">
      <c r="A38" s="17"/>
      <c r="B38" s="17" t="e">
        <f>VLOOKUP(表1_86121822242672[[#This Row],[区服]],$P$80:$Q$87,2,FALSE)</f>
        <v>#N/A</v>
      </c>
      <c r="C38" s="18"/>
      <c r="D38" s="19" t="str">
        <f>表1_86121822242672[[#This Row],[目标国家]]</f>
        <v>魏</v>
      </c>
      <c r="E38" s="12" t="e">
        <f>(VLOOKUP(表1_86121822242672[[#This Row],[目标区服]],$R$80:$S$91,2,FALSE)-表1_86121822242672[[#This Row],[开服天数]])*配置!$B$1</f>
        <v>#N/A</v>
      </c>
      <c r="F38" s="20" t="e">
        <f>表1_86121822242672[[#This Row],[补偿Coin]]*(表1_86121822242672[[#This Row],[活跃高战玩家数]]+表1_86121822242672[[#This Row],[活跃中坚玩家数]])</f>
        <v>#N/A</v>
      </c>
      <c r="G38" s="20" t="e">
        <f>(VLOOKUP(表1_86121822242672[[#This Row],[目标区服]],$R$80:$S$83,2,FALSE)-表1_86121822242672[[#This Row],[开服天数]])*配置!$B$2</f>
        <v>#N/A</v>
      </c>
      <c r="H38" s="19" t="s">
        <v>25</v>
      </c>
      <c r="I38" s="19">
        <f>IF(表1_86121822242672[[#This Row],[原国家]]="魏",0,IF(表1_86121822242672[[#This Row],[原国家]]="蜀",1,2))</f>
        <v>0</v>
      </c>
      <c r="J38" s="20"/>
      <c r="K38" s="20"/>
      <c r="L38" s="20"/>
      <c r="M38" s="20"/>
      <c r="N38" s="20"/>
      <c r="O38" s="20"/>
      <c r="P38" s="26"/>
      <c r="Q38" s="31" t="s">
        <v>25</v>
      </c>
      <c r="R38" s="19">
        <f>IF(表1_86121822242672[[#This Row],[目标国家]]="魏",0,IF(表1_86121822242672[[#This Row],[目标国家]]="蜀",1,2))</f>
        <v>0</v>
      </c>
      <c r="S38" s="20"/>
      <c r="T38" s="20"/>
      <c r="U38" s="20"/>
      <c r="V38" s="20"/>
      <c r="W38" s="32"/>
      <c r="X38" s="33" t="e">
        <f>"{"&amp;"'coin':"&amp;表1_86121822242672[[#This Row],[补偿Coin]]&amp;",'"&amp;配置!$A$2&amp;"':"&amp;表1_86121822242672[[#This Row],[补偿辎重]]&amp;"},"</f>
        <v>#N/A</v>
      </c>
      <c r="Y38" s="34" t="str">
        <f>"      '"&amp;表1_86121822242672[[#This Row],[区服]]&amp;"':{"</f>
        <v>      '':{</v>
      </c>
    </row>
    <row r="39" s="2" customFormat="1" ht="14.25" customHeight="1" spans="1:25">
      <c r="A39" s="17"/>
      <c r="B39" s="17" t="e">
        <f>VLOOKUP(表1_86121822242672[[#This Row],[区服]],$P$80:$Q$87,2,FALSE)</f>
        <v>#N/A</v>
      </c>
      <c r="C39" s="18"/>
      <c r="D39" s="19" t="str">
        <f>表1_86121822242672[[#This Row],[目标国家]]</f>
        <v>蜀</v>
      </c>
      <c r="E39" s="12" t="e">
        <f>(VLOOKUP(表1_86121822242672[[#This Row],[目标区服]],$R$80:$S$91,2,FALSE)-表1_86121822242672[[#This Row],[开服天数]])*配置!$B$1</f>
        <v>#N/A</v>
      </c>
      <c r="F39" s="20" t="e">
        <f>表1_86121822242672[[#This Row],[补偿Coin]]*(表1_86121822242672[[#This Row],[活跃高战玩家数]]+表1_86121822242672[[#This Row],[活跃中坚玩家数]])</f>
        <v>#N/A</v>
      </c>
      <c r="G39" s="20" t="e">
        <f>(VLOOKUP(表1_86121822242672[[#This Row],[目标区服]],$R$80:$S$83,2,FALSE)-表1_86121822242672[[#This Row],[开服天数]])*配置!$B$2</f>
        <v>#N/A</v>
      </c>
      <c r="H39" s="19" t="s">
        <v>26</v>
      </c>
      <c r="I39" s="19">
        <f>IF(表1_86121822242672[[#This Row],[原国家]]="魏",0,IF(表1_86121822242672[[#This Row],[原国家]]="蜀",1,2))</f>
        <v>1</v>
      </c>
      <c r="J39" s="20"/>
      <c r="K39" s="20"/>
      <c r="L39" s="20"/>
      <c r="M39" s="20"/>
      <c r="N39" s="20"/>
      <c r="O39" s="20"/>
      <c r="P39" s="26"/>
      <c r="Q39" s="31" t="s">
        <v>26</v>
      </c>
      <c r="R39" s="19">
        <f>IF(表1_86121822242672[[#This Row],[目标国家]]="魏",0,IF(表1_86121822242672[[#This Row],[目标国家]]="蜀",1,2))</f>
        <v>1</v>
      </c>
      <c r="S39" s="20"/>
      <c r="T39" s="20"/>
      <c r="U39" s="20"/>
      <c r="V39" s="20"/>
      <c r="W39" s="32"/>
      <c r="X39" s="33" t="e">
        <f>"{"&amp;"'coin':"&amp;表1_86121822242672[[#This Row],[补偿Coin]]&amp;",'"&amp;配置!$A$2&amp;"':"&amp;表1_86121822242672[[#This Row],[补偿辎重]]&amp;"},"</f>
        <v>#N/A</v>
      </c>
      <c r="Y39" s="34" t="e">
        <f>"            'to_zone':'"&amp;表1_86121822242672[[#This Row],[目标区服]]&amp;"',
            'reward':"&amp;表1_86121822242672[[#This Row],[辅助导出]]&amp;"
            'country':["&amp;R38&amp;","&amp;R39&amp;","&amp;R40&amp;"],"</f>
        <v>#N/A</v>
      </c>
    </row>
    <row r="40" s="2" customFormat="1" ht="14.25" customHeight="1" spans="1:25">
      <c r="A40" s="17"/>
      <c r="B40" s="17" t="e">
        <f>VLOOKUP(表1_86121822242672[[#This Row],[区服]],$P$80:$Q$87,2,FALSE)</f>
        <v>#N/A</v>
      </c>
      <c r="C40" s="18"/>
      <c r="D40" s="19" t="str">
        <f>表1_86121822242672[[#This Row],[目标国家]]</f>
        <v>吴</v>
      </c>
      <c r="E40" s="12" t="e">
        <f>(VLOOKUP(表1_86121822242672[[#This Row],[目标区服]],$R$80:$S$91,2,FALSE)-表1_86121822242672[[#This Row],[开服天数]])*配置!$B$1</f>
        <v>#N/A</v>
      </c>
      <c r="F40" s="20" t="e">
        <f>表1_86121822242672[[#This Row],[补偿Coin]]*(表1_86121822242672[[#This Row],[活跃高战玩家数]]+表1_86121822242672[[#This Row],[活跃中坚玩家数]])</f>
        <v>#N/A</v>
      </c>
      <c r="G40" s="20" t="e">
        <f>(VLOOKUP(表1_86121822242672[[#This Row],[目标区服]],$R$80:$S$83,2,FALSE)-表1_86121822242672[[#This Row],[开服天数]])*配置!$B$2</f>
        <v>#N/A</v>
      </c>
      <c r="H40" s="19" t="s">
        <v>27</v>
      </c>
      <c r="I40" s="19">
        <f>IF(表1_86121822242672[[#This Row],[原国家]]="魏",0,IF(表1_86121822242672[[#This Row],[原国家]]="蜀",1,2))</f>
        <v>2</v>
      </c>
      <c r="J40" s="20"/>
      <c r="K40" s="20"/>
      <c r="L40" s="20"/>
      <c r="M40" s="20"/>
      <c r="N40" s="20"/>
      <c r="O40" s="20"/>
      <c r="P40" s="26"/>
      <c r="Q40" s="31" t="s">
        <v>27</v>
      </c>
      <c r="R40" s="19">
        <f>IF(表1_86121822242672[[#This Row],[目标国家]]="魏",0,IF(表1_86121822242672[[#This Row],[目标国家]]="蜀",1,2))</f>
        <v>2</v>
      </c>
      <c r="S40" s="20"/>
      <c r="T40" s="20"/>
      <c r="U40" s="20"/>
      <c r="V40" s="20"/>
      <c r="W40" s="32"/>
      <c r="X40" s="33" t="e">
        <f>"{"&amp;"'coin':"&amp;表1_86121822242672[[#This Row],[补偿Coin]]&amp;",'"&amp;配置!$A$2&amp;"':"&amp;表1_86121822242672[[#This Row],[补偿辎重]]&amp;"},"</f>
        <v>#N/A</v>
      </c>
      <c r="Y40" s="34" t="str">
        <f>"      },"</f>
        <v>      },</v>
      </c>
    </row>
    <row r="41" s="2" customFormat="1" ht="14.25" customHeight="1" spans="1:25">
      <c r="A41" s="17"/>
      <c r="B41" s="17" t="e">
        <f>VLOOKUP(表1_86121822242672[[#This Row],[区服]],$P$80:$Q$87,2,FALSE)</f>
        <v>#N/A</v>
      </c>
      <c r="C41" s="18"/>
      <c r="D41" s="19" t="str">
        <f>表1_86121822242672[[#This Row],[目标国家]]</f>
        <v>魏</v>
      </c>
      <c r="E41" s="12" t="e">
        <f>(VLOOKUP(表1_86121822242672[[#This Row],[目标区服]],$R$80:$S$91,2,FALSE)-表1_86121822242672[[#This Row],[开服天数]])*配置!$B$1</f>
        <v>#N/A</v>
      </c>
      <c r="F41" s="20" t="e">
        <f>表1_86121822242672[[#This Row],[补偿Coin]]*(表1_86121822242672[[#This Row],[活跃高战玩家数]]+表1_86121822242672[[#This Row],[活跃中坚玩家数]])</f>
        <v>#N/A</v>
      </c>
      <c r="G41" s="20" t="e">
        <f>(VLOOKUP(表1_86121822242672[[#This Row],[目标区服]],$R$80:$S$83,2,FALSE)-表1_86121822242672[[#This Row],[开服天数]])*配置!$B$2</f>
        <v>#N/A</v>
      </c>
      <c r="H41" s="19" t="s">
        <v>25</v>
      </c>
      <c r="I41" s="19">
        <f>IF(表1_86121822242672[[#This Row],[原国家]]="魏",0,IF(表1_86121822242672[[#This Row],[原国家]]="蜀",1,2))</f>
        <v>0</v>
      </c>
      <c r="J41" s="20"/>
      <c r="K41" s="20"/>
      <c r="L41" s="20"/>
      <c r="M41" s="20"/>
      <c r="N41" s="20"/>
      <c r="O41" s="20"/>
      <c r="P41" s="26"/>
      <c r="Q41" s="31" t="s">
        <v>25</v>
      </c>
      <c r="R41" s="19">
        <f>IF(表1_86121822242672[[#This Row],[目标国家]]="魏",0,IF(表1_86121822242672[[#This Row],[目标国家]]="蜀",1,2))</f>
        <v>0</v>
      </c>
      <c r="S41" s="20"/>
      <c r="T41" s="20"/>
      <c r="U41" s="20"/>
      <c r="V41" s="20"/>
      <c r="W41" s="32"/>
      <c r="X41" s="33" t="e">
        <f>"{"&amp;"'coin':"&amp;表1_86121822242672[[#This Row],[补偿Coin]]&amp;",'"&amp;配置!$A$2&amp;"':"&amp;表1_86121822242672[[#This Row],[补偿辎重]]&amp;"},"</f>
        <v>#N/A</v>
      </c>
      <c r="Y41" s="34" t="str">
        <f>"      '"&amp;表1_86121822242672[[#This Row],[区服]]&amp;"':{"</f>
        <v>      '':{</v>
      </c>
    </row>
    <row r="42" s="2" customFormat="1" ht="14.25" customHeight="1" spans="1:25">
      <c r="A42" s="17"/>
      <c r="B42" s="17" t="e">
        <f>VLOOKUP(表1_86121822242672[[#This Row],[区服]],$P$80:$Q$87,2,FALSE)</f>
        <v>#N/A</v>
      </c>
      <c r="C42" s="18"/>
      <c r="D42" s="19" t="str">
        <f>表1_86121822242672[[#This Row],[目标国家]]</f>
        <v>蜀</v>
      </c>
      <c r="E42" s="12" t="e">
        <f>(VLOOKUP(表1_86121822242672[[#This Row],[目标区服]],$R$80:$S$91,2,FALSE)-表1_86121822242672[[#This Row],[开服天数]])*配置!$B$1</f>
        <v>#N/A</v>
      </c>
      <c r="F42" s="20" t="e">
        <f>表1_86121822242672[[#This Row],[补偿Coin]]*(表1_86121822242672[[#This Row],[活跃高战玩家数]]+表1_86121822242672[[#This Row],[活跃中坚玩家数]])</f>
        <v>#N/A</v>
      </c>
      <c r="G42" s="20" t="e">
        <f>(VLOOKUP(表1_86121822242672[[#This Row],[目标区服]],$R$80:$S$83,2,FALSE)-表1_86121822242672[[#This Row],[开服天数]])*配置!$B$2</f>
        <v>#N/A</v>
      </c>
      <c r="H42" s="19" t="s">
        <v>26</v>
      </c>
      <c r="I42" s="19">
        <f>IF(表1_86121822242672[[#This Row],[原国家]]="魏",0,IF(表1_86121822242672[[#This Row],[原国家]]="蜀",1,2))</f>
        <v>1</v>
      </c>
      <c r="J42" s="20"/>
      <c r="K42" s="20"/>
      <c r="L42" s="20"/>
      <c r="M42" s="20"/>
      <c r="N42" s="20"/>
      <c r="O42" s="20"/>
      <c r="P42" s="26"/>
      <c r="Q42" s="31" t="s">
        <v>26</v>
      </c>
      <c r="R42" s="19">
        <f>IF(表1_86121822242672[[#This Row],[目标国家]]="魏",0,IF(表1_86121822242672[[#This Row],[目标国家]]="蜀",1,2))</f>
        <v>1</v>
      </c>
      <c r="S42" s="20"/>
      <c r="T42" s="20"/>
      <c r="U42" s="20"/>
      <c r="V42" s="20"/>
      <c r="W42" s="32"/>
      <c r="X42" s="33" t="e">
        <f>"{"&amp;"'coin':"&amp;表1_86121822242672[[#This Row],[补偿Coin]]&amp;",'"&amp;配置!$A$2&amp;"':"&amp;表1_86121822242672[[#This Row],[补偿辎重]]&amp;"},"</f>
        <v>#N/A</v>
      </c>
      <c r="Y42" s="34" t="e">
        <f>"            'to_zone':'"&amp;表1_86121822242672[[#This Row],[目标区服]]&amp;"',
            'reward':"&amp;表1_86121822242672[[#This Row],[辅助导出]]&amp;"
            'country':["&amp;R41&amp;","&amp;R42&amp;","&amp;R43&amp;"],"</f>
        <v>#N/A</v>
      </c>
    </row>
    <row r="43" s="2" customFormat="1" ht="14.25" customHeight="1" spans="1:25">
      <c r="A43" s="17"/>
      <c r="B43" s="17" t="e">
        <f>VLOOKUP(表1_86121822242672[[#This Row],[区服]],$P$80:$Q$87,2,FALSE)</f>
        <v>#N/A</v>
      </c>
      <c r="C43" s="18"/>
      <c r="D43" s="19" t="str">
        <f>表1_86121822242672[[#This Row],[目标国家]]</f>
        <v>吴</v>
      </c>
      <c r="E43" s="12" t="e">
        <f>(VLOOKUP(表1_86121822242672[[#This Row],[目标区服]],$R$80:$S$91,2,FALSE)-表1_86121822242672[[#This Row],[开服天数]])*配置!$B$1</f>
        <v>#N/A</v>
      </c>
      <c r="F43" s="20" t="e">
        <f>表1_86121822242672[[#This Row],[补偿Coin]]*(表1_86121822242672[[#This Row],[活跃高战玩家数]]+表1_86121822242672[[#This Row],[活跃中坚玩家数]])</f>
        <v>#N/A</v>
      </c>
      <c r="G43" s="20" t="e">
        <f>(VLOOKUP(表1_86121822242672[[#This Row],[目标区服]],$R$80:$S$83,2,FALSE)-表1_86121822242672[[#This Row],[开服天数]])*配置!$B$2</f>
        <v>#N/A</v>
      </c>
      <c r="H43" s="19" t="s">
        <v>27</v>
      </c>
      <c r="I43" s="19">
        <f>IF(表1_86121822242672[[#This Row],[原国家]]="魏",0,IF(表1_86121822242672[[#This Row],[原国家]]="蜀",1,2))</f>
        <v>2</v>
      </c>
      <c r="J43" s="20"/>
      <c r="K43" s="20"/>
      <c r="L43" s="20"/>
      <c r="M43" s="20"/>
      <c r="N43" s="20"/>
      <c r="O43" s="20"/>
      <c r="P43" s="26"/>
      <c r="Q43" s="31" t="s">
        <v>27</v>
      </c>
      <c r="R43" s="19">
        <f>IF(表1_86121822242672[[#This Row],[目标国家]]="魏",0,IF(表1_86121822242672[[#This Row],[目标国家]]="蜀",1,2))</f>
        <v>2</v>
      </c>
      <c r="S43" s="20"/>
      <c r="T43" s="20"/>
      <c r="U43" s="20"/>
      <c r="V43" s="20"/>
      <c r="W43" s="32"/>
      <c r="X43" s="33" t="e">
        <f>"{"&amp;"'coin':"&amp;表1_86121822242672[[#This Row],[补偿Coin]]&amp;",'"&amp;配置!$A$2&amp;"':"&amp;表1_86121822242672[[#This Row],[补偿辎重]]&amp;"},"</f>
        <v>#N/A</v>
      </c>
      <c r="Y43" s="34" t="str">
        <f>"      },"</f>
        <v>      },</v>
      </c>
    </row>
    <row r="44" ht="14.25" customHeight="1" spans="1:25">
      <c r="A44" s="17"/>
      <c r="B44" s="17" t="e">
        <f>VLOOKUP(表1_86121822242672[[#This Row],[区服]],$P$80:$Q$87,2,FALSE)</f>
        <v>#N/A</v>
      </c>
      <c r="C44" s="18"/>
      <c r="D44" s="19" t="str">
        <f>表1_86121822242672[[#This Row],[目标国家]]</f>
        <v>魏</v>
      </c>
      <c r="E44" s="12" t="e">
        <f>(VLOOKUP(表1_86121822242672[[#This Row],[目标区服]],$R$80:$S$91,2,FALSE)-表1_86121822242672[[#This Row],[开服天数]])*配置!$B$1</f>
        <v>#N/A</v>
      </c>
      <c r="F44" s="20" t="e">
        <f>表1_86121822242672[[#This Row],[补偿Coin]]*(表1_86121822242672[[#This Row],[活跃高战玩家数]]+表1_86121822242672[[#This Row],[活跃中坚玩家数]])</f>
        <v>#N/A</v>
      </c>
      <c r="G44" s="20" t="e">
        <f>(VLOOKUP(表1_86121822242672[[#This Row],[目标区服]],$R$80:$S$83,2,FALSE)-表1_86121822242672[[#This Row],[开服天数]])*配置!$B$2</f>
        <v>#N/A</v>
      </c>
      <c r="H44" s="19" t="s">
        <v>25</v>
      </c>
      <c r="I44" s="19">
        <f>IF(表1_86121822242672[[#This Row],[原国家]]="魏",0,IF(表1_86121822242672[[#This Row],[原国家]]="蜀",1,2))</f>
        <v>0</v>
      </c>
      <c r="J44" s="20"/>
      <c r="K44" s="20"/>
      <c r="L44" s="20"/>
      <c r="M44" s="20"/>
      <c r="N44" s="20"/>
      <c r="O44" s="20"/>
      <c r="P44" s="26"/>
      <c r="Q44" s="31" t="s">
        <v>25</v>
      </c>
      <c r="R44" s="19">
        <f>IF(表1_86121822242672[[#This Row],[目标国家]]="魏",0,IF(表1_86121822242672[[#This Row],[目标国家]]="蜀",1,2))</f>
        <v>0</v>
      </c>
      <c r="S44" s="20"/>
      <c r="T44" s="20"/>
      <c r="U44" s="20"/>
      <c r="V44" s="20"/>
      <c r="W44" s="32"/>
      <c r="X44" s="33" t="e">
        <f>"{"&amp;"'coin':"&amp;表1_86121822242672[[#This Row],[补偿Coin]]&amp;",'"&amp;配置!$A$2&amp;"':"&amp;表1_86121822242672[[#This Row],[补偿辎重]]&amp;"},"</f>
        <v>#N/A</v>
      </c>
      <c r="Y44" s="34" t="str">
        <f>"      '"&amp;表1_86121822242672[[#This Row],[区服]]&amp;"':{"</f>
        <v>      '':{</v>
      </c>
    </row>
    <row r="45" ht="14.25" customHeight="1" spans="1:25">
      <c r="A45" s="17"/>
      <c r="B45" s="17" t="e">
        <f>VLOOKUP(表1_86121822242672[[#This Row],[区服]],$P$80:$Q$87,2,FALSE)</f>
        <v>#N/A</v>
      </c>
      <c r="C45" s="18"/>
      <c r="D45" s="19" t="str">
        <f>表1_86121822242672[[#This Row],[目标国家]]</f>
        <v>蜀</v>
      </c>
      <c r="E45" s="12" t="e">
        <f>(VLOOKUP(表1_86121822242672[[#This Row],[目标区服]],$R$80:$S$91,2,FALSE)-表1_86121822242672[[#This Row],[开服天数]])*配置!$B$1</f>
        <v>#N/A</v>
      </c>
      <c r="F45" s="20" t="e">
        <f>表1_86121822242672[[#This Row],[补偿Coin]]*(表1_86121822242672[[#This Row],[活跃高战玩家数]]+表1_86121822242672[[#This Row],[活跃中坚玩家数]])</f>
        <v>#N/A</v>
      </c>
      <c r="G45" s="20" t="e">
        <f>(VLOOKUP(表1_86121822242672[[#This Row],[目标区服]],$R$80:$S$83,2,FALSE)-表1_86121822242672[[#This Row],[开服天数]])*配置!$B$2</f>
        <v>#N/A</v>
      </c>
      <c r="H45" s="19" t="s">
        <v>26</v>
      </c>
      <c r="I45" s="19">
        <f>IF(表1_86121822242672[[#This Row],[原国家]]="魏",0,IF(表1_86121822242672[[#This Row],[原国家]]="蜀",1,2))</f>
        <v>1</v>
      </c>
      <c r="J45" s="20"/>
      <c r="K45" s="20"/>
      <c r="L45" s="20"/>
      <c r="M45" s="20"/>
      <c r="N45" s="20"/>
      <c r="O45" s="20"/>
      <c r="P45" s="26"/>
      <c r="Q45" s="31" t="s">
        <v>26</v>
      </c>
      <c r="R45" s="19">
        <f>IF(表1_86121822242672[[#This Row],[目标国家]]="魏",0,IF(表1_86121822242672[[#This Row],[目标国家]]="蜀",1,2))</f>
        <v>1</v>
      </c>
      <c r="S45" s="20"/>
      <c r="T45" s="20"/>
      <c r="U45" s="20"/>
      <c r="V45" s="20"/>
      <c r="W45" s="32"/>
      <c r="X45" s="33" t="e">
        <f>"{"&amp;"'coin':"&amp;表1_86121822242672[[#This Row],[补偿Coin]]&amp;",'"&amp;配置!$A$2&amp;"':"&amp;表1_86121822242672[[#This Row],[补偿辎重]]&amp;"},"</f>
        <v>#N/A</v>
      </c>
      <c r="Y45" s="34" t="e">
        <f>"            'to_zone':'"&amp;表1_86121822242672[[#This Row],[目标区服]]&amp;"',
            'reward':"&amp;表1_86121822242672[[#This Row],[辅助导出]]&amp;"
            'country':["&amp;R44&amp;","&amp;R45&amp;","&amp;R70&amp;"],"</f>
        <v>#N/A</v>
      </c>
    </row>
    <row r="46" ht="14.25" customHeight="1" spans="1:25">
      <c r="A46" s="17"/>
      <c r="B46" s="17" t="e">
        <f>VLOOKUP(表1_86121822242672[[#This Row],[区服]],$P$80:$Q$87,2,FALSE)</f>
        <v>#N/A</v>
      </c>
      <c r="C46" s="18"/>
      <c r="D46" s="19" t="str">
        <f>表1_86121822242672[[#This Row],[目标国家]]</f>
        <v>吴</v>
      </c>
      <c r="E46" s="12" t="e">
        <f>(VLOOKUP(表1_86121822242672[[#This Row],[目标区服]],$R$80:$S$91,2,FALSE)-表1_86121822242672[[#This Row],[开服天数]])*配置!$B$1</f>
        <v>#N/A</v>
      </c>
      <c r="F46" s="20" t="e">
        <f>表1_86121822242672[[#This Row],[补偿Coin]]*(表1_86121822242672[[#This Row],[活跃高战玩家数]]+表1_86121822242672[[#This Row],[活跃中坚玩家数]])</f>
        <v>#N/A</v>
      </c>
      <c r="G46" s="20" t="e">
        <f>(VLOOKUP(表1_86121822242672[[#This Row],[目标区服]],$R$80:$S$83,2,FALSE)-表1_86121822242672[[#This Row],[开服天数]])*配置!$B$2</f>
        <v>#N/A</v>
      </c>
      <c r="H46" s="19" t="s">
        <v>27</v>
      </c>
      <c r="I46" s="19">
        <f>IF(表1_86121822242672[[#This Row],[原国家]]="魏",0,IF(表1_86121822242672[[#This Row],[原国家]]="蜀",1,2))</f>
        <v>2</v>
      </c>
      <c r="J46" s="20"/>
      <c r="K46" s="20"/>
      <c r="L46" s="20"/>
      <c r="M46" s="20"/>
      <c r="N46" s="20"/>
      <c r="O46" s="20"/>
      <c r="P46" s="26"/>
      <c r="Q46" s="31" t="s">
        <v>27</v>
      </c>
      <c r="R46" s="19">
        <f>IF(表1_86121822242672[[#This Row],[目标国家]]="魏",0,IF(表1_86121822242672[[#This Row],[目标国家]]="蜀",1,2))</f>
        <v>2</v>
      </c>
      <c r="S46" s="20"/>
      <c r="T46" s="20"/>
      <c r="U46" s="20"/>
      <c r="V46" s="20"/>
      <c r="W46" s="32"/>
      <c r="X46" s="33" t="e">
        <f>"{"&amp;"'coin':"&amp;表1_86121822242672[[#This Row],[补偿Coin]]&amp;",'"&amp;配置!$A$2&amp;"':"&amp;表1_86121822242672[[#This Row],[补偿辎重]]&amp;"},"</f>
        <v>#N/A</v>
      </c>
      <c r="Y46" s="34" t="str">
        <f>"      },"</f>
        <v>      },</v>
      </c>
    </row>
    <row r="47" ht="14.25" customHeight="1" spans="1:25">
      <c r="A47" s="17"/>
      <c r="B47" s="17" t="e">
        <f>VLOOKUP(表1_86121822242672[[#This Row],[区服]],$P$80:$Q$87,2,FALSE)</f>
        <v>#N/A</v>
      </c>
      <c r="C47" s="21"/>
      <c r="D47" s="19" t="str">
        <f>表1_86121822242672[[#This Row],[目标国家]]</f>
        <v>魏</v>
      </c>
      <c r="E47" s="12" t="e">
        <f>(VLOOKUP(表1_86121822242672[[#This Row],[目标区服]],$R$80:$S$91,2,FALSE)-表1_86121822242672[[#This Row],[开服天数]])*配置!$B$1</f>
        <v>#N/A</v>
      </c>
      <c r="F47" s="20" t="e">
        <f>表1_86121822242672[[#This Row],[补偿Coin]]*(表1_86121822242672[[#This Row],[活跃高战玩家数]]+表1_86121822242672[[#This Row],[活跃中坚玩家数]])</f>
        <v>#N/A</v>
      </c>
      <c r="G47" s="20" t="e">
        <f>(VLOOKUP(表1_86121822242672[[#This Row],[目标区服]],$R$80:$S$83,2,FALSE)-表1_86121822242672[[#This Row],[开服天数]])*配置!$B$2</f>
        <v>#N/A</v>
      </c>
      <c r="H47" s="19" t="s">
        <v>25</v>
      </c>
      <c r="I47" s="19">
        <f>IF(表1_86121822242672[[#This Row],[原国家]]="魏",0,IF(表1_86121822242672[[#This Row],[原国家]]="蜀",1,2))</f>
        <v>0</v>
      </c>
      <c r="J47" s="20"/>
      <c r="K47" s="20"/>
      <c r="L47" s="20"/>
      <c r="M47" s="20"/>
      <c r="N47" s="20"/>
      <c r="O47" s="20"/>
      <c r="P47" s="26"/>
      <c r="Q47" s="31" t="s">
        <v>25</v>
      </c>
      <c r="R47" s="19">
        <f>IF(表1_86121822242672[[#This Row],[目标国家]]="魏",0,IF(表1_86121822242672[[#This Row],[目标国家]]="蜀",1,2))</f>
        <v>0</v>
      </c>
      <c r="S47" s="20"/>
      <c r="T47" s="20"/>
      <c r="U47" s="20"/>
      <c r="V47" s="20"/>
      <c r="W47" s="32"/>
      <c r="X47" s="34" t="e">
        <f>"{"&amp;"'coin':"&amp;表1_86121822242672[[#This Row],[补偿Coin]]&amp;",'"&amp;配置!$A$2&amp;"':"&amp;表1_86121822242672[[#This Row],[补偿辎重]]&amp;"},"</f>
        <v>#N/A</v>
      </c>
      <c r="Y47" s="34" t="str">
        <f>"      '"&amp;表1_86121822242672[[#This Row],[区服]]&amp;"':{"</f>
        <v>      '':{</v>
      </c>
    </row>
    <row r="48" ht="14.25" customHeight="1" spans="1:25">
      <c r="A48" s="17"/>
      <c r="B48" s="17" t="e">
        <f>VLOOKUP(表1_86121822242672[[#This Row],[区服]],$P$80:$Q$87,2,FALSE)</f>
        <v>#N/A</v>
      </c>
      <c r="C48" s="21"/>
      <c r="D48" s="19" t="str">
        <f>表1_86121822242672[[#This Row],[目标国家]]</f>
        <v>蜀</v>
      </c>
      <c r="E48" s="12" t="e">
        <f>(VLOOKUP(表1_86121822242672[[#This Row],[目标区服]],$R$80:$S$91,2,FALSE)-表1_86121822242672[[#This Row],[开服天数]])*配置!$B$1</f>
        <v>#N/A</v>
      </c>
      <c r="F48" s="20" t="e">
        <f>表1_86121822242672[[#This Row],[补偿Coin]]*(表1_86121822242672[[#This Row],[活跃高战玩家数]]+表1_86121822242672[[#This Row],[活跃中坚玩家数]])</f>
        <v>#N/A</v>
      </c>
      <c r="G48" s="20" t="e">
        <f>(VLOOKUP(表1_86121822242672[[#This Row],[目标区服]],$R$80:$S$83,2,FALSE)-表1_86121822242672[[#This Row],[开服天数]])*配置!$B$2</f>
        <v>#N/A</v>
      </c>
      <c r="H48" s="19" t="s">
        <v>26</v>
      </c>
      <c r="I48" s="19">
        <f>IF(表1_86121822242672[[#This Row],[原国家]]="魏",0,IF(表1_86121822242672[[#This Row],[原国家]]="蜀",1,2))</f>
        <v>1</v>
      </c>
      <c r="J48" s="20"/>
      <c r="K48" s="20"/>
      <c r="L48" s="20"/>
      <c r="M48" s="20"/>
      <c r="N48" s="20"/>
      <c r="O48" s="20"/>
      <c r="P48" s="26"/>
      <c r="Q48" s="31" t="s">
        <v>26</v>
      </c>
      <c r="R48" s="19">
        <f>IF(表1_86121822242672[[#This Row],[目标国家]]="魏",0,IF(表1_86121822242672[[#This Row],[目标国家]]="蜀",1,2))</f>
        <v>1</v>
      </c>
      <c r="S48" s="20"/>
      <c r="T48" s="20"/>
      <c r="U48" s="20"/>
      <c r="V48" s="20"/>
      <c r="W48" s="20"/>
      <c r="X48" s="34" t="e">
        <f>"{"&amp;"'coin':"&amp;表1_86121822242672[[#This Row],[补偿Coin]]&amp;",'"&amp;配置!$A$2&amp;"':"&amp;表1_86121822242672[[#This Row],[补偿辎重]]&amp;"},"</f>
        <v>#N/A</v>
      </c>
      <c r="Y48" s="34" t="e">
        <f>"            'to_zone':'"&amp;表1_86121822242672[[#This Row],[目标区服]]&amp;"',
            'reward':"&amp;表1_86121822242672[[#This Row],[辅助导出]]&amp;"
            'country':["&amp;R47&amp;","&amp;R48&amp;","&amp;R49&amp;"],"</f>
        <v>#N/A</v>
      </c>
    </row>
    <row r="49" ht="14.25" customHeight="1" spans="1:25">
      <c r="A49" s="17"/>
      <c r="B49" s="17" t="e">
        <f>VLOOKUP(表1_86121822242672[[#This Row],[区服]],$P$80:$Q$87,2,FALSE)</f>
        <v>#N/A</v>
      </c>
      <c r="C49" s="18"/>
      <c r="D49" s="19" t="str">
        <f>表1_86121822242672[[#This Row],[目标国家]]</f>
        <v>吴</v>
      </c>
      <c r="E49" s="12" t="e">
        <f>(VLOOKUP(表1_86121822242672[[#This Row],[目标区服]],$R$80:$S$91,2,FALSE)-表1_86121822242672[[#This Row],[开服天数]])*配置!$B$1</f>
        <v>#N/A</v>
      </c>
      <c r="F49" s="20" t="e">
        <f>表1_86121822242672[[#This Row],[补偿Coin]]*(表1_86121822242672[[#This Row],[活跃高战玩家数]]+表1_86121822242672[[#This Row],[活跃中坚玩家数]])</f>
        <v>#N/A</v>
      </c>
      <c r="G49" s="20" t="e">
        <f>(VLOOKUP(表1_86121822242672[[#This Row],[目标区服]],$R$80:$S$83,2,FALSE)-表1_86121822242672[[#This Row],[开服天数]])*配置!$B$2</f>
        <v>#N/A</v>
      </c>
      <c r="H49" s="19" t="s">
        <v>27</v>
      </c>
      <c r="I49" s="19">
        <f>IF(表1_86121822242672[[#This Row],[原国家]]="魏",0,IF(表1_86121822242672[[#This Row],[原国家]]="蜀",1,2))</f>
        <v>2</v>
      </c>
      <c r="J49" s="20"/>
      <c r="K49" s="20"/>
      <c r="L49" s="20"/>
      <c r="M49" s="20"/>
      <c r="N49" s="20"/>
      <c r="O49" s="20"/>
      <c r="P49" s="26"/>
      <c r="Q49" s="31" t="s">
        <v>27</v>
      </c>
      <c r="R49" s="19">
        <f>IF(表1_86121822242672[[#This Row],[目标国家]]="魏",0,IF(表1_86121822242672[[#This Row],[目标国家]]="蜀",1,2))</f>
        <v>2</v>
      </c>
      <c r="S49" s="20"/>
      <c r="T49" s="20"/>
      <c r="U49" s="20"/>
      <c r="V49" s="20"/>
      <c r="W49" s="32"/>
      <c r="X49" s="33" t="e">
        <f>"{"&amp;"'coin':"&amp;表1_86121822242672[[#This Row],[补偿Coin]]&amp;",'"&amp;配置!$A$2&amp;"':"&amp;表1_86121822242672[[#This Row],[补偿辎重]]&amp;"},"</f>
        <v>#N/A</v>
      </c>
      <c r="Y49" s="34" t="str">
        <f>"      },"</f>
        <v>      },</v>
      </c>
    </row>
    <row r="50" ht="14.25" customHeight="1" spans="1:25">
      <c r="A50" s="17"/>
      <c r="B50" s="17" t="e">
        <f>VLOOKUP(表1_86121822242672[[#This Row],[区服]],$P$80:$Q$87,2,FALSE)</f>
        <v>#N/A</v>
      </c>
      <c r="C50" s="21"/>
      <c r="D50" s="19" t="str">
        <f>表1_86121822242672[[#This Row],[目标国家]]</f>
        <v>魏</v>
      </c>
      <c r="E50" s="12" t="e">
        <f>(VLOOKUP(表1_86121822242672[[#This Row],[目标区服]],$R$80:$S$91,2,FALSE)-表1_86121822242672[[#This Row],[开服天数]])*配置!$B$1</f>
        <v>#N/A</v>
      </c>
      <c r="F50" s="20" t="e">
        <f>表1_86121822242672[[#This Row],[补偿Coin]]*(表1_86121822242672[[#This Row],[活跃高战玩家数]]+表1_86121822242672[[#This Row],[活跃中坚玩家数]])</f>
        <v>#N/A</v>
      </c>
      <c r="G50" s="20" t="e">
        <f>(VLOOKUP(表1_86121822242672[[#This Row],[目标区服]],$R$80:$S$83,2,FALSE)-表1_86121822242672[[#This Row],[开服天数]])*配置!$B$2</f>
        <v>#N/A</v>
      </c>
      <c r="H50" s="19" t="s">
        <v>25</v>
      </c>
      <c r="I50" s="19">
        <f>IF(表1_86121822242672[[#This Row],[原国家]]="魏",0,IF(表1_86121822242672[[#This Row],[原国家]]="蜀",1,2))</f>
        <v>0</v>
      </c>
      <c r="J50" s="20"/>
      <c r="K50" s="20"/>
      <c r="L50" s="20"/>
      <c r="M50" s="20"/>
      <c r="N50" s="20"/>
      <c r="O50" s="20"/>
      <c r="P50" s="26"/>
      <c r="Q50" s="31" t="s">
        <v>25</v>
      </c>
      <c r="R50" s="19">
        <f>IF(表1_86121822242672[[#This Row],[目标国家]]="魏",0,IF(表1_86121822242672[[#This Row],[目标国家]]="蜀",1,2))</f>
        <v>0</v>
      </c>
      <c r="S50" s="20"/>
      <c r="T50" s="20"/>
      <c r="U50" s="20"/>
      <c r="V50" s="20"/>
      <c r="W50" s="32"/>
      <c r="X50" s="34" t="e">
        <f>"{"&amp;"'coin':"&amp;表1_86121822242672[[#This Row],[补偿Coin]]&amp;",'"&amp;配置!$A$2&amp;"':"&amp;表1_86121822242672[[#This Row],[补偿辎重]]&amp;"},"</f>
        <v>#N/A</v>
      </c>
      <c r="Y50" s="34" t="str">
        <f>"      '"&amp;表1_86121822242672[[#This Row],[区服]]&amp;"':{"</f>
        <v>      '':{</v>
      </c>
    </row>
    <row r="51" ht="14.25" customHeight="1" spans="1:25">
      <c r="A51" s="17"/>
      <c r="B51" s="17" t="e">
        <f>VLOOKUP(表1_86121822242672[[#This Row],[区服]],$P$80:$Q$87,2,FALSE)</f>
        <v>#N/A</v>
      </c>
      <c r="C51" s="21"/>
      <c r="D51" s="19" t="str">
        <f>表1_86121822242672[[#This Row],[目标国家]]</f>
        <v>蜀</v>
      </c>
      <c r="E51" s="12" t="e">
        <f>(VLOOKUP(表1_86121822242672[[#This Row],[目标区服]],$R$80:$S$91,2,FALSE)-表1_86121822242672[[#This Row],[开服天数]])*配置!$B$1</f>
        <v>#N/A</v>
      </c>
      <c r="F51" s="20" t="e">
        <f>表1_86121822242672[[#This Row],[补偿Coin]]*(表1_86121822242672[[#This Row],[活跃高战玩家数]]+表1_86121822242672[[#This Row],[活跃中坚玩家数]])</f>
        <v>#N/A</v>
      </c>
      <c r="G51" s="20" t="e">
        <f>(VLOOKUP(表1_86121822242672[[#This Row],[目标区服]],$R$80:$S$83,2,FALSE)-表1_86121822242672[[#This Row],[开服天数]])*配置!$B$2</f>
        <v>#N/A</v>
      </c>
      <c r="H51" s="19" t="s">
        <v>26</v>
      </c>
      <c r="I51" s="19">
        <f>IF(表1_86121822242672[[#This Row],[原国家]]="魏",0,IF(表1_86121822242672[[#This Row],[原国家]]="蜀",1,2))</f>
        <v>1</v>
      </c>
      <c r="J51" s="20"/>
      <c r="K51" s="20"/>
      <c r="L51" s="20"/>
      <c r="M51" s="20"/>
      <c r="N51" s="20"/>
      <c r="O51" s="20"/>
      <c r="P51" s="26"/>
      <c r="Q51" s="31" t="s">
        <v>26</v>
      </c>
      <c r="R51" s="19">
        <f>IF(表1_86121822242672[[#This Row],[目标国家]]="魏",0,IF(表1_86121822242672[[#This Row],[目标国家]]="蜀",1,2))</f>
        <v>1</v>
      </c>
      <c r="S51" s="20"/>
      <c r="T51" s="20"/>
      <c r="U51" s="20"/>
      <c r="V51" s="20"/>
      <c r="W51" s="20"/>
      <c r="X51" s="34" t="e">
        <f>"{"&amp;"'coin':"&amp;表1_86121822242672[[#This Row],[补偿Coin]]&amp;",'"&amp;配置!$A$2&amp;"':"&amp;表1_86121822242672[[#This Row],[补偿辎重]]&amp;"},"</f>
        <v>#N/A</v>
      </c>
      <c r="Y51" s="34" t="e">
        <f>"            'to_zone':'"&amp;表1_86121822242672[[#This Row],[目标区服]]&amp;"',
            'reward':"&amp;表1_86121822242672[[#This Row],[辅助导出]]&amp;"
            'country':["&amp;R50&amp;","&amp;R51&amp;","&amp;R52&amp;"],"</f>
        <v>#N/A</v>
      </c>
    </row>
    <row r="52" ht="14.25" customHeight="1" spans="1:25">
      <c r="A52" s="17"/>
      <c r="B52" s="17" t="e">
        <f>VLOOKUP(表1_86121822242672[[#This Row],[区服]],$P$80:$Q$87,2,FALSE)</f>
        <v>#N/A</v>
      </c>
      <c r="C52" s="18"/>
      <c r="D52" s="19" t="str">
        <f>表1_86121822242672[[#This Row],[目标国家]]</f>
        <v>吴</v>
      </c>
      <c r="E52" s="12" t="e">
        <f>(VLOOKUP(表1_86121822242672[[#This Row],[目标区服]],$R$80:$S$91,2,FALSE)-表1_86121822242672[[#This Row],[开服天数]])*配置!$B$1</f>
        <v>#N/A</v>
      </c>
      <c r="F52" s="20" t="e">
        <f>表1_86121822242672[[#This Row],[补偿Coin]]*(表1_86121822242672[[#This Row],[活跃高战玩家数]]+表1_86121822242672[[#This Row],[活跃中坚玩家数]])</f>
        <v>#N/A</v>
      </c>
      <c r="G52" s="20" t="e">
        <f>(VLOOKUP(表1_86121822242672[[#This Row],[目标区服]],$R$80:$S$83,2,FALSE)-表1_86121822242672[[#This Row],[开服天数]])*配置!$B$2</f>
        <v>#N/A</v>
      </c>
      <c r="H52" s="19" t="s">
        <v>27</v>
      </c>
      <c r="I52" s="19">
        <f>IF(表1_86121822242672[[#This Row],[原国家]]="魏",0,IF(表1_86121822242672[[#This Row],[原国家]]="蜀",1,2))</f>
        <v>2</v>
      </c>
      <c r="J52" s="20"/>
      <c r="K52" s="20"/>
      <c r="L52" s="20"/>
      <c r="M52" s="20"/>
      <c r="N52" s="20"/>
      <c r="O52" s="20"/>
      <c r="P52" s="26"/>
      <c r="Q52" s="31" t="s">
        <v>27</v>
      </c>
      <c r="R52" s="19">
        <f>IF(表1_86121822242672[[#This Row],[目标国家]]="魏",0,IF(表1_86121822242672[[#This Row],[目标国家]]="蜀",1,2))</f>
        <v>2</v>
      </c>
      <c r="S52" s="20"/>
      <c r="T52" s="20"/>
      <c r="U52" s="20"/>
      <c r="V52" s="20"/>
      <c r="W52" s="32"/>
      <c r="X52" s="33" t="e">
        <f>"{"&amp;"'coin':"&amp;表1_86121822242672[[#This Row],[补偿Coin]]&amp;",'"&amp;配置!$A$2&amp;"':"&amp;表1_86121822242672[[#This Row],[补偿辎重]]&amp;"},"</f>
        <v>#N/A</v>
      </c>
      <c r="Y52" s="34" t="str">
        <f>"      },"</f>
        <v>      },</v>
      </c>
    </row>
    <row r="53" ht="14.25" customHeight="1" spans="1:25">
      <c r="A53" s="17"/>
      <c r="B53" s="17" t="e">
        <f>VLOOKUP(表1_86121822242672[[#This Row],[区服]],$P$80:$Q$87,2,FALSE)</f>
        <v>#N/A</v>
      </c>
      <c r="C53" s="21"/>
      <c r="D53" s="19" t="str">
        <f>表1_86121822242672[[#This Row],[目标国家]]</f>
        <v>魏</v>
      </c>
      <c r="E53" s="12" t="e">
        <f>(VLOOKUP(表1_86121822242672[[#This Row],[目标区服]],$R$80:$S$91,2,FALSE)-表1_86121822242672[[#This Row],[开服天数]])*配置!$B$1</f>
        <v>#N/A</v>
      </c>
      <c r="F53" s="20" t="e">
        <f>表1_86121822242672[[#This Row],[补偿Coin]]*(表1_86121822242672[[#This Row],[活跃高战玩家数]]+表1_86121822242672[[#This Row],[活跃中坚玩家数]])</f>
        <v>#N/A</v>
      </c>
      <c r="G53" s="20" t="e">
        <f>(VLOOKUP(表1_86121822242672[[#This Row],[目标区服]],$R$80:$S$83,2,FALSE)-表1_86121822242672[[#This Row],[开服天数]])*配置!$B$2</f>
        <v>#N/A</v>
      </c>
      <c r="H53" s="19" t="s">
        <v>25</v>
      </c>
      <c r="I53" s="19">
        <f>IF(表1_86121822242672[[#This Row],[原国家]]="魏",0,IF(表1_86121822242672[[#This Row],[原国家]]="蜀",1,2))</f>
        <v>0</v>
      </c>
      <c r="J53" s="20"/>
      <c r="K53" s="20"/>
      <c r="L53" s="20"/>
      <c r="M53" s="20"/>
      <c r="N53" s="20"/>
      <c r="O53" s="20"/>
      <c r="P53" s="26"/>
      <c r="Q53" s="31" t="s">
        <v>25</v>
      </c>
      <c r="R53" s="19">
        <f>IF(表1_86121822242672[[#This Row],[目标国家]]="魏",0,IF(表1_86121822242672[[#This Row],[目标国家]]="蜀",1,2))</f>
        <v>0</v>
      </c>
      <c r="S53" s="20"/>
      <c r="T53" s="20"/>
      <c r="U53" s="20"/>
      <c r="V53" s="20"/>
      <c r="W53" s="32"/>
      <c r="X53" s="34" t="e">
        <f>"{"&amp;"'coin':"&amp;表1_86121822242672[[#This Row],[补偿Coin]]&amp;",'"&amp;配置!$A$2&amp;"':"&amp;表1_86121822242672[[#This Row],[补偿辎重]]&amp;"},"</f>
        <v>#N/A</v>
      </c>
      <c r="Y53" s="34" t="str">
        <f>"      '"&amp;表1_86121822242672[[#This Row],[区服]]&amp;"':{"</f>
        <v>      '':{</v>
      </c>
    </row>
    <row r="54" ht="14.25" customHeight="1" spans="1:25">
      <c r="A54" s="17"/>
      <c r="B54" s="17" t="e">
        <f>VLOOKUP(表1_86121822242672[[#This Row],[区服]],$P$80:$Q$87,2,FALSE)</f>
        <v>#N/A</v>
      </c>
      <c r="C54" s="21"/>
      <c r="D54" s="19" t="str">
        <f>表1_86121822242672[[#This Row],[目标国家]]</f>
        <v>蜀</v>
      </c>
      <c r="E54" s="12" t="e">
        <f>(VLOOKUP(表1_86121822242672[[#This Row],[目标区服]],$R$80:$S$91,2,FALSE)-表1_86121822242672[[#This Row],[开服天数]])*配置!$B$1</f>
        <v>#N/A</v>
      </c>
      <c r="F54" s="20" t="e">
        <f>表1_86121822242672[[#This Row],[补偿Coin]]*(表1_86121822242672[[#This Row],[活跃高战玩家数]]+表1_86121822242672[[#This Row],[活跃中坚玩家数]])</f>
        <v>#N/A</v>
      </c>
      <c r="G54" s="20" t="e">
        <f>(VLOOKUP(表1_86121822242672[[#This Row],[目标区服]],$R$80:$S$83,2,FALSE)-表1_86121822242672[[#This Row],[开服天数]])*配置!$B$2</f>
        <v>#N/A</v>
      </c>
      <c r="H54" s="19" t="s">
        <v>26</v>
      </c>
      <c r="I54" s="19">
        <f>IF(表1_86121822242672[[#This Row],[原国家]]="魏",0,IF(表1_86121822242672[[#This Row],[原国家]]="蜀",1,2))</f>
        <v>1</v>
      </c>
      <c r="J54" s="20"/>
      <c r="K54" s="20"/>
      <c r="L54" s="20"/>
      <c r="M54" s="20"/>
      <c r="N54" s="20"/>
      <c r="O54" s="20"/>
      <c r="P54" s="26"/>
      <c r="Q54" s="31" t="s">
        <v>26</v>
      </c>
      <c r="R54" s="19">
        <f>IF(表1_86121822242672[[#This Row],[目标国家]]="魏",0,IF(表1_86121822242672[[#This Row],[目标国家]]="蜀",1,2))</f>
        <v>1</v>
      </c>
      <c r="S54" s="20"/>
      <c r="T54" s="20"/>
      <c r="U54" s="20"/>
      <c r="V54" s="20"/>
      <c r="W54" s="20"/>
      <c r="X54" s="34" t="e">
        <f>"{"&amp;"'coin':"&amp;表1_86121822242672[[#This Row],[补偿Coin]]&amp;",'"&amp;配置!$A$2&amp;"':"&amp;表1_86121822242672[[#This Row],[补偿辎重]]&amp;"},"</f>
        <v>#N/A</v>
      </c>
      <c r="Y54" s="34" t="e">
        <f>"            'to_zone':'"&amp;表1_86121822242672[[#This Row],[目标区服]]&amp;"',
            'reward':"&amp;表1_86121822242672[[#This Row],[辅助导出]]&amp;"
            'country':["&amp;R53&amp;","&amp;R54&amp;","&amp;R55&amp;"],"</f>
        <v>#N/A</v>
      </c>
    </row>
    <row r="55" ht="14.25" customHeight="1" spans="1:25">
      <c r="A55" s="17"/>
      <c r="B55" s="17" t="e">
        <f>VLOOKUP(表1_86121822242672[[#This Row],[区服]],$P$80:$Q$87,2,FALSE)</f>
        <v>#N/A</v>
      </c>
      <c r="C55" s="18"/>
      <c r="D55" s="19" t="str">
        <f>表1_86121822242672[[#This Row],[目标国家]]</f>
        <v>吴</v>
      </c>
      <c r="E55" s="12" t="e">
        <f>(VLOOKUP(表1_86121822242672[[#This Row],[目标区服]],$R$80:$S$91,2,FALSE)-表1_86121822242672[[#This Row],[开服天数]])*配置!$B$1</f>
        <v>#N/A</v>
      </c>
      <c r="F55" s="20" t="e">
        <f>表1_86121822242672[[#This Row],[补偿Coin]]*(表1_86121822242672[[#This Row],[活跃高战玩家数]]+表1_86121822242672[[#This Row],[活跃中坚玩家数]])</f>
        <v>#N/A</v>
      </c>
      <c r="G55" s="20" t="e">
        <f>(VLOOKUP(表1_86121822242672[[#This Row],[目标区服]],$R$80:$S$83,2,FALSE)-表1_86121822242672[[#This Row],[开服天数]])*配置!$B$2</f>
        <v>#N/A</v>
      </c>
      <c r="H55" s="19" t="s">
        <v>27</v>
      </c>
      <c r="I55" s="19">
        <f>IF(表1_86121822242672[[#This Row],[原国家]]="魏",0,IF(表1_86121822242672[[#This Row],[原国家]]="蜀",1,2))</f>
        <v>2</v>
      </c>
      <c r="J55" s="20"/>
      <c r="K55" s="20"/>
      <c r="L55" s="20"/>
      <c r="M55" s="20"/>
      <c r="N55" s="20"/>
      <c r="O55" s="20"/>
      <c r="P55" s="26"/>
      <c r="Q55" s="31" t="s">
        <v>27</v>
      </c>
      <c r="R55" s="19">
        <f>IF(表1_86121822242672[[#This Row],[目标国家]]="魏",0,IF(表1_86121822242672[[#This Row],[目标国家]]="蜀",1,2))</f>
        <v>2</v>
      </c>
      <c r="S55" s="20"/>
      <c r="T55" s="20"/>
      <c r="U55" s="20"/>
      <c r="V55" s="20"/>
      <c r="W55" s="32"/>
      <c r="X55" s="33" t="e">
        <f>"{"&amp;"'coin':"&amp;表1_86121822242672[[#This Row],[补偿Coin]]&amp;",'"&amp;配置!$A$2&amp;"':"&amp;表1_86121822242672[[#This Row],[补偿辎重]]&amp;"},"</f>
        <v>#N/A</v>
      </c>
      <c r="Y55" s="34" t="str">
        <f>"      },"</f>
        <v>      },</v>
      </c>
    </row>
    <row r="56" ht="14.25" customHeight="1" spans="1:25">
      <c r="A56" s="17"/>
      <c r="B56" s="17" t="e">
        <f>VLOOKUP(表1_86121822242672[[#This Row],[区服]],$P$80:$Q$87,2,FALSE)</f>
        <v>#N/A</v>
      </c>
      <c r="C56" s="21"/>
      <c r="D56" s="19" t="str">
        <f>表1_86121822242672[[#This Row],[目标国家]]</f>
        <v>魏</v>
      </c>
      <c r="E56" s="12" t="e">
        <f>(VLOOKUP(表1_86121822242672[[#This Row],[目标区服]],$R$80:$S$91,2,FALSE)-表1_86121822242672[[#This Row],[开服天数]])*配置!$B$1</f>
        <v>#N/A</v>
      </c>
      <c r="F56" s="20" t="e">
        <f>表1_86121822242672[[#This Row],[补偿Coin]]*(表1_86121822242672[[#This Row],[活跃高战玩家数]]+表1_86121822242672[[#This Row],[活跃中坚玩家数]])</f>
        <v>#N/A</v>
      </c>
      <c r="G56" s="20" t="e">
        <f>(VLOOKUP(表1_86121822242672[[#This Row],[目标区服]],$R$80:$S$83,2,FALSE)-表1_86121822242672[[#This Row],[开服天数]])*配置!$B$2</f>
        <v>#N/A</v>
      </c>
      <c r="H56" s="19" t="s">
        <v>25</v>
      </c>
      <c r="I56" s="19">
        <f>IF(表1_86121822242672[[#This Row],[原国家]]="魏",0,IF(表1_86121822242672[[#This Row],[原国家]]="蜀",1,2))</f>
        <v>0</v>
      </c>
      <c r="J56" s="20"/>
      <c r="K56" s="20"/>
      <c r="L56" s="20"/>
      <c r="M56" s="20"/>
      <c r="N56" s="20"/>
      <c r="O56" s="20"/>
      <c r="P56" s="26"/>
      <c r="Q56" s="31" t="s">
        <v>25</v>
      </c>
      <c r="R56" s="19">
        <f>IF(表1_86121822242672[[#This Row],[目标国家]]="魏",0,IF(表1_86121822242672[[#This Row],[目标国家]]="蜀",1,2))</f>
        <v>0</v>
      </c>
      <c r="S56" s="20"/>
      <c r="T56" s="20"/>
      <c r="U56" s="20"/>
      <c r="V56" s="20"/>
      <c r="W56" s="32"/>
      <c r="X56" s="34" t="e">
        <f>"{"&amp;"'coin':"&amp;表1_86121822242672[[#This Row],[补偿Coin]]&amp;",'"&amp;配置!$A$2&amp;"':"&amp;表1_86121822242672[[#This Row],[补偿辎重]]&amp;"},"</f>
        <v>#N/A</v>
      </c>
      <c r="Y56" s="34" t="str">
        <f>"      '"&amp;表1_86121822242672[[#This Row],[区服]]&amp;"':{"</f>
        <v>      '':{</v>
      </c>
    </row>
    <row r="57" ht="14.25" customHeight="1" spans="1:25">
      <c r="A57" s="17"/>
      <c r="B57" s="17" t="e">
        <f>VLOOKUP(表1_86121822242672[[#This Row],[区服]],$P$80:$Q$87,2,FALSE)</f>
        <v>#N/A</v>
      </c>
      <c r="C57" s="21"/>
      <c r="D57" s="19" t="str">
        <f>表1_86121822242672[[#This Row],[目标国家]]</f>
        <v>蜀</v>
      </c>
      <c r="E57" s="12" t="e">
        <f>(VLOOKUP(表1_86121822242672[[#This Row],[目标区服]],$R$80:$S$91,2,FALSE)-表1_86121822242672[[#This Row],[开服天数]])*配置!$B$1</f>
        <v>#N/A</v>
      </c>
      <c r="F57" s="20" t="e">
        <f>表1_86121822242672[[#This Row],[补偿Coin]]*(表1_86121822242672[[#This Row],[活跃高战玩家数]]+表1_86121822242672[[#This Row],[活跃中坚玩家数]])</f>
        <v>#N/A</v>
      </c>
      <c r="G57" s="20" t="e">
        <f>(VLOOKUP(表1_86121822242672[[#This Row],[目标区服]],$R$80:$S$83,2,FALSE)-表1_86121822242672[[#This Row],[开服天数]])*配置!$B$2</f>
        <v>#N/A</v>
      </c>
      <c r="H57" s="19" t="s">
        <v>26</v>
      </c>
      <c r="I57" s="19">
        <f>IF(表1_86121822242672[[#This Row],[原国家]]="魏",0,IF(表1_86121822242672[[#This Row],[原国家]]="蜀",1,2))</f>
        <v>1</v>
      </c>
      <c r="J57" s="20"/>
      <c r="K57" s="20"/>
      <c r="L57" s="20"/>
      <c r="M57" s="20"/>
      <c r="N57" s="20"/>
      <c r="O57" s="20"/>
      <c r="P57" s="26"/>
      <c r="Q57" s="31" t="s">
        <v>26</v>
      </c>
      <c r="R57" s="19">
        <f>IF(表1_86121822242672[[#This Row],[目标国家]]="魏",0,IF(表1_86121822242672[[#This Row],[目标国家]]="蜀",1,2))</f>
        <v>1</v>
      </c>
      <c r="S57" s="20"/>
      <c r="T57" s="20"/>
      <c r="U57" s="20"/>
      <c r="V57" s="20"/>
      <c r="W57" s="20"/>
      <c r="X57" s="34" t="e">
        <f>"{"&amp;"'coin':"&amp;表1_86121822242672[[#This Row],[补偿Coin]]&amp;",'"&amp;配置!$A$2&amp;"':"&amp;表1_86121822242672[[#This Row],[补偿辎重]]&amp;"},"</f>
        <v>#N/A</v>
      </c>
      <c r="Y57" s="34" t="e">
        <f>"            'to_zone':'"&amp;表1_86121822242672[[#This Row],[目标区服]]&amp;"',
            'reward':"&amp;表1_86121822242672[[#This Row],[辅助导出]]&amp;"
            'country':["&amp;R56&amp;","&amp;R57&amp;","&amp;R58&amp;"],"</f>
        <v>#N/A</v>
      </c>
    </row>
    <row r="58" ht="14.25" customHeight="1" spans="1:25">
      <c r="A58" s="17"/>
      <c r="B58" s="17" t="e">
        <f>VLOOKUP(表1_86121822242672[[#This Row],[区服]],$P$80:$Q$87,2,FALSE)</f>
        <v>#N/A</v>
      </c>
      <c r="C58" s="18"/>
      <c r="D58" s="19" t="str">
        <f>表1_86121822242672[[#This Row],[目标国家]]</f>
        <v>吴</v>
      </c>
      <c r="E58" s="12" t="e">
        <f>(VLOOKUP(表1_86121822242672[[#This Row],[目标区服]],$R$80:$S$91,2,FALSE)-表1_86121822242672[[#This Row],[开服天数]])*配置!$B$1</f>
        <v>#N/A</v>
      </c>
      <c r="F58" s="20" t="e">
        <f>表1_86121822242672[[#This Row],[补偿Coin]]*(表1_86121822242672[[#This Row],[活跃高战玩家数]]+表1_86121822242672[[#This Row],[活跃中坚玩家数]])</f>
        <v>#N/A</v>
      </c>
      <c r="G58" s="20" t="e">
        <f>(VLOOKUP(表1_86121822242672[[#This Row],[目标区服]],$R$80:$S$83,2,FALSE)-表1_86121822242672[[#This Row],[开服天数]])*配置!$B$2</f>
        <v>#N/A</v>
      </c>
      <c r="H58" s="19" t="s">
        <v>27</v>
      </c>
      <c r="I58" s="19">
        <f>IF(表1_86121822242672[[#This Row],[原国家]]="魏",0,IF(表1_86121822242672[[#This Row],[原国家]]="蜀",1,2))</f>
        <v>2</v>
      </c>
      <c r="J58" s="20"/>
      <c r="K58" s="20"/>
      <c r="L58" s="20"/>
      <c r="M58" s="20"/>
      <c r="N58" s="20"/>
      <c r="O58" s="20"/>
      <c r="P58" s="26"/>
      <c r="Q58" s="31" t="s">
        <v>27</v>
      </c>
      <c r="R58" s="19">
        <f>IF(表1_86121822242672[[#This Row],[目标国家]]="魏",0,IF(表1_86121822242672[[#This Row],[目标国家]]="蜀",1,2))</f>
        <v>2</v>
      </c>
      <c r="S58" s="20"/>
      <c r="T58" s="20"/>
      <c r="U58" s="20"/>
      <c r="V58" s="20"/>
      <c r="W58" s="32"/>
      <c r="X58" s="33" t="e">
        <f>"{"&amp;"'coin':"&amp;表1_86121822242672[[#This Row],[补偿Coin]]&amp;",'"&amp;配置!$A$2&amp;"':"&amp;表1_86121822242672[[#This Row],[补偿辎重]]&amp;"},"</f>
        <v>#N/A</v>
      </c>
      <c r="Y58" s="34" t="str">
        <f>"      },"</f>
        <v>      },</v>
      </c>
    </row>
    <row r="59" ht="14.25" customHeight="1" spans="1:25">
      <c r="A59" s="17"/>
      <c r="B59" s="17" t="e">
        <f>VLOOKUP(表1_86121822242672[[#This Row],[区服]],$P$80:$Q$87,2,FALSE)</f>
        <v>#N/A</v>
      </c>
      <c r="C59" s="21"/>
      <c r="D59" s="19" t="str">
        <f>表1_86121822242672[[#This Row],[目标国家]]</f>
        <v>魏</v>
      </c>
      <c r="E59" s="12" t="e">
        <f>(VLOOKUP(表1_86121822242672[[#This Row],[目标区服]],$R$80:$S$91,2,FALSE)-表1_86121822242672[[#This Row],[开服天数]])*配置!$B$1</f>
        <v>#N/A</v>
      </c>
      <c r="F59" s="20" t="e">
        <f>表1_86121822242672[[#This Row],[补偿Coin]]*(表1_86121822242672[[#This Row],[活跃高战玩家数]]+表1_86121822242672[[#This Row],[活跃中坚玩家数]])</f>
        <v>#N/A</v>
      </c>
      <c r="G59" s="20" t="e">
        <f>(VLOOKUP(表1_86121822242672[[#This Row],[目标区服]],$R$80:$S$83,2,FALSE)-表1_86121822242672[[#This Row],[开服天数]])*配置!$B$2</f>
        <v>#N/A</v>
      </c>
      <c r="H59" s="19" t="s">
        <v>25</v>
      </c>
      <c r="I59" s="19">
        <f>IF(表1_86121822242672[[#This Row],[原国家]]="魏",0,IF(表1_86121822242672[[#This Row],[原国家]]="蜀",1,2))</f>
        <v>0</v>
      </c>
      <c r="J59" s="20"/>
      <c r="K59" s="20"/>
      <c r="L59" s="20"/>
      <c r="M59" s="20"/>
      <c r="N59" s="20"/>
      <c r="O59" s="20"/>
      <c r="P59" s="26"/>
      <c r="Q59" s="31" t="s">
        <v>25</v>
      </c>
      <c r="R59" s="19">
        <f>IF(表1_86121822242672[[#This Row],[目标国家]]="魏",0,IF(表1_86121822242672[[#This Row],[目标国家]]="蜀",1,2))</f>
        <v>0</v>
      </c>
      <c r="S59" s="20"/>
      <c r="T59" s="20"/>
      <c r="U59" s="20"/>
      <c r="V59" s="20"/>
      <c r="W59" s="32"/>
      <c r="X59" s="34" t="e">
        <f>"{"&amp;"'coin':"&amp;表1_86121822242672[[#This Row],[补偿Coin]]&amp;",'"&amp;配置!$A$2&amp;"':"&amp;表1_86121822242672[[#This Row],[补偿辎重]]&amp;"},"</f>
        <v>#N/A</v>
      </c>
      <c r="Y59" s="34" t="str">
        <f>"      '"&amp;表1_86121822242672[[#This Row],[区服]]&amp;"':{"</f>
        <v>      '':{</v>
      </c>
    </row>
    <row r="60" ht="14.25" customHeight="1" spans="1:25">
      <c r="A60" s="17"/>
      <c r="B60" s="17" t="e">
        <f>VLOOKUP(表1_86121822242672[[#This Row],[区服]],$P$80:$Q$87,2,FALSE)</f>
        <v>#N/A</v>
      </c>
      <c r="C60" s="21"/>
      <c r="D60" s="19" t="str">
        <f>表1_86121822242672[[#This Row],[目标国家]]</f>
        <v>蜀</v>
      </c>
      <c r="E60" s="12" t="e">
        <f>(VLOOKUP(表1_86121822242672[[#This Row],[目标区服]],$R$80:$S$91,2,FALSE)-表1_86121822242672[[#This Row],[开服天数]])*配置!$B$1</f>
        <v>#N/A</v>
      </c>
      <c r="F60" s="20" t="e">
        <f>表1_86121822242672[[#This Row],[补偿Coin]]*(表1_86121822242672[[#This Row],[活跃高战玩家数]]+表1_86121822242672[[#This Row],[活跃中坚玩家数]])</f>
        <v>#N/A</v>
      </c>
      <c r="G60" s="20" t="e">
        <f>(VLOOKUP(表1_86121822242672[[#This Row],[目标区服]],$R$80:$S$83,2,FALSE)-表1_86121822242672[[#This Row],[开服天数]])*配置!$B$2</f>
        <v>#N/A</v>
      </c>
      <c r="H60" s="19" t="s">
        <v>26</v>
      </c>
      <c r="I60" s="19">
        <f>IF(表1_86121822242672[[#This Row],[原国家]]="魏",0,IF(表1_86121822242672[[#This Row],[原国家]]="蜀",1,2))</f>
        <v>1</v>
      </c>
      <c r="J60" s="20"/>
      <c r="K60" s="20"/>
      <c r="L60" s="20"/>
      <c r="M60" s="20"/>
      <c r="N60" s="20"/>
      <c r="O60" s="20"/>
      <c r="P60" s="26"/>
      <c r="Q60" s="31" t="s">
        <v>26</v>
      </c>
      <c r="R60" s="19">
        <f>IF(表1_86121822242672[[#This Row],[目标国家]]="魏",0,IF(表1_86121822242672[[#This Row],[目标国家]]="蜀",1,2))</f>
        <v>1</v>
      </c>
      <c r="S60" s="20"/>
      <c r="T60" s="20"/>
      <c r="U60" s="20"/>
      <c r="V60" s="20"/>
      <c r="W60" s="20"/>
      <c r="X60" s="34" t="e">
        <f>"{"&amp;"'coin':"&amp;表1_86121822242672[[#This Row],[补偿Coin]]&amp;",'"&amp;配置!$A$2&amp;"':"&amp;表1_86121822242672[[#This Row],[补偿辎重]]&amp;"},"</f>
        <v>#N/A</v>
      </c>
      <c r="Y60" s="34" t="e">
        <f>"            'to_zone':'"&amp;表1_86121822242672[[#This Row],[目标区服]]&amp;"',
            'reward':"&amp;表1_86121822242672[[#This Row],[辅助导出]]&amp;"
            'country':["&amp;R59&amp;","&amp;R60&amp;","&amp;R61&amp;"],"</f>
        <v>#N/A</v>
      </c>
    </row>
    <row r="61" ht="14.25" customHeight="1" spans="1:25">
      <c r="A61" s="17"/>
      <c r="B61" s="17" t="e">
        <f>VLOOKUP(表1_86121822242672[[#This Row],[区服]],$P$80:$Q$87,2,FALSE)</f>
        <v>#N/A</v>
      </c>
      <c r="C61" s="18"/>
      <c r="D61" s="19" t="str">
        <f>表1_86121822242672[[#This Row],[目标国家]]</f>
        <v>吴</v>
      </c>
      <c r="E61" s="12" t="e">
        <f>(VLOOKUP(表1_86121822242672[[#This Row],[目标区服]],$R$80:$S$91,2,FALSE)-表1_86121822242672[[#This Row],[开服天数]])*配置!$B$1</f>
        <v>#N/A</v>
      </c>
      <c r="F61" s="20" t="e">
        <f>表1_86121822242672[[#This Row],[补偿Coin]]*(表1_86121822242672[[#This Row],[活跃高战玩家数]]+表1_86121822242672[[#This Row],[活跃中坚玩家数]])</f>
        <v>#N/A</v>
      </c>
      <c r="G61" s="20" t="e">
        <f>(VLOOKUP(表1_86121822242672[[#This Row],[目标区服]],$R$80:$S$83,2,FALSE)-表1_86121822242672[[#This Row],[开服天数]])*配置!$B$2</f>
        <v>#N/A</v>
      </c>
      <c r="H61" s="19" t="s">
        <v>27</v>
      </c>
      <c r="I61" s="19">
        <f>IF(表1_86121822242672[[#This Row],[原国家]]="魏",0,IF(表1_86121822242672[[#This Row],[原国家]]="蜀",1,2))</f>
        <v>2</v>
      </c>
      <c r="J61" s="20"/>
      <c r="K61" s="20"/>
      <c r="L61" s="20"/>
      <c r="M61" s="20"/>
      <c r="N61" s="20"/>
      <c r="O61" s="20"/>
      <c r="P61" s="26"/>
      <c r="Q61" s="31" t="s">
        <v>27</v>
      </c>
      <c r="R61" s="19">
        <f>IF(表1_86121822242672[[#This Row],[目标国家]]="魏",0,IF(表1_86121822242672[[#This Row],[目标国家]]="蜀",1,2))</f>
        <v>2</v>
      </c>
      <c r="S61" s="20"/>
      <c r="T61" s="20"/>
      <c r="U61" s="20"/>
      <c r="V61" s="20"/>
      <c r="W61" s="32"/>
      <c r="X61" s="33" t="e">
        <f>"{"&amp;"'coin':"&amp;表1_86121822242672[[#This Row],[补偿Coin]]&amp;",'"&amp;配置!$A$2&amp;"':"&amp;表1_86121822242672[[#This Row],[补偿辎重]]&amp;"},"</f>
        <v>#N/A</v>
      </c>
      <c r="Y61" s="34" t="str">
        <f>"      },"</f>
        <v>      },</v>
      </c>
    </row>
    <row r="62" ht="14.25" customHeight="1" spans="1:25">
      <c r="A62" s="17"/>
      <c r="B62" s="17" t="e">
        <f>VLOOKUP(表1_86121822242672[[#This Row],[区服]],$P$80:$Q$87,2,FALSE)</f>
        <v>#N/A</v>
      </c>
      <c r="C62" s="21"/>
      <c r="D62" s="19" t="str">
        <f>表1_86121822242672[[#This Row],[目标国家]]</f>
        <v>魏</v>
      </c>
      <c r="E62" s="12" t="e">
        <f>(VLOOKUP(表1_86121822242672[[#This Row],[目标区服]],$R$80:$S$91,2,FALSE)-表1_86121822242672[[#This Row],[开服天数]])*配置!$B$1</f>
        <v>#N/A</v>
      </c>
      <c r="F62" s="20" t="e">
        <f>表1_86121822242672[[#This Row],[补偿Coin]]*(表1_86121822242672[[#This Row],[活跃高战玩家数]]+表1_86121822242672[[#This Row],[活跃中坚玩家数]])</f>
        <v>#N/A</v>
      </c>
      <c r="G62" s="20" t="e">
        <f>(VLOOKUP(表1_86121822242672[[#This Row],[目标区服]],$R$80:$S$83,2,FALSE)-表1_86121822242672[[#This Row],[开服天数]])*配置!$B$2</f>
        <v>#N/A</v>
      </c>
      <c r="H62" s="19" t="s">
        <v>25</v>
      </c>
      <c r="I62" s="19">
        <f>IF(表1_86121822242672[[#This Row],[原国家]]="魏",0,IF(表1_86121822242672[[#This Row],[原国家]]="蜀",1,2))</f>
        <v>0</v>
      </c>
      <c r="J62" s="20"/>
      <c r="K62" s="20"/>
      <c r="L62" s="20"/>
      <c r="M62" s="20"/>
      <c r="N62" s="20"/>
      <c r="O62" s="20"/>
      <c r="P62" s="26"/>
      <c r="Q62" s="31" t="s">
        <v>25</v>
      </c>
      <c r="R62" s="19">
        <f>IF(表1_86121822242672[[#This Row],[目标国家]]="魏",0,IF(表1_86121822242672[[#This Row],[目标国家]]="蜀",1,2))</f>
        <v>0</v>
      </c>
      <c r="S62" s="20"/>
      <c r="T62" s="20"/>
      <c r="U62" s="20"/>
      <c r="V62" s="20"/>
      <c r="W62" s="32"/>
      <c r="X62" s="34" t="e">
        <f>"{"&amp;"'coin':"&amp;表1_86121822242672[[#This Row],[补偿Coin]]&amp;",'"&amp;配置!$A$2&amp;"':"&amp;表1_86121822242672[[#This Row],[补偿辎重]]&amp;"},"</f>
        <v>#N/A</v>
      </c>
      <c r="Y62" s="34" t="str">
        <f>"      '"&amp;表1_86121822242672[[#This Row],[区服]]&amp;"':{"</f>
        <v>      '':{</v>
      </c>
    </row>
    <row r="63" ht="14.25" customHeight="1" spans="1:25">
      <c r="A63" s="17"/>
      <c r="B63" s="17" t="e">
        <f>VLOOKUP(表1_86121822242672[[#This Row],[区服]],$P$80:$Q$87,2,FALSE)</f>
        <v>#N/A</v>
      </c>
      <c r="C63" s="21"/>
      <c r="D63" s="19" t="str">
        <f>表1_86121822242672[[#This Row],[目标国家]]</f>
        <v>蜀</v>
      </c>
      <c r="E63" s="12" t="e">
        <f>(VLOOKUP(表1_86121822242672[[#This Row],[目标区服]],$R$80:$S$91,2,FALSE)-表1_86121822242672[[#This Row],[开服天数]])*配置!$B$1</f>
        <v>#N/A</v>
      </c>
      <c r="F63" s="20" t="e">
        <f>表1_86121822242672[[#This Row],[补偿Coin]]*(表1_86121822242672[[#This Row],[活跃高战玩家数]]+表1_86121822242672[[#This Row],[活跃中坚玩家数]])</f>
        <v>#N/A</v>
      </c>
      <c r="G63" s="20" t="e">
        <f>(VLOOKUP(表1_86121822242672[[#This Row],[目标区服]],$R$80:$S$83,2,FALSE)-表1_86121822242672[[#This Row],[开服天数]])*配置!$B$2</f>
        <v>#N/A</v>
      </c>
      <c r="H63" s="19" t="s">
        <v>26</v>
      </c>
      <c r="I63" s="19">
        <f>IF(表1_86121822242672[[#This Row],[原国家]]="魏",0,IF(表1_86121822242672[[#This Row],[原国家]]="蜀",1,2))</f>
        <v>1</v>
      </c>
      <c r="J63" s="20"/>
      <c r="K63" s="20"/>
      <c r="L63" s="20"/>
      <c r="M63" s="20"/>
      <c r="N63" s="20"/>
      <c r="O63" s="20"/>
      <c r="P63" s="26"/>
      <c r="Q63" s="31" t="s">
        <v>26</v>
      </c>
      <c r="R63" s="19">
        <f>IF(表1_86121822242672[[#This Row],[目标国家]]="魏",0,IF(表1_86121822242672[[#This Row],[目标国家]]="蜀",1,2))</f>
        <v>1</v>
      </c>
      <c r="S63" s="20"/>
      <c r="T63" s="20"/>
      <c r="U63" s="20"/>
      <c r="V63" s="20"/>
      <c r="W63" s="20"/>
      <c r="X63" s="34" t="e">
        <f>"{"&amp;"'coin':"&amp;表1_86121822242672[[#This Row],[补偿Coin]]&amp;",'"&amp;配置!$A$2&amp;"':"&amp;表1_86121822242672[[#This Row],[补偿辎重]]&amp;"},"</f>
        <v>#N/A</v>
      </c>
      <c r="Y63" s="34" t="e">
        <f>"            'to_zone':'"&amp;表1_86121822242672[[#This Row],[目标区服]]&amp;"',
            'reward':"&amp;表1_86121822242672[[#This Row],[辅助导出]]&amp;"
            'country':["&amp;R62&amp;","&amp;R63&amp;","&amp;R64&amp;"],"</f>
        <v>#N/A</v>
      </c>
    </row>
    <row r="64" ht="14.25" customHeight="1" spans="1:25">
      <c r="A64" s="17"/>
      <c r="B64" s="17" t="e">
        <f>VLOOKUP(表1_86121822242672[[#This Row],[区服]],$P$80:$Q$87,2,FALSE)</f>
        <v>#N/A</v>
      </c>
      <c r="C64" s="18"/>
      <c r="D64" s="19" t="str">
        <f>表1_86121822242672[[#This Row],[目标国家]]</f>
        <v>吴</v>
      </c>
      <c r="E64" s="12" t="e">
        <f>(VLOOKUP(表1_86121822242672[[#This Row],[目标区服]],$R$80:$S$91,2,FALSE)-表1_86121822242672[[#This Row],[开服天数]])*配置!$B$1</f>
        <v>#N/A</v>
      </c>
      <c r="F64" s="20" t="e">
        <f>表1_86121822242672[[#This Row],[补偿Coin]]*(表1_86121822242672[[#This Row],[活跃高战玩家数]]+表1_86121822242672[[#This Row],[活跃中坚玩家数]])</f>
        <v>#N/A</v>
      </c>
      <c r="G64" s="20" t="e">
        <f>(VLOOKUP(表1_86121822242672[[#This Row],[目标区服]],$R$80:$S$83,2,FALSE)-表1_86121822242672[[#This Row],[开服天数]])*配置!$B$2</f>
        <v>#N/A</v>
      </c>
      <c r="H64" s="19" t="s">
        <v>27</v>
      </c>
      <c r="I64" s="19">
        <f>IF(表1_86121822242672[[#This Row],[原国家]]="魏",0,IF(表1_86121822242672[[#This Row],[原国家]]="蜀",1,2))</f>
        <v>2</v>
      </c>
      <c r="J64" s="20"/>
      <c r="K64" s="20"/>
      <c r="L64" s="20"/>
      <c r="M64" s="20"/>
      <c r="N64" s="20"/>
      <c r="O64" s="20"/>
      <c r="P64" s="26"/>
      <c r="Q64" s="31" t="s">
        <v>27</v>
      </c>
      <c r="R64" s="19">
        <f>IF(表1_86121822242672[[#This Row],[目标国家]]="魏",0,IF(表1_86121822242672[[#This Row],[目标国家]]="蜀",1,2))</f>
        <v>2</v>
      </c>
      <c r="S64" s="20"/>
      <c r="T64" s="20"/>
      <c r="U64" s="20"/>
      <c r="V64" s="20"/>
      <c r="W64" s="32"/>
      <c r="X64" s="33" t="e">
        <f>"{"&amp;"'coin':"&amp;表1_86121822242672[[#This Row],[补偿Coin]]&amp;",'"&amp;配置!$A$2&amp;"':"&amp;表1_86121822242672[[#This Row],[补偿辎重]]&amp;"},"</f>
        <v>#N/A</v>
      </c>
      <c r="Y64" s="34" t="str">
        <f>"      },"</f>
        <v>      },</v>
      </c>
    </row>
    <row r="65" ht="14.25" customHeight="1" spans="1:25">
      <c r="A65" s="17"/>
      <c r="B65" s="17" t="e">
        <f>VLOOKUP(表1_86121822242672[[#This Row],[区服]],$P$80:$Q$87,2,FALSE)</f>
        <v>#N/A</v>
      </c>
      <c r="C65" s="21"/>
      <c r="D65" s="19" t="str">
        <f>表1_86121822242672[[#This Row],[目标国家]]</f>
        <v>魏</v>
      </c>
      <c r="E65" s="12" t="e">
        <f>(VLOOKUP(表1_86121822242672[[#This Row],[目标区服]],$R$80:$S$91,2,FALSE)-表1_86121822242672[[#This Row],[开服天数]])*配置!$B$1</f>
        <v>#N/A</v>
      </c>
      <c r="F65" s="20" t="e">
        <f>表1_86121822242672[[#This Row],[补偿Coin]]*(表1_86121822242672[[#This Row],[活跃高战玩家数]]+表1_86121822242672[[#This Row],[活跃中坚玩家数]])</f>
        <v>#N/A</v>
      </c>
      <c r="G65" s="20" t="e">
        <f>(VLOOKUP(表1_86121822242672[[#This Row],[目标区服]],$R$80:$S$83,2,FALSE)-表1_86121822242672[[#This Row],[开服天数]])*配置!$B$2</f>
        <v>#N/A</v>
      </c>
      <c r="H65" s="19" t="s">
        <v>25</v>
      </c>
      <c r="I65" s="19">
        <f>IF(表1_86121822242672[[#This Row],[原国家]]="魏",0,IF(表1_86121822242672[[#This Row],[原国家]]="蜀",1,2))</f>
        <v>0</v>
      </c>
      <c r="J65" s="20"/>
      <c r="K65" s="20"/>
      <c r="L65" s="20"/>
      <c r="M65" s="20"/>
      <c r="N65" s="20"/>
      <c r="O65" s="20"/>
      <c r="P65" s="26"/>
      <c r="Q65" s="31" t="s">
        <v>25</v>
      </c>
      <c r="R65" s="19">
        <f>IF(表1_86121822242672[[#This Row],[目标国家]]="魏",0,IF(表1_86121822242672[[#This Row],[目标国家]]="蜀",1,2))</f>
        <v>0</v>
      </c>
      <c r="S65" s="20"/>
      <c r="T65" s="20"/>
      <c r="U65" s="20"/>
      <c r="V65" s="20"/>
      <c r="W65" s="32"/>
      <c r="X65" s="34" t="e">
        <f>"{"&amp;"'coin':"&amp;表1_86121822242672[[#This Row],[补偿Coin]]&amp;",'"&amp;配置!$A$2&amp;"':"&amp;表1_86121822242672[[#This Row],[补偿辎重]]&amp;"},"</f>
        <v>#N/A</v>
      </c>
      <c r="Y65" s="34" t="str">
        <f>"      '"&amp;表1_86121822242672[[#This Row],[区服]]&amp;"':{"</f>
        <v>      '':{</v>
      </c>
    </row>
    <row r="66" ht="14.25" customHeight="1" spans="1:25">
      <c r="A66" s="17"/>
      <c r="B66" s="17" t="e">
        <f>VLOOKUP(表1_86121822242672[[#This Row],[区服]],$P$80:$Q$87,2,FALSE)</f>
        <v>#N/A</v>
      </c>
      <c r="C66" s="21"/>
      <c r="D66" s="19" t="str">
        <f>表1_86121822242672[[#This Row],[目标国家]]</f>
        <v>蜀</v>
      </c>
      <c r="E66" s="12" t="e">
        <f>(VLOOKUP(表1_86121822242672[[#This Row],[目标区服]],$R$80:$S$91,2,FALSE)-表1_86121822242672[[#This Row],[开服天数]])*配置!$B$1</f>
        <v>#N/A</v>
      </c>
      <c r="F66" s="20" t="e">
        <f>表1_86121822242672[[#This Row],[补偿Coin]]*(表1_86121822242672[[#This Row],[活跃高战玩家数]]+表1_86121822242672[[#This Row],[活跃中坚玩家数]])</f>
        <v>#N/A</v>
      </c>
      <c r="G66" s="20" t="e">
        <f>(VLOOKUP(表1_86121822242672[[#This Row],[目标区服]],$R$80:$S$83,2,FALSE)-表1_86121822242672[[#This Row],[开服天数]])*配置!$B$2</f>
        <v>#N/A</v>
      </c>
      <c r="H66" s="19" t="s">
        <v>26</v>
      </c>
      <c r="I66" s="19">
        <f>IF(表1_86121822242672[[#This Row],[原国家]]="魏",0,IF(表1_86121822242672[[#This Row],[原国家]]="蜀",1,2))</f>
        <v>1</v>
      </c>
      <c r="J66" s="20"/>
      <c r="K66" s="20"/>
      <c r="L66" s="20"/>
      <c r="M66" s="20"/>
      <c r="N66" s="20"/>
      <c r="O66" s="20"/>
      <c r="P66" s="26"/>
      <c r="Q66" s="31" t="s">
        <v>26</v>
      </c>
      <c r="R66" s="19">
        <f>IF(表1_86121822242672[[#This Row],[目标国家]]="魏",0,IF(表1_86121822242672[[#This Row],[目标国家]]="蜀",1,2))</f>
        <v>1</v>
      </c>
      <c r="S66" s="20"/>
      <c r="T66" s="20"/>
      <c r="U66" s="20"/>
      <c r="V66" s="20"/>
      <c r="W66" s="20"/>
      <c r="X66" s="34" t="e">
        <f>"{"&amp;"'coin':"&amp;表1_86121822242672[[#This Row],[补偿Coin]]&amp;",'"&amp;配置!$A$2&amp;"':"&amp;表1_86121822242672[[#This Row],[补偿辎重]]&amp;"},"</f>
        <v>#N/A</v>
      </c>
      <c r="Y66" s="34" t="e">
        <f>"            'to_zone':'"&amp;表1_86121822242672[[#This Row],[目标区服]]&amp;"',
            'reward':"&amp;表1_86121822242672[[#This Row],[辅助导出]]&amp;"
            'country':["&amp;R65&amp;","&amp;R66&amp;","&amp;R67&amp;"],"</f>
        <v>#N/A</v>
      </c>
    </row>
    <row r="67" ht="14.25" customHeight="1" spans="1:25">
      <c r="A67" s="17"/>
      <c r="B67" s="17" t="e">
        <f>VLOOKUP(表1_86121822242672[[#This Row],[区服]],$P$80:$Q$87,2,FALSE)</f>
        <v>#N/A</v>
      </c>
      <c r="C67" s="18"/>
      <c r="D67" s="19" t="str">
        <f>表1_86121822242672[[#This Row],[目标国家]]</f>
        <v>吴</v>
      </c>
      <c r="E67" s="12" t="e">
        <f>(VLOOKUP(表1_86121822242672[[#This Row],[目标区服]],$R$80:$S$91,2,FALSE)-表1_86121822242672[[#This Row],[开服天数]])*配置!$B$1</f>
        <v>#N/A</v>
      </c>
      <c r="F67" s="20" t="e">
        <f>表1_86121822242672[[#This Row],[补偿Coin]]*(表1_86121822242672[[#This Row],[活跃高战玩家数]]+表1_86121822242672[[#This Row],[活跃中坚玩家数]])</f>
        <v>#N/A</v>
      </c>
      <c r="G67" s="20" t="e">
        <f>(VLOOKUP(表1_86121822242672[[#This Row],[目标区服]],$R$80:$S$83,2,FALSE)-表1_86121822242672[[#This Row],[开服天数]])*配置!$B$2</f>
        <v>#N/A</v>
      </c>
      <c r="H67" s="19" t="s">
        <v>27</v>
      </c>
      <c r="I67" s="19">
        <f>IF(表1_86121822242672[[#This Row],[原国家]]="魏",0,IF(表1_86121822242672[[#This Row],[原国家]]="蜀",1,2))</f>
        <v>2</v>
      </c>
      <c r="J67" s="20"/>
      <c r="K67" s="20"/>
      <c r="L67" s="20"/>
      <c r="M67" s="20"/>
      <c r="N67" s="20"/>
      <c r="O67" s="20"/>
      <c r="P67" s="26"/>
      <c r="Q67" s="31" t="s">
        <v>27</v>
      </c>
      <c r="R67" s="19">
        <f>IF(表1_86121822242672[[#This Row],[目标国家]]="魏",0,IF(表1_86121822242672[[#This Row],[目标国家]]="蜀",1,2))</f>
        <v>2</v>
      </c>
      <c r="S67" s="20"/>
      <c r="T67" s="20"/>
      <c r="U67" s="20"/>
      <c r="V67" s="20"/>
      <c r="W67" s="32"/>
      <c r="X67" s="33" t="e">
        <f>"{"&amp;"'coin':"&amp;表1_86121822242672[[#This Row],[补偿Coin]]&amp;",'"&amp;配置!$A$2&amp;"':"&amp;表1_86121822242672[[#This Row],[补偿辎重]]&amp;"},"</f>
        <v>#N/A</v>
      </c>
      <c r="Y67" s="34" t="str">
        <f>"      },"</f>
        <v>      },</v>
      </c>
    </row>
    <row r="68" ht="14.25" customHeight="1" spans="1:25">
      <c r="A68" s="17"/>
      <c r="B68" s="17" t="e">
        <f>VLOOKUP(表1_86121822242672[[#This Row],[区服]],$P$80:$Q$87,2,FALSE)</f>
        <v>#N/A</v>
      </c>
      <c r="C68" s="21"/>
      <c r="D68" s="19" t="str">
        <f>表1_86121822242672[[#This Row],[目标国家]]</f>
        <v>魏</v>
      </c>
      <c r="E68" s="12" t="e">
        <f>(VLOOKUP(表1_86121822242672[[#This Row],[目标区服]],$R$80:$S$91,2,FALSE)-表1_86121822242672[[#This Row],[开服天数]])*配置!$B$1</f>
        <v>#N/A</v>
      </c>
      <c r="F68" s="20" t="e">
        <f>表1_86121822242672[[#This Row],[补偿Coin]]*(表1_86121822242672[[#This Row],[活跃高战玩家数]]+表1_86121822242672[[#This Row],[活跃中坚玩家数]])</f>
        <v>#N/A</v>
      </c>
      <c r="G68" s="20" t="e">
        <f>(VLOOKUP(表1_86121822242672[[#This Row],[目标区服]],$R$80:$S$83,2,FALSE)-表1_86121822242672[[#This Row],[开服天数]])*配置!$B$2</f>
        <v>#N/A</v>
      </c>
      <c r="H68" s="19" t="s">
        <v>25</v>
      </c>
      <c r="I68" s="19">
        <f>IF(表1_86121822242672[[#This Row],[原国家]]="魏",0,IF(表1_86121822242672[[#This Row],[原国家]]="蜀",1,2))</f>
        <v>0</v>
      </c>
      <c r="J68" s="20"/>
      <c r="K68" s="20"/>
      <c r="L68" s="20"/>
      <c r="M68" s="20"/>
      <c r="N68" s="20"/>
      <c r="O68" s="20"/>
      <c r="P68" s="26"/>
      <c r="Q68" s="31" t="s">
        <v>25</v>
      </c>
      <c r="R68" s="19">
        <f>IF(表1_86121822242672[[#This Row],[目标国家]]="魏",0,IF(表1_86121822242672[[#This Row],[目标国家]]="蜀",1,2))</f>
        <v>0</v>
      </c>
      <c r="S68" s="20"/>
      <c r="T68" s="20"/>
      <c r="U68" s="20"/>
      <c r="V68" s="20"/>
      <c r="W68" s="32"/>
      <c r="X68" s="34" t="e">
        <f>"{"&amp;"'coin':"&amp;表1_86121822242672[[#This Row],[补偿Coin]]&amp;",'"&amp;配置!$A$2&amp;"':"&amp;表1_86121822242672[[#This Row],[补偿辎重]]&amp;"},"</f>
        <v>#N/A</v>
      </c>
      <c r="Y68" s="34" t="str">
        <f>"      '"&amp;表1_86121822242672[[#This Row],[区服]]&amp;"':{"</f>
        <v>      '':{</v>
      </c>
    </row>
    <row r="69" ht="14.25" customHeight="1" spans="1:25">
      <c r="A69" s="17"/>
      <c r="B69" s="17" t="e">
        <f>VLOOKUP(表1_86121822242672[[#This Row],[区服]],$P$80:$Q$87,2,FALSE)</f>
        <v>#N/A</v>
      </c>
      <c r="C69" s="21"/>
      <c r="D69" s="19" t="str">
        <f>表1_86121822242672[[#This Row],[目标国家]]</f>
        <v>蜀</v>
      </c>
      <c r="E69" s="12" t="e">
        <f>(VLOOKUP(表1_86121822242672[[#This Row],[目标区服]],$R$80:$S$91,2,FALSE)-表1_86121822242672[[#This Row],[开服天数]])*配置!$B$1</f>
        <v>#N/A</v>
      </c>
      <c r="F69" s="20" t="e">
        <f>表1_86121822242672[[#This Row],[补偿Coin]]*(表1_86121822242672[[#This Row],[活跃高战玩家数]]+表1_86121822242672[[#This Row],[活跃中坚玩家数]])</f>
        <v>#N/A</v>
      </c>
      <c r="G69" s="20" t="e">
        <f>(VLOOKUP(表1_86121822242672[[#This Row],[目标区服]],$R$80:$S$83,2,FALSE)-表1_86121822242672[[#This Row],[开服天数]])*配置!$B$2</f>
        <v>#N/A</v>
      </c>
      <c r="H69" s="19" t="s">
        <v>26</v>
      </c>
      <c r="I69" s="19">
        <f>IF(表1_86121822242672[[#This Row],[原国家]]="魏",0,IF(表1_86121822242672[[#This Row],[原国家]]="蜀",1,2))</f>
        <v>1</v>
      </c>
      <c r="J69" s="20"/>
      <c r="K69" s="20"/>
      <c r="L69" s="20"/>
      <c r="M69" s="20"/>
      <c r="N69" s="20"/>
      <c r="O69" s="20"/>
      <c r="P69" s="26"/>
      <c r="Q69" s="31" t="s">
        <v>26</v>
      </c>
      <c r="R69" s="19">
        <f>IF(表1_86121822242672[[#This Row],[目标国家]]="魏",0,IF(表1_86121822242672[[#This Row],[目标国家]]="蜀",1,2))</f>
        <v>1</v>
      </c>
      <c r="S69" s="20"/>
      <c r="T69" s="20"/>
      <c r="U69" s="20"/>
      <c r="V69" s="20"/>
      <c r="W69" s="20"/>
      <c r="X69" s="34" t="e">
        <f>"{"&amp;"'coin':"&amp;表1_86121822242672[[#This Row],[补偿Coin]]&amp;",'"&amp;配置!$A$2&amp;"':"&amp;表1_86121822242672[[#This Row],[补偿辎重]]&amp;"},"</f>
        <v>#N/A</v>
      </c>
      <c r="Y69" s="34" t="e">
        <f>"            'to_zone':'"&amp;表1_86121822242672[[#This Row],[目标区服]]&amp;"',
            'reward':"&amp;表1_86121822242672[[#This Row],[辅助导出]]&amp;"
            'country':["&amp;R68&amp;","&amp;R69&amp;","&amp;R70&amp;"],"</f>
        <v>#N/A</v>
      </c>
    </row>
    <row r="70" ht="14.25" customHeight="1" spans="1:25">
      <c r="A70" s="17"/>
      <c r="B70" s="17" t="e">
        <f>VLOOKUP(表1_86121822242672[[#This Row],[区服]],$P$80:$Q$87,2,FALSE)</f>
        <v>#N/A</v>
      </c>
      <c r="C70" s="18"/>
      <c r="D70" s="19" t="str">
        <f>表1_86121822242672[[#This Row],[目标国家]]</f>
        <v>吴</v>
      </c>
      <c r="E70" s="12" t="e">
        <f>(VLOOKUP(表1_86121822242672[[#This Row],[目标区服]],$R$80:$S$91,2,FALSE)-表1_86121822242672[[#This Row],[开服天数]])*配置!$B$1</f>
        <v>#N/A</v>
      </c>
      <c r="F70" s="20" t="e">
        <f>表1_86121822242672[[#This Row],[补偿Coin]]*(表1_86121822242672[[#This Row],[活跃高战玩家数]]+表1_86121822242672[[#This Row],[活跃中坚玩家数]])</f>
        <v>#N/A</v>
      </c>
      <c r="G70" s="20" t="e">
        <f>(VLOOKUP(表1_86121822242672[[#This Row],[目标区服]],$R$80:$S$83,2,FALSE)-表1_86121822242672[[#This Row],[开服天数]])*配置!$B$2</f>
        <v>#N/A</v>
      </c>
      <c r="H70" s="19" t="s">
        <v>27</v>
      </c>
      <c r="I70" s="19">
        <f>IF(表1_86121822242672[[#This Row],[原国家]]="魏",0,IF(表1_86121822242672[[#This Row],[原国家]]="蜀",1,2))</f>
        <v>2</v>
      </c>
      <c r="J70" s="20"/>
      <c r="K70" s="20"/>
      <c r="L70" s="20"/>
      <c r="M70" s="20"/>
      <c r="N70" s="20"/>
      <c r="O70" s="20"/>
      <c r="P70" s="26"/>
      <c r="Q70" s="31" t="s">
        <v>27</v>
      </c>
      <c r="R70" s="19">
        <f>IF(表1_86121822242672[[#This Row],[目标国家]]="魏",0,IF(表1_86121822242672[[#This Row],[目标国家]]="蜀",1,2))</f>
        <v>2</v>
      </c>
      <c r="S70" s="20"/>
      <c r="T70" s="20"/>
      <c r="U70" s="20"/>
      <c r="V70" s="20"/>
      <c r="W70" s="32"/>
      <c r="X70" s="33" t="e">
        <f>"{"&amp;"'coin':"&amp;表1_86121822242672[[#This Row],[补偿Coin]]&amp;",'"&amp;配置!$A$2&amp;"':"&amp;表1_86121822242672[[#This Row],[补偿辎重]]&amp;"},"</f>
        <v>#N/A</v>
      </c>
      <c r="Y70" s="34" t="str">
        <f t="shared" ref="Y70" si="2">"      },"</f>
        <v>      },</v>
      </c>
    </row>
    <row r="71" ht="14.25" customHeight="1" spans="1:25">
      <c r="A71" s="17"/>
      <c r="B71" s="17" t="e">
        <f>VLOOKUP(表1_86121822242672[[#This Row],[区服]],$P$80:$Q$87,2,FALSE)</f>
        <v>#N/A</v>
      </c>
      <c r="C71" s="21"/>
      <c r="D71" s="19" t="str">
        <f>表1_86121822242672[[#This Row],[目标国家]]</f>
        <v>魏</v>
      </c>
      <c r="E71" s="12" t="e">
        <f>(VLOOKUP(表1_86121822242672[[#This Row],[目标区服]],$R$80:$S$91,2,FALSE)-表1_86121822242672[[#This Row],[开服天数]])*配置!$B$1</f>
        <v>#N/A</v>
      </c>
      <c r="F71" s="20" t="e">
        <f>表1_86121822242672[[#This Row],[补偿Coin]]*(表1_86121822242672[[#This Row],[活跃高战玩家数]]+表1_86121822242672[[#This Row],[活跃中坚玩家数]])</f>
        <v>#N/A</v>
      </c>
      <c r="G71" s="20" t="e">
        <f>(VLOOKUP(表1_86121822242672[[#This Row],[目标区服]],$R$80:$S$83,2,FALSE)-表1_86121822242672[[#This Row],[开服天数]])*配置!$B$2</f>
        <v>#N/A</v>
      </c>
      <c r="H71" s="19" t="s">
        <v>25</v>
      </c>
      <c r="I71" s="19">
        <f>IF(表1_86121822242672[[#This Row],[原国家]]="魏",0,IF(表1_86121822242672[[#This Row],[原国家]]="蜀",1,2))</f>
        <v>0</v>
      </c>
      <c r="J71" s="20"/>
      <c r="K71" s="20"/>
      <c r="L71" s="20"/>
      <c r="M71" s="20"/>
      <c r="N71" s="20"/>
      <c r="O71" s="20"/>
      <c r="P71" s="26"/>
      <c r="Q71" s="31" t="s">
        <v>25</v>
      </c>
      <c r="R71" s="19">
        <f>IF(表1_86121822242672[[#This Row],[目标国家]]="魏",0,IF(表1_86121822242672[[#This Row],[目标国家]]="蜀",1,2))</f>
        <v>0</v>
      </c>
      <c r="S71" s="20"/>
      <c r="T71" s="20"/>
      <c r="U71" s="20"/>
      <c r="V71" s="20"/>
      <c r="W71" s="32"/>
      <c r="X71" s="34" t="e">
        <f>"{"&amp;"'coin':"&amp;表1_86121822242672[[#This Row],[补偿Coin]]&amp;",'"&amp;配置!$A$2&amp;"':"&amp;表1_86121822242672[[#This Row],[补偿辎重]]&amp;"},"</f>
        <v>#N/A</v>
      </c>
      <c r="Y71" s="34" t="str">
        <f>"      '"&amp;表1_86121822242672[[#This Row],[区服]]&amp;"':{"</f>
        <v>      '':{</v>
      </c>
    </row>
    <row r="72" ht="14.25" customHeight="1" spans="1:25">
      <c r="A72" s="17"/>
      <c r="B72" s="17" t="e">
        <f>VLOOKUP(表1_86121822242672[[#This Row],[区服]],$P$80:$Q$87,2,FALSE)</f>
        <v>#N/A</v>
      </c>
      <c r="C72" s="21"/>
      <c r="D72" s="19" t="str">
        <f>表1_86121822242672[[#This Row],[目标国家]]</f>
        <v>蜀</v>
      </c>
      <c r="E72" s="12" t="e">
        <f>(VLOOKUP(表1_86121822242672[[#This Row],[目标区服]],$R$80:$S$91,2,FALSE)-表1_86121822242672[[#This Row],[开服天数]])*配置!$B$1</f>
        <v>#N/A</v>
      </c>
      <c r="F72" s="20" t="e">
        <f>表1_86121822242672[[#This Row],[补偿Coin]]*(表1_86121822242672[[#This Row],[活跃高战玩家数]]+表1_86121822242672[[#This Row],[活跃中坚玩家数]])</f>
        <v>#N/A</v>
      </c>
      <c r="G72" s="20" t="e">
        <f>(VLOOKUP(表1_86121822242672[[#This Row],[目标区服]],$R$80:$S$83,2,FALSE)-表1_86121822242672[[#This Row],[开服天数]])*配置!$B$2</f>
        <v>#N/A</v>
      </c>
      <c r="H72" s="19" t="s">
        <v>26</v>
      </c>
      <c r="I72" s="19">
        <f>IF(表1_86121822242672[[#This Row],[原国家]]="魏",0,IF(表1_86121822242672[[#This Row],[原国家]]="蜀",1,2))</f>
        <v>1</v>
      </c>
      <c r="J72" s="20"/>
      <c r="K72" s="20"/>
      <c r="L72" s="20"/>
      <c r="M72" s="20"/>
      <c r="N72" s="20"/>
      <c r="O72" s="20"/>
      <c r="P72" s="26"/>
      <c r="Q72" s="31" t="s">
        <v>26</v>
      </c>
      <c r="R72" s="19">
        <f>IF(表1_86121822242672[[#This Row],[目标国家]]="魏",0,IF(表1_86121822242672[[#This Row],[目标国家]]="蜀",1,2))</f>
        <v>1</v>
      </c>
      <c r="S72" s="20"/>
      <c r="T72" s="20"/>
      <c r="U72" s="20"/>
      <c r="V72" s="20"/>
      <c r="W72" s="20"/>
      <c r="X72" s="34" t="e">
        <f>"{"&amp;"'coin':"&amp;表1_86121822242672[[#This Row],[补偿Coin]]&amp;",'"&amp;配置!$A$2&amp;"':"&amp;表1_86121822242672[[#This Row],[补偿辎重]]&amp;"},"</f>
        <v>#N/A</v>
      </c>
      <c r="Y72" s="34" t="e">
        <f>"            'to_zone':'"&amp;表1_86121822242672[[#This Row],[目标区服]]&amp;"',
            'reward':"&amp;表1_86121822242672[[#This Row],[辅助导出]]&amp;"
            'country':["&amp;R71&amp;","&amp;R72&amp;","&amp;R73&amp;"],"</f>
        <v>#N/A</v>
      </c>
    </row>
    <row r="73" ht="14.25" customHeight="1" spans="1:25">
      <c r="A73" s="17"/>
      <c r="B73" s="17" t="e">
        <f>VLOOKUP(表1_86121822242672[[#This Row],[区服]],$P$80:$Q$87,2,FALSE)</f>
        <v>#N/A</v>
      </c>
      <c r="C73" s="21"/>
      <c r="D73" s="19" t="str">
        <f>表1_86121822242672[[#This Row],[目标国家]]</f>
        <v>吴</v>
      </c>
      <c r="E73" s="12" t="e">
        <f>(VLOOKUP(表1_86121822242672[[#This Row],[目标区服]],$R$80:$S$91,2,FALSE)-表1_86121822242672[[#This Row],[开服天数]])*配置!$B$1</f>
        <v>#N/A</v>
      </c>
      <c r="F73" s="20" t="e">
        <f>表1_86121822242672[[#This Row],[补偿Coin]]*(表1_86121822242672[[#This Row],[活跃高战玩家数]]+表1_86121822242672[[#This Row],[活跃中坚玩家数]])</f>
        <v>#N/A</v>
      </c>
      <c r="G73" s="20" t="e">
        <f>(VLOOKUP(表1_86121822242672[[#This Row],[目标区服]],$R$80:$S$83,2,FALSE)-表1_86121822242672[[#This Row],[开服天数]])*配置!$B$2</f>
        <v>#N/A</v>
      </c>
      <c r="H73" s="19" t="s">
        <v>27</v>
      </c>
      <c r="I73" s="19">
        <f>IF(表1_86121822242672[[#This Row],[原国家]]="魏",0,IF(表1_86121822242672[[#This Row],[原国家]]="蜀",1,2))</f>
        <v>2</v>
      </c>
      <c r="J73" s="20"/>
      <c r="K73" s="20"/>
      <c r="L73" s="20"/>
      <c r="M73" s="20"/>
      <c r="N73" s="20"/>
      <c r="O73" s="20"/>
      <c r="P73" s="26"/>
      <c r="Q73" s="31" t="s">
        <v>27</v>
      </c>
      <c r="R73" s="19">
        <f>IF(表1_86121822242672[[#This Row],[目标国家]]="魏",0,IF(表1_86121822242672[[#This Row],[目标国家]]="蜀",1,2))</f>
        <v>2</v>
      </c>
      <c r="S73" s="20"/>
      <c r="T73" s="20"/>
      <c r="U73" s="20"/>
      <c r="V73" s="20"/>
      <c r="W73" s="20"/>
      <c r="X73" s="34" t="e">
        <f>"{"&amp;"'coin':"&amp;表1_86121822242672[[#This Row],[补偿Coin]]&amp;",'"&amp;配置!$A$2&amp;"':"&amp;表1_86121822242672[[#This Row],[补偿辎重]]&amp;"},"</f>
        <v>#N/A</v>
      </c>
      <c r="Y73" s="34" t="str">
        <f t="shared" ref="Y73" si="3">"      },"</f>
        <v>      },</v>
      </c>
    </row>
    <row r="74" ht="14.25" customHeight="1" spans="1:25">
      <c r="A74" s="17"/>
      <c r="B74" s="17" t="e">
        <f>VLOOKUP(表1_86121822242672[[#This Row],[区服]],$P$80:$Q$87,2,FALSE)</f>
        <v>#N/A</v>
      </c>
      <c r="C74" s="21"/>
      <c r="D74" s="19" t="str">
        <f>表1_86121822242672[[#This Row],[目标国家]]</f>
        <v>魏</v>
      </c>
      <c r="E74" s="12" t="e">
        <f>(VLOOKUP(表1_86121822242672[[#This Row],[目标区服]],$R$80:$S$91,2,FALSE)-表1_86121822242672[[#This Row],[开服天数]])*配置!$B$1</f>
        <v>#N/A</v>
      </c>
      <c r="F74" s="20" t="e">
        <f>表1_86121822242672[[#This Row],[补偿Coin]]*(表1_86121822242672[[#This Row],[活跃高战玩家数]]+表1_86121822242672[[#This Row],[活跃中坚玩家数]])</f>
        <v>#N/A</v>
      </c>
      <c r="G74" s="20" t="e">
        <f>(VLOOKUP(表1_86121822242672[[#This Row],[目标区服]],$R$80:$S$83,2,FALSE)-表1_86121822242672[[#This Row],[开服天数]])*配置!$B$2</f>
        <v>#N/A</v>
      </c>
      <c r="H74" s="19" t="s">
        <v>25</v>
      </c>
      <c r="I74" s="19">
        <f>IF(表1_86121822242672[[#This Row],[原国家]]="魏",0,IF(表1_86121822242672[[#This Row],[原国家]]="蜀",1,2))</f>
        <v>0</v>
      </c>
      <c r="J74" s="20"/>
      <c r="K74" s="20"/>
      <c r="L74" s="20"/>
      <c r="M74" s="20"/>
      <c r="N74" s="20"/>
      <c r="O74" s="20"/>
      <c r="P74" s="26"/>
      <c r="Q74" s="31" t="s">
        <v>25</v>
      </c>
      <c r="R74" s="19">
        <f>IF(表1_86121822242672[[#This Row],[目标国家]]="魏",0,IF(表1_86121822242672[[#This Row],[目标国家]]="蜀",1,2))</f>
        <v>0</v>
      </c>
      <c r="S74" s="20"/>
      <c r="T74" s="20"/>
      <c r="U74" s="20"/>
      <c r="V74" s="20"/>
      <c r="W74" s="20"/>
      <c r="X74" s="34" t="e">
        <f>"{"&amp;"'coin':"&amp;表1_86121822242672[[#This Row],[补偿Coin]]&amp;",'"&amp;配置!$A$2&amp;"':"&amp;表1_86121822242672[[#This Row],[补偿辎重]]&amp;"},"</f>
        <v>#N/A</v>
      </c>
      <c r="Y74" s="34" t="str">
        <f>"      '"&amp;表1_86121822242672[[#This Row],[区服]]&amp;"':{"</f>
        <v>      '':{</v>
      </c>
    </row>
    <row r="75" ht="14.25" customHeight="1" spans="1:25">
      <c r="A75" s="17"/>
      <c r="B75" s="17" t="e">
        <f>VLOOKUP(表1_86121822242672[[#This Row],[区服]],$P$80:$Q$87,2,FALSE)</f>
        <v>#N/A</v>
      </c>
      <c r="C75" s="21"/>
      <c r="D75" s="19" t="str">
        <f>表1_86121822242672[[#This Row],[目标国家]]</f>
        <v>蜀</v>
      </c>
      <c r="E75" s="12" t="e">
        <f>(VLOOKUP(表1_86121822242672[[#This Row],[目标区服]],$R$80:$S$91,2,FALSE)-表1_86121822242672[[#This Row],[开服天数]])*配置!$B$1</f>
        <v>#N/A</v>
      </c>
      <c r="F75" s="20" t="e">
        <f>表1_86121822242672[[#This Row],[补偿Coin]]*(表1_86121822242672[[#This Row],[活跃高战玩家数]]+表1_86121822242672[[#This Row],[活跃中坚玩家数]])</f>
        <v>#N/A</v>
      </c>
      <c r="G75" s="20" t="e">
        <f>(VLOOKUP(表1_86121822242672[[#This Row],[目标区服]],$R$80:$S$83,2,FALSE)-表1_86121822242672[[#This Row],[开服天数]])*配置!$B$2</f>
        <v>#N/A</v>
      </c>
      <c r="H75" s="19" t="s">
        <v>26</v>
      </c>
      <c r="I75" s="19">
        <f>IF(表1_86121822242672[[#This Row],[原国家]]="魏",0,IF(表1_86121822242672[[#This Row],[原国家]]="蜀",1,2))</f>
        <v>1</v>
      </c>
      <c r="J75" s="20"/>
      <c r="K75" s="20"/>
      <c r="L75" s="20"/>
      <c r="M75" s="20"/>
      <c r="N75" s="20"/>
      <c r="O75" s="20"/>
      <c r="P75" s="26"/>
      <c r="Q75" s="31" t="s">
        <v>26</v>
      </c>
      <c r="R75" s="19">
        <f>IF(表1_86121822242672[[#This Row],[目标国家]]="魏",0,IF(表1_86121822242672[[#This Row],[目标国家]]="蜀",1,2))</f>
        <v>1</v>
      </c>
      <c r="S75" s="20"/>
      <c r="T75" s="20"/>
      <c r="U75" s="20"/>
      <c r="V75" s="20"/>
      <c r="W75" s="20"/>
      <c r="X75" s="34" t="e">
        <f>"{"&amp;"'coin':"&amp;表1_86121822242672[[#This Row],[补偿Coin]]&amp;",'"&amp;配置!$A$2&amp;"':"&amp;表1_86121822242672[[#This Row],[补偿辎重]]&amp;"},"</f>
        <v>#N/A</v>
      </c>
      <c r="Y75" s="34" t="e">
        <f>"            'to_zone':'"&amp;表1_86121822242672[[#This Row],[目标区服]]&amp;"',
            'reward':"&amp;表1_86121822242672[[#This Row],[辅助导出]]&amp;"
            'country':["&amp;R74&amp;","&amp;R75&amp;","&amp;R76&amp;"],"</f>
        <v>#N/A</v>
      </c>
    </row>
    <row r="76" ht="14.25" customHeight="1" spans="1:25">
      <c r="A76" s="17"/>
      <c r="B76" s="17" t="e">
        <f>VLOOKUP(表1_86121822242672[[#This Row],[区服]],$P$80:$Q$87,2,FALSE)</f>
        <v>#N/A</v>
      </c>
      <c r="C76" s="21"/>
      <c r="D76" s="19" t="str">
        <f>表1_86121822242672[[#This Row],[目标国家]]</f>
        <v>吴</v>
      </c>
      <c r="E76" s="12" t="e">
        <f>(VLOOKUP(表1_86121822242672[[#This Row],[目标区服]],$R$80:$S$91,2,FALSE)-表1_86121822242672[[#This Row],[开服天数]])*配置!$B$1</f>
        <v>#N/A</v>
      </c>
      <c r="F76" s="20" t="e">
        <f>表1_86121822242672[[#This Row],[补偿Coin]]*(表1_86121822242672[[#This Row],[活跃高战玩家数]]+表1_86121822242672[[#This Row],[活跃中坚玩家数]])</f>
        <v>#N/A</v>
      </c>
      <c r="G76" s="20" t="e">
        <f>(VLOOKUP(表1_86121822242672[[#This Row],[目标区服]],$R$80:$S$83,2,FALSE)-表1_86121822242672[[#This Row],[开服天数]])*配置!$B$2</f>
        <v>#N/A</v>
      </c>
      <c r="H76" s="19" t="s">
        <v>27</v>
      </c>
      <c r="I76" s="19">
        <f>IF(表1_86121822242672[[#This Row],[原国家]]="魏",0,IF(表1_86121822242672[[#This Row],[原国家]]="蜀",1,2))</f>
        <v>2</v>
      </c>
      <c r="J76" s="20"/>
      <c r="K76" s="20"/>
      <c r="L76" s="20"/>
      <c r="M76" s="20"/>
      <c r="N76" s="20"/>
      <c r="O76" s="20"/>
      <c r="P76" s="26"/>
      <c r="Q76" s="31" t="s">
        <v>27</v>
      </c>
      <c r="R76" s="19">
        <f>IF(表1_86121822242672[[#This Row],[目标国家]]="魏",0,IF(表1_86121822242672[[#This Row],[目标国家]]="蜀",1,2))</f>
        <v>2</v>
      </c>
      <c r="S76" s="20"/>
      <c r="T76" s="20"/>
      <c r="U76" s="20"/>
      <c r="V76" s="20"/>
      <c r="W76" s="20"/>
      <c r="X76" s="34" t="e">
        <f>"{"&amp;"'coin':"&amp;表1_86121822242672[[#This Row],[补偿Coin]]&amp;",'"&amp;配置!$A$2&amp;"':"&amp;表1_86121822242672[[#This Row],[补偿辎重]]&amp;"},"</f>
        <v>#N/A</v>
      </c>
      <c r="Y76" s="34" t="str">
        <f t="shared" ref="Y76" si="4">"      },"</f>
        <v>      },</v>
      </c>
    </row>
    <row r="79" ht="37.5" customHeight="1" spans="1:19">
      <c r="A79" s="36" t="s">
        <v>28</v>
      </c>
      <c r="B79" s="37" t="s">
        <v>29</v>
      </c>
      <c r="C79" s="38" t="s">
        <v>30</v>
      </c>
      <c r="D79" s="38" t="s">
        <v>31</v>
      </c>
      <c r="E79" s="38" t="s">
        <v>32</v>
      </c>
      <c r="F79" s="38" t="s">
        <v>33</v>
      </c>
      <c r="G79" s="38" t="s">
        <v>15</v>
      </c>
      <c r="H79" s="37" t="s">
        <v>18</v>
      </c>
      <c r="I79" s="37" t="s">
        <v>19</v>
      </c>
      <c r="J79" s="37" t="s">
        <v>34</v>
      </c>
      <c r="K79" s="38" t="s">
        <v>35</v>
      </c>
      <c r="L79" s="38" t="s">
        <v>36</v>
      </c>
      <c r="M79" s="38" t="s">
        <v>37</v>
      </c>
      <c r="N79" s="38" t="s">
        <v>88</v>
      </c>
      <c r="P79" s="51" t="s">
        <v>0</v>
      </c>
      <c r="Q79" s="51" t="s">
        <v>1</v>
      </c>
      <c r="R79" s="51"/>
      <c r="S79" s="51" t="s">
        <v>38</v>
      </c>
    </row>
    <row r="80" ht="15.75" customHeight="1" spans="1:19">
      <c r="A80" s="39"/>
      <c r="B80" s="39" t="s">
        <v>25</v>
      </c>
      <c r="C80" s="39">
        <f>COUNTIFS(表1_86121822242672[目标区服],表2_97131923252773[[#This Row],[合区区服]],表1_86121822242672[目标国家（映射）],表2_97131923252773[[#This Row],[国家]])</f>
        <v>0</v>
      </c>
      <c r="D80" s="39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80" s="39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80" s="39">
        <f t="array" ref="F80">MAX((表1_86121822242672[目标区服]=表2_97131923252773[[#This Row],[合区区服]])*(表1_86121822242672[目标国家（映射）]=表2_97131923252773[[#This Row],[国家]])*表1_86121822242672[活跃尖端战力])</f>
        <v>0</v>
      </c>
      <c r="G80" s="40">
        <f>SUMIFS(表1_86121822242672[活跃总战力],表1_86121822242672[目标区服],表2_97131923252773[[#This Row],[合区区服]],表1_86121822242672[目标国家（映射）],表2_97131923252773[[#This Row],[国家]])</f>
        <v>0</v>
      </c>
      <c r="H80" s="39">
        <f>SUMIFS(表1_86121822242672[活跃实际充值],表1_86121822242672[目标区服],表2_97131923252773[[#This Row],[合区区服]],表1_86121822242672[目标国家（映射）],表2_97131923252773[[#This Row],[国家]])</f>
        <v>0</v>
      </c>
      <c r="I80" s="39">
        <f>SUMIFS(表1_86121822242672[活跃虚拟充值],表1_86121822242672[目标区服],表2_97131923252773[[#This Row],[合区区服]],表1_86121822242672[目标国家（映射）],表2_97131923252773[[#This Row],[国家]])</f>
        <v>0</v>
      </c>
      <c r="J80" s="39">
        <f>SUMIFS(表1_86121822242672[活跃Coin],表1_86121822242672[目标区服],表2_97131923252773[[#This Row],[合区区服]],表1_86121822242672[目标国家（映射）],表2_97131923252773[[#This Row],[国家]])</f>
        <v>0</v>
      </c>
      <c r="K80" s="39">
        <f>SUMIFS(表1_86121822242672[共计补偿Coin],表1_86121822242672[目标区服],表2_97131923252773[[#This Row],[合区区服]],表1_86121822242672[目标国家（映射）],表2_97131923252773[[#This Row],[国家]])</f>
        <v>0</v>
      </c>
      <c r="L80" s="39">
        <f>表2_97131923252773[[#This Row],[活跃Coin]]+表2_97131923252773[[#This Row],[共计补偿Coin]]</f>
        <v>0</v>
      </c>
      <c r="M80" s="39">
        <f>SUMIFS(表1_86121822242672[综合国力],表1_86121822242672[目标区服],表2_97131923252773[[#This Row],[合区区服]],表1_86121822242672[目标国家（映射）],表2_97131923252773[[#This Row],[国家]])</f>
        <v>0</v>
      </c>
      <c r="N80" s="39">
        <f t="array" ref="N80">MAX((表1_86121822242672[目标区服]=表2_97131923252773[[#This Row],[合区区服]])*(表1_86121822242672[目标国家（映射）]=表2_97131923252773[[#This Row],[国家]])*表1_86121822242672[单将最高战力])</f>
        <v>0</v>
      </c>
      <c r="P80" s="51"/>
      <c r="Q80" s="51"/>
      <c r="R80" s="51"/>
      <c r="S80" s="51"/>
    </row>
    <row r="81" ht="15" spans="1:19">
      <c r="A81" s="39"/>
      <c r="B81" s="39" t="s">
        <v>26</v>
      </c>
      <c r="C81" s="39">
        <f>COUNTIFS(表1_86121822242672[目标区服],表2_97131923252773[[#This Row],[合区区服]],表1_86121822242672[目标国家（映射）],表2_97131923252773[[#This Row],[国家]])</f>
        <v>0</v>
      </c>
      <c r="D81" s="39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81" s="39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81" s="39">
        <f t="array" ref="F81">MAX((表1_86121822242672[目标区服]=表2_97131923252773[[#This Row],[合区区服]])*(表1_86121822242672[目标国家（映射）]=表2_97131923252773[[#This Row],[国家]])*表1_86121822242672[活跃尖端战力])</f>
        <v>0</v>
      </c>
      <c r="G81" s="40">
        <f>SUMIFS(表1_86121822242672[活跃总战力],表1_86121822242672[目标区服],表2_97131923252773[[#This Row],[合区区服]],表1_86121822242672[目标国家（映射）],表2_97131923252773[[#This Row],[国家]])</f>
        <v>0</v>
      </c>
      <c r="H81" s="39">
        <f>SUMIFS(表1_86121822242672[活跃实际充值],表1_86121822242672[目标区服],表2_97131923252773[[#This Row],[合区区服]],表1_86121822242672[目标国家（映射）],表2_97131923252773[[#This Row],[国家]])</f>
        <v>0</v>
      </c>
      <c r="I81" s="39">
        <f>SUMIFS(表1_86121822242672[活跃虚拟充值],表1_86121822242672[目标区服],表2_97131923252773[[#This Row],[合区区服]],表1_86121822242672[目标国家（映射）],表2_97131923252773[[#This Row],[国家]])</f>
        <v>0</v>
      </c>
      <c r="J81" s="39">
        <f>SUMIFS(表1_86121822242672[活跃Coin],表1_86121822242672[目标区服],表2_97131923252773[[#This Row],[合区区服]],表1_86121822242672[目标国家（映射）],表2_97131923252773[[#This Row],[国家]])</f>
        <v>0</v>
      </c>
      <c r="K81" s="39">
        <f>SUMIFS(表1_86121822242672[共计补偿Coin],表1_86121822242672[目标区服],表2_97131923252773[[#This Row],[合区区服]],表1_86121822242672[目标国家（映射）],表2_97131923252773[[#This Row],[国家]])</f>
        <v>0</v>
      </c>
      <c r="L81" s="39">
        <f>表2_97131923252773[[#This Row],[活跃Coin]]+表2_97131923252773[[#This Row],[共计补偿Coin]]</f>
        <v>0</v>
      </c>
      <c r="M81" s="39">
        <f>SUMIFS(表1_86121822242672[综合国力],表1_86121822242672[目标区服],表2_97131923252773[[#This Row],[合区区服]],表1_86121822242672[目标国家（映射）],表2_97131923252773[[#This Row],[国家]])</f>
        <v>0</v>
      </c>
      <c r="N81" s="39">
        <f t="array" ref="N81">MAX((表1_86121822242672[目标区服]=表2_97131923252773[[#This Row],[合区区服]])*(表1_86121822242672[目标国家（映射）]=表2_97131923252773[[#This Row],[国家]])*表1_86121822242672[单将最高战力])</f>
        <v>0</v>
      </c>
      <c r="P81" s="51"/>
      <c r="Q81" s="51"/>
      <c r="R81" s="51"/>
      <c r="S81" s="51"/>
    </row>
    <row r="82" ht="15" spans="1:19">
      <c r="A82" s="39"/>
      <c r="B82" s="39" t="s">
        <v>27</v>
      </c>
      <c r="C82" s="39">
        <f>COUNTIFS(表1_86121822242672[目标区服],表2_97131923252773[[#This Row],[合区区服]],表1_86121822242672[目标国家（映射）],表2_97131923252773[[#This Row],[国家]])</f>
        <v>0</v>
      </c>
      <c r="D82" s="39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82" s="39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82" s="39">
        <f t="array" ref="F82">MAX((表1_86121822242672[目标区服]=表2_97131923252773[[#This Row],[合区区服]])*(表1_86121822242672[目标国家（映射）]=表2_97131923252773[[#This Row],[国家]])*表1_86121822242672[活跃尖端战力])</f>
        <v>0</v>
      </c>
      <c r="G82" s="40">
        <f>SUMIFS(表1_86121822242672[活跃总战力],表1_86121822242672[目标区服],表2_97131923252773[[#This Row],[合区区服]],表1_86121822242672[目标国家（映射）],表2_97131923252773[[#This Row],[国家]])</f>
        <v>0</v>
      </c>
      <c r="H82" s="39">
        <f>SUMIFS(表1_86121822242672[活跃实际充值],表1_86121822242672[目标区服],表2_97131923252773[[#This Row],[合区区服]],表1_86121822242672[目标国家（映射）],表2_97131923252773[[#This Row],[国家]])</f>
        <v>0</v>
      </c>
      <c r="I82" s="39">
        <f>SUMIFS(表1_86121822242672[活跃虚拟充值],表1_86121822242672[目标区服],表2_97131923252773[[#This Row],[合区区服]],表1_86121822242672[目标国家（映射）],表2_97131923252773[[#This Row],[国家]])</f>
        <v>0</v>
      </c>
      <c r="J82" s="39">
        <f>SUMIFS(表1_86121822242672[活跃Coin],表1_86121822242672[目标区服],表2_97131923252773[[#This Row],[合区区服]],表1_86121822242672[目标国家（映射）],表2_97131923252773[[#This Row],[国家]])</f>
        <v>0</v>
      </c>
      <c r="K82" s="39">
        <f>SUMIFS(表1_86121822242672[共计补偿Coin],表1_86121822242672[目标区服],表2_97131923252773[[#This Row],[合区区服]],表1_86121822242672[目标国家（映射）],表2_97131923252773[[#This Row],[国家]])</f>
        <v>0</v>
      </c>
      <c r="L82" s="39">
        <f>表2_97131923252773[[#This Row],[活跃Coin]]+表2_97131923252773[[#This Row],[共计补偿Coin]]</f>
        <v>0</v>
      </c>
      <c r="M82" s="39">
        <f>SUMIFS(表1_86121822242672[综合国力],表1_86121822242672[目标区服],表2_97131923252773[[#This Row],[合区区服]],表1_86121822242672[目标国家（映射）],表2_97131923252773[[#This Row],[国家]])</f>
        <v>0</v>
      </c>
      <c r="N82" s="39">
        <f t="array" ref="N82">MAX((表1_86121822242672[目标区服]=表2_97131923252773[[#This Row],[合区区服]])*(表1_86121822242672[目标国家（映射）]=表2_97131923252773[[#This Row],[国家]])*表1_86121822242672[单将最高战力])</f>
        <v>0</v>
      </c>
      <c r="P82" s="51"/>
      <c r="Q82" s="51"/>
      <c r="R82" s="51"/>
      <c r="S82" s="51"/>
    </row>
    <row r="83" ht="15" spans="1:19">
      <c r="A83" s="41"/>
      <c r="B83" s="41" t="s">
        <v>25</v>
      </c>
      <c r="C83" s="41">
        <f>COUNTIFS(表1_86121822242672[目标区服],表2_97131923252773[[#This Row],[合区区服]],表1_86121822242672[目标国家（映射）],表2_97131923252773[[#This Row],[国家]])</f>
        <v>0</v>
      </c>
      <c r="D83" s="41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83" s="41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83" s="41">
        <f t="array" ref="F83">MAX((表1_86121822242672[目标区服]=表2_97131923252773[[#This Row],[合区区服]])*(表1_86121822242672[目标国家（映射）]=表2_97131923252773[[#This Row],[国家]])*表1_86121822242672[活跃尖端战力])</f>
        <v>0</v>
      </c>
      <c r="G83" s="42">
        <f>SUMIFS(表1_86121822242672[活跃总战力],表1_86121822242672[目标区服],表2_97131923252773[[#This Row],[合区区服]],表1_86121822242672[目标国家（映射）],表2_97131923252773[[#This Row],[国家]])</f>
        <v>0</v>
      </c>
      <c r="H83" s="41">
        <f>SUMIFS(表1_86121822242672[活跃实际充值],表1_86121822242672[目标区服],表2_97131923252773[[#This Row],[合区区服]],表1_86121822242672[目标国家（映射）],表2_97131923252773[[#This Row],[国家]])</f>
        <v>0</v>
      </c>
      <c r="I83" s="41">
        <f>SUMIFS(表1_86121822242672[活跃虚拟充值],表1_86121822242672[目标区服],表2_97131923252773[[#This Row],[合区区服]],表1_86121822242672[目标国家（映射）],表2_97131923252773[[#This Row],[国家]])</f>
        <v>0</v>
      </c>
      <c r="J83" s="41">
        <f>SUMIFS(表1_86121822242672[活跃Coin],表1_86121822242672[目标区服],表2_97131923252773[[#This Row],[合区区服]],表1_86121822242672[目标国家（映射）],表2_97131923252773[[#This Row],[国家]])</f>
        <v>0</v>
      </c>
      <c r="K83" s="41">
        <f>SUMIFS(表1_86121822242672[共计补偿Coin],表1_86121822242672[目标区服],表2_97131923252773[[#This Row],[合区区服]],表1_86121822242672[目标国家（映射）],表2_97131923252773[[#This Row],[国家]])</f>
        <v>0</v>
      </c>
      <c r="L83" s="41">
        <f>表2_97131923252773[[#This Row],[活跃Coin]]+表2_97131923252773[[#This Row],[共计补偿Coin]]</f>
        <v>0</v>
      </c>
      <c r="M83" s="41">
        <f>SUMIFS(表1_86121822242672[综合国力],表1_86121822242672[目标区服],表2_97131923252773[[#This Row],[合区区服]],表1_86121822242672[目标国家（映射）],表2_97131923252773[[#This Row],[国家]])</f>
        <v>0</v>
      </c>
      <c r="N83" s="41">
        <f t="array" ref="N83">MAX((表1_86121822242672[目标区服]=表2_97131923252773[[#This Row],[合区区服]])*(表1_86121822242672[目标国家（映射）]=表2_97131923252773[[#This Row],[国家]])*表1_86121822242672[单将最高战力])</f>
        <v>0</v>
      </c>
      <c r="P83" s="51"/>
      <c r="Q83" s="51"/>
      <c r="R83" s="51"/>
      <c r="S83" s="51"/>
    </row>
    <row r="84" ht="15" spans="1:19">
      <c r="A84" s="41"/>
      <c r="B84" s="41" t="s">
        <v>26</v>
      </c>
      <c r="C84" s="41">
        <f>COUNTIFS(表1_86121822242672[目标区服],表2_97131923252773[[#This Row],[合区区服]],表1_86121822242672[目标国家（映射）],表2_97131923252773[[#This Row],[国家]])</f>
        <v>0</v>
      </c>
      <c r="D84" s="41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84" s="41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84" s="41">
        <f t="array" ref="F84">MAX((表1_86121822242672[目标区服]=表2_97131923252773[[#This Row],[合区区服]])*(表1_86121822242672[目标国家（映射）]=表2_97131923252773[[#This Row],[国家]])*表1_86121822242672[活跃尖端战力])</f>
        <v>0</v>
      </c>
      <c r="G84" s="42">
        <f>SUMIFS(表1_86121822242672[活跃总战力],表1_86121822242672[目标区服],表2_97131923252773[[#This Row],[合区区服]],表1_86121822242672[目标国家（映射）],表2_97131923252773[[#This Row],[国家]])</f>
        <v>0</v>
      </c>
      <c r="H84" s="41">
        <f>SUMIFS(表1_86121822242672[活跃实际充值],表1_86121822242672[目标区服],表2_97131923252773[[#This Row],[合区区服]],表1_86121822242672[目标国家（映射）],表2_97131923252773[[#This Row],[国家]])</f>
        <v>0</v>
      </c>
      <c r="I84" s="41">
        <f>SUMIFS(表1_86121822242672[活跃虚拟充值],表1_86121822242672[目标区服],表2_97131923252773[[#This Row],[合区区服]],表1_86121822242672[目标国家（映射）],表2_97131923252773[[#This Row],[国家]])</f>
        <v>0</v>
      </c>
      <c r="J84" s="41">
        <f>SUMIFS(表1_86121822242672[活跃Coin],表1_86121822242672[目标区服],表2_97131923252773[[#This Row],[合区区服]],表1_86121822242672[目标国家（映射）],表2_97131923252773[[#This Row],[国家]])</f>
        <v>0</v>
      </c>
      <c r="K84" s="41">
        <f>SUMIFS(表1_86121822242672[共计补偿Coin],表1_86121822242672[目标区服],表2_97131923252773[[#This Row],[合区区服]],表1_86121822242672[目标国家（映射）],表2_97131923252773[[#This Row],[国家]])</f>
        <v>0</v>
      </c>
      <c r="L84" s="41">
        <f>表2_97131923252773[[#This Row],[活跃Coin]]+表2_97131923252773[[#This Row],[共计补偿Coin]]</f>
        <v>0</v>
      </c>
      <c r="M84" s="41">
        <f>SUMIFS(表1_86121822242672[综合国力],表1_86121822242672[目标区服],表2_97131923252773[[#This Row],[合区区服]],表1_86121822242672[目标国家（映射）],表2_97131923252773[[#This Row],[国家]])</f>
        <v>0</v>
      </c>
      <c r="N84" s="41">
        <f t="array" ref="N84">MAX((表1_86121822242672[目标区服]=表2_97131923252773[[#This Row],[合区区服]])*(表1_86121822242672[目标国家（映射）]=表2_97131923252773[[#This Row],[国家]])*表1_86121822242672[单将最高战力])</f>
        <v>0</v>
      </c>
      <c r="P84" s="51"/>
      <c r="Q84" s="51"/>
      <c r="R84" s="51"/>
      <c r="S84" s="51"/>
    </row>
    <row r="85" ht="15" spans="1:19">
      <c r="A85" s="41"/>
      <c r="B85" s="43" t="s">
        <v>27</v>
      </c>
      <c r="C85" s="43">
        <f>COUNTIFS(表1_86121822242672[目标区服],表2_97131923252773[[#This Row],[合区区服]],表1_86121822242672[目标国家（映射）],表2_97131923252773[[#This Row],[国家]])</f>
        <v>0</v>
      </c>
      <c r="D85" s="43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85" s="43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85" s="43">
        <f t="array" ref="F85">MAX((表1_86121822242672[目标区服]=表2_97131923252773[[#This Row],[合区区服]])*(表1_86121822242672[目标国家（映射）]=表2_97131923252773[[#This Row],[国家]])*表1_86121822242672[活跃尖端战力])</f>
        <v>0</v>
      </c>
      <c r="G85" s="44">
        <f>SUMIFS(表1_86121822242672[活跃总战力],表1_86121822242672[目标区服],表2_97131923252773[[#This Row],[合区区服]],表1_86121822242672[目标国家（映射）],表2_97131923252773[[#This Row],[国家]])</f>
        <v>0</v>
      </c>
      <c r="H85" s="43">
        <f>SUMIFS(表1_86121822242672[活跃实际充值],表1_86121822242672[目标区服],表2_97131923252773[[#This Row],[合区区服]],表1_86121822242672[目标国家（映射）],表2_97131923252773[[#This Row],[国家]])</f>
        <v>0</v>
      </c>
      <c r="I85" s="43">
        <f>SUMIFS(表1_86121822242672[活跃虚拟充值],表1_86121822242672[目标区服],表2_97131923252773[[#This Row],[合区区服]],表1_86121822242672[目标国家（映射）],表2_97131923252773[[#This Row],[国家]])</f>
        <v>0</v>
      </c>
      <c r="J85" s="43">
        <f>SUMIFS(表1_86121822242672[活跃Coin],表1_86121822242672[目标区服],表2_97131923252773[[#This Row],[合区区服]],表1_86121822242672[目标国家（映射）],表2_97131923252773[[#This Row],[国家]])</f>
        <v>0</v>
      </c>
      <c r="K85" s="43">
        <f>SUMIFS(表1_86121822242672[共计补偿Coin],表1_86121822242672[目标区服],表2_97131923252773[[#This Row],[合区区服]],表1_86121822242672[目标国家（映射）],表2_97131923252773[[#This Row],[国家]])</f>
        <v>0</v>
      </c>
      <c r="L85" s="43">
        <f>表2_97131923252773[[#This Row],[活跃Coin]]+表2_97131923252773[[#This Row],[共计补偿Coin]]</f>
        <v>0</v>
      </c>
      <c r="M85" s="43">
        <f>SUMIFS(表1_86121822242672[综合国力],表1_86121822242672[目标区服],表2_97131923252773[[#This Row],[合区区服]],表1_86121822242672[目标国家（映射）],表2_97131923252773[[#This Row],[国家]])</f>
        <v>0</v>
      </c>
      <c r="N85" s="41">
        <f t="array" ref="N85">MAX((表1_86121822242672[目标区服]=表2_97131923252773[[#This Row],[合区区服]])*(表1_86121822242672[目标国家（映射）]=表2_97131923252773[[#This Row],[国家]])*表1_86121822242672[单将最高战力])</f>
        <v>0</v>
      </c>
      <c r="P85" s="51"/>
      <c r="Q85" s="51"/>
      <c r="R85" s="51"/>
      <c r="S85" s="51"/>
    </row>
    <row r="86" ht="15" spans="1:19">
      <c r="A86" s="41"/>
      <c r="B86" s="41" t="s">
        <v>25</v>
      </c>
      <c r="C86" s="41">
        <f>COUNTIFS(表1_86121822242672[目标区服],表2_97131923252773[[#This Row],[合区区服]],表1_86121822242672[目标国家（映射）],表2_97131923252773[[#This Row],[国家]])</f>
        <v>0</v>
      </c>
      <c r="D86" s="41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86" s="41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86" s="41">
        <f t="array" ref="F86">MAX((表1_86121822242672[目标区服]=表2_97131923252773[[#This Row],[合区区服]])*(表1_86121822242672[目标国家（映射）]=表2_97131923252773[[#This Row],[国家]])*表1_86121822242672[活跃尖端战力])</f>
        <v>0</v>
      </c>
      <c r="G86" s="42">
        <f>SUMIFS(表1_86121822242672[活跃总战力],表1_86121822242672[目标区服],表2_97131923252773[[#This Row],[合区区服]],表1_86121822242672[目标国家（映射）],表2_97131923252773[[#This Row],[国家]])</f>
        <v>0</v>
      </c>
      <c r="H86" s="41">
        <f>SUMIFS(表1_86121822242672[活跃实际充值],表1_86121822242672[目标区服],表2_97131923252773[[#This Row],[合区区服]],表1_86121822242672[目标国家（映射）],表2_97131923252773[[#This Row],[国家]])</f>
        <v>0</v>
      </c>
      <c r="I86" s="41">
        <f>SUMIFS(表1_86121822242672[活跃虚拟充值],表1_86121822242672[目标区服],表2_97131923252773[[#This Row],[合区区服]],表1_86121822242672[目标国家（映射）],表2_97131923252773[[#This Row],[国家]])</f>
        <v>0</v>
      </c>
      <c r="J86" s="41">
        <f>SUMIFS(表1_86121822242672[活跃Coin],表1_86121822242672[目标区服],表2_97131923252773[[#This Row],[合区区服]],表1_86121822242672[目标国家（映射）],表2_97131923252773[[#This Row],[国家]])</f>
        <v>0</v>
      </c>
      <c r="K86" s="41">
        <f>SUMIFS(表1_86121822242672[共计补偿Coin],表1_86121822242672[目标区服],表2_97131923252773[[#This Row],[合区区服]],表1_86121822242672[目标国家（映射）],表2_97131923252773[[#This Row],[国家]])</f>
        <v>0</v>
      </c>
      <c r="L86" s="41">
        <f>表2_97131923252773[[#This Row],[活跃Coin]]+表2_97131923252773[[#This Row],[共计补偿Coin]]</f>
        <v>0</v>
      </c>
      <c r="M86" s="41">
        <f>SUMIFS(表1_86121822242672[综合国力],表1_86121822242672[目标区服],表2_97131923252773[[#This Row],[合区区服]],表1_86121822242672[目标国家（映射）],表2_97131923252773[[#This Row],[国家]])</f>
        <v>0</v>
      </c>
      <c r="N86" s="41">
        <f t="array" ref="N86">MAX((表1_86121822242672[目标区服]=表2_97131923252773[[#This Row],[合区区服]])*(表1_86121822242672[目标国家（映射）]=表2_97131923252773[[#This Row],[国家]])*表1_86121822242672[单将最高战力])</f>
        <v>0</v>
      </c>
      <c r="P86" s="51"/>
      <c r="Q86" s="51"/>
      <c r="R86" s="51"/>
      <c r="S86" s="51"/>
    </row>
    <row r="87" ht="15" spans="1:19">
      <c r="A87" s="41"/>
      <c r="B87" s="41" t="s">
        <v>26</v>
      </c>
      <c r="C87" s="41">
        <f>COUNTIFS(表1_86121822242672[目标区服],表2_97131923252773[[#This Row],[合区区服]],表1_86121822242672[目标国家（映射）],表2_97131923252773[[#This Row],[国家]])</f>
        <v>0</v>
      </c>
      <c r="D87" s="41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87" s="41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87" s="41">
        <f t="array" ref="F87">MAX((表1_86121822242672[目标区服]=表2_97131923252773[[#This Row],[合区区服]])*(表1_86121822242672[目标国家（映射）]=表2_97131923252773[[#This Row],[国家]])*表1_86121822242672[活跃尖端战力])</f>
        <v>0</v>
      </c>
      <c r="G87" s="42">
        <f>SUMIFS(表1_86121822242672[活跃总战力],表1_86121822242672[目标区服],表2_97131923252773[[#This Row],[合区区服]],表1_86121822242672[目标国家（映射）],表2_97131923252773[[#This Row],[国家]])</f>
        <v>0</v>
      </c>
      <c r="H87" s="41">
        <f>SUMIFS(表1_86121822242672[活跃实际充值],表1_86121822242672[目标区服],表2_97131923252773[[#This Row],[合区区服]],表1_86121822242672[目标国家（映射）],表2_97131923252773[[#This Row],[国家]])</f>
        <v>0</v>
      </c>
      <c r="I87" s="41">
        <f>SUMIFS(表1_86121822242672[活跃虚拟充值],表1_86121822242672[目标区服],表2_97131923252773[[#This Row],[合区区服]],表1_86121822242672[目标国家（映射）],表2_97131923252773[[#This Row],[国家]])</f>
        <v>0</v>
      </c>
      <c r="J87" s="41">
        <f>SUMIFS(表1_86121822242672[活跃Coin],表1_86121822242672[目标区服],表2_97131923252773[[#This Row],[合区区服]],表1_86121822242672[目标国家（映射）],表2_97131923252773[[#This Row],[国家]])</f>
        <v>0</v>
      </c>
      <c r="K87" s="41">
        <f>SUMIFS(表1_86121822242672[共计补偿Coin],表1_86121822242672[目标区服],表2_97131923252773[[#This Row],[合区区服]],表1_86121822242672[目标国家（映射）],表2_97131923252773[[#This Row],[国家]])</f>
        <v>0</v>
      </c>
      <c r="L87" s="41">
        <f>表2_97131923252773[[#This Row],[活跃Coin]]+表2_97131923252773[[#This Row],[共计补偿Coin]]</f>
        <v>0</v>
      </c>
      <c r="M87" s="41">
        <f>SUMIFS(表1_86121822242672[综合国力],表1_86121822242672[目标区服],表2_97131923252773[[#This Row],[合区区服]],表1_86121822242672[目标国家（映射）],表2_97131923252773[[#This Row],[国家]])</f>
        <v>0</v>
      </c>
      <c r="N87" s="41">
        <f t="array" ref="N87">MAX((表1_86121822242672[目标区服]=表2_97131923252773[[#This Row],[合区区服]])*(表1_86121822242672[目标国家（映射）]=表2_97131923252773[[#This Row],[国家]])*表1_86121822242672[单将最高战力])</f>
        <v>0</v>
      </c>
      <c r="P87" s="51"/>
      <c r="Q87" s="51"/>
      <c r="R87" s="51"/>
      <c r="S87" s="51"/>
    </row>
    <row r="88" ht="15" spans="1:19">
      <c r="A88" s="41"/>
      <c r="B88" s="43" t="s">
        <v>27</v>
      </c>
      <c r="C88" s="43">
        <f>COUNTIFS(表1_86121822242672[目标区服],表2_97131923252773[[#This Row],[合区区服]],表1_86121822242672[目标国家（映射）],表2_97131923252773[[#This Row],[国家]])</f>
        <v>0</v>
      </c>
      <c r="D88" s="43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88" s="43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88" s="43">
        <f t="array" ref="F88">MAX((表1_86121822242672[目标区服]=表2_97131923252773[[#This Row],[合区区服]])*(表1_86121822242672[目标国家（映射）]=表2_97131923252773[[#This Row],[国家]])*表1_86121822242672[活跃尖端战力])</f>
        <v>0</v>
      </c>
      <c r="G88" s="44">
        <f>SUMIFS(表1_86121822242672[活跃总战力],表1_86121822242672[目标区服],表2_97131923252773[[#This Row],[合区区服]],表1_86121822242672[目标国家（映射）],表2_97131923252773[[#This Row],[国家]])</f>
        <v>0</v>
      </c>
      <c r="H88" s="43">
        <f>SUMIFS(表1_86121822242672[活跃实际充值],表1_86121822242672[目标区服],表2_97131923252773[[#This Row],[合区区服]],表1_86121822242672[目标国家（映射）],表2_97131923252773[[#This Row],[国家]])</f>
        <v>0</v>
      </c>
      <c r="I88" s="43">
        <f>SUMIFS(表1_86121822242672[活跃虚拟充值],表1_86121822242672[目标区服],表2_97131923252773[[#This Row],[合区区服]],表1_86121822242672[目标国家（映射）],表2_97131923252773[[#This Row],[国家]])</f>
        <v>0</v>
      </c>
      <c r="J88" s="43">
        <f>SUMIFS(表1_86121822242672[活跃Coin],表1_86121822242672[目标区服],表2_97131923252773[[#This Row],[合区区服]],表1_86121822242672[目标国家（映射）],表2_97131923252773[[#This Row],[国家]])</f>
        <v>0</v>
      </c>
      <c r="K88" s="43">
        <f>SUMIFS(表1_86121822242672[共计补偿Coin],表1_86121822242672[目标区服],表2_97131923252773[[#This Row],[合区区服]],表1_86121822242672[目标国家（映射）],表2_97131923252773[[#This Row],[国家]])</f>
        <v>0</v>
      </c>
      <c r="L88" s="43">
        <f>表2_97131923252773[[#This Row],[活跃Coin]]+表2_97131923252773[[#This Row],[共计补偿Coin]]</f>
        <v>0</v>
      </c>
      <c r="M88" s="43">
        <f>SUMIFS(表1_86121822242672[综合国力],表1_86121822242672[目标区服],表2_97131923252773[[#This Row],[合区区服]],表1_86121822242672[目标国家（映射）],表2_97131923252773[[#This Row],[国家]])</f>
        <v>0</v>
      </c>
      <c r="N88" s="41">
        <f t="array" ref="N88">MAX((表1_86121822242672[目标区服]=表2_97131923252773[[#This Row],[合区区服]])*(表1_86121822242672[目标国家（映射）]=表2_97131923252773[[#This Row],[国家]])*表1_86121822242672[单将最高战力])</f>
        <v>0</v>
      </c>
      <c r="P88" s="51"/>
      <c r="Q88" s="51"/>
      <c r="R88" s="51"/>
      <c r="S88" s="51"/>
    </row>
    <row r="89" ht="15" spans="1:19">
      <c r="A89" s="41"/>
      <c r="B89" s="41" t="s">
        <v>25</v>
      </c>
      <c r="C89" s="41">
        <f>COUNTIFS(表1_86121822242672[目标区服],表2_97131923252773[[#This Row],[合区区服]],表1_86121822242672[目标国家（映射）],表2_97131923252773[[#This Row],[国家]])</f>
        <v>0</v>
      </c>
      <c r="D89" s="41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89" s="41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89" s="41">
        <f t="array" ref="F89">MAX((表1_86121822242672[目标区服]=表2_97131923252773[[#This Row],[合区区服]])*(表1_86121822242672[目标国家（映射）]=表2_97131923252773[[#This Row],[国家]])*表1_86121822242672[活跃尖端战力])</f>
        <v>0</v>
      </c>
      <c r="G89" s="42">
        <f>SUMIFS(表1_86121822242672[活跃总战力],表1_86121822242672[目标区服],表2_97131923252773[[#This Row],[合区区服]],表1_86121822242672[目标国家（映射）],表2_97131923252773[[#This Row],[国家]])</f>
        <v>0</v>
      </c>
      <c r="H89" s="41">
        <f>SUMIFS(表1_86121822242672[活跃实际充值],表1_86121822242672[目标区服],表2_97131923252773[[#This Row],[合区区服]],表1_86121822242672[目标国家（映射）],表2_97131923252773[[#This Row],[国家]])</f>
        <v>0</v>
      </c>
      <c r="I89" s="41">
        <f>SUMIFS(表1_86121822242672[活跃虚拟充值],表1_86121822242672[目标区服],表2_97131923252773[[#This Row],[合区区服]],表1_86121822242672[目标国家（映射）],表2_97131923252773[[#This Row],[国家]])</f>
        <v>0</v>
      </c>
      <c r="J89" s="41">
        <f>SUMIFS(表1_86121822242672[活跃Coin],表1_86121822242672[目标区服],表2_97131923252773[[#This Row],[合区区服]],表1_86121822242672[目标国家（映射）],表2_97131923252773[[#This Row],[国家]])</f>
        <v>0</v>
      </c>
      <c r="K89" s="41">
        <f>SUMIFS(表1_86121822242672[共计补偿Coin],表1_86121822242672[目标区服],表2_97131923252773[[#This Row],[合区区服]],表1_86121822242672[目标国家（映射）],表2_97131923252773[[#This Row],[国家]])</f>
        <v>0</v>
      </c>
      <c r="L89" s="41">
        <f>表2_97131923252773[[#This Row],[活跃Coin]]+表2_97131923252773[[#This Row],[共计补偿Coin]]</f>
        <v>0</v>
      </c>
      <c r="M89" s="41">
        <f>SUMIFS(表1_86121822242672[综合国力],表1_86121822242672[目标区服],表2_97131923252773[[#This Row],[合区区服]],表1_86121822242672[目标国家（映射）],表2_97131923252773[[#This Row],[国家]])</f>
        <v>0</v>
      </c>
      <c r="N89" s="41">
        <f t="array" ref="N89">MAX((表1_86121822242672[目标区服]=表2_97131923252773[[#This Row],[合区区服]])*(表1_86121822242672[目标国家（映射）]=表2_97131923252773[[#This Row],[国家]])*表1_86121822242672[单将最高战力])</f>
        <v>0</v>
      </c>
      <c r="P89" s="51"/>
      <c r="Q89" s="51"/>
      <c r="R89" s="51"/>
      <c r="S89" s="51"/>
    </row>
    <row r="90" ht="15" spans="1:19">
      <c r="A90" s="41"/>
      <c r="B90" s="41" t="s">
        <v>26</v>
      </c>
      <c r="C90" s="41">
        <f>COUNTIFS(表1_86121822242672[目标区服],表2_97131923252773[[#This Row],[合区区服]],表1_86121822242672[目标国家（映射）],表2_97131923252773[[#This Row],[国家]])</f>
        <v>0</v>
      </c>
      <c r="D90" s="41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90" s="41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90" s="41">
        <f t="array" ref="F90">MAX((表1_86121822242672[目标区服]=表2_97131923252773[[#This Row],[合区区服]])*(表1_86121822242672[目标国家（映射）]=表2_97131923252773[[#This Row],[国家]])*表1_86121822242672[活跃尖端战力])</f>
        <v>0</v>
      </c>
      <c r="G90" s="42">
        <f>SUMIFS(表1_86121822242672[活跃总战力],表1_86121822242672[目标区服],表2_97131923252773[[#This Row],[合区区服]],表1_86121822242672[目标国家（映射）],表2_97131923252773[[#This Row],[国家]])</f>
        <v>0</v>
      </c>
      <c r="H90" s="41">
        <f>SUMIFS(表1_86121822242672[活跃实际充值],表1_86121822242672[目标区服],表2_97131923252773[[#This Row],[合区区服]],表1_86121822242672[目标国家（映射）],表2_97131923252773[[#This Row],[国家]])</f>
        <v>0</v>
      </c>
      <c r="I90" s="41">
        <f>SUMIFS(表1_86121822242672[活跃虚拟充值],表1_86121822242672[目标区服],表2_97131923252773[[#This Row],[合区区服]],表1_86121822242672[目标国家（映射）],表2_97131923252773[[#This Row],[国家]])</f>
        <v>0</v>
      </c>
      <c r="J90" s="41">
        <f>SUMIFS(表1_86121822242672[活跃Coin],表1_86121822242672[目标区服],表2_97131923252773[[#This Row],[合区区服]],表1_86121822242672[目标国家（映射）],表2_97131923252773[[#This Row],[国家]])</f>
        <v>0</v>
      </c>
      <c r="K90" s="41">
        <f>SUMIFS(表1_86121822242672[共计补偿Coin],表1_86121822242672[目标区服],表2_97131923252773[[#This Row],[合区区服]],表1_86121822242672[目标国家（映射）],表2_97131923252773[[#This Row],[国家]])</f>
        <v>0</v>
      </c>
      <c r="L90" s="41">
        <f>表2_97131923252773[[#This Row],[活跃Coin]]+表2_97131923252773[[#This Row],[共计补偿Coin]]</f>
        <v>0</v>
      </c>
      <c r="M90" s="41">
        <f>SUMIFS(表1_86121822242672[综合国力],表1_86121822242672[目标区服],表2_97131923252773[[#This Row],[合区区服]],表1_86121822242672[目标国家（映射）],表2_97131923252773[[#This Row],[国家]])</f>
        <v>0</v>
      </c>
      <c r="N90" s="41">
        <f t="array" ref="N90">MAX((表1_86121822242672[目标区服]=表2_97131923252773[[#This Row],[合区区服]])*(表1_86121822242672[目标国家（映射）]=表2_97131923252773[[#This Row],[国家]])*表1_86121822242672[单将最高战力])</f>
        <v>0</v>
      </c>
      <c r="P90" s="51"/>
      <c r="Q90" s="51"/>
      <c r="R90" s="51"/>
      <c r="S90" s="51"/>
    </row>
    <row r="91" ht="15" spans="1:19">
      <c r="A91" s="41"/>
      <c r="B91" s="43" t="s">
        <v>27</v>
      </c>
      <c r="C91" s="43">
        <f>COUNTIFS(表1_86121822242672[目标区服],表2_97131923252773[[#This Row],[合区区服]],表1_86121822242672[目标国家（映射）],表2_97131923252773[[#This Row],[国家]])</f>
        <v>0</v>
      </c>
      <c r="D91" s="43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91" s="43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91" s="43">
        <f t="array" ref="F91">MAX((表1_86121822242672[目标区服]=表2_97131923252773[[#This Row],[合区区服]])*(表1_86121822242672[目标国家（映射）]=表2_97131923252773[[#This Row],[国家]])*表1_86121822242672[活跃尖端战力])</f>
        <v>0</v>
      </c>
      <c r="G91" s="44">
        <f>SUMIFS(表1_86121822242672[活跃总战力],表1_86121822242672[目标区服],表2_97131923252773[[#This Row],[合区区服]],表1_86121822242672[目标国家（映射）],表2_97131923252773[[#This Row],[国家]])</f>
        <v>0</v>
      </c>
      <c r="H91" s="43">
        <f>SUMIFS(表1_86121822242672[活跃实际充值],表1_86121822242672[目标区服],表2_97131923252773[[#This Row],[合区区服]],表1_86121822242672[目标国家（映射）],表2_97131923252773[[#This Row],[国家]])</f>
        <v>0</v>
      </c>
      <c r="I91" s="43">
        <f>SUMIFS(表1_86121822242672[活跃虚拟充值],表1_86121822242672[目标区服],表2_97131923252773[[#This Row],[合区区服]],表1_86121822242672[目标国家（映射）],表2_97131923252773[[#This Row],[国家]])</f>
        <v>0</v>
      </c>
      <c r="J91" s="43">
        <f>SUMIFS(表1_86121822242672[活跃Coin],表1_86121822242672[目标区服],表2_97131923252773[[#This Row],[合区区服]],表1_86121822242672[目标国家（映射）],表2_97131923252773[[#This Row],[国家]])</f>
        <v>0</v>
      </c>
      <c r="K91" s="43">
        <f>SUMIFS(表1_86121822242672[共计补偿Coin],表1_86121822242672[目标区服],表2_97131923252773[[#This Row],[合区区服]],表1_86121822242672[目标国家（映射）],表2_97131923252773[[#This Row],[国家]])</f>
        <v>0</v>
      </c>
      <c r="L91" s="43">
        <f>表2_97131923252773[[#This Row],[活跃Coin]]+表2_97131923252773[[#This Row],[共计补偿Coin]]</f>
        <v>0</v>
      </c>
      <c r="M91" s="43">
        <f>SUMIFS(表1_86121822242672[综合国力],表1_86121822242672[目标区服],表2_97131923252773[[#This Row],[合区区服]],表1_86121822242672[目标国家（映射）],表2_97131923252773[[#This Row],[国家]])</f>
        <v>0</v>
      </c>
      <c r="N91" s="41">
        <f t="array" ref="N91">MAX((表1_86121822242672[目标区服]=表2_97131923252773[[#This Row],[合区区服]])*(表1_86121822242672[目标国家（映射）]=表2_97131923252773[[#This Row],[国家]])*表1_86121822242672[单将最高战力])</f>
        <v>0</v>
      </c>
      <c r="P91" s="51"/>
      <c r="Q91" s="51"/>
      <c r="R91" s="51"/>
      <c r="S91" s="51"/>
    </row>
    <row r="92" ht="15" spans="1:17">
      <c r="A92" s="41"/>
      <c r="B92" s="41" t="s">
        <v>25</v>
      </c>
      <c r="C92" s="41">
        <f>COUNTIFS(表1_86121822242672[目标区服],表2_97131923252773[[#This Row],[合区区服]],表1_86121822242672[目标国家（映射）],表2_97131923252773[[#This Row],[国家]])</f>
        <v>0</v>
      </c>
      <c r="D92" s="41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92" s="41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92" s="41">
        <f t="array" ref="F92">MAX((表1_86121822242672[目标区服]=表2_97131923252773[[#This Row],[合区区服]])*(表1_86121822242672[目标国家（映射）]=表2_97131923252773[[#This Row],[国家]])*表1_86121822242672[活跃尖端战力])</f>
        <v>0</v>
      </c>
      <c r="G92" s="42">
        <f>SUMIFS(表1_86121822242672[活跃总战力],表1_86121822242672[目标区服],表2_97131923252773[[#This Row],[合区区服]],表1_86121822242672[目标国家（映射）],表2_97131923252773[[#This Row],[国家]])</f>
        <v>0</v>
      </c>
      <c r="H92" s="41">
        <f>SUMIFS(表1_86121822242672[活跃实际充值],表1_86121822242672[目标区服],表2_97131923252773[[#This Row],[合区区服]],表1_86121822242672[目标国家（映射）],表2_97131923252773[[#This Row],[国家]])</f>
        <v>0</v>
      </c>
      <c r="I92" s="41">
        <f>SUMIFS(表1_86121822242672[活跃虚拟充值],表1_86121822242672[目标区服],表2_97131923252773[[#This Row],[合区区服]],表1_86121822242672[目标国家（映射）],表2_97131923252773[[#This Row],[国家]])</f>
        <v>0</v>
      </c>
      <c r="J92" s="41">
        <f>SUMIFS(表1_86121822242672[活跃Coin],表1_86121822242672[目标区服],表2_97131923252773[[#This Row],[合区区服]],表1_86121822242672[目标国家（映射）],表2_97131923252773[[#This Row],[国家]])</f>
        <v>0</v>
      </c>
      <c r="K92" s="41">
        <f>SUMIFS(表1_86121822242672[共计补偿Coin],表1_86121822242672[目标区服],表2_97131923252773[[#This Row],[合区区服]],表1_86121822242672[目标国家（映射）],表2_97131923252773[[#This Row],[国家]])</f>
        <v>0</v>
      </c>
      <c r="L92" s="41">
        <f>表2_97131923252773[[#This Row],[活跃Coin]]+表2_97131923252773[[#This Row],[共计补偿Coin]]</f>
        <v>0</v>
      </c>
      <c r="M92" s="41">
        <f>SUMIFS(表1_86121822242672[综合国力],表1_86121822242672[目标区服],表2_97131923252773[[#This Row],[合区区服]],表1_86121822242672[目标国家（映射）],表2_97131923252773[[#This Row],[国家]])</f>
        <v>0</v>
      </c>
      <c r="N92" s="41">
        <f t="array" ref="N92">MAX((表1_86121822242672[目标区服]=表2_97131923252773[[#This Row],[合区区服]])*(表1_86121822242672[目标国家（映射）]=表2_97131923252773[[#This Row],[国家]])*表1_86121822242672[单将最高战力])</f>
        <v>0</v>
      </c>
      <c r="P92" s="51"/>
      <c r="Q92" s="51"/>
    </row>
    <row r="93" ht="15" spans="1:17">
      <c r="A93" s="41"/>
      <c r="B93" s="41" t="s">
        <v>26</v>
      </c>
      <c r="C93" s="41">
        <f>COUNTIFS(表1_86121822242672[目标区服],表2_97131923252773[[#This Row],[合区区服]],表1_86121822242672[目标国家（映射）],表2_97131923252773[[#This Row],[国家]])</f>
        <v>0</v>
      </c>
      <c r="D93" s="41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93" s="41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93" s="41">
        <f t="array" ref="F93">MAX((表1_86121822242672[目标区服]=表2_97131923252773[[#This Row],[合区区服]])*(表1_86121822242672[目标国家（映射）]=表2_97131923252773[[#This Row],[国家]])*表1_86121822242672[活跃尖端战力])</f>
        <v>0</v>
      </c>
      <c r="G93" s="42">
        <f>SUMIFS(表1_86121822242672[活跃总战力],表1_86121822242672[目标区服],表2_97131923252773[[#This Row],[合区区服]],表1_86121822242672[目标国家（映射）],表2_97131923252773[[#This Row],[国家]])</f>
        <v>0</v>
      </c>
      <c r="H93" s="41">
        <f>SUMIFS(表1_86121822242672[活跃实际充值],表1_86121822242672[目标区服],表2_97131923252773[[#This Row],[合区区服]],表1_86121822242672[目标国家（映射）],表2_97131923252773[[#This Row],[国家]])</f>
        <v>0</v>
      </c>
      <c r="I93" s="41">
        <f>SUMIFS(表1_86121822242672[活跃虚拟充值],表1_86121822242672[目标区服],表2_97131923252773[[#This Row],[合区区服]],表1_86121822242672[目标国家（映射）],表2_97131923252773[[#This Row],[国家]])</f>
        <v>0</v>
      </c>
      <c r="J93" s="41">
        <f>SUMIFS(表1_86121822242672[活跃Coin],表1_86121822242672[目标区服],表2_97131923252773[[#This Row],[合区区服]],表1_86121822242672[目标国家（映射）],表2_97131923252773[[#This Row],[国家]])</f>
        <v>0</v>
      </c>
      <c r="K93" s="41">
        <f>SUMIFS(表1_86121822242672[共计补偿Coin],表1_86121822242672[目标区服],表2_97131923252773[[#This Row],[合区区服]],表1_86121822242672[目标国家（映射）],表2_97131923252773[[#This Row],[国家]])</f>
        <v>0</v>
      </c>
      <c r="L93" s="41">
        <f>表2_97131923252773[[#This Row],[活跃Coin]]+表2_97131923252773[[#This Row],[共计补偿Coin]]</f>
        <v>0</v>
      </c>
      <c r="M93" s="41">
        <f>SUMIFS(表1_86121822242672[综合国力],表1_86121822242672[目标区服],表2_97131923252773[[#This Row],[合区区服]],表1_86121822242672[目标国家（映射）],表2_97131923252773[[#This Row],[国家]])</f>
        <v>0</v>
      </c>
      <c r="N93" s="41">
        <f t="array" ref="N93">MAX((表1_86121822242672[目标区服]=表2_97131923252773[[#This Row],[合区区服]])*(表1_86121822242672[目标国家（映射）]=表2_97131923252773[[#This Row],[国家]])*表1_86121822242672[单将最高战力])</f>
        <v>0</v>
      </c>
      <c r="P93" s="51"/>
      <c r="Q93" s="51"/>
    </row>
    <row r="94" ht="15" spans="1:17">
      <c r="A94" s="41"/>
      <c r="B94" s="43" t="s">
        <v>27</v>
      </c>
      <c r="C94" s="43">
        <f>COUNTIFS(表1_86121822242672[目标区服],表2_97131923252773[[#This Row],[合区区服]],表1_86121822242672[目标国家（映射）],表2_97131923252773[[#This Row],[国家]])</f>
        <v>0</v>
      </c>
      <c r="D94" s="43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94" s="43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94" s="43">
        <f t="array" ref="F94">MAX((表1_86121822242672[目标区服]=表2_97131923252773[[#This Row],[合区区服]])*(表1_86121822242672[目标国家（映射）]=表2_97131923252773[[#This Row],[国家]])*表1_86121822242672[活跃尖端战力])</f>
        <v>0</v>
      </c>
      <c r="G94" s="44">
        <f>SUMIFS(表1_86121822242672[活跃总战力],表1_86121822242672[目标区服],表2_97131923252773[[#This Row],[合区区服]],表1_86121822242672[目标国家（映射）],表2_97131923252773[[#This Row],[国家]])</f>
        <v>0</v>
      </c>
      <c r="H94" s="43">
        <f>SUMIFS(表1_86121822242672[活跃实际充值],表1_86121822242672[目标区服],表2_97131923252773[[#This Row],[合区区服]],表1_86121822242672[目标国家（映射）],表2_97131923252773[[#This Row],[国家]])</f>
        <v>0</v>
      </c>
      <c r="I94" s="43">
        <f>SUMIFS(表1_86121822242672[活跃虚拟充值],表1_86121822242672[目标区服],表2_97131923252773[[#This Row],[合区区服]],表1_86121822242672[目标国家（映射）],表2_97131923252773[[#This Row],[国家]])</f>
        <v>0</v>
      </c>
      <c r="J94" s="43">
        <f>SUMIFS(表1_86121822242672[活跃Coin],表1_86121822242672[目标区服],表2_97131923252773[[#This Row],[合区区服]],表1_86121822242672[目标国家（映射）],表2_97131923252773[[#This Row],[国家]])</f>
        <v>0</v>
      </c>
      <c r="K94" s="43">
        <f>SUMIFS(表1_86121822242672[共计补偿Coin],表1_86121822242672[目标区服],表2_97131923252773[[#This Row],[合区区服]],表1_86121822242672[目标国家（映射）],表2_97131923252773[[#This Row],[国家]])</f>
        <v>0</v>
      </c>
      <c r="L94" s="43">
        <f>表2_97131923252773[[#This Row],[活跃Coin]]+表2_97131923252773[[#This Row],[共计补偿Coin]]</f>
        <v>0</v>
      </c>
      <c r="M94" s="43">
        <f>SUMIFS(表1_86121822242672[综合国力],表1_86121822242672[目标区服],表2_97131923252773[[#This Row],[合区区服]],表1_86121822242672[目标国家（映射）],表2_97131923252773[[#This Row],[国家]])</f>
        <v>0</v>
      </c>
      <c r="N94" s="41">
        <f t="array" ref="N94">MAX((表1_86121822242672[目标区服]=表2_97131923252773[[#This Row],[合区区服]])*(表1_86121822242672[目标国家（映射）]=表2_97131923252773[[#This Row],[国家]])*表1_86121822242672[单将最高战力])</f>
        <v>0</v>
      </c>
      <c r="P94" s="51"/>
      <c r="Q94" s="51"/>
    </row>
    <row r="95" ht="15" spans="1:17">
      <c r="A95" s="41"/>
      <c r="B95" s="41" t="s">
        <v>25</v>
      </c>
      <c r="C95" s="41">
        <f>COUNTIFS(表1_86121822242672[目标区服],表2_97131923252773[[#This Row],[合区区服]],表1_86121822242672[目标国家（映射）],表2_97131923252773[[#This Row],[国家]])</f>
        <v>0</v>
      </c>
      <c r="D95" s="41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95" s="41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95" s="41">
        <f t="array" ref="F95">MAX((表1_86121822242672[目标区服]=表2_97131923252773[[#This Row],[合区区服]])*(表1_86121822242672[目标国家（映射）]=表2_97131923252773[[#This Row],[国家]])*表1_86121822242672[活跃尖端战力])</f>
        <v>0</v>
      </c>
      <c r="G95" s="42">
        <f>SUMIFS(表1_86121822242672[活跃总战力],表1_86121822242672[目标区服],表2_97131923252773[[#This Row],[合区区服]],表1_86121822242672[目标国家（映射）],表2_97131923252773[[#This Row],[国家]])</f>
        <v>0</v>
      </c>
      <c r="H95" s="41">
        <f>SUMIFS(表1_86121822242672[活跃实际充值],表1_86121822242672[目标区服],表2_97131923252773[[#This Row],[合区区服]],表1_86121822242672[目标国家（映射）],表2_97131923252773[[#This Row],[国家]])</f>
        <v>0</v>
      </c>
      <c r="I95" s="41">
        <f>SUMIFS(表1_86121822242672[活跃虚拟充值],表1_86121822242672[目标区服],表2_97131923252773[[#This Row],[合区区服]],表1_86121822242672[目标国家（映射）],表2_97131923252773[[#This Row],[国家]])</f>
        <v>0</v>
      </c>
      <c r="J95" s="41">
        <f>SUMIFS(表1_86121822242672[活跃Coin],表1_86121822242672[目标区服],表2_97131923252773[[#This Row],[合区区服]],表1_86121822242672[目标国家（映射）],表2_97131923252773[[#This Row],[国家]])</f>
        <v>0</v>
      </c>
      <c r="K95" s="41">
        <f>SUMIFS(表1_86121822242672[共计补偿Coin],表1_86121822242672[目标区服],表2_97131923252773[[#This Row],[合区区服]],表1_86121822242672[目标国家（映射）],表2_97131923252773[[#This Row],[国家]])</f>
        <v>0</v>
      </c>
      <c r="L95" s="41">
        <f>表2_97131923252773[[#This Row],[活跃Coin]]+表2_97131923252773[[#This Row],[共计补偿Coin]]</f>
        <v>0</v>
      </c>
      <c r="M95" s="41">
        <f>SUMIFS(表1_86121822242672[综合国力],表1_86121822242672[目标区服],表2_97131923252773[[#This Row],[合区区服]],表1_86121822242672[目标国家（映射）],表2_97131923252773[[#This Row],[国家]])</f>
        <v>0</v>
      </c>
      <c r="N95" s="41">
        <f t="array" ref="N95">MAX((表1_86121822242672[目标区服]=表2_97131923252773[[#This Row],[合区区服]])*(表1_86121822242672[目标国家（映射）]=表2_97131923252773[[#This Row],[国家]])*表1_86121822242672[单将最高战力])</f>
        <v>0</v>
      </c>
      <c r="P95" s="51"/>
      <c r="Q95" s="51"/>
    </row>
    <row r="96" ht="15" spans="1:17">
      <c r="A96" s="41"/>
      <c r="B96" s="41" t="s">
        <v>26</v>
      </c>
      <c r="C96" s="41">
        <f>COUNTIFS(表1_86121822242672[目标区服],表2_97131923252773[[#This Row],[合区区服]],表1_86121822242672[目标国家（映射）],表2_97131923252773[[#This Row],[国家]])</f>
        <v>0</v>
      </c>
      <c r="D96" s="41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96" s="41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96" s="41">
        <f t="array" ref="F96">MAX((表1_86121822242672[目标区服]=表2_97131923252773[[#This Row],[合区区服]])*(表1_86121822242672[目标国家（映射）]=表2_97131923252773[[#This Row],[国家]])*表1_86121822242672[活跃尖端战力])</f>
        <v>0</v>
      </c>
      <c r="G96" s="42">
        <f>SUMIFS(表1_86121822242672[活跃总战力],表1_86121822242672[目标区服],表2_97131923252773[[#This Row],[合区区服]],表1_86121822242672[目标国家（映射）],表2_97131923252773[[#This Row],[国家]])</f>
        <v>0</v>
      </c>
      <c r="H96" s="41">
        <f>SUMIFS(表1_86121822242672[活跃实际充值],表1_86121822242672[目标区服],表2_97131923252773[[#This Row],[合区区服]],表1_86121822242672[目标国家（映射）],表2_97131923252773[[#This Row],[国家]])</f>
        <v>0</v>
      </c>
      <c r="I96" s="41">
        <f>SUMIFS(表1_86121822242672[活跃虚拟充值],表1_86121822242672[目标区服],表2_97131923252773[[#This Row],[合区区服]],表1_86121822242672[目标国家（映射）],表2_97131923252773[[#This Row],[国家]])</f>
        <v>0</v>
      </c>
      <c r="J96" s="41">
        <f>SUMIFS(表1_86121822242672[活跃Coin],表1_86121822242672[目标区服],表2_97131923252773[[#This Row],[合区区服]],表1_86121822242672[目标国家（映射）],表2_97131923252773[[#This Row],[国家]])</f>
        <v>0</v>
      </c>
      <c r="K96" s="41">
        <f>SUMIFS(表1_86121822242672[共计补偿Coin],表1_86121822242672[目标区服],表2_97131923252773[[#This Row],[合区区服]],表1_86121822242672[目标国家（映射）],表2_97131923252773[[#This Row],[国家]])</f>
        <v>0</v>
      </c>
      <c r="L96" s="41">
        <f>表2_97131923252773[[#This Row],[活跃Coin]]+表2_97131923252773[[#This Row],[共计补偿Coin]]</f>
        <v>0</v>
      </c>
      <c r="M96" s="41">
        <f>SUMIFS(表1_86121822242672[综合国力],表1_86121822242672[目标区服],表2_97131923252773[[#This Row],[合区区服]],表1_86121822242672[目标国家（映射）],表2_97131923252773[[#This Row],[国家]])</f>
        <v>0</v>
      </c>
      <c r="N96" s="41">
        <f t="array" ref="N96">MAX((表1_86121822242672[目标区服]=表2_97131923252773[[#This Row],[合区区服]])*(表1_86121822242672[目标国家（映射）]=表2_97131923252773[[#This Row],[国家]])*表1_86121822242672[单将最高战力])</f>
        <v>0</v>
      </c>
      <c r="P96" s="51"/>
      <c r="Q96" s="51"/>
    </row>
    <row r="97" ht="15" spans="1:17">
      <c r="A97" s="41"/>
      <c r="B97" s="43" t="s">
        <v>27</v>
      </c>
      <c r="C97" s="43">
        <f>COUNTIFS(表1_86121822242672[目标区服],表2_97131923252773[[#This Row],[合区区服]],表1_86121822242672[目标国家（映射）],表2_97131923252773[[#This Row],[国家]])</f>
        <v>0</v>
      </c>
      <c r="D97" s="43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97" s="43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97" s="43">
        <f t="array" ref="F97">MAX((表1_86121822242672[目标区服]=表2_97131923252773[[#This Row],[合区区服]])*(表1_86121822242672[目标国家（映射）]=表2_97131923252773[[#This Row],[国家]])*表1_86121822242672[活跃尖端战力])</f>
        <v>0</v>
      </c>
      <c r="G97" s="44">
        <f>SUMIFS(表1_86121822242672[活跃总战力],表1_86121822242672[目标区服],表2_97131923252773[[#This Row],[合区区服]],表1_86121822242672[目标国家（映射）],表2_97131923252773[[#This Row],[国家]])</f>
        <v>0</v>
      </c>
      <c r="H97" s="43">
        <f>SUMIFS(表1_86121822242672[活跃实际充值],表1_86121822242672[目标区服],表2_97131923252773[[#This Row],[合区区服]],表1_86121822242672[目标国家（映射）],表2_97131923252773[[#This Row],[国家]])</f>
        <v>0</v>
      </c>
      <c r="I97" s="43">
        <f>SUMIFS(表1_86121822242672[活跃虚拟充值],表1_86121822242672[目标区服],表2_97131923252773[[#This Row],[合区区服]],表1_86121822242672[目标国家（映射）],表2_97131923252773[[#This Row],[国家]])</f>
        <v>0</v>
      </c>
      <c r="J97" s="43">
        <f>SUMIFS(表1_86121822242672[活跃Coin],表1_86121822242672[目标区服],表2_97131923252773[[#This Row],[合区区服]],表1_86121822242672[目标国家（映射）],表2_97131923252773[[#This Row],[国家]])</f>
        <v>0</v>
      </c>
      <c r="K97" s="43">
        <f>SUMIFS(表1_86121822242672[共计补偿Coin],表1_86121822242672[目标区服],表2_97131923252773[[#This Row],[合区区服]],表1_86121822242672[目标国家（映射）],表2_97131923252773[[#This Row],[国家]])</f>
        <v>0</v>
      </c>
      <c r="L97" s="43">
        <f>表2_97131923252773[[#This Row],[活跃Coin]]+表2_97131923252773[[#This Row],[共计补偿Coin]]</f>
        <v>0</v>
      </c>
      <c r="M97" s="43">
        <f>SUMIFS(表1_86121822242672[综合国力],表1_86121822242672[目标区服],表2_97131923252773[[#This Row],[合区区服]],表1_86121822242672[目标国家（映射）],表2_97131923252773[[#This Row],[国家]])</f>
        <v>0</v>
      </c>
      <c r="N97" s="41">
        <f t="array" ref="N97">MAX((表1_86121822242672[目标区服]=表2_97131923252773[[#This Row],[合区区服]])*(表1_86121822242672[目标国家（映射）]=表2_97131923252773[[#This Row],[国家]])*表1_86121822242672[单将最高战力])</f>
        <v>0</v>
      </c>
      <c r="P97" s="51"/>
      <c r="Q97" s="51"/>
    </row>
    <row r="98" ht="15" spans="1:17">
      <c r="A98" s="45"/>
      <c r="B98" s="46" t="s">
        <v>25</v>
      </c>
      <c r="C98" s="46">
        <f>COUNTIFS(表1_86121822242672[目标区服],表2_97131923252773[[#This Row],[合区区服]],表1_86121822242672[目标国家（映射）],表2_97131923252773[[#This Row],[国家]])</f>
        <v>0</v>
      </c>
      <c r="D98" s="46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98" s="46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98" s="46">
        <f t="array" ref="F98">MAX((表1_86121822242672[目标区服]=表2_97131923252773[[#This Row],[合区区服]])*(表1_86121822242672[目标国家（映射）]=表2_97131923252773[[#This Row],[国家]])*表1_86121822242672[活跃尖端战力])</f>
        <v>0</v>
      </c>
      <c r="G98" s="47">
        <f>SUMIFS(表1_86121822242672[活跃总战力],表1_86121822242672[目标区服],表2_97131923252773[[#This Row],[合区区服]],表1_86121822242672[目标国家（映射）],表2_97131923252773[[#This Row],[国家]])</f>
        <v>0</v>
      </c>
      <c r="H98" s="46">
        <f>SUMIFS(表1_86121822242672[活跃实际充值],表1_86121822242672[目标区服],表2_97131923252773[[#This Row],[合区区服]],表1_86121822242672[目标国家（映射）],表2_97131923252773[[#This Row],[国家]])</f>
        <v>0</v>
      </c>
      <c r="I98" s="46">
        <f>SUMIFS(表1_86121822242672[活跃虚拟充值],表1_86121822242672[目标区服],表2_97131923252773[[#This Row],[合区区服]],表1_86121822242672[目标国家（映射）],表2_97131923252773[[#This Row],[国家]])</f>
        <v>0</v>
      </c>
      <c r="J98" s="46">
        <f>SUMIFS(表1_86121822242672[活跃Coin],表1_86121822242672[目标区服],表2_97131923252773[[#This Row],[合区区服]],表1_86121822242672[目标国家（映射）],表2_97131923252773[[#This Row],[国家]])</f>
        <v>0</v>
      </c>
      <c r="K98" s="46">
        <f>SUMIFS(表1_86121822242672[共计补偿Coin],表1_86121822242672[目标区服],表2_97131923252773[[#This Row],[合区区服]],表1_86121822242672[目标国家（映射）],表2_97131923252773[[#This Row],[国家]])</f>
        <v>0</v>
      </c>
      <c r="L98" s="46">
        <f>表2_97131923252773[[#This Row],[活跃Coin]]+表2_97131923252773[[#This Row],[共计补偿Coin]]</f>
        <v>0</v>
      </c>
      <c r="M98" s="46">
        <f>SUMIFS(表1_86121822242672[综合国力],表1_86121822242672[目标区服],表2_97131923252773[[#This Row],[合区区服]],表1_86121822242672[目标国家（映射）],表2_97131923252773[[#This Row],[国家]])</f>
        <v>0</v>
      </c>
      <c r="N98" s="46">
        <f t="array" ref="N98">MAX((表1_86121822242672[目标区服]=表2_97131923252773[[#This Row],[合区区服]])*(表1_86121822242672[目标国家（映射）]=表2_97131923252773[[#This Row],[国家]])*表1_86121822242672[单将最高战力])</f>
        <v>0</v>
      </c>
      <c r="P98" s="51"/>
      <c r="Q98" s="51"/>
    </row>
    <row r="99" ht="15" spans="1:17">
      <c r="A99" s="45"/>
      <c r="B99" s="46" t="s">
        <v>26</v>
      </c>
      <c r="C99" s="46">
        <f>COUNTIFS(表1_86121822242672[目标区服],表2_97131923252773[[#This Row],[合区区服]],表1_86121822242672[目标国家（映射）],表2_97131923252773[[#This Row],[国家]])</f>
        <v>0</v>
      </c>
      <c r="D99" s="46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99" s="46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99" s="46">
        <f t="array" ref="F99">MAX((表1_86121822242672[目标区服]=表2_97131923252773[[#This Row],[合区区服]])*(表1_86121822242672[目标国家（映射）]=表2_97131923252773[[#This Row],[国家]])*表1_86121822242672[活跃尖端战力])</f>
        <v>0</v>
      </c>
      <c r="G99" s="47">
        <f>SUMIFS(表1_86121822242672[活跃总战力],表1_86121822242672[目标区服],表2_97131923252773[[#This Row],[合区区服]],表1_86121822242672[目标国家（映射）],表2_97131923252773[[#This Row],[国家]])</f>
        <v>0</v>
      </c>
      <c r="H99" s="46">
        <f>SUMIFS(表1_86121822242672[活跃实际充值],表1_86121822242672[目标区服],表2_97131923252773[[#This Row],[合区区服]],表1_86121822242672[目标国家（映射）],表2_97131923252773[[#This Row],[国家]])</f>
        <v>0</v>
      </c>
      <c r="I99" s="46">
        <f>SUMIFS(表1_86121822242672[活跃虚拟充值],表1_86121822242672[目标区服],表2_97131923252773[[#This Row],[合区区服]],表1_86121822242672[目标国家（映射）],表2_97131923252773[[#This Row],[国家]])</f>
        <v>0</v>
      </c>
      <c r="J99" s="46">
        <f>SUMIFS(表1_86121822242672[活跃Coin],表1_86121822242672[目标区服],表2_97131923252773[[#This Row],[合区区服]],表1_86121822242672[目标国家（映射）],表2_97131923252773[[#This Row],[国家]])</f>
        <v>0</v>
      </c>
      <c r="K99" s="46">
        <f>SUMIFS(表1_86121822242672[共计补偿Coin],表1_86121822242672[目标区服],表2_97131923252773[[#This Row],[合区区服]],表1_86121822242672[目标国家（映射）],表2_97131923252773[[#This Row],[国家]])</f>
        <v>0</v>
      </c>
      <c r="L99" s="46">
        <f>表2_97131923252773[[#This Row],[活跃Coin]]+表2_97131923252773[[#This Row],[共计补偿Coin]]</f>
        <v>0</v>
      </c>
      <c r="M99" s="46">
        <f>SUMIFS(表1_86121822242672[综合国力],表1_86121822242672[目标区服],表2_97131923252773[[#This Row],[合区区服]],表1_86121822242672[目标国家（映射）],表2_97131923252773[[#This Row],[国家]])</f>
        <v>0</v>
      </c>
      <c r="N99" s="46">
        <f t="array" ref="N99">MAX((表1_86121822242672[目标区服]=表2_97131923252773[[#This Row],[合区区服]])*(表1_86121822242672[目标国家（映射）]=表2_97131923252773[[#This Row],[国家]])*表1_86121822242672[单将最高战力])</f>
        <v>0</v>
      </c>
      <c r="P99" s="51"/>
      <c r="Q99" s="51"/>
    </row>
    <row r="100" ht="15" spans="1:17">
      <c r="A100" s="45"/>
      <c r="B100" s="48" t="s">
        <v>27</v>
      </c>
      <c r="C100" s="48">
        <f>COUNTIFS(表1_86121822242672[目标区服],表2_97131923252773[[#This Row],[合区区服]],表1_86121822242672[目标国家（映射）],表2_97131923252773[[#This Row],[国家]])</f>
        <v>0</v>
      </c>
      <c r="D100" s="48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100" s="48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100" s="46">
        <f t="array" ref="F100">MAX((表1_86121822242672[目标区服]=表2_97131923252773[[#This Row],[合区区服]])*(表1_86121822242672[目标国家（映射）]=表2_97131923252773[[#This Row],[国家]])*表1_86121822242672[活跃尖端战力])</f>
        <v>0</v>
      </c>
      <c r="G100" s="47">
        <f>SUMIFS(表1_86121822242672[活跃总战力],表1_86121822242672[目标区服],表2_97131923252773[[#This Row],[合区区服]],表1_86121822242672[目标国家（映射）],表2_97131923252773[[#This Row],[国家]])</f>
        <v>0</v>
      </c>
      <c r="H100" s="46">
        <f>SUMIFS(表1_86121822242672[活跃实际充值],表1_86121822242672[目标区服],表2_97131923252773[[#This Row],[合区区服]],表1_86121822242672[目标国家（映射）],表2_97131923252773[[#This Row],[国家]])</f>
        <v>0</v>
      </c>
      <c r="I100" s="46">
        <f>SUMIFS(表1_86121822242672[活跃虚拟充值],表1_86121822242672[目标区服],表2_97131923252773[[#This Row],[合区区服]],表1_86121822242672[目标国家（映射）],表2_97131923252773[[#This Row],[国家]])</f>
        <v>0</v>
      </c>
      <c r="J100" s="46">
        <f>SUMIFS(表1_86121822242672[活跃Coin],表1_86121822242672[目标区服],表2_97131923252773[[#This Row],[合区区服]],表1_86121822242672[目标国家（映射）],表2_97131923252773[[#This Row],[国家]])</f>
        <v>0</v>
      </c>
      <c r="K100" s="46">
        <f>SUMIFS(表1_86121822242672[共计补偿Coin],表1_86121822242672[目标区服],表2_97131923252773[[#This Row],[合区区服]],表1_86121822242672[目标国家（映射）],表2_97131923252773[[#This Row],[国家]])</f>
        <v>0</v>
      </c>
      <c r="L100" s="46">
        <f>表2_97131923252773[[#This Row],[活跃Coin]]+表2_97131923252773[[#This Row],[共计补偿Coin]]</f>
        <v>0</v>
      </c>
      <c r="M100" s="46">
        <f>SUMIFS(表1_86121822242672[综合国力],表1_86121822242672[目标区服],表2_97131923252773[[#This Row],[合区区服]],表1_86121822242672[目标国家（映射）],表2_97131923252773[[#This Row],[国家]])</f>
        <v>0</v>
      </c>
      <c r="N100" s="46">
        <f t="array" ref="N100">MAX((表1_86121822242672[目标区服]=表2_97131923252773[[#This Row],[合区区服]])*(表1_86121822242672[目标国家（映射）]=表2_97131923252773[[#This Row],[国家]])*表1_86121822242672[单将最高战力])</f>
        <v>0</v>
      </c>
      <c r="P100" s="51"/>
      <c r="Q100" s="51"/>
    </row>
    <row r="101" ht="15" spans="1:17">
      <c r="A101" s="45"/>
      <c r="B101" s="46" t="s">
        <v>25</v>
      </c>
      <c r="C101" s="46">
        <f>COUNTIFS(表1_86121822242672[目标区服],表2_97131923252773[[#This Row],[合区区服]],表1_86121822242672[目标国家（映射）],表2_97131923252773[[#This Row],[国家]])</f>
        <v>0</v>
      </c>
      <c r="D101" s="46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101" s="46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101" s="46">
        <f t="array" ref="F101">MAX((表1_86121822242672[目标区服]=表2_97131923252773[[#This Row],[合区区服]])*(表1_86121822242672[目标国家（映射）]=表2_97131923252773[[#This Row],[国家]])*表1_86121822242672[活跃尖端战力])</f>
        <v>0</v>
      </c>
      <c r="G101" s="47">
        <f>SUMIFS(表1_86121822242672[活跃总战力],表1_86121822242672[目标区服],表2_97131923252773[[#This Row],[合区区服]],表1_86121822242672[目标国家（映射）],表2_97131923252773[[#This Row],[国家]])</f>
        <v>0</v>
      </c>
      <c r="H101" s="46">
        <f>SUMIFS(表1_86121822242672[活跃实际充值],表1_86121822242672[目标区服],表2_97131923252773[[#This Row],[合区区服]],表1_86121822242672[目标国家（映射）],表2_97131923252773[[#This Row],[国家]])</f>
        <v>0</v>
      </c>
      <c r="I101" s="46">
        <f>SUMIFS(表1_86121822242672[活跃虚拟充值],表1_86121822242672[目标区服],表2_97131923252773[[#This Row],[合区区服]],表1_86121822242672[目标国家（映射）],表2_97131923252773[[#This Row],[国家]])</f>
        <v>0</v>
      </c>
      <c r="J101" s="46">
        <f>SUMIFS(表1_86121822242672[活跃Coin],表1_86121822242672[目标区服],表2_97131923252773[[#This Row],[合区区服]],表1_86121822242672[目标国家（映射）],表2_97131923252773[[#This Row],[国家]])</f>
        <v>0</v>
      </c>
      <c r="K101" s="46">
        <f>SUMIFS(表1_86121822242672[共计补偿Coin],表1_86121822242672[目标区服],表2_97131923252773[[#This Row],[合区区服]],表1_86121822242672[目标国家（映射）],表2_97131923252773[[#This Row],[国家]])</f>
        <v>0</v>
      </c>
      <c r="L101" s="46">
        <f>表2_97131923252773[[#This Row],[活跃Coin]]+表2_97131923252773[[#This Row],[共计补偿Coin]]</f>
        <v>0</v>
      </c>
      <c r="M101" s="46">
        <f>SUMIFS(表1_86121822242672[综合国力],表1_86121822242672[目标区服],表2_97131923252773[[#This Row],[合区区服]],表1_86121822242672[目标国家（映射）],表2_97131923252773[[#This Row],[国家]])</f>
        <v>0</v>
      </c>
      <c r="N101" s="46">
        <f t="array" ref="N101">MAX((表1_86121822242672[目标区服]=表2_97131923252773[[#This Row],[合区区服]])*(表1_86121822242672[目标国家（映射）]=表2_97131923252773[[#This Row],[国家]])*表1_86121822242672[单将最高战力])</f>
        <v>0</v>
      </c>
      <c r="P101" s="51"/>
      <c r="Q101" s="51"/>
    </row>
    <row r="102" ht="15" spans="1:17">
      <c r="A102" s="45"/>
      <c r="B102" s="46" t="s">
        <v>26</v>
      </c>
      <c r="C102" s="46">
        <f>COUNTIFS(表1_86121822242672[目标区服],表2_97131923252773[[#This Row],[合区区服]],表1_86121822242672[目标国家（映射）],表2_97131923252773[[#This Row],[国家]])</f>
        <v>0</v>
      </c>
      <c r="D102" s="46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102" s="46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102" s="46">
        <f t="array" ref="F102">MAX((表1_86121822242672[目标区服]=表2_97131923252773[[#This Row],[合区区服]])*(表1_86121822242672[目标国家（映射）]=表2_97131923252773[[#This Row],[国家]])*表1_86121822242672[活跃尖端战力])</f>
        <v>0</v>
      </c>
      <c r="G102" s="47">
        <f>SUMIFS(表1_86121822242672[活跃总战力],表1_86121822242672[目标区服],表2_97131923252773[[#This Row],[合区区服]],表1_86121822242672[目标国家（映射）],表2_97131923252773[[#This Row],[国家]])</f>
        <v>0</v>
      </c>
      <c r="H102" s="46">
        <f>SUMIFS(表1_86121822242672[活跃实际充值],表1_86121822242672[目标区服],表2_97131923252773[[#This Row],[合区区服]],表1_86121822242672[目标国家（映射）],表2_97131923252773[[#This Row],[国家]])</f>
        <v>0</v>
      </c>
      <c r="I102" s="46">
        <f>SUMIFS(表1_86121822242672[活跃虚拟充值],表1_86121822242672[目标区服],表2_97131923252773[[#This Row],[合区区服]],表1_86121822242672[目标国家（映射）],表2_97131923252773[[#This Row],[国家]])</f>
        <v>0</v>
      </c>
      <c r="J102" s="46">
        <f>SUMIFS(表1_86121822242672[活跃Coin],表1_86121822242672[目标区服],表2_97131923252773[[#This Row],[合区区服]],表1_86121822242672[目标国家（映射）],表2_97131923252773[[#This Row],[国家]])</f>
        <v>0</v>
      </c>
      <c r="K102" s="46">
        <f>SUMIFS(表1_86121822242672[共计补偿Coin],表1_86121822242672[目标区服],表2_97131923252773[[#This Row],[合区区服]],表1_86121822242672[目标国家（映射）],表2_97131923252773[[#This Row],[国家]])</f>
        <v>0</v>
      </c>
      <c r="L102" s="46">
        <f>表2_97131923252773[[#This Row],[活跃Coin]]+表2_97131923252773[[#This Row],[共计补偿Coin]]</f>
        <v>0</v>
      </c>
      <c r="M102" s="46">
        <f>SUMIFS(表1_86121822242672[综合国力],表1_86121822242672[目标区服],表2_97131923252773[[#This Row],[合区区服]],表1_86121822242672[目标国家（映射）],表2_97131923252773[[#This Row],[国家]])</f>
        <v>0</v>
      </c>
      <c r="N102" s="46">
        <f t="array" ref="N102">MAX((表1_86121822242672[目标区服]=表2_97131923252773[[#This Row],[合区区服]])*(表1_86121822242672[目标国家（映射）]=表2_97131923252773[[#This Row],[国家]])*表1_86121822242672[单将最高战力])</f>
        <v>0</v>
      </c>
      <c r="P102" s="51"/>
      <c r="Q102" s="51"/>
    </row>
    <row r="103" ht="15" spans="1:17">
      <c r="A103" s="45"/>
      <c r="B103" s="48" t="s">
        <v>27</v>
      </c>
      <c r="C103" s="48">
        <f>COUNTIFS(表1_86121822242672[目标区服],表2_97131923252773[[#This Row],[合区区服]],表1_86121822242672[目标国家（映射）],表2_97131923252773[[#This Row],[国家]])</f>
        <v>0</v>
      </c>
      <c r="D103" s="48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103" s="48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103" s="46">
        <f t="array" ref="F103">MAX((表1_86121822242672[目标区服]=表2_97131923252773[[#This Row],[合区区服]])*(表1_86121822242672[目标国家（映射）]=表2_97131923252773[[#This Row],[国家]])*表1_86121822242672[活跃尖端战力])</f>
        <v>0</v>
      </c>
      <c r="G103" s="47">
        <f>SUMIFS(表1_86121822242672[活跃总战力],表1_86121822242672[目标区服],表2_97131923252773[[#This Row],[合区区服]],表1_86121822242672[目标国家（映射）],表2_97131923252773[[#This Row],[国家]])</f>
        <v>0</v>
      </c>
      <c r="H103" s="46">
        <f>SUMIFS(表1_86121822242672[活跃实际充值],表1_86121822242672[目标区服],表2_97131923252773[[#This Row],[合区区服]],表1_86121822242672[目标国家（映射）],表2_97131923252773[[#This Row],[国家]])</f>
        <v>0</v>
      </c>
      <c r="I103" s="46">
        <f>SUMIFS(表1_86121822242672[活跃虚拟充值],表1_86121822242672[目标区服],表2_97131923252773[[#This Row],[合区区服]],表1_86121822242672[目标国家（映射）],表2_97131923252773[[#This Row],[国家]])</f>
        <v>0</v>
      </c>
      <c r="J103" s="46">
        <f>SUMIFS(表1_86121822242672[活跃Coin],表1_86121822242672[目标区服],表2_97131923252773[[#This Row],[合区区服]],表1_86121822242672[目标国家（映射）],表2_97131923252773[[#This Row],[国家]])</f>
        <v>0</v>
      </c>
      <c r="K103" s="46">
        <f>SUMIFS(表1_86121822242672[共计补偿Coin],表1_86121822242672[目标区服],表2_97131923252773[[#This Row],[合区区服]],表1_86121822242672[目标国家（映射）],表2_97131923252773[[#This Row],[国家]])</f>
        <v>0</v>
      </c>
      <c r="L103" s="46">
        <f>表2_97131923252773[[#This Row],[活跃Coin]]+表2_97131923252773[[#This Row],[共计补偿Coin]]</f>
        <v>0</v>
      </c>
      <c r="M103" s="46">
        <f>SUMIFS(表1_86121822242672[综合国力],表1_86121822242672[目标区服],表2_97131923252773[[#This Row],[合区区服]],表1_86121822242672[目标国家（映射）],表2_97131923252773[[#This Row],[国家]])</f>
        <v>0</v>
      </c>
      <c r="N103" s="46">
        <f t="array" ref="N103">MAX((表1_86121822242672[目标区服]=表2_97131923252773[[#This Row],[合区区服]])*(表1_86121822242672[目标国家（映射）]=表2_97131923252773[[#This Row],[国家]])*表1_86121822242672[单将最高战力])</f>
        <v>0</v>
      </c>
      <c r="P103" s="51"/>
      <c r="Q103" s="51"/>
    </row>
    <row r="104" ht="15" spans="1:17">
      <c r="A104" s="45"/>
      <c r="B104" s="46" t="s">
        <v>25</v>
      </c>
      <c r="C104" s="46">
        <f>COUNTIFS(表1_86121822242672[目标区服],表2_97131923252773[[#This Row],[合区区服]],表1_86121822242672[目标国家（映射）],表2_97131923252773[[#This Row],[国家]])</f>
        <v>0</v>
      </c>
      <c r="D104" s="46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104" s="46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104" s="46">
        <f t="array" ref="F104">MAX((表1_86121822242672[目标区服]=表2_97131923252773[[#This Row],[合区区服]])*(表1_86121822242672[目标国家（映射）]=表2_97131923252773[[#This Row],[国家]])*表1_86121822242672[活跃尖端战力])</f>
        <v>0</v>
      </c>
      <c r="G104" s="47">
        <f>SUMIFS(表1_86121822242672[活跃总战力],表1_86121822242672[目标区服],表2_97131923252773[[#This Row],[合区区服]],表1_86121822242672[目标国家（映射）],表2_97131923252773[[#This Row],[国家]])</f>
        <v>0</v>
      </c>
      <c r="H104" s="46">
        <f>SUMIFS(表1_86121822242672[活跃实际充值],表1_86121822242672[目标区服],表2_97131923252773[[#This Row],[合区区服]],表1_86121822242672[目标国家（映射）],表2_97131923252773[[#This Row],[国家]])</f>
        <v>0</v>
      </c>
      <c r="I104" s="46">
        <f>SUMIFS(表1_86121822242672[活跃虚拟充值],表1_86121822242672[目标区服],表2_97131923252773[[#This Row],[合区区服]],表1_86121822242672[目标国家（映射）],表2_97131923252773[[#This Row],[国家]])</f>
        <v>0</v>
      </c>
      <c r="J104" s="46">
        <f>SUMIFS(表1_86121822242672[活跃Coin],表1_86121822242672[目标区服],表2_97131923252773[[#This Row],[合区区服]],表1_86121822242672[目标国家（映射）],表2_97131923252773[[#This Row],[国家]])</f>
        <v>0</v>
      </c>
      <c r="K104" s="46">
        <f>SUMIFS(表1_86121822242672[共计补偿Coin],表1_86121822242672[目标区服],表2_97131923252773[[#This Row],[合区区服]],表1_86121822242672[目标国家（映射）],表2_97131923252773[[#This Row],[国家]])</f>
        <v>0</v>
      </c>
      <c r="L104" s="46">
        <f>表2_97131923252773[[#This Row],[活跃Coin]]+表2_97131923252773[[#This Row],[共计补偿Coin]]</f>
        <v>0</v>
      </c>
      <c r="M104" s="46">
        <f>SUMIFS(表1_86121822242672[综合国力],表1_86121822242672[目标区服],表2_97131923252773[[#This Row],[合区区服]],表1_86121822242672[目标国家（映射）],表2_97131923252773[[#This Row],[国家]])</f>
        <v>0</v>
      </c>
      <c r="N104" s="46">
        <f t="array" ref="N104">MAX((表1_86121822242672[目标区服]=表2_97131923252773[[#This Row],[合区区服]])*(表1_86121822242672[目标国家（映射）]=表2_97131923252773[[#This Row],[国家]])*表1_86121822242672[单将最高战力])</f>
        <v>0</v>
      </c>
      <c r="P104" s="51"/>
      <c r="Q104" s="51"/>
    </row>
    <row r="105" ht="15" spans="1:17">
      <c r="A105" s="45"/>
      <c r="B105" s="46" t="s">
        <v>26</v>
      </c>
      <c r="C105" s="46">
        <f>COUNTIFS(表1_86121822242672[目标区服],表2_97131923252773[[#This Row],[合区区服]],表1_86121822242672[目标国家（映射）],表2_97131923252773[[#This Row],[国家]])</f>
        <v>0</v>
      </c>
      <c r="D105" s="46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105" s="46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105" s="46">
        <f t="array" ref="F105">MAX((表1_86121822242672[目标区服]=表2_97131923252773[[#This Row],[合区区服]])*(表1_86121822242672[目标国家（映射）]=表2_97131923252773[[#This Row],[国家]])*表1_86121822242672[活跃尖端战力])</f>
        <v>0</v>
      </c>
      <c r="G105" s="47">
        <f>SUMIFS(表1_86121822242672[活跃总战力],表1_86121822242672[目标区服],表2_97131923252773[[#This Row],[合区区服]],表1_86121822242672[目标国家（映射）],表2_97131923252773[[#This Row],[国家]])</f>
        <v>0</v>
      </c>
      <c r="H105" s="46">
        <f>SUMIFS(表1_86121822242672[活跃实际充值],表1_86121822242672[目标区服],表2_97131923252773[[#This Row],[合区区服]],表1_86121822242672[目标国家（映射）],表2_97131923252773[[#This Row],[国家]])</f>
        <v>0</v>
      </c>
      <c r="I105" s="46">
        <f>SUMIFS(表1_86121822242672[活跃虚拟充值],表1_86121822242672[目标区服],表2_97131923252773[[#This Row],[合区区服]],表1_86121822242672[目标国家（映射）],表2_97131923252773[[#This Row],[国家]])</f>
        <v>0</v>
      </c>
      <c r="J105" s="46">
        <f>SUMIFS(表1_86121822242672[活跃Coin],表1_86121822242672[目标区服],表2_97131923252773[[#This Row],[合区区服]],表1_86121822242672[目标国家（映射）],表2_97131923252773[[#This Row],[国家]])</f>
        <v>0</v>
      </c>
      <c r="K105" s="46">
        <f>SUMIFS(表1_86121822242672[共计补偿Coin],表1_86121822242672[目标区服],表2_97131923252773[[#This Row],[合区区服]],表1_86121822242672[目标国家（映射）],表2_97131923252773[[#This Row],[国家]])</f>
        <v>0</v>
      </c>
      <c r="L105" s="46">
        <f>表2_97131923252773[[#This Row],[活跃Coin]]+表2_97131923252773[[#This Row],[共计补偿Coin]]</f>
        <v>0</v>
      </c>
      <c r="M105" s="46">
        <f>SUMIFS(表1_86121822242672[综合国力],表1_86121822242672[目标区服],表2_97131923252773[[#This Row],[合区区服]],表1_86121822242672[目标国家（映射）],表2_97131923252773[[#This Row],[国家]])</f>
        <v>0</v>
      </c>
      <c r="N105" s="46">
        <f t="array" ref="N105">MAX((表1_86121822242672[目标区服]=表2_97131923252773[[#This Row],[合区区服]])*(表1_86121822242672[目标国家（映射）]=表2_97131923252773[[#This Row],[国家]])*表1_86121822242672[单将最高战力])</f>
        <v>0</v>
      </c>
      <c r="P105" s="51"/>
      <c r="Q105" s="51"/>
    </row>
    <row r="106" ht="15" spans="1:17">
      <c r="A106" s="45"/>
      <c r="B106" s="48" t="s">
        <v>27</v>
      </c>
      <c r="C106" s="48">
        <f>COUNTIFS(表1_86121822242672[目标区服],表2_97131923252773[[#This Row],[合区区服]],表1_86121822242672[目标国家（映射）],表2_97131923252773[[#This Row],[国家]])</f>
        <v>0</v>
      </c>
      <c r="D106" s="48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106" s="48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106" s="46">
        <f t="array" ref="F106">MAX((表1_86121822242672[目标区服]=表2_97131923252773[[#This Row],[合区区服]])*(表1_86121822242672[目标国家（映射）]=表2_97131923252773[[#This Row],[国家]])*表1_86121822242672[活跃尖端战力])</f>
        <v>0</v>
      </c>
      <c r="G106" s="47">
        <f>SUMIFS(表1_86121822242672[活跃总战力],表1_86121822242672[目标区服],表2_97131923252773[[#This Row],[合区区服]],表1_86121822242672[目标国家（映射）],表2_97131923252773[[#This Row],[国家]])</f>
        <v>0</v>
      </c>
      <c r="H106" s="46">
        <f>SUMIFS(表1_86121822242672[活跃实际充值],表1_86121822242672[目标区服],表2_97131923252773[[#This Row],[合区区服]],表1_86121822242672[目标国家（映射）],表2_97131923252773[[#This Row],[国家]])</f>
        <v>0</v>
      </c>
      <c r="I106" s="46">
        <f>SUMIFS(表1_86121822242672[活跃虚拟充值],表1_86121822242672[目标区服],表2_97131923252773[[#This Row],[合区区服]],表1_86121822242672[目标国家（映射）],表2_97131923252773[[#This Row],[国家]])</f>
        <v>0</v>
      </c>
      <c r="J106" s="46">
        <f>SUMIFS(表1_86121822242672[活跃Coin],表1_86121822242672[目标区服],表2_97131923252773[[#This Row],[合区区服]],表1_86121822242672[目标国家（映射）],表2_97131923252773[[#This Row],[国家]])</f>
        <v>0</v>
      </c>
      <c r="K106" s="46">
        <f>SUMIFS(表1_86121822242672[共计补偿Coin],表1_86121822242672[目标区服],表2_97131923252773[[#This Row],[合区区服]],表1_86121822242672[目标国家（映射）],表2_97131923252773[[#This Row],[国家]])</f>
        <v>0</v>
      </c>
      <c r="L106" s="46">
        <f>表2_97131923252773[[#This Row],[活跃Coin]]+表2_97131923252773[[#This Row],[共计补偿Coin]]</f>
        <v>0</v>
      </c>
      <c r="M106" s="46">
        <f>SUMIFS(表1_86121822242672[综合国力],表1_86121822242672[目标区服],表2_97131923252773[[#This Row],[合区区服]],表1_86121822242672[目标国家（映射）],表2_97131923252773[[#This Row],[国家]])</f>
        <v>0</v>
      </c>
      <c r="N106" s="46">
        <f t="array" ref="N106">MAX((表1_86121822242672[目标区服]=表2_97131923252773[[#This Row],[合区区服]])*(表1_86121822242672[目标国家（映射）]=表2_97131923252773[[#This Row],[国家]])*表1_86121822242672[单将最高战力])</f>
        <v>0</v>
      </c>
      <c r="P106" s="51"/>
      <c r="Q106" s="51"/>
    </row>
    <row r="107" ht="15" spans="1:14">
      <c r="A107" s="45"/>
      <c r="B107" s="46" t="s">
        <v>25</v>
      </c>
      <c r="C107" s="46">
        <f>COUNTIFS(表1_86121822242672[目标区服],表2_97131923252773[[#This Row],[合区区服]],表1_86121822242672[目标国家（映射）],表2_97131923252773[[#This Row],[国家]])</f>
        <v>0</v>
      </c>
      <c r="D107" s="46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107" s="46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107" s="46">
        <f t="array" ref="F107">MAX((表1_86121822242672[目标区服]=表2_97131923252773[[#This Row],[合区区服]])*(表1_86121822242672[目标国家（映射）]=表2_97131923252773[[#This Row],[国家]])*表1_86121822242672[活跃尖端战力])</f>
        <v>0</v>
      </c>
      <c r="G107" s="47">
        <f>SUMIFS(表1_86121822242672[活跃总战力],表1_86121822242672[目标区服],表2_97131923252773[[#This Row],[合区区服]],表1_86121822242672[目标国家（映射）],表2_97131923252773[[#This Row],[国家]])</f>
        <v>0</v>
      </c>
      <c r="H107" s="46">
        <f>SUMIFS(表1_86121822242672[活跃实际充值],表1_86121822242672[目标区服],表2_97131923252773[[#This Row],[合区区服]],表1_86121822242672[目标国家（映射）],表2_97131923252773[[#This Row],[国家]])</f>
        <v>0</v>
      </c>
      <c r="I107" s="46">
        <f>SUMIFS(表1_86121822242672[活跃虚拟充值],表1_86121822242672[目标区服],表2_97131923252773[[#This Row],[合区区服]],表1_86121822242672[目标国家（映射）],表2_97131923252773[[#This Row],[国家]])</f>
        <v>0</v>
      </c>
      <c r="J107" s="46">
        <f>SUMIFS(表1_86121822242672[活跃Coin],表1_86121822242672[目标区服],表2_97131923252773[[#This Row],[合区区服]],表1_86121822242672[目标国家（映射）],表2_97131923252773[[#This Row],[国家]])</f>
        <v>0</v>
      </c>
      <c r="K107" s="46">
        <f>SUMIFS(表1_86121822242672[共计补偿Coin],表1_86121822242672[目标区服],表2_97131923252773[[#This Row],[合区区服]],表1_86121822242672[目标国家（映射）],表2_97131923252773[[#This Row],[国家]])</f>
        <v>0</v>
      </c>
      <c r="L107" s="46">
        <f>表2_97131923252773[[#This Row],[活跃Coin]]+表2_97131923252773[[#This Row],[共计补偿Coin]]</f>
        <v>0</v>
      </c>
      <c r="M107" s="46">
        <f>SUMIFS(表1_86121822242672[综合国力],表1_86121822242672[目标区服],表2_97131923252773[[#This Row],[合区区服]],表1_86121822242672[目标国家（映射）],表2_97131923252773[[#This Row],[国家]])</f>
        <v>0</v>
      </c>
      <c r="N107" s="46">
        <f t="array" ref="N107">MAX((表1_86121822242672[目标区服]=表2_97131923252773[[#This Row],[合区区服]])*(表1_86121822242672[目标国家（映射）]=表2_97131923252773[[#This Row],[国家]])*表1_86121822242672[单将最高战力])</f>
        <v>0</v>
      </c>
    </row>
    <row r="108" ht="15" spans="1:14">
      <c r="A108" s="45"/>
      <c r="B108" s="46" t="s">
        <v>26</v>
      </c>
      <c r="C108" s="46">
        <f>COUNTIFS(表1_86121822242672[目标区服],表2_97131923252773[[#This Row],[合区区服]],表1_86121822242672[目标国家（映射）],表2_97131923252773[[#This Row],[国家]])</f>
        <v>0</v>
      </c>
      <c r="D108" s="46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108" s="46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108" s="46">
        <f t="array" ref="F108">MAX((表1_86121822242672[目标区服]=表2_97131923252773[[#This Row],[合区区服]])*(表1_86121822242672[目标国家（映射）]=表2_97131923252773[[#This Row],[国家]])*表1_86121822242672[活跃尖端战力])</f>
        <v>0</v>
      </c>
      <c r="G108" s="47">
        <f>SUMIFS(表1_86121822242672[活跃总战力],表1_86121822242672[目标区服],表2_97131923252773[[#This Row],[合区区服]],表1_86121822242672[目标国家（映射）],表2_97131923252773[[#This Row],[国家]])</f>
        <v>0</v>
      </c>
      <c r="H108" s="46">
        <f>SUMIFS(表1_86121822242672[活跃实际充值],表1_86121822242672[目标区服],表2_97131923252773[[#This Row],[合区区服]],表1_86121822242672[目标国家（映射）],表2_97131923252773[[#This Row],[国家]])</f>
        <v>0</v>
      </c>
      <c r="I108" s="46">
        <f>SUMIFS(表1_86121822242672[活跃虚拟充值],表1_86121822242672[目标区服],表2_97131923252773[[#This Row],[合区区服]],表1_86121822242672[目标国家（映射）],表2_97131923252773[[#This Row],[国家]])</f>
        <v>0</v>
      </c>
      <c r="J108" s="46">
        <f>SUMIFS(表1_86121822242672[活跃Coin],表1_86121822242672[目标区服],表2_97131923252773[[#This Row],[合区区服]],表1_86121822242672[目标国家（映射）],表2_97131923252773[[#This Row],[国家]])</f>
        <v>0</v>
      </c>
      <c r="K108" s="46">
        <f>SUMIFS(表1_86121822242672[共计补偿Coin],表1_86121822242672[目标区服],表2_97131923252773[[#This Row],[合区区服]],表1_86121822242672[目标国家（映射）],表2_97131923252773[[#This Row],[国家]])</f>
        <v>0</v>
      </c>
      <c r="L108" s="46">
        <f>表2_97131923252773[[#This Row],[活跃Coin]]+表2_97131923252773[[#This Row],[共计补偿Coin]]</f>
        <v>0</v>
      </c>
      <c r="M108" s="46">
        <f>SUMIFS(表1_86121822242672[综合国力],表1_86121822242672[目标区服],表2_97131923252773[[#This Row],[合区区服]],表1_86121822242672[目标国家（映射）],表2_97131923252773[[#This Row],[国家]])</f>
        <v>0</v>
      </c>
      <c r="N108" s="46">
        <f t="array" ref="N108">MAX((表1_86121822242672[目标区服]=表2_97131923252773[[#This Row],[合区区服]])*(表1_86121822242672[目标国家（映射）]=表2_97131923252773[[#This Row],[国家]])*表1_86121822242672[单将最高战力])</f>
        <v>0</v>
      </c>
    </row>
    <row r="109" ht="15" spans="1:14">
      <c r="A109" s="45"/>
      <c r="B109" s="48" t="s">
        <v>27</v>
      </c>
      <c r="C109" s="48">
        <f>COUNTIFS(表1_86121822242672[目标区服],表2_97131923252773[[#This Row],[合区区服]],表1_86121822242672[目标国家（映射）],表2_97131923252773[[#This Row],[国家]])</f>
        <v>0</v>
      </c>
      <c r="D109" s="48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109" s="48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109" s="46">
        <f t="array" ref="F109">MAX((表1_86121822242672[目标区服]=表2_97131923252773[[#This Row],[合区区服]])*(表1_86121822242672[目标国家（映射）]=表2_97131923252773[[#This Row],[国家]])*表1_86121822242672[活跃尖端战力])</f>
        <v>0</v>
      </c>
      <c r="G109" s="47">
        <f>SUMIFS(表1_86121822242672[活跃总战力],表1_86121822242672[目标区服],表2_97131923252773[[#This Row],[合区区服]],表1_86121822242672[目标国家（映射）],表2_97131923252773[[#This Row],[国家]])</f>
        <v>0</v>
      </c>
      <c r="H109" s="46">
        <f>SUMIFS(表1_86121822242672[活跃实际充值],表1_86121822242672[目标区服],表2_97131923252773[[#This Row],[合区区服]],表1_86121822242672[目标国家（映射）],表2_97131923252773[[#This Row],[国家]])</f>
        <v>0</v>
      </c>
      <c r="I109" s="46">
        <f>SUMIFS(表1_86121822242672[活跃虚拟充值],表1_86121822242672[目标区服],表2_97131923252773[[#This Row],[合区区服]],表1_86121822242672[目标国家（映射）],表2_97131923252773[[#This Row],[国家]])</f>
        <v>0</v>
      </c>
      <c r="J109" s="46">
        <f>SUMIFS(表1_86121822242672[活跃Coin],表1_86121822242672[目标区服],表2_97131923252773[[#This Row],[合区区服]],表1_86121822242672[目标国家（映射）],表2_97131923252773[[#This Row],[国家]])</f>
        <v>0</v>
      </c>
      <c r="K109" s="46">
        <f>SUMIFS(表1_86121822242672[共计补偿Coin],表1_86121822242672[目标区服],表2_97131923252773[[#This Row],[合区区服]],表1_86121822242672[目标国家（映射）],表2_97131923252773[[#This Row],[国家]])</f>
        <v>0</v>
      </c>
      <c r="L109" s="46">
        <f>表2_97131923252773[[#This Row],[活跃Coin]]+表2_97131923252773[[#This Row],[共计补偿Coin]]</f>
        <v>0</v>
      </c>
      <c r="M109" s="46">
        <f>SUMIFS(表1_86121822242672[综合国力],表1_86121822242672[目标区服],表2_97131923252773[[#This Row],[合区区服]],表1_86121822242672[目标国家（映射）],表2_97131923252773[[#This Row],[国家]])</f>
        <v>0</v>
      </c>
      <c r="N109" s="46">
        <f t="array" ref="N109">MAX((表1_86121822242672[目标区服]=表2_97131923252773[[#This Row],[合区区服]])*(表1_86121822242672[目标国家（映射）]=表2_97131923252773[[#This Row],[国家]])*表1_86121822242672[单将最高战力])</f>
        <v>0</v>
      </c>
    </row>
    <row r="110" ht="15" spans="1:14">
      <c r="A110" s="45"/>
      <c r="B110" s="46" t="s">
        <v>25</v>
      </c>
      <c r="C110" s="46">
        <f>COUNTIFS(表1_86121822242672[目标区服],表2_97131923252773[[#This Row],[合区区服]],表1_86121822242672[目标国家（映射）],表2_97131923252773[[#This Row],[国家]])</f>
        <v>0</v>
      </c>
      <c r="D110" s="46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110" s="46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110" s="46">
        <f t="array" ref="F110">MAX((表1_86121822242672[目标区服]=表2_97131923252773[[#This Row],[合区区服]])*(表1_86121822242672[目标国家（映射）]=表2_97131923252773[[#This Row],[国家]])*表1_86121822242672[活跃尖端战力])</f>
        <v>0</v>
      </c>
      <c r="G110" s="47">
        <f>SUMIFS(表1_86121822242672[活跃总战力],表1_86121822242672[目标区服],表2_97131923252773[[#This Row],[合区区服]],表1_86121822242672[目标国家（映射）],表2_97131923252773[[#This Row],[国家]])</f>
        <v>0</v>
      </c>
      <c r="H110" s="46">
        <f>SUMIFS(表1_86121822242672[活跃实际充值],表1_86121822242672[目标区服],表2_97131923252773[[#This Row],[合区区服]],表1_86121822242672[目标国家（映射）],表2_97131923252773[[#This Row],[国家]])</f>
        <v>0</v>
      </c>
      <c r="I110" s="46">
        <f>SUMIFS(表1_86121822242672[活跃虚拟充值],表1_86121822242672[目标区服],表2_97131923252773[[#This Row],[合区区服]],表1_86121822242672[目标国家（映射）],表2_97131923252773[[#This Row],[国家]])</f>
        <v>0</v>
      </c>
      <c r="J110" s="46">
        <f>SUMIFS(表1_86121822242672[活跃Coin],表1_86121822242672[目标区服],表2_97131923252773[[#This Row],[合区区服]],表1_86121822242672[目标国家（映射）],表2_97131923252773[[#This Row],[国家]])</f>
        <v>0</v>
      </c>
      <c r="K110" s="46">
        <f>SUMIFS(表1_86121822242672[共计补偿Coin],表1_86121822242672[目标区服],表2_97131923252773[[#This Row],[合区区服]],表1_86121822242672[目标国家（映射）],表2_97131923252773[[#This Row],[国家]])</f>
        <v>0</v>
      </c>
      <c r="L110" s="46">
        <f>表2_97131923252773[[#This Row],[活跃Coin]]+表2_97131923252773[[#This Row],[共计补偿Coin]]</f>
        <v>0</v>
      </c>
      <c r="M110" s="46">
        <f>SUMIFS(表1_86121822242672[综合国力],表1_86121822242672[目标区服],表2_97131923252773[[#This Row],[合区区服]],表1_86121822242672[目标国家（映射）],表2_97131923252773[[#This Row],[国家]])</f>
        <v>0</v>
      </c>
      <c r="N110" s="46">
        <f t="array" ref="N110">MAX((表1_86121822242672[目标区服]=表2_97131923252773[[#This Row],[合区区服]])*(表1_86121822242672[目标国家（映射）]=表2_97131923252773[[#This Row],[国家]])*表1_86121822242672[单将最高战力])</f>
        <v>0</v>
      </c>
    </row>
    <row r="111" ht="15" spans="1:14">
      <c r="A111" s="45"/>
      <c r="B111" s="46" t="s">
        <v>26</v>
      </c>
      <c r="C111" s="46">
        <f>COUNTIFS(表1_86121822242672[目标区服],表2_97131923252773[[#This Row],[合区区服]],表1_86121822242672[目标国家（映射）],表2_97131923252773[[#This Row],[国家]])</f>
        <v>0</v>
      </c>
      <c r="D111" s="46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111" s="46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111" s="46">
        <f t="array" ref="F111">MAX((表1_86121822242672[目标区服]=表2_97131923252773[[#This Row],[合区区服]])*(表1_86121822242672[目标国家（映射）]=表2_97131923252773[[#This Row],[国家]])*表1_86121822242672[活跃尖端战力])</f>
        <v>0</v>
      </c>
      <c r="G111" s="47">
        <f>SUMIFS(表1_86121822242672[活跃总战力],表1_86121822242672[目标区服],表2_97131923252773[[#This Row],[合区区服]],表1_86121822242672[目标国家（映射）],表2_97131923252773[[#This Row],[国家]])</f>
        <v>0</v>
      </c>
      <c r="H111" s="46">
        <f>SUMIFS(表1_86121822242672[活跃实际充值],表1_86121822242672[目标区服],表2_97131923252773[[#This Row],[合区区服]],表1_86121822242672[目标国家（映射）],表2_97131923252773[[#This Row],[国家]])</f>
        <v>0</v>
      </c>
      <c r="I111" s="46">
        <f>SUMIFS(表1_86121822242672[活跃虚拟充值],表1_86121822242672[目标区服],表2_97131923252773[[#This Row],[合区区服]],表1_86121822242672[目标国家（映射）],表2_97131923252773[[#This Row],[国家]])</f>
        <v>0</v>
      </c>
      <c r="J111" s="46">
        <f>SUMIFS(表1_86121822242672[活跃Coin],表1_86121822242672[目标区服],表2_97131923252773[[#This Row],[合区区服]],表1_86121822242672[目标国家（映射）],表2_97131923252773[[#This Row],[国家]])</f>
        <v>0</v>
      </c>
      <c r="K111" s="46">
        <f>SUMIFS(表1_86121822242672[共计补偿Coin],表1_86121822242672[目标区服],表2_97131923252773[[#This Row],[合区区服]],表1_86121822242672[目标国家（映射）],表2_97131923252773[[#This Row],[国家]])</f>
        <v>0</v>
      </c>
      <c r="L111" s="46">
        <f>表2_97131923252773[[#This Row],[活跃Coin]]+表2_97131923252773[[#This Row],[共计补偿Coin]]</f>
        <v>0</v>
      </c>
      <c r="M111" s="46">
        <f>SUMIFS(表1_86121822242672[综合国力],表1_86121822242672[目标区服],表2_97131923252773[[#This Row],[合区区服]],表1_86121822242672[目标国家（映射）],表2_97131923252773[[#This Row],[国家]])</f>
        <v>0</v>
      </c>
      <c r="N111" s="46">
        <f t="array" ref="N111">MAX((表1_86121822242672[目标区服]=表2_97131923252773[[#This Row],[合区区服]])*(表1_86121822242672[目标国家（映射）]=表2_97131923252773[[#This Row],[国家]])*表1_86121822242672[单将最高战力])</f>
        <v>0</v>
      </c>
    </row>
    <row r="112" ht="15" spans="1:14">
      <c r="A112" s="45"/>
      <c r="B112" s="48" t="s">
        <v>27</v>
      </c>
      <c r="C112" s="48">
        <f>COUNTIFS(表1_86121822242672[目标区服],表2_97131923252773[[#This Row],[合区区服]],表1_86121822242672[目标国家（映射）],表2_97131923252773[[#This Row],[国家]])</f>
        <v>0</v>
      </c>
      <c r="D112" s="48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112" s="48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112" s="46">
        <f t="array" ref="F112">MAX((表1_86121822242672[目标区服]=表2_97131923252773[[#This Row],[合区区服]])*(表1_86121822242672[目标国家（映射）]=表2_97131923252773[[#This Row],[国家]])*表1_86121822242672[活跃尖端战力])</f>
        <v>0</v>
      </c>
      <c r="G112" s="47">
        <f>SUMIFS(表1_86121822242672[活跃总战力],表1_86121822242672[目标区服],表2_97131923252773[[#This Row],[合区区服]],表1_86121822242672[目标国家（映射）],表2_97131923252773[[#This Row],[国家]])</f>
        <v>0</v>
      </c>
      <c r="H112" s="46">
        <f>SUMIFS(表1_86121822242672[活跃实际充值],表1_86121822242672[目标区服],表2_97131923252773[[#This Row],[合区区服]],表1_86121822242672[目标国家（映射）],表2_97131923252773[[#This Row],[国家]])</f>
        <v>0</v>
      </c>
      <c r="I112" s="46">
        <f>SUMIFS(表1_86121822242672[活跃虚拟充值],表1_86121822242672[目标区服],表2_97131923252773[[#This Row],[合区区服]],表1_86121822242672[目标国家（映射）],表2_97131923252773[[#This Row],[国家]])</f>
        <v>0</v>
      </c>
      <c r="J112" s="46">
        <f>SUMIFS(表1_86121822242672[活跃Coin],表1_86121822242672[目标区服],表2_97131923252773[[#This Row],[合区区服]],表1_86121822242672[目标国家（映射）],表2_97131923252773[[#This Row],[国家]])</f>
        <v>0</v>
      </c>
      <c r="K112" s="46">
        <f>SUMIFS(表1_86121822242672[共计补偿Coin],表1_86121822242672[目标区服],表2_97131923252773[[#This Row],[合区区服]],表1_86121822242672[目标国家（映射）],表2_97131923252773[[#This Row],[国家]])</f>
        <v>0</v>
      </c>
      <c r="L112" s="46">
        <f>表2_97131923252773[[#This Row],[活跃Coin]]+表2_97131923252773[[#This Row],[共计补偿Coin]]</f>
        <v>0</v>
      </c>
      <c r="M112" s="46">
        <f>SUMIFS(表1_86121822242672[综合国力],表1_86121822242672[目标区服],表2_97131923252773[[#This Row],[合区区服]],表1_86121822242672[目标国家（映射）],表2_97131923252773[[#This Row],[国家]])</f>
        <v>0</v>
      </c>
      <c r="N112" s="46">
        <f t="array" ref="N112">MAX((表1_86121822242672[目标区服]=表2_97131923252773[[#This Row],[合区区服]])*(表1_86121822242672[目标国家（映射）]=表2_97131923252773[[#This Row],[国家]])*表1_86121822242672[单将最高战力])</f>
        <v>0</v>
      </c>
    </row>
    <row r="113" ht="15" spans="1:14">
      <c r="A113" s="45"/>
      <c r="B113" s="46" t="s">
        <v>25</v>
      </c>
      <c r="C113" s="46">
        <f>COUNTIFS(表1_86121822242672[目标区服],表2_97131923252773[[#This Row],[合区区服]],表1_86121822242672[目标国家（映射）],表2_97131923252773[[#This Row],[国家]])</f>
        <v>0</v>
      </c>
      <c r="D113" s="46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113" s="46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113" s="46">
        <f t="array" ref="F113">MAX((表1_86121822242672[目标区服]=表2_97131923252773[[#This Row],[合区区服]])*(表1_86121822242672[目标国家（映射）]=表2_97131923252773[[#This Row],[国家]])*表1_86121822242672[活跃尖端战力])</f>
        <v>0</v>
      </c>
      <c r="G113" s="47">
        <f>SUMIFS(表1_86121822242672[活跃总战力],表1_86121822242672[目标区服],表2_97131923252773[[#This Row],[合区区服]],表1_86121822242672[目标国家（映射）],表2_97131923252773[[#This Row],[国家]])</f>
        <v>0</v>
      </c>
      <c r="H113" s="46">
        <f>SUMIFS(表1_86121822242672[活跃实际充值],表1_86121822242672[目标区服],表2_97131923252773[[#This Row],[合区区服]],表1_86121822242672[目标国家（映射）],表2_97131923252773[[#This Row],[国家]])</f>
        <v>0</v>
      </c>
      <c r="I113" s="46">
        <f>SUMIFS(表1_86121822242672[活跃虚拟充值],表1_86121822242672[目标区服],表2_97131923252773[[#This Row],[合区区服]],表1_86121822242672[目标国家（映射）],表2_97131923252773[[#This Row],[国家]])</f>
        <v>0</v>
      </c>
      <c r="J113" s="46">
        <f>SUMIFS(表1_86121822242672[活跃Coin],表1_86121822242672[目标区服],表2_97131923252773[[#This Row],[合区区服]],表1_86121822242672[目标国家（映射）],表2_97131923252773[[#This Row],[国家]])</f>
        <v>0</v>
      </c>
      <c r="K113" s="46">
        <f>SUMIFS(表1_86121822242672[共计补偿Coin],表1_86121822242672[目标区服],表2_97131923252773[[#This Row],[合区区服]],表1_86121822242672[目标国家（映射）],表2_97131923252773[[#This Row],[国家]])</f>
        <v>0</v>
      </c>
      <c r="L113" s="46">
        <f>表2_97131923252773[[#This Row],[活跃Coin]]+表2_97131923252773[[#This Row],[共计补偿Coin]]</f>
        <v>0</v>
      </c>
      <c r="M113" s="46">
        <f>SUMIFS(表1_86121822242672[综合国力],表1_86121822242672[目标区服],表2_97131923252773[[#This Row],[合区区服]],表1_86121822242672[目标国家（映射）],表2_97131923252773[[#This Row],[国家]])</f>
        <v>0</v>
      </c>
      <c r="N113" s="46">
        <f t="array" ref="N113">MAX((表1_86121822242672[目标区服]=表2_97131923252773[[#This Row],[合区区服]])*(表1_86121822242672[目标国家（映射）]=表2_97131923252773[[#This Row],[国家]])*表1_86121822242672[单将最高战力])</f>
        <v>0</v>
      </c>
    </row>
    <row r="114" ht="15" spans="1:14">
      <c r="A114" s="45"/>
      <c r="B114" s="46" t="s">
        <v>26</v>
      </c>
      <c r="C114" s="46">
        <f>COUNTIFS(表1_86121822242672[目标区服],表2_97131923252773[[#This Row],[合区区服]],表1_86121822242672[目标国家（映射）],表2_97131923252773[[#This Row],[国家]])</f>
        <v>0</v>
      </c>
      <c r="D114" s="46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114" s="46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114" s="46">
        <f t="array" ref="F114">MAX((表1_86121822242672[目标区服]=表2_97131923252773[[#This Row],[合区区服]])*(表1_86121822242672[目标国家（映射）]=表2_97131923252773[[#This Row],[国家]])*表1_86121822242672[活跃尖端战力])</f>
        <v>0</v>
      </c>
      <c r="G114" s="47">
        <f>SUMIFS(表1_86121822242672[活跃总战力],表1_86121822242672[目标区服],表2_97131923252773[[#This Row],[合区区服]],表1_86121822242672[目标国家（映射）],表2_97131923252773[[#This Row],[国家]])</f>
        <v>0</v>
      </c>
      <c r="H114" s="46">
        <f>SUMIFS(表1_86121822242672[活跃实际充值],表1_86121822242672[目标区服],表2_97131923252773[[#This Row],[合区区服]],表1_86121822242672[目标国家（映射）],表2_97131923252773[[#This Row],[国家]])</f>
        <v>0</v>
      </c>
      <c r="I114" s="46">
        <f>SUMIFS(表1_86121822242672[活跃虚拟充值],表1_86121822242672[目标区服],表2_97131923252773[[#This Row],[合区区服]],表1_86121822242672[目标国家（映射）],表2_97131923252773[[#This Row],[国家]])</f>
        <v>0</v>
      </c>
      <c r="J114" s="46">
        <f>SUMIFS(表1_86121822242672[活跃Coin],表1_86121822242672[目标区服],表2_97131923252773[[#This Row],[合区区服]],表1_86121822242672[目标国家（映射）],表2_97131923252773[[#This Row],[国家]])</f>
        <v>0</v>
      </c>
      <c r="K114" s="46">
        <f>SUMIFS(表1_86121822242672[共计补偿Coin],表1_86121822242672[目标区服],表2_97131923252773[[#This Row],[合区区服]],表1_86121822242672[目标国家（映射）],表2_97131923252773[[#This Row],[国家]])</f>
        <v>0</v>
      </c>
      <c r="L114" s="46">
        <f>表2_97131923252773[[#This Row],[活跃Coin]]+表2_97131923252773[[#This Row],[共计补偿Coin]]</f>
        <v>0</v>
      </c>
      <c r="M114" s="46">
        <f>SUMIFS(表1_86121822242672[综合国力],表1_86121822242672[目标区服],表2_97131923252773[[#This Row],[合区区服]],表1_86121822242672[目标国家（映射）],表2_97131923252773[[#This Row],[国家]])</f>
        <v>0</v>
      </c>
      <c r="N114" s="46">
        <f t="array" ref="N114">MAX((表1_86121822242672[目标区服]=表2_97131923252773[[#This Row],[合区区服]])*(表1_86121822242672[目标国家（映射）]=表2_97131923252773[[#This Row],[国家]])*表1_86121822242672[单将最高战力])</f>
        <v>0</v>
      </c>
    </row>
    <row r="115" ht="15" spans="1:14">
      <c r="A115" s="45"/>
      <c r="B115" s="48" t="s">
        <v>27</v>
      </c>
      <c r="C115" s="48">
        <f>COUNTIFS(表1_86121822242672[目标区服],表2_97131923252773[[#This Row],[合区区服]],表1_86121822242672[目标国家（映射）],表2_97131923252773[[#This Row],[国家]])</f>
        <v>0</v>
      </c>
      <c r="D115" s="48">
        <f>SUMIFS(表1_86121822242672[活跃高战玩家数],表1_86121822242672[目标区服],表2_97131923252773[[#This Row],[合区区服]],表1_86121822242672[目标国家（映射）],表2_97131923252773[[#This Row],[国家]])</f>
        <v>0</v>
      </c>
      <c r="E115" s="48">
        <f>SUMIFS(表1_86121822242672[活跃中坚玩家数],表1_86121822242672[目标区服],表2_97131923252773[[#This Row],[合区区服]],表1_86121822242672[目标国家（映射）],表2_97131923252773[[#This Row],[国家]])</f>
        <v>0</v>
      </c>
      <c r="F115" s="46">
        <f t="array" ref="F115">MAX((表1_86121822242672[目标区服]=表2_97131923252773[[#This Row],[合区区服]])*(表1_86121822242672[目标国家（映射）]=表2_97131923252773[[#This Row],[国家]])*表1_86121822242672[活跃尖端战力])</f>
        <v>0</v>
      </c>
      <c r="G115" s="47">
        <f>SUMIFS(表1_86121822242672[活跃总战力],表1_86121822242672[目标区服],表2_97131923252773[[#This Row],[合区区服]],表1_86121822242672[目标国家（映射）],表2_97131923252773[[#This Row],[国家]])</f>
        <v>0</v>
      </c>
      <c r="H115" s="46">
        <f>SUMIFS(表1_86121822242672[活跃实际充值],表1_86121822242672[目标区服],表2_97131923252773[[#This Row],[合区区服]],表1_86121822242672[目标国家（映射）],表2_97131923252773[[#This Row],[国家]])</f>
        <v>0</v>
      </c>
      <c r="I115" s="46">
        <f>SUMIFS(表1_86121822242672[活跃虚拟充值],表1_86121822242672[目标区服],表2_97131923252773[[#This Row],[合区区服]],表1_86121822242672[目标国家（映射）],表2_97131923252773[[#This Row],[国家]])</f>
        <v>0</v>
      </c>
      <c r="J115" s="46">
        <f>SUMIFS(表1_86121822242672[活跃Coin],表1_86121822242672[目标区服],表2_97131923252773[[#This Row],[合区区服]],表1_86121822242672[目标国家（映射）],表2_97131923252773[[#This Row],[国家]])</f>
        <v>0</v>
      </c>
      <c r="K115" s="46">
        <f>SUMIFS(表1_86121822242672[共计补偿Coin],表1_86121822242672[目标区服],表2_97131923252773[[#This Row],[合区区服]],表1_86121822242672[目标国家（映射）],表2_97131923252773[[#This Row],[国家]])</f>
        <v>0</v>
      </c>
      <c r="L115" s="46">
        <f>表2_97131923252773[[#This Row],[活跃Coin]]+表2_97131923252773[[#This Row],[共计补偿Coin]]</f>
        <v>0</v>
      </c>
      <c r="M115" s="46">
        <f>SUMIFS(表1_86121822242672[综合国力],表1_86121822242672[目标区服],表2_97131923252773[[#This Row],[合区区服]],表1_86121822242672[目标国家（映射）],表2_97131923252773[[#This Row],[国家]])</f>
        <v>0</v>
      </c>
      <c r="N115" s="46">
        <f t="array" ref="N115">MAX((表1_86121822242672[目标区服]=表2_97131923252773[[#This Row],[合区区服]])*(表1_86121822242672[目标国家（映射）]=表2_97131923252773[[#This Row],[国家]])*表1_86121822242672[单将最高战力])</f>
        <v>0</v>
      </c>
    </row>
    <row r="121" ht="27" spans="2:14">
      <c r="B121" s="49"/>
      <c r="C121" s="50" t="s">
        <v>9</v>
      </c>
      <c r="D121" s="50" t="s">
        <v>10</v>
      </c>
      <c r="E121" s="50" t="s">
        <v>11</v>
      </c>
      <c r="F121" s="50" t="s">
        <v>12</v>
      </c>
      <c r="G121" s="50" t="s">
        <v>13</v>
      </c>
      <c r="H121" s="50" t="s">
        <v>14</v>
      </c>
      <c r="I121" s="50" t="s">
        <v>15</v>
      </c>
      <c r="J121" s="50" t="s">
        <v>18</v>
      </c>
      <c r="K121" s="50" t="s">
        <v>19</v>
      </c>
      <c r="L121" s="50" t="s">
        <v>20</v>
      </c>
      <c r="M121" s="50" t="s">
        <v>21</v>
      </c>
      <c r="N121" s="50" t="s">
        <v>82</v>
      </c>
    </row>
    <row r="122" spans="2:14"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</row>
    <row r="123" spans="2:14"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</row>
    <row r="124" spans="2:14"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</row>
    <row r="125" spans="2:14"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</row>
    <row r="126" spans="2:14"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</row>
    <row r="127" spans="2:14"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</row>
    <row r="128" spans="2:14"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</row>
    <row r="129" spans="2:14"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</row>
    <row r="130" spans="2:14"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</row>
    <row r="131" spans="2:14"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</row>
    <row r="132" spans="2:14"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</row>
    <row r="133" spans="2:14"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</row>
    <row r="134" spans="2:14"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</row>
    <row r="135" spans="2:14"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</row>
    <row r="136" spans="2:14"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</row>
    <row r="137" spans="2:14"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</row>
    <row r="138" spans="2:14"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</row>
    <row r="139" spans="2:14"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</row>
    <row r="140" spans="2:14"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</row>
    <row r="141" spans="2:14"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</row>
    <row r="142" spans="2:14"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</row>
  </sheetData>
  <conditionalFormatting sqref="F80:F82">
    <cfRule type="dataBar" priority="1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{36ef0f5f-7c8a-4451-b21f-3c8b35f7ba1d}</x14:id>
        </ext>
      </extLst>
    </cfRule>
  </conditionalFormatting>
  <conditionalFormatting sqref="F83:F85">
    <cfRule type="dataBar" priority="16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{4267abeb-086b-450a-a355-5f37741760d5}</x14:id>
        </ext>
      </extLst>
    </cfRule>
  </conditionalFormatting>
  <conditionalFormatting sqref="F86:F88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{d516dbe7-9ed5-4665-9748-055905e8a931}</x14:id>
        </ext>
      </extLst>
    </cfRule>
  </conditionalFormatting>
  <conditionalFormatting sqref="F89:F9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{11fd3f32-b383-452d-881c-43e5f85da356}</x14:id>
        </ext>
      </extLst>
    </cfRule>
  </conditionalFormatting>
  <conditionalFormatting sqref="F92:F94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{abf5d1a4-93d2-45f0-856c-51f578fb101b}</x14:id>
        </ext>
      </extLst>
    </cfRule>
  </conditionalFormatting>
  <conditionalFormatting sqref="F95:F97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{17880271-9d78-4808-8ef6-f044900c8a4c}</x14:id>
        </ext>
      </extLst>
    </cfRule>
  </conditionalFormatting>
  <conditionalFormatting sqref="F98:F100">
    <cfRule type="dataBar" priority="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{8fe1bff1-0448-4261-8a94-f073daad5d93}</x14:id>
        </ext>
      </extLst>
    </cfRule>
  </conditionalFormatting>
  <conditionalFormatting sqref="F101:F10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{3e6ecb3c-5eed-4278-8551-aed626412b39}</x14:id>
        </ext>
      </extLst>
    </cfRule>
  </conditionalFormatting>
  <conditionalFormatting sqref="F104:F106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{b5ba5ad0-bb4b-4aab-9817-369e54f2225d}</x14:id>
        </ext>
      </extLst>
    </cfRule>
  </conditionalFormatting>
  <conditionalFormatting sqref="F107:F10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{1b53fb0f-3796-4781-8975-68e0de200c46}</x14:id>
        </ext>
      </extLst>
    </cfRule>
  </conditionalFormatting>
  <conditionalFormatting sqref="F110:F112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{3bea1f81-82d3-44be-81b6-89aaf51e260d}</x14:id>
        </ext>
      </extLst>
    </cfRule>
  </conditionalFormatting>
  <conditionalFormatting sqref="F113:F115">
    <cfRule type="dataBar" priority="15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{e83eafd8-cf8a-49da-bef9-d2b06a4deb45}</x14:id>
        </ext>
      </extLst>
    </cfRule>
  </conditionalFormatting>
  <conditionalFormatting sqref="G80:G82">
    <cfRule type="dataBar" priority="1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{39ac6ee4-67cb-4e5e-9cea-88962db7001c}</x14:id>
        </ext>
      </extLst>
    </cfRule>
  </conditionalFormatting>
  <conditionalFormatting sqref="G83:G85">
    <cfRule type="dataBar" priority="16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{f11ca693-c953-460c-a3d6-a6eb232dd224}</x14:id>
        </ext>
      </extLst>
    </cfRule>
  </conditionalFormatting>
  <conditionalFormatting sqref="G86:G88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{6738a7a7-6383-4bfc-b777-418f7ed953a1}</x14:id>
        </ext>
      </extLst>
    </cfRule>
  </conditionalFormatting>
  <conditionalFormatting sqref="G89:G91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{4b113a52-72de-4a8e-ae10-0abb939ca2a0}</x14:id>
        </ext>
      </extLst>
    </cfRule>
  </conditionalFormatting>
  <conditionalFormatting sqref="G92:G9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{a134d708-573d-496d-8cc2-7a5077154124}</x14:id>
        </ext>
      </extLst>
    </cfRule>
  </conditionalFormatting>
  <conditionalFormatting sqref="G95:G97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{5a99860f-4d12-45b7-a4b8-6c905d7917b3}</x14:id>
        </ext>
      </extLst>
    </cfRule>
  </conditionalFormatting>
  <conditionalFormatting sqref="G98:G100">
    <cfRule type="dataBar" priority="2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{9b8ec5e8-87d6-4ca2-b739-925e5ee1189b}</x14:id>
        </ext>
      </extLst>
    </cfRule>
  </conditionalFormatting>
  <conditionalFormatting sqref="G101:G10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{45f9c565-8da9-4a27-993d-034a32084c3d}</x14:id>
        </ext>
      </extLst>
    </cfRule>
  </conditionalFormatting>
  <conditionalFormatting sqref="G104:G106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{99ad8d0f-8c76-4d3a-b5a3-709065178978}</x14:id>
        </ext>
      </extLst>
    </cfRule>
  </conditionalFormatting>
  <conditionalFormatting sqref="G107:G10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{8da80f78-fa54-4eb8-b4da-471b496b9fda}</x14:id>
        </ext>
      </extLst>
    </cfRule>
  </conditionalFormatting>
  <conditionalFormatting sqref="G110:G112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{90cb571d-7ba3-4a9c-8b4f-1edd5e8bb711}</x14:id>
        </ext>
      </extLst>
    </cfRule>
  </conditionalFormatting>
  <conditionalFormatting sqref="G113:G115">
    <cfRule type="dataBar" priority="16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{dcff24ad-de62-4cab-adea-543ca57c1222}</x14:id>
        </ext>
      </extLst>
    </cfRule>
  </conditionalFormatting>
  <conditionalFormatting sqref="N86:N88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{9b67990d-d7b6-4231-bd90-1ebd6d29ca8f}</x14:id>
        </ext>
      </extLst>
    </cfRule>
  </conditionalFormatting>
  <conditionalFormatting sqref="N89:N91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{dab441ab-3d90-4f61-aee2-0a12766ccf74}</x14:id>
        </ext>
      </extLst>
    </cfRule>
  </conditionalFormatting>
  <conditionalFormatting sqref="N92:N94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{d934d644-93d6-49a0-bdad-a9ad7701768f}</x14:id>
        </ext>
      </extLst>
    </cfRule>
  </conditionalFormatting>
  <conditionalFormatting sqref="N95:N9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{6054f2d5-4afe-427c-bcd6-1be0d540dc1b}</x14:id>
        </ext>
      </extLst>
    </cfRule>
  </conditionalFormatting>
  <conditionalFormatting sqref="N98:N100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{1cf1c5ce-7fc7-441f-9c13-aa95a5e9e2f5}</x14:id>
        </ext>
      </extLst>
    </cfRule>
  </conditionalFormatting>
  <conditionalFormatting sqref="N101:N103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{45b871ed-193f-4db6-96c9-6c1d82421a48}</x14:id>
        </ext>
      </extLst>
    </cfRule>
  </conditionalFormatting>
  <conditionalFormatting sqref="N104:N106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{59e6a18c-6e21-4026-9a2f-c9159d3b1d40}</x14:id>
        </ext>
      </extLst>
    </cfRule>
  </conditionalFormatting>
  <conditionalFormatting sqref="N107:N109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{22f3da0a-d0a5-4bf8-8f0f-0fa9a08b3a39}</x14:id>
        </ext>
      </extLst>
    </cfRule>
  </conditionalFormatting>
  <conditionalFormatting sqref="N110:N11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{9bea180d-ba07-4a71-b03f-473a08e53045}</x14:id>
        </ext>
      </extLst>
    </cfRule>
  </conditionalFormatting>
  <conditionalFormatting sqref="O14:O16">
    <cfRule type="dataBar" priority="1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{3d4f7899-37b6-4088-acc9-59f4b34c37ea}</x14:id>
        </ext>
      </extLst>
    </cfRule>
  </conditionalFormatting>
  <conditionalFormatting sqref="O17:O19">
    <cfRule type="dataBar" priority="1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{07b0a1c8-c71e-4183-95e8-e6a141dd318b}</x14:id>
        </ext>
      </extLst>
    </cfRule>
  </conditionalFormatting>
  <conditionalFormatting sqref="O20:O22">
    <cfRule type="dataBar" priority="1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{f6f4d48f-001d-49ee-a2ef-8bf63d67cf98}</x14:id>
        </ext>
      </extLst>
    </cfRule>
  </conditionalFormatting>
  <conditionalFormatting sqref="O23:O25">
    <cfRule type="dataBar" priority="1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{6b244613-1e6b-4329-a0b6-7280cc4501a8}</x14:id>
        </ext>
      </extLst>
    </cfRule>
  </conditionalFormatting>
  <conditionalFormatting sqref="O26:O28">
    <cfRule type="dataBar" priority="1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{ea128b24-7394-4bf0-a898-f7b69c77b51b}</x14:id>
        </ext>
      </extLst>
    </cfRule>
  </conditionalFormatting>
  <conditionalFormatting sqref="O29:O31">
    <cfRule type="dataBar" priority="1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{2f4ed682-ef4d-4f41-bd15-915e564145ed}</x14:id>
        </ext>
      </extLst>
    </cfRule>
  </conditionalFormatting>
  <conditionalFormatting sqref="O32:O34">
    <cfRule type="dataBar" priority="10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{06f023ef-59dd-4e63-98ee-209221d27bf0}</x14:id>
        </ext>
      </extLst>
    </cfRule>
  </conditionalFormatting>
  <conditionalFormatting sqref="O35:O37">
    <cfRule type="dataBar" priority="1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{f8954206-4f92-46a9-ad69-0a7eb55ea15c}</x14:id>
        </ext>
      </extLst>
    </cfRule>
  </conditionalFormatting>
  <conditionalFormatting sqref="O38:O40">
    <cfRule type="dataBar" priority="9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{9940d18a-ea50-408c-9afe-a062bd88213f}</x14:id>
        </ext>
      </extLst>
    </cfRule>
  </conditionalFormatting>
  <conditionalFormatting sqref="O41:O43">
    <cfRule type="dataBar" priority="8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{3d4d5f06-b34d-450f-9408-c5127f90814b}</x14:id>
        </ext>
      </extLst>
    </cfRule>
  </conditionalFormatting>
  <conditionalFormatting sqref="O46:O48">
    <cfRule type="dataBar" priority="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{0e575a0f-a248-471f-846d-21c261c02be9}</x14:id>
        </ext>
      </extLst>
    </cfRule>
  </conditionalFormatting>
  <conditionalFormatting sqref="O49:O51">
    <cfRule type="dataBar" priority="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{f764c457-81db-40ea-861e-c7c8bdea8503}</x14:id>
        </ext>
      </extLst>
    </cfRule>
  </conditionalFormatting>
  <conditionalFormatting sqref="O52:O54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{7bceb5e4-a900-48de-99b1-1c4078f2a482}</x14:id>
        </ext>
      </extLst>
    </cfRule>
  </conditionalFormatting>
  <conditionalFormatting sqref="O55:O57">
    <cfRule type="dataBar" priority="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{3874678f-1417-426a-8637-fb9638e6749c}</x14:id>
        </ext>
      </extLst>
    </cfRule>
  </conditionalFormatting>
  <conditionalFormatting sqref="O58:O60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{52ef46ce-64bf-48c9-81a9-ea9e9df70840}</x14:id>
        </ext>
      </extLst>
    </cfRule>
  </conditionalFormatting>
  <conditionalFormatting sqref="O61:O63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{5cb6a8a9-07c5-4c37-816c-5d245bfad39a}</x14:id>
        </ext>
      </extLst>
    </cfRule>
  </conditionalFormatting>
  <conditionalFormatting sqref="O64:O66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{8c209f21-bb21-4a13-9bbb-7373a28da43e}</x14:id>
        </ext>
      </extLst>
    </cfRule>
  </conditionalFormatting>
  <conditionalFormatting sqref="O67:O69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{bcf06f7d-61aa-442e-8080-bbd417065f14}</x14:id>
        </ext>
      </extLst>
    </cfRule>
  </conditionalFormatting>
  <conditionalFormatting sqref="O74:O76">
    <cfRule type="dataBar" priority="1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{37932679-079a-4d59-ba2b-0100786a6b2c}</x14:id>
        </ext>
      </extLst>
    </cfRule>
  </conditionalFormatting>
  <conditionalFormatting sqref="P14:P16">
    <cfRule type="dataBar" priority="1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{84c9e5e4-7f1e-450f-8e89-f23e926b2c49}</x14:id>
        </ext>
      </extLst>
    </cfRule>
  </conditionalFormatting>
  <conditionalFormatting sqref="P17:P19">
    <cfRule type="dataBar" priority="1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{09e4a6f6-9f8f-4631-935d-711fb8dffbaa}</x14:id>
        </ext>
      </extLst>
    </cfRule>
  </conditionalFormatting>
  <conditionalFormatting sqref="P20:P22">
    <cfRule type="dataBar" priority="1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{ba8a20cc-91ab-4f4b-b6ec-e044c3fa7dcd}</x14:id>
        </ext>
      </extLst>
    </cfRule>
  </conditionalFormatting>
  <conditionalFormatting sqref="P23:P25">
    <cfRule type="dataBar" priority="1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{bc87c508-c5e7-427b-84c8-3ec1c79816b8}</x14:id>
        </ext>
      </extLst>
    </cfRule>
  </conditionalFormatting>
  <conditionalFormatting sqref="P26:P28">
    <cfRule type="dataBar" priority="1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{487af9c3-01b5-47ce-9100-2b09b378c0ff}</x14:id>
        </ext>
      </extLst>
    </cfRule>
  </conditionalFormatting>
  <conditionalFormatting sqref="P29:P31">
    <cfRule type="dataBar" priority="1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{97fe8a53-2636-4621-8974-1da7ccfc9a7e}</x14:id>
        </ext>
      </extLst>
    </cfRule>
  </conditionalFormatting>
  <conditionalFormatting sqref="P32:P34">
    <cfRule type="dataBar" priority="10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{0505c9c3-5517-418b-a47f-6d3a27659282}</x14:id>
        </ext>
      </extLst>
    </cfRule>
  </conditionalFormatting>
  <conditionalFormatting sqref="P35:P37">
    <cfRule type="dataBar" priority="1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{e590c291-64fb-40c5-89fa-20a4b476941c}</x14:id>
        </ext>
      </extLst>
    </cfRule>
  </conditionalFormatting>
  <conditionalFormatting sqref="P38:P40">
    <cfRule type="dataBar" priority="9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{9f6f7d51-b0dc-4ac5-9222-581fdd94c36e}</x14:id>
        </ext>
      </extLst>
    </cfRule>
  </conditionalFormatting>
  <conditionalFormatting sqref="P41:P43">
    <cfRule type="dataBar" priority="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{308e22c4-a7b9-4226-8da9-d9f11903eefa}</x14:id>
        </ext>
      </extLst>
    </cfRule>
  </conditionalFormatting>
  <conditionalFormatting sqref="P46:P48">
    <cfRule type="dataBar" priority="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{ab30d102-85f6-43e3-b968-21e63a77fd08}</x14:id>
        </ext>
      </extLst>
    </cfRule>
  </conditionalFormatting>
  <conditionalFormatting sqref="P49:P51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{6bc6c3c2-6687-48a2-b3a4-f109bd532ff1}</x14:id>
        </ext>
      </extLst>
    </cfRule>
  </conditionalFormatting>
  <conditionalFormatting sqref="P52:P54">
    <cfRule type="dataBar" priority="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{8c58dc9e-cdb5-4e76-bbf8-d808343bf78e}</x14:id>
        </ext>
      </extLst>
    </cfRule>
  </conditionalFormatting>
  <conditionalFormatting sqref="P55:P57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{6513b781-8e58-4030-ae5d-9a49c425d6c8}</x14:id>
        </ext>
      </extLst>
    </cfRule>
  </conditionalFormatting>
  <conditionalFormatting sqref="P58:P60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{4d26c5a7-14a3-4aac-b9ac-8b6da61588e1}</x14:id>
        </ext>
      </extLst>
    </cfRule>
  </conditionalFormatting>
  <conditionalFormatting sqref="P61:P63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{57576660-18f7-415a-9350-78d3fbb39e86}</x14:id>
        </ext>
      </extLst>
    </cfRule>
  </conditionalFormatting>
  <conditionalFormatting sqref="P64:P66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{d6b77326-6515-4a96-aa64-a316880ad4f4}</x14:id>
        </ext>
      </extLst>
    </cfRule>
  </conditionalFormatting>
  <conditionalFormatting sqref="P67:P69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{289aeb09-fdf4-4dad-8c90-098f79d7270f}</x14:id>
        </ext>
      </extLst>
    </cfRule>
  </conditionalFormatting>
  <conditionalFormatting sqref="P74:P76">
    <cfRule type="dataBar" priority="1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{15e6b5d6-5e5c-4797-97eb-c070f6645fd1}</x14:id>
        </ext>
      </extLst>
    </cfRule>
  </conditionalFormatting>
  <conditionalFormatting sqref="P80:P106">
    <cfRule type="cellIs" dxfId="37" priority="154" operator="equal">
      <formula>$S$80</formula>
    </cfRule>
  </conditionalFormatting>
  <conditionalFormatting sqref="Q14:Q16">
    <cfRule type="cellIs" dxfId="38" priority="147" operator="equal">
      <formula>配置!$D$4</formula>
    </cfRule>
    <cfRule type="cellIs" dxfId="39" priority="148" operator="equal">
      <formula>配置!$D$3</formula>
    </cfRule>
    <cfRule type="cellIs" dxfId="37" priority="149" operator="equal">
      <formula>配置!$D$2</formula>
    </cfRule>
  </conditionalFormatting>
  <conditionalFormatting sqref="Q17:Q19">
    <cfRule type="cellIs" dxfId="38" priority="140" operator="equal">
      <formula>配置!$D$4</formula>
    </cfRule>
    <cfRule type="cellIs" dxfId="39" priority="141" operator="equal">
      <formula>配置!$D$3</formula>
    </cfRule>
    <cfRule type="cellIs" dxfId="37" priority="142" operator="equal">
      <formula>配置!$D$2</formula>
    </cfRule>
  </conditionalFormatting>
  <conditionalFormatting sqref="Q20:Q22">
    <cfRule type="cellIs" dxfId="38" priority="133" operator="equal">
      <formula>配置!$D$4</formula>
    </cfRule>
    <cfRule type="cellIs" dxfId="39" priority="134" operator="equal">
      <formula>配置!$D$3</formula>
    </cfRule>
    <cfRule type="cellIs" dxfId="37" priority="135" operator="equal">
      <formula>配置!$D$2</formula>
    </cfRule>
  </conditionalFormatting>
  <conditionalFormatting sqref="Q23:Q25">
    <cfRule type="cellIs" dxfId="38" priority="126" operator="equal">
      <formula>配置!$D$4</formula>
    </cfRule>
    <cfRule type="cellIs" dxfId="39" priority="127" operator="equal">
      <formula>配置!$D$3</formula>
    </cfRule>
    <cfRule type="cellIs" dxfId="37" priority="128" operator="equal">
      <formula>配置!$D$2</formula>
    </cfRule>
  </conditionalFormatting>
  <conditionalFormatting sqref="Q26:Q28">
    <cfRule type="cellIs" dxfId="38" priority="119" operator="equal">
      <formula>配置!$D$4</formula>
    </cfRule>
    <cfRule type="cellIs" dxfId="39" priority="120" operator="equal">
      <formula>配置!$D$3</formula>
    </cfRule>
    <cfRule type="cellIs" dxfId="37" priority="121" operator="equal">
      <formula>配置!$D$2</formula>
    </cfRule>
  </conditionalFormatting>
  <conditionalFormatting sqref="Q29:Q31">
    <cfRule type="cellIs" dxfId="38" priority="112" operator="equal">
      <formula>配置!$D$4</formula>
    </cfRule>
    <cfRule type="cellIs" dxfId="39" priority="113" operator="equal">
      <formula>配置!$D$3</formula>
    </cfRule>
    <cfRule type="cellIs" dxfId="37" priority="114" operator="equal">
      <formula>配置!$D$2</formula>
    </cfRule>
  </conditionalFormatting>
  <conditionalFormatting sqref="Q32:Q34">
    <cfRule type="cellIs" dxfId="38" priority="105" operator="equal">
      <formula>配置!$D$4</formula>
    </cfRule>
    <cfRule type="cellIs" dxfId="39" priority="106" operator="equal">
      <formula>配置!$D$3</formula>
    </cfRule>
    <cfRule type="cellIs" dxfId="37" priority="107" operator="equal">
      <formula>配置!$D$2</formula>
    </cfRule>
  </conditionalFormatting>
  <conditionalFormatting sqref="Q35:Q37">
    <cfRule type="cellIs" dxfId="38" priority="98" operator="equal">
      <formula>配置!$D$4</formula>
    </cfRule>
    <cfRule type="cellIs" dxfId="39" priority="99" operator="equal">
      <formula>配置!$D$3</formula>
    </cfRule>
    <cfRule type="cellIs" dxfId="37" priority="100" operator="equal">
      <formula>配置!$D$2</formula>
    </cfRule>
  </conditionalFormatting>
  <conditionalFormatting sqref="Q38:Q40">
    <cfRule type="cellIs" dxfId="38" priority="91" operator="equal">
      <formula>配置!$D$4</formula>
    </cfRule>
    <cfRule type="cellIs" dxfId="39" priority="92" operator="equal">
      <formula>配置!$D$3</formula>
    </cfRule>
    <cfRule type="cellIs" dxfId="37" priority="93" operator="equal">
      <formula>配置!$D$2</formula>
    </cfRule>
  </conditionalFormatting>
  <conditionalFormatting sqref="Q41:Q43">
    <cfRule type="cellIs" dxfId="38" priority="84" operator="equal">
      <formula>配置!$D$4</formula>
    </cfRule>
    <cfRule type="cellIs" dxfId="39" priority="85" operator="equal">
      <formula>配置!$D$3</formula>
    </cfRule>
    <cfRule type="cellIs" dxfId="37" priority="86" operator="equal">
      <formula>配置!$D$2</formula>
    </cfRule>
  </conditionalFormatting>
  <conditionalFormatting sqref="Q46:Q47">
    <cfRule type="cellIs" dxfId="38" priority="82" operator="equal">
      <formula>配置!$D$4</formula>
    </cfRule>
    <cfRule type="cellIs" dxfId="37" priority="83" operator="equal">
      <formula>配置!$D$2</formula>
    </cfRule>
  </conditionalFormatting>
  <conditionalFormatting sqref="Q46:Q48">
    <cfRule type="cellIs" dxfId="38" priority="77" operator="equal">
      <formula>配置!$D$4</formula>
    </cfRule>
    <cfRule type="cellIs" dxfId="39" priority="78" operator="equal">
      <formula>配置!$D$3</formula>
    </cfRule>
    <cfRule type="cellIs" dxfId="37" priority="79" operator="equal">
      <formula>配置!$D$2</formula>
    </cfRule>
  </conditionalFormatting>
  <conditionalFormatting sqref="Q49:Q50">
    <cfRule type="cellIs" dxfId="38" priority="75" operator="equal">
      <formula>配置!$D$4</formula>
    </cfRule>
    <cfRule type="cellIs" dxfId="37" priority="76" operator="equal">
      <formula>配置!$D$2</formula>
    </cfRule>
  </conditionalFormatting>
  <conditionalFormatting sqref="Q49:Q51">
    <cfRule type="cellIs" dxfId="38" priority="70" operator="equal">
      <formula>配置!$D$4</formula>
    </cfRule>
    <cfRule type="cellIs" dxfId="39" priority="71" operator="equal">
      <formula>配置!$D$3</formula>
    </cfRule>
    <cfRule type="cellIs" dxfId="37" priority="72" operator="equal">
      <formula>配置!$D$2</formula>
    </cfRule>
  </conditionalFormatting>
  <conditionalFormatting sqref="Q52:Q53">
    <cfRule type="cellIs" dxfId="38" priority="68" operator="equal">
      <formula>配置!$D$4</formula>
    </cfRule>
    <cfRule type="cellIs" dxfId="37" priority="69" operator="equal">
      <formula>配置!$D$2</formula>
    </cfRule>
  </conditionalFormatting>
  <conditionalFormatting sqref="Q52:Q54">
    <cfRule type="cellIs" dxfId="38" priority="63" operator="equal">
      <formula>配置!$D$4</formula>
    </cfRule>
    <cfRule type="cellIs" dxfId="39" priority="64" operator="equal">
      <formula>配置!$D$3</formula>
    </cfRule>
    <cfRule type="cellIs" dxfId="37" priority="65" operator="equal">
      <formula>配置!$D$2</formula>
    </cfRule>
  </conditionalFormatting>
  <conditionalFormatting sqref="Q55:Q56">
    <cfRule type="cellIs" dxfId="38" priority="61" operator="equal">
      <formula>配置!$D$4</formula>
    </cfRule>
    <cfRule type="cellIs" dxfId="37" priority="62" operator="equal">
      <formula>配置!$D$2</formula>
    </cfRule>
  </conditionalFormatting>
  <conditionalFormatting sqref="Q55:Q57">
    <cfRule type="cellIs" dxfId="38" priority="56" operator="equal">
      <formula>配置!$D$4</formula>
    </cfRule>
    <cfRule type="cellIs" dxfId="39" priority="57" operator="equal">
      <formula>配置!$D$3</formula>
    </cfRule>
    <cfRule type="cellIs" dxfId="37" priority="58" operator="equal">
      <formula>配置!$D$2</formula>
    </cfRule>
  </conditionalFormatting>
  <conditionalFormatting sqref="Q58:Q59">
    <cfRule type="cellIs" dxfId="38" priority="54" operator="equal">
      <formula>配置!$D$4</formula>
    </cfRule>
    <cfRule type="cellIs" dxfId="37" priority="55" operator="equal">
      <formula>配置!$D$2</formula>
    </cfRule>
  </conditionalFormatting>
  <conditionalFormatting sqref="Q58:Q60">
    <cfRule type="cellIs" dxfId="38" priority="49" operator="equal">
      <formula>配置!$D$4</formula>
    </cfRule>
    <cfRule type="cellIs" dxfId="39" priority="50" operator="equal">
      <formula>配置!$D$3</formula>
    </cfRule>
    <cfRule type="cellIs" dxfId="37" priority="51" operator="equal">
      <formula>配置!$D$2</formula>
    </cfRule>
  </conditionalFormatting>
  <conditionalFormatting sqref="Q61:Q62">
    <cfRule type="cellIs" dxfId="38" priority="47" operator="equal">
      <formula>配置!$D$4</formula>
    </cfRule>
    <cfRule type="cellIs" dxfId="37" priority="48" operator="equal">
      <formula>配置!$D$2</formula>
    </cfRule>
  </conditionalFormatting>
  <conditionalFormatting sqref="Q61:Q63">
    <cfRule type="cellIs" dxfId="38" priority="42" operator="equal">
      <formula>配置!$D$4</formula>
    </cfRule>
    <cfRule type="cellIs" dxfId="39" priority="43" operator="equal">
      <formula>配置!$D$3</formula>
    </cfRule>
    <cfRule type="cellIs" dxfId="37" priority="44" operator="equal">
      <formula>配置!$D$2</formula>
    </cfRule>
  </conditionalFormatting>
  <conditionalFormatting sqref="Q64:Q65">
    <cfRule type="cellIs" dxfId="38" priority="40" operator="equal">
      <formula>配置!$D$4</formula>
    </cfRule>
    <cfRule type="cellIs" dxfId="37" priority="41" operator="equal">
      <formula>配置!$D$2</formula>
    </cfRule>
  </conditionalFormatting>
  <conditionalFormatting sqref="Q64:Q66">
    <cfRule type="cellIs" dxfId="38" priority="35" operator="equal">
      <formula>配置!$D$4</formula>
    </cfRule>
    <cfRule type="cellIs" dxfId="39" priority="36" operator="equal">
      <formula>配置!$D$3</formula>
    </cfRule>
    <cfRule type="cellIs" dxfId="37" priority="37" operator="equal">
      <formula>配置!$D$2</formula>
    </cfRule>
  </conditionalFormatting>
  <conditionalFormatting sqref="Q67:Q68">
    <cfRule type="cellIs" dxfId="38" priority="33" operator="equal">
      <formula>配置!$D$4</formula>
    </cfRule>
    <cfRule type="cellIs" dxfId="37" priority="34" operator="equal">
      <formula>配置!$D$2</formula>
    </cfRule>
  </conditionalFormatting>
  <conditionalFormatting sqref="Q67:Q69">
    <cfRule type="cellIs" dxfId="38" priority="28" operator="equal">
      <formula>配置!$D$4</formula>
    </cfRule>
    <cfRule type="cellIs" dxfId="39" priority="29" operator="equal">
      <formula>配置!$D$3</formula>
    </cfRule>
    <cfRule type="cellIs" dxfId="37" priority="30" operator="equal">
      <formula>配置!$D$2</formula>
    </cfRule>
  </conditionalFormatting>
  <conditionalFormatting sqref="R80:R91">
    <cfRule type="cellIs" dxfId="37" priority="155" operator="equal">
      <formula>$S$80</formula>
    </cfRule>
  </conditionalFormatting>
  <conditionalFormatting sqref="O77:O78 Q1:R1 Q2 Q4:Q5 Q7:Q8 Q10:Q11 Q13 Q44 Q70:Q71 Q73:Q74 Q76">
    <cfRule type="cellIs" dxfId="37" priority="171" operator="equal">
      <formula>配置!$D$2</formula>
    </cfRule>
  </conditionalFormatting>
  <conditionalFormatting sqref="O2:O13 O44:O45 O70:O73">
    <cfRule type="dataBar" priority="1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{7a69d3fd-376d-4fe8-8185-6e453ee9dea3}</x14:id>
        </ext>
      </extLst>
    </cfRule>
  </conditionalFormatting>
  <conditionalFormatting sqref="P2:P13 P44:P45 P70:P73">
    <cfRule type="dataBar" priority="1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{359f669d-d6a6-452a-9af6-0e6f6f1a2142}</x14:id>
        </ext>
      </extLst>
    </cfRule>
  </conditionalFormatting>
  <conditionalFormatting sqref="Q2 Q4:Q5 Q7:Q8 Q10:Q11 Q13 Q44 Q70:Q71 Q73:Q74 Q76">
    <cfRule type="cellIs" dxfId="38" priority="170" operator="equal">
      <formula>配置!$D$4</formula>
    </cfRule>
  </conditionalFormatting>
  <conditionalFormatting sqref="Q2:Q13 Q44:Q45 Q70:Q76">
    <cfRule type="cellIs" dxfId="38" priority="161" operator="equal">
      <formula>配置!$D$4</formula>
    </cfRule>
    <cfRule type="cellIs" dxfId="39" priority="162" operator="equal">
      <formula>配置!$D$3</formula>
    </cfRule>
    <cfRule type="cellIs" dxfId="37" priority="163" operator="equal">
      <formula>配置!$D$2</formula>
    </cfRule>
  </conditionalFormatting>
  <conditionalFormatting sqref="Q14 Q16">
    <cfRule type="cellIs" dxfId="38" priority="152" operator="equal">
      <formula>配置!$D$4</formula>
    </cfRule>
    <cfRule type="cellIs" dxfId="37" priority="153" operator="equal">
      <formula>配置!$D$2</formula>
    </cfRule>
  </conditionalFormatting>
  <conditionalFormatting sqref="Q17 Q19">
    <cfRule type="cellIs" dxfId="38" priority="145" operator="equal">
      <formula>配置!$D$4</formula>
    </cfRule>
    <cfRule type="cellIs" dxfId="37" priority="146" operator="equal">
      <formula>配置!$D$2</formula>
    </cfRule>
  </conditionalFormatting>
  <conditionalFormatting sqref="Q20 Q22">
    <cfRule type="cellIs" dxfId="38" priority="138" operator="equal">
      <formula>配置!$D$4</formula>
    </cfRule>
    <cfRule type="cellIs" dxfId="37" priority="139" operator="equal">
      <formula>配置!$D$2</formula>
    </cfRule>
  </conditionalFormatting>
  <conditionalFormatting sqref="Q23 Q25">
    <cfRule type="cellIs" dxfId="38" priority="131" operator="equal">
      <formula>配置!$D$4</formula>
    </cfRule>
    <cfRule type="cellIs" dxfId="37" priority="132" operator="equal">
      <formula>配置!$D$2</formula>
    </cfRule>
  </conditionalFormatting>
  <conditionalFormatting sqref="Q26 Q28">
    <cfRule type="cellIs" dxfId="38" priority="124" operator="equal">
      <formula>配置!$D$4</formula>
    </cfRule>
    <cfRule type="cellIs" dxfId="37" priority="125" operator="equal">
      <formula>配置!$D$2</formula>
    </cfRule>
  </conditionalFormatting>
  <conditionalFormatting sqref="Q29 Q31">
    <cfRule type="cellIs" dxfId="38" priority="117" operator="equal">
      <formula>配置!$D$4</formula>
    </cfRule>
    <cfRule type="cellIs" dxfId="37" priority="118" operator="equal">
      <formula>配置!$D$2</formula>
    </cfRule>
  </conditionalFormatting>
  <conditionalFormatting sqref="Q32 Q34">
    <cfRule type="cellIs" dxfId="38" priority="110" operator="equal">
      <formula>配置!$D$4</formula>
    </cfRule>
    <cfRule type="cellIs" dxfId="37" priority="111" operator="equal">
      <formula>配置!$D$2</formula>
    </cfRule>
  </conditionalFormatting>
  <conditionalFormatting sqref="Q35 Q37">
    <cfRule type="cellIs" dxfId="38" priority="103" operator="equal">
      <formula>配置!$D$4</formula>
    </cfRule>
    <cfRule type="cellIs" dxfId="37" priority="104" operator="equal">
      <formula>配置!$D$2</formula>
    </cfRule>
  </conditionalFormatting>
  <conditionalFormatting sqref="Q38 Q40">
    <cfRule type="cellIs" dxfId="38" priority="96" operator="equal">
      <formula>配置!$D$4</formula>
    </cfRule>
    <cfRule type="cellIs" dxfId="37" priority="97" operator="equal">
      <formula>配置!$D$2</formula>
    </cfRule>
  </conditionalFormatting>
  <conditionalFormatting sqref="Q41 Q43">
    <cfRule type="cellIs" dxfId="38" priority="89" operator="equal">
      <formula>配置!$D$4</formula>
    </cfRule>
    <cfRule type="cellIs" dxfId="37" priority="90" operator="equal">
      <formula>配置!$D$2</formula>
    </cfRule>
  </conditionalFormatting>
  <conditionalFormatting sqref="N80:N85 N113:N115">
    <cfRule type="dataBar" priority="1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{46c45485-02e2-4d74-baf5-5a2c153d2857}</x14:id>
        </ext>
      </extLst>
    </cfRule>
  </conditionalFormatting>
  <dataValidations count="1">
    <dataValidation type="list" allowBlank="1" showInputMessage="1" showErrorMessage="1" sqref="Q2:Q13 Q14:Q16 Q17:Q19 Q20:Q22 Q23:Q25 Q26:Q28 Q29:Q31 Q32:Q34 Q35:Q37 Q38:Q40 Q41:Q43 Q44:Q45 Q46:Q48 Q49:Q51 Q52:Q54 Q55:Q57 Q58:Q60 Q61:Q63 Q64:Q66 Q67:Q69 Q70:Q76">
      <formula1>配置!$D$2:$D$4</formula1>
    </dataValidation>
  </dataValidations>
  <pageMargins left="0.7" right="0.7" top="0.75" bottom="0.75" header="0.3" footer="0.3"/>
  <pageSetup paperSize="9" orientation="portrait"/>
  <headerFooter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6ef0f5f-7c8a-4451-b21f-3c8b35f7ba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F80:F82</xm:sqref>
        </x14:conditionalFormatting>
        <x14:conditionalFormatting xmlns:xm="http://schemas.microsoft.com/office/excel/2006/main">
          <x14:cfRule type="dataBar" id="{4267abeb-086b-450a-a355-5f37741760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F83:F85</xm:sqref>
        </x14:conditionalFormatting>
        <x14:conditionalFormatting xmlns:xm="http://schemas.microsoft.com/office/excel/2006/main">
          <x14:cfRule type="dataBar" id="{d516dbe7-9ed5-4665-9748-055905e8a9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F86:F88</xm:sqref>
        </x14:conditionalFormatting>
        <x14:conditionalFormatting xmlns:xm="http://schemas.microsoft.com/office/excel/2006/main">
          <x14:cfRule type="dataBar" id="{11fd3f32-b383-452d-881c-43e5f85da3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F89:F91</xm:sqref>
        </x14:conditionalFormatting>
        <x14:conditionalFormatting xmlns:xm="http://schemas.microsoft.com/office/excel/2006/main">
          <x14:cfRule type="dataBar" id="{abf5d1a4-93d2-45f0-856c-51f578fb10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F92:F94</xm:sqref>
        </x14:conditionalFormatting>
        <x14:conditionalFormatting xmlns:xm="http://schemas.microsoft.com/office/excel/2006/main">
          <x14:cfRule type="dataBar" id="{17880271-9d78-4808-8ef6-f044900c8a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F95:F97</xm:sqref>
        </x14:conditionalFormatting>
        <x14:conditionalFormatting xmlns:xm="http://schemas.microsoft.com/office/excel/2006/main">
          <x14:cfRule type="dataBar" id="{8fe1bff1-0448-4261-8a94-f073daad5d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F98:F100</xm:sqref>
        </x14:conditionalFormatting>
        <x14:conditionalFormatting xmlns:xm="http://schemas.microsoft.com/office/excel/2006/main">
          <x14:cfRule type="dataBar" id="{3e6ecb3c-5eed-4278-8551-aed626412b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F101:F103</xm:sqref>
        </x14:conditionalFormatting>
        <x14:conditionalFormatting xmlns:xm="http://schemas.microsoft.com/office/excel/2006/main">
          <x14:cfRule type="dataBar" id="{b5ba5ad0-bb4b-4aab-9817-369e54f222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F104:F106</xm:sqref>
        </x14:conditionalFormatting>
        <x14:conditionalFormatting xmlns:xm="http://schemas.microsoft.com/office/excel/2006/main">
          <x14:cfRule type="dataBar" id="{1b53fb0f-3796-4781-8975-68e0de200c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F107:F109</xm:sqref>
        </x14:conditionalFormatting>
        <x14:conditionalFormatting xmlns:xm="http://schemas.microsoft.com/office/excel/2006/main">
          <x14:cfRule type="dataBar" id="{3bea1f81-82d3-44be-81b6-89aaf51e26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F110:F112</xm:sqref>
        </x14:conditionalFormatting>
        <x14:conditionalFormatting xmlns:xm="http://schemas.microsoft.com/office/excel/2006/main">
          <x14:cfRule type="dataBar" id="{e83eafd8-cf8a-49da-bef9-d2b06a4deb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F113:F115</xm:sqref>
        </x14:conditionalFormatting>
        <x14:conditionalFormatting xmlns:xm="http://schemas.microsoft.com/office/excel/2006/main">
          <x14:cfRule type="dataBar" id="{39ac6ee4-67cb-4e5e-9cea-88962db700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G80:G82</xm:sqref>
        </x14:conditionalFormatting>
        <x14:conditionalFormatting xmlns:xm="http://schemas.microsoft.com/office/excel/2006/main">
          <x14:cfRule type="dataBar" id="{f11ca693-c953-460c-a3d6-a6eb232dd2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G83:G85</xm:sqref>
        </x14:conditionalFormatting>
        <x14:conditionalFormatting xmlns:xm="http://schemas.microsoft.com/office/excel/2006/main">
          <x14:cfRule type="dataBar" id="{6738a7a7-6383-4bfc-b777-418f7ed953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G86:G88</xm:sqref>
        </x14:conditionalFormatting>
        <x14:conditionalFormatting xmlns:xm="http://schemas.microsoft.com/office/excel/2006/main">
          <x14:cfRule type="dataBar" id="{4b113a52-72de-4a8e-ae10-0abb939ca2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G89:G91</xm:sqref>
        </x14:conditionalFormatting>
        <x14:conditionalFormatting xmlns:xm="http://schemas.microsoft.com/office/excel/2006/main">
          <x14:cfRule type="dataBar" id="{a134d708-573d-496d-8cc2-7a50771541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G92:G94</xm:sqref>
        </x14:conditionalFormatting>
        <x14:conditionalFormatting xmlns:xm="http://schemas.microsoft.com/office/excel/2006/main">
          <x14:cfRule type="dataBar" id="{5a99860f-4d12-45b7-a4b8-6c905d7917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G95:G97</xm:sqref>
        </x14:conditionalFormatting>
        <x14:conditionalFormatting xmlns:xm="http://schemas.microsoft.com/office/excel/2006/main">
          <x14:cfRule type="dataBar" id="{9b8ec5e8-87d6-4ca2-b739-925e5ee118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G98:G100</xm:sqref>
        </x14:conditionalFormatting>
        <x14:conditionalFormatting xmlns:xm="http://schemas.microsoft.com/office/excel/2006/main">
          <x14:cfRule type="dataBar" id="{45f9c565-8da9-4a27-993d-034a32084c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G101:G103</xm:sqref>
        </x14:conditionalFormatting>
        <x14:conditionalFormatting xmlns:xm="http://schemas.microsoft.com/office/excel/2006/main">
          <x14:cfRule type="dataBar" id="{99ad8d0f-8c76-4d3a-b5a3-7090651789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G104:G106</xm:sqref>
        </x14:conditionalFormatting>
        <x14:conditionalFormatting xmlns:xm="http://schemas.microsoft.com/office/excel/2006/main">
          <x14:cfRule type="dataBar" id="{8da80f78-fa54-4eb8-b4da-471b496b9f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G107:G109</xm:sqref>
        </x14:conditionalFormatting>
        <x14:conditionalFormatting xmlns:xm="http://schemas.microsoft.com/office/excel/2006/main">
          <x14:cfRule type="dataBar" id="{90cb571d-7ba3-4a9c-8b4f-1edd5e8bb7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G110:G112</xm:sqref>
        </x14:conditionalFormatting>
        <x14:conditionalFormatting xmlns:xm="http://schemas.microsoft.com/office/excel/2006/main">
          <x14:cfRule type="dataBar" id="{dcff24ad-de62-4cab-adea-543ca57c12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G113:G115</xm:sqref>
        </x14:conditionalFormatting>
        <x14:conditionalFormatting xmlns:xm="http://schemas.microsoft.com/office/excel/2006/main">
          <x14:cfRule type="dataBar" id="{9b67990d-d7b6-4231-bd90-1ebd6d29ca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N86:N88</xm:sqref>
        </x14:conditionalFormatting>
        <x14:conditionalFormatting xmlns:xm="http://schemas.microsoft.com/office/excel/2006/main">
          <x14:cfRule type="dataBar" id="{dab441ab-3d90-4f61-aee2-0a12766ccf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N89:N91</xm:sqref>
        </x14:conditionalFormatting>
        <x14:conditionalFormatting xmlns:xm="http://schemas.microsoft.com/office/excel/2006/main">
          <x14:cfRule type="dataBar" id="{d934d644-93d6-49a0-bdad-a9ad770176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N92:N94</xm:sqref>
        </x14:conditionalFormatting>
        <x14:conditionalFormatting xmlns:xm="http://schemas.microsoft.com/office/excel/2006/main">
          <x14:cfRule type="dataBar" id="{6054f2d5-4afe-427c-bcd6-1be0d540dc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N95:N97</xm:sqref>
        </x14:conditionalFormatting>
        <x14:conditionalFormatting xmlns:xm="http://schemas.microsoft.com/office/excel/2006/main">
          <x14:cfRule type="dataBar" id="{1cf1c5ce-7fc7-441f-9c13-aa95a5e9e2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N98:N100</xm:sqref>
        </x14:conditionalFormatting>
        <x14:conditionalFormatting xmlns:xm="http://schemas.microsoft.com/office/excel/2006/main">
          <x14:cfRule type="dataBar" id="{45b871ed-193f-4db6-96c9-6c1d82421a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N101:N103</xm:sqref>
        </x14:conditionalFormatting>
        <x14:conditionalFormatting xmlns:xm="http://schemas.microsoft.com/office/excel/2006/main">
          <x14:cfRule type="dataBar" id="{59e6a18c-6e21-4026-9a2f-c9159d3b1d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N104:N106</xm:sqref>
        </x14:conditionalFormatting>
        <x14:conditionalFormatting xmlns:xm="http://schemas.microsoft.com/office/excel/2006/main">
          <x14:cfRule type="dataBar" id="{22f3da0a-d0a5-4bf8-8f0f-0fa9a08b3a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N107:N109</xm:sqref>
        </x14:conditionalFormatting>
        <x14:conditionalFormatting xmlns:xm="http://schemas.microsoft.com/office/excel/2006/main">
          <x14:cfRule type="dataBar" id="{9bea180d-ba07-4a71-b03f-473a08e530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N110:N112</xm:sqref>
        </x14:conditionalFormatting>
        <x14:conditionalFormatting xmlns:xm="http://schemas.microsoft.com/office/excel/2006/main">
          <x14:cfRule type="dataBar" id="{3d4f7899-37b6-4088-acc9-59f4b34c37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O14:O16</xm:sqref>
        </x14:conditionalFormatting>
        <x14:conditionalFormatting xmlns:xm="http://schemas.microsoft.com/office/excel/2006/main">
          <x14:cfRule type="dataBar" id="{07b0a1c8-c71e-4183-95e8-e6a141dd31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O17:O19</xm:sqref>
        </x14:conditionalFormatting>
        <x14:conditionalFormatting xmlns:xm="http://schemas.microsoft.com/office/excel/2006/main">
          <x14:cfRule type="dataBar" id="{f6f4d48f-001d-49ee-a2ef-8bf63d67cf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O20:O22</xm:sqref>
        </x14:conditionalFormatting>
        <x14:conditionalFormatting xmlns:xm="http://schemas.microsoft.com/office/excel/2006/main">
          <x14:cfRule type="dataBar" id="{6b244613-1e6b-4329-a0b6-7280cc4501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O23:O25</xm:sqref>
        </x14:conditionalFormatting>
        <x14:conditionalFormatting xmlns:xm="http://schemas.microsoft.com/office/excel/2006/main">
          <x14:cfRule type="dataBar" id="{ea128b24-7394-4bf0-a898-f7b69c77b5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O26:O28</xm:sqref>
        </x14:conditionalFormatting>
        <x14:conditionalFormatting xmlns:xm="http://schemas.microsoft.com/office/excel/2006/main">
          <x14:cfRule type="dataBar" id="{2f4ed682-ef4d-4f41-bd15-915e564145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O29:O31</xm:sqref>
        </x14:conditionalFormatting>
        <x14:conditionalFormatting xmlns:xm="http://schemas.microsoft.com/office/excel/2006/main">
          <x14:cfRule type="dataBar" id="{06f023ef-59dd-4e63-98ee-209221d27b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O32:O34</xm:sqref>
        </x14:conditionalFormatting>
        <x14:conditionalFormatting xmlns:xm="http://schemas.microsoft.com/office/excel/2006/main">
          <x14:cfRule type="dataBar" id="{f8954206-4f92-46a9-ad69-0a7eb55ea1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O35:O37</xm:sqref>
        </x14:conditionalFormatting>
        <x14:conditionalFormatting xmlns:xm="http://schemas.microsoft.com/office/excel/2006/main">
          <x14:cfRule type="dataBar" id="{9940d18a-ea50-408c-9afe-a062bd8821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O38:O40</xm:sqref>
        </x14:conditionalFormatting>
        <x14:conditionalFormatting xmlns:xm="http://schemas.microsoft.com/office/excel/2006/main">
          <x14:cfRule type="dataBar" id="{3d4d5f06-b34d-450f-9408-c5127f9081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O41:O43</xm:sqref>
        </x14:conditionalFormatting>
        <x14:conditionalFormatting xmlns:xm="http://schemas.microsoft.com/office/excel/2006/main">
          <x14:cfRule type="dataBar" id="{0e575a0f-a248-471f-846d-21c261c02b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O46:O48</xm:sqref>
        </x14:conditionalFormatting>
        <x14:conditionalFormatting xmlns:xm="http://schemas.microsoft.com/office/excel/2006/main">
          <x14:cfRule type="dataBar" id="{f764c457-81db-40ea-861e-c7c8bdea85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O49:O51</xm:sqref>
        </x14:conditionalFormatting>
        <x14:conditionalFormatting xmlns:xm="http://schemas.microsoft.com/office/excel/2006/main">
          <x14:cfRule type="dataBar" id="{7bceb5e4-a900-48de-99b1-1c4078f2a4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O52:O54</xm:sqref>
        </x14:conditionalFormatting>
        <x14:conditionalFormatting xmlns:xm="http://schemas.microsoft.com/office/excel/2006/main">
          <x14:cfRule type="dataBar" id="{3874678f-1417-426a-8637-fb9638e674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O55:O57</xm:sqref>
        </x14:conditionalFormatting>
        <x14:conditionalFormatting xmlns:xm="http://schemas.microsoft.com/office/excel/2006/main">
          <x14:cfRule type="dataBar" id="{52ef46ce-64bf-48c9-81a9-ea9e9df708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O58:O60</xm:sqref>
        </x14:conditionalFormatting>
        <x14:conditionalFormatting xmlns:xm="http://schemas.microsoft.com/office/excel/2006/main">
          <x14:cfRule type="dataBar" id="{5cb6a8a9-07c5-4c37-816c-5d245bfad3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O61:O63</xm:sqref>
        </x14:conditionalFormatting>
        <x14:conditionalFormatting xmlns:xm="http://schemas.microsoft.com/office/excel/2006/main">
          <x14:cfRule type="dataBar" id="{8c209f21-bb21-4a13-9bbb-7373a28da4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O64:O66</xm:sqref>
        </x14:conditionalFormatting>
        <x14:conditionalFormatting xmlns:xm="http://schemas.microsoft.com/office/excel/2006/main">
          <x14:cfRule type="dataBar" id="{bcf06f7d-61aa-442e-8080-bbd417065f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O67:O69</xm:sqref>
        </x14:conditionalFormatting>
        <x14:conditionalFormatting xmlns:xm="http://schemas.microsoft.com/office/excel/2006/main">
          <x14:cfRule type="dataBar" id="{37932679-079a-4d59-ba2b-0100786a6b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O74:O76</xm:sqref>
        </x14:conditionalFormatting>
        <x14:conditionalFormatting xmlns:xm="http://schemas.microsoft.com/office/excel/2006/main">
          <x14:cfRule type="dataBar" id="{84c9e5e4-7f1e-450f-8e89-f23e926b2c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P14:P16</xm:sqref>
        </x14:conditionalFormatting>
        <x14:conditionalFormatting xmlns:xm="http://schemas.microsoft.com/office/excel/2006/main">
          <x14:cfRule type="dataBar" id="{09e4a6f6-9f8f-4631-935d-711fb8dffb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P17:P19</xm:sqref>
        </x14:conditionalFormatting>
        <x14:conditionalFormatting xmlns:xm="http://schemas.microsoft.com/office/excel/2006/main">
          <x14:cfRule type="dataBar" id="{ba8a20cc-91ab-4f4b-b6ec-e044c3fa7d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P20:P22</xm:sqref>
        </x14:conditionalFormatting>
        <x14:conditionalFormatting xmlns:xm="http://schemas.microsoft.com/office/excel/2006/main">
          <x14:cfRule type="dataBar" id="{bc87c508-c5e7-427b-84c8-3ec1c79816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P23:P25</xm:sqref>
        </x14:conditionalFormatting>
        <x14:conditionalFormatting xmlns:xm="http://schemas.microsoft.com/office/excel/2006/main">
          <x14:cfRule type="dataBar" id="{487af9c3-01b5-47ce-9100-2b09b378c0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P26:P28</xm:sqref>
        </x14:conditionalFormatting>
        <x14:conditionalFormatting xmlns:xm="http://schemas.microsoft.com/office/excel/2006/main">
          <x14:cfRule type="dataBar" id="{97fe8a53-2636-4621-8974-1da7ccfc9a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P29:P31</xm:sqref>
        </x14:conditionalFormatting>
        <x14:conditionalFormatting xmlns:xm="http://schemas.microsoft.com/office/excel/2006/main">
          <x14:cfRule type="dataBar" id="{0505c9c3-5517-418b-a47f-6d3a276592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P32:P34</xm:sqref>
        </x14:conditionalFormatting>
        <x14:conditionalFormatting xmlns:xm="http://schemas.microsoft.com/office/excel/2006/main">
          <x14:cfRule type="dataBar" id="{e590c291-64fb-40c5-89fa-20a4b47694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P35:P37</xm:sqref>
        </x14:conditionalFormatting>
        <x14:conditionalFormatting xmlns:xm="http://schemas.microsoft.com/office/excel/2006/main">
          <x14:cfRule type="dataBar" id="{9f6f7d51-b0dc-4ac5-9222-581fdd94c3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P38:P40</xm:sqref>
        </x14:conditionalFormatting>
        <x14:conditionalFormatting xmlns:xm="http://schemas.microsoft.com/office/excel/2006/main">
          <x14:cfRule type="dataBar" id="{308e22c4-a7b9-4226-8da9-d9f11903ee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P41:P43</xm:sqref>
        </x14:conditionalFormatting>
        <x14:conditionalFormatting xmlns:xm="http://schemas.microsoft.com/office/excel/2006/main">
          <x14:cfRule type="dataBar" id="{ab30d102-85f6-43e3-b968-21e63a77fd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P46:P48</xm:sqref>
        </x14:conditionalFormatting>
        <x14:conditionalFormatting xmlns:xm="http://schemas.microsoft.com/office/excel/2006/main">
          <x14:cfRule type="dataBar" id="{6bc6c3c2-6687-48a2-b3a4-f109bd532f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P49:P51</xm:sqref>
        </x14:conditionalFormatting>
        <x14:conditionalFormatting xmlns:xm="http://schemas.microsoft.com/office/excel/2006/main">
          <x14:cfRule type="dataBar" id="{8c58dc9e-cdb5-4e76-bbf8-d808343bf7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P52:P54</xm:sqref>
        </x14:conditionalFormatting>
        <x14:conditionalFormatting xmlns:xm="http://schemas.microsoft.com/office/excel/2006/main">
          <x14:cfRule type="dataBar" id="{6513b781-8e58-4030-ae5d-9a49c425d6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P55:P57</xm:sqref>
        </x14:conditionalFormatting>
        <x14:conditionalFormatting xmlns:xm="http://schemas.microsoft.com/office/excel/2006/main">
          <x14:cfRule type="dataBar" id="{4d26c5a7-14a3-4aac-b9ac-8b6da61588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P58:P60</xm:sqref>
        </x14:conditionalFormatting>
        <x14:conditionalFormatting xmlns:xm="http://schemas.microsoft.com/office/excel/2006/main">
          <x14:cfRule type="dataBar" id="{57576660-18f7-415a-9350-78d3fbb39e8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P61:P63</xm:sqref>
        </x14:conditionalFormatting>
        <x14:conditionalFormatting xmlns:xm="http://schemas.microsoft.com/office/excel/2006/main">
          <x14:cfRule type="dataBar" id="{d6b77326-6515-4a96-aa64-a316880ad4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P64:P66</xm:sqref>
        </x14:conditionalFormatting>
        <x14:conditionalFormatting xmlns:xm="http://schemas.microsoft.com/office/excel/2006/main">
          <x14:cfRule type="dataBar" id="{289aeb09-fdf4-4dad-8c90-098f79d727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P67:P69</xm:sqref>
        </x14:conditionalFormatting>
        <x14:conditionalFormatting xmlns:xm="http://schemas.microsoft.com/office/excel/2006/main">
          <x14:cfRule type="dataBar" id="{15e6b5d6-5e5c-4797-97eb-c070f6645f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P74:P76</xm:sqref>
        </x14:conditionalFormatting>
        <x14:conditionalFormatting xmlns:xm="http://schemas.microsoft.com/office/excel/2006/main">
          <x14:cfRule type="dataBar" id="{7a69d3fd-376d-4fe8-8185-6e453ee9de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O2:O13 O44:O45 O70:O73</xm:sqref>
        </x14:conditionalFormatting>
        <x14:conditionalFormatting xmlns:xm="http://schemas.microsoft.com/office/excel/2006/main">
          <x14:cfRule type="dataBar" id="{359f669d-d6a6-452a-9af6-0e6f6f1a21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P2:P13 P44:P45 P70:P73</xm:sqref>
        </x14:conditionalFormatting>
        <x14:conditionalFormatting xmlns:xm="http://schemas.microsoft.com/office/excel/2006/main">
          <x14:cfRule type="dataBar" id="{46c45485-02e2-4d74-baf5-5a2c153d28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N80:N85 N113:N115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63</vt:i4>
      </vt:variant>
    </vt:vector>
  </HeadingPairs>
  <TitlesOfParts>
    <vt:vector size="63" baseType="lpstr">
      <vt:lpstr>3-23|1~8区</vt:lpstr>
      <vt:lpstr>4-28|9~19区</vt:lpstr>
      <vt:lpstr>5-9|20~23区</vt:lpstr>
      <vt:lpstr>5-16|24~27区</vt:lpstr>
      <vt:lpstr>5-23|28~31区</vt:lpstr>
      <vt:lpstr>5~30|32~39区</vt:lpstr>
      <vt:lpstr>6~4|40~43区</vt:lpstr>
      <vt:lpstr>6~20|44~50区</vt:lpstr>
      <vt:lpstr>6~25|51~56区</vt:lpstr>
      <vt:lpstr>7~4|57~60区</vt:lpstr>
      <vt:lpstr>7~10|61~66</vt:lpstr>
      <vt:lpstr>7~10|67~70</vt:lpstr>
      <vt:lpstr>7~18|71~74</vt:lpstr>
      <vt:lpstr>7~25|5001~5003</vt:lpstr>
      <vt:lpstr>8~1|75~79</vt:lpstr>
      <vt:lpstr>8~8|80~90</vt:lpstr>
      <vt:lpstr>8~14|91~96</vt:lpstr>
      <vt:lpstr>8~14|5004~5007</vt:lpstr>
      <vt:lpstr>8~22|97~100</vt:lpstr>
      <vt:lpstr>8~22|5008~5011</vt:lpstr>
      <vt:lpstr>8~29|101~106</vt:lpstr>
      <vt:lpstr>8~29|5012~5015</vt:lpstr>
      <vt:lpstr>9~5|107~114</vt:lpstr>
      <vt:lpstr>9~5|5016~5021</vt:lpstr>
      <vt:lpstr>9~10|115~122</vt:lpstr>
      <vt:lpstr>9~10|5022~5030</vt:lpstr>
      <vt:lpstr>9~20|123~127</vt:lpstr>
      <vt:lpstr>9~20|5031~5039</vt:lpstr>
      <vt:lpstr>9~26|128~133</vt:lpstr>
      <vt:lpstr>9~26|5040~5049</vt:lpstr>
      <vt:lpstr>10~10|134~141</vt:lpstr>
      <vt:lpstr>10~10|142~149</vt:lpstr>
      <vt:lpstr>10~10|5050~5060</vt:lpstr>
      <vt:lpstr>10~10|5061~5069</vt:lpstr>
      <vt:lpstr>10~10|7001~7004</vt:lpstr>
      <vt:lpstr>10~17|149~161</vt:lpstr>
      <vt:lpstr>10~17|5070~5082</vt:lpstr>
      <vt:lpstr>10~17|7005~7010</vt:lpstr>
      <vt:lpstr>10~24|162~171</vt:lpstr>
      <vt:lpstr>10~24|5083~5100</vt:lpstr>
      <vt:lpstr>10~24|7011~7013</vt:lpstr>
      <vt:lpstr>10~31|172~181</vt:lpstr>
      <vt:lpstr>10~31|5101~5127</vt:lpstr>
      <vt:lpstr>10~31|7014~7019</vt:lpstr>
      <vt:lpstr>11~7|182~191</vt:lpstr>
      <vt:lpstr>11~7|5128~5175</vt:lpstr>
      <vt:lpstr>11~7|7020~7032</vt:lpstr>
      <vt:lpstr>11~14|192~205</vt:lpstr>
      <vt:lpstr>11~14|5176~5221</vt:lpstr>
      <vt:lpstr>11~14|7033~7040</vt:lpstr>
      <vt:lpstr>11~21|206~219</vt:lpstr>
      <vt:lpstr>11~21|5222~5257</vt:lpstr>
      <vt:lpstr>11~21|7041~7049</vt:lpstr>
      <vt:lpstr>11~26|5258~5276</vt:lpstr>
      <vt:lpstr>11~28|220~229</vt:lpstr>
      <vt:lpstr>11~28|5277~5288</vt:lpstr>
      <vt:lpstr>11~28|7050~7063</vt:lpstr>
      <vt:lpstr>12~3 | 5289~5310</vt:lpstr>
      <vt:lpstr>12~5|230~236</vt:lpstr>
      <vt:lpstr>12~5 | 5311~5319</vt:lpstr>
      <vt:lpstr>12~5|7064~7088</vt:lpstr>
      <vt:lpstr>配置</vt:lpstr>
      <vt:lpstr>空表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2006-09-16T00:00:00Z</dcterms:created>
  <dcterms:modified xsi:type="dcterms:W3CDTF">2019-12-02T08:07:49Z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